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I:\_My_Site\_sharediao\DEAT\caldea_TDC_proj2\Partage\TO_MAXIME\BDFE\vis\"/>
    </mc:Choice>
  </mc:AlternateContent>
  <xr:revisionPtr revIDLastSave="0" documentId="13_ncr:1_{E046EACA-396F-448C-9998-57FA96D4A6D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crew_Table_User" sheetId="10" r:id="rId1"/>
    <sheet name="User_Screw_Compute" sheetId="13" r:id="rId2"/>
    <sheet name="Table_Metier" sheetId="8" r:id="rId3"/>
    <sheet name="Table_Abaque" sheetId="12" r:id="rId4"/>
    <sheet name="MOTDEPASSE" sheetId="1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10" l="1"/>
  <c r="G35" i="10"/>
  <c r="H35" i="10"/>
  <c r="J35" i="10"/>
  <c r="K35" i="10"/>
  <c r="L35" i="10"/>
  <c r="I35" i="10" s="1"/>
  <c r="M35" i="10"/>
  <c r="N35" i="10"/>
  <c r="F36" i="10"/>
  <c r="G36" i="10"/>
  <c r="H36" i="10"/>
  <c r="J36" i="10"/>
  <c r="K36" i="10"/>
  <c r="L36" i="10"/>
  <c r="I36" i="10" s="1"/>
  <c r="M36" i="10"/>
  <c r="N36" i="10"/>
  <c r="F58" i="10"/>
  <c r="G58" i="10"/>
  <c r="H58" i="10"/>
  <c r="J58" i="10"/>
  <c r="K58" i="10"/>
  <c r="L58" i="10"/>
  <c r="I58" i="10" s="1"/>
  <c r="M58" i="10"/>
  <c r="N58" i="10"/>
  <c r="CF7" i="8"/>
  <c r="CG7" i="8"/>
  <c r="CF14" i="8"/>
  <c r="CG14" i="8"/>
  <c r="CF15" i="8"/>
  <c r="CG15" i="8"/>
  <c r="CG21" i="8" s="1"/>
  <c r="CG24" i="8" s="1"/>
  <c r="CF16" i="8"/>
  <c r="CF21" i="8" s="1"/>
  <c r="CG16" i="8"/>
  <c r="CF19" i="8"/>
  <c r="CF22" i="8" s="1"/>
  <c r="CG19" i="8"/>
  <c r="CF20" i="8"/>
  <c r="CG20" i="8"/>
  <c r="CG22" i="8"/>
  <c r="CG45" i="8" s="1"/>
  <c r="CF44" i="8"/>
  <c r="CG44" i="8"/>
  <c r="CK7" i="8"/>
  <c r="CK14" i="8"/>
  <c r="CK15" i="8"/>
  <c r="CK16" i="8"/>
  <c r="CK19" i="8"/>
  <c r="CK22" i="8" s="1"/>
  <c r="CK20" i="8"/>
  <c r="CK44" i="8"/>
  <c r="CF45" i="8" l="1"/>
  <c r="CF46" i="8" s="1"/>
  <c r="CF9" i="8" s="1"/>
  <c r="CG8" i="8"/>
  <c r="CG46" i="8"/>
  <c r="CG9" i="8" s="1"/>
  <c r="CF23" i="8"/>
  <c r="CF25" i="8" s="1"/>
  <c r="CF24" i="8"/>
  <c r="CG23" i="8"/>
  <c r="CG25" i="8" s="1"/>
  <c r="CK21" i="8"/>
  <c r="CK24" i="8" s="1"/>
  <c r="CK45" i="8"/>
  <c r="CM44" i="8"/>
  <c r="CM20" i="8"/>
  <c r="CM19" i="8"/>
  <c r="CM22" i="8" s="1"/>
  <c r="CM16" i="8"/>
  <c r="CM15" i="8"/>
  <c r="CM21" i="8" s="1"/>
  <c r="CM14" i="8"/>
  <c r="CM7" i="8"/>
  <c r="CJ44" i="8"/>
  <c r="CJ20" i="8"/>
  <c r="CJ19" i="8"/>
  <c r="CJ22" i="8" s="1"/>
  <c r="CJ16" i="8"/>
  <c r="CJ15" i="8"/>
  <c r="CJ14" i="8"/>
  <c r="CJ7" i="8"/>
  <c r="K9" i="12"/>
  <c r="CI7" i="8"/>
  <c r="CI14" i="8"/>
  <c r="CI15" i="8"/>
  <c r="CI16" i="8"/>
  <c r="CI19" i="8"/>
  <c r="CI22" i="8" s="1"/>
  <c r="CI20" i="8"/>
  <c r="CI44" i="8"/>
  <c r="V19" i="8"/>
  <c r="V22" i="8" s="1"/>
  <c r="BR7" i="8"/>
  <c r="BS7" i="8"/>
  <c r="BT7" i="8"/>
  <c r="BR14" i="8"/>
  <c r="BS14" i="8"/>
  <c r="BT14" i="8"/>
  <c r="BR15" i="8"/>
  <c r="BS15" i="8"/>
  <c r="BT15" i="8"/>
  <c r="BR16" i="8"/>
  <c r="BS16" i="8"/>
  <c r="BT16" i="8"/>
  <c r="BR19" i="8"/>
  <c r="BR22" i="8" s="1"/>
  <c r="BS19" i="8"/>
  <c r="BS22" i="8" s="1"/>
  <c r="BT19" i="8"/>
  <c r="BT22" i="8" s="1"/>
  <c r="BR20" i="8"/>
  <c r="BS20" i="8"/>
  <c r="BT20" i="8"/>
  <c r="BR44" i="8"/>
  <c r="BS44" i="8"/>
  <c r="BT44" i="8"/>
  <c r="AT7" i="8"/>
  <c r="AU7" i="8"/>
  <c r="AV7" i="8"/>
  <c r="AT14" i="8"/>
  <c r="AU14" i="8"/>
  <c r="AV14" i="8"/>
  <c r="AT15" i="8"/>
  <c r="AU15" i="8"/>
  <c r="AV15" i="8"/>
  <c r="AT16" i="8"/>
  <c r="AU16" i="8"/>
  <c r="AV16" i="8"/>
  <c r="AT19" i="8"/>
  <c r="AT22" i="8" s="1"/>
  <c r="AU19" i="8"/>
  <c r="AU22" i="8" s="1"/>
  <c r="AV19" i="8"/>
  <c r="AV22" i="8" s="1"/>
  <c r="AT20" i="8"/>
  <c r="AU20" i="8"/>
  <c r="AV20" i="8"/>
  <c r="AT44" i="8"/>
  <c r="AU44" i="8"/>
  <c r="AV44" i="8"/>
  <c r="V7" i="8"/>
  <c r="W7" i="8"/>
  <c r="X7" i="8"/>
  <c r="V14" i="8"/>
  <c r="W14" i="8"/>
  <c r="X14" i="8"/>
  <c r="V15" i="8"/>
  <c r="W15" i="8"/>
  <c r="X15" i="8"/>
  <c r="V16" i="8"/>
  <c r="W16" i="8"/>
  <c r="X16" i="8"/>
  <c r="W19" i="8"/>
  <c r="W22" i="8" s="1"/>
  <c r="X19" i="8"/>
  <c r="X22" i="8" s="1"/>
  <c r="V20" i="8"/>
  <c r="W20" i="8"/>
  <c r="X20" i="8"/>
  <c r="V44" i="8"/>
  <c r="W44" i="8"/>
  <c r="X44" i="8"/>
  <c r="CF8" i="8" l="1"/>
  <c r="CF28" i="8"/>
  <c r="CF36" i="8" s="1"/>
  <c r="CF32" i="8"/>
  <c r="CF57" i="8"/>
  <c r="CF31" i="8"/>
  <c r="CF39" i="8" s="1"/>
  <c r="CF29" i="8"/>
  <c r="CF37" i="8" s="1"/>
  <c r="CF34" i="8"/>
  <c r="CF56" i="8" s="1"/>
  <c r="CF30" i="8"/>
  <c r="CF38" i="8" s="1"/>
  <c r="CF55" i="8"/>
  <c r="CF27" i="8"/>
  <c r="CF35" i="8" s="1"/>
  <c r="CF54" i="8" s="1"/>
  <c r="CG55" i="8"/>
  <c r="CG28" i="8"/>
  <c r="CG36" i="8" s="1"/>
  <c r="CG32" i="8"/>
  <c r="CG57" i="8"/>
  <c r="CG27" i="8"/>
  <c r="CG35" i="8" s="1"/>
  <c r="CG54" i="8" s="1"/>
  <c r="CG29" i="8"/>
  <c r="CG37" i="8" s="1"/>
  <c r="CG34" i="8"/>
  <c r="CG56" i="8" s="1"/>
  <c r="CG30" i="8"/>
  <c r="CG38" i="8" s="1"/>
  <c r="CG31" i="8"/>
  <c r="CG39" i="8" s="1"/>
  <c r="CK23" i="8"/>
  <c r="CK25" i="8" s="1"/>
  <c r="CK34" i="8" s="1"/>
  <c r="CK56" i="8" s="1"/>
  <c r="CK8" i="8"/>
  <c r="CK46" i="8"/>
  <c r="CK9" i="8" s="1"/>
  <c r="CK28" i="8"/>
  <c r="CK36" i="8" s="1"/>
  <c r="CK29" i="8"/>
  <c r="CK37" i="8" s="1"/>
  <c r="CK30" i="8"/>
  <c r="CK38" i="8" s="1"/>
  <c r="CK31" i="8"/>
  <c r="CK39" i="8" s="1"/>
  <c r="CK32" i="8"/>
  <c r="CK57" i="8"/>
  <c r="CK55" i="8"/>
  <c r="CK27" i="8"/>
  <c r="CK35" i="8" s="1"/>
  <c r="CK54" i="8" s="1"/>
  <c r="CJ21" i="8"/>
  <c r="AU45" i="8"/>
  <c r="AU8" i="8" s="1"/>
  <c r="CM45" i="8"/>
  <c r="CM8" i="8" s="1"/>
  <c r="CM23" i="8"/>
  <c r="CM25" i="8" s="1"/>
  <c r="CM24" i="8"/>
  <c r="BS21" i="8"/>
  <c r="BS24" i="8" s="1"/>
  <c r="CI45" i="8"/>
  <c r="CI46" i="8" s="1"/>
  <c r="CI9" i="8" s="1"/>
  <c r="CJ45" i="8"/>
  <c r="CJ8" i="8" s="1"/>
  <c r="CJ23" i="8"/>
  <c r="CJ25" i="8" s="1"/>
  <c r="CJ24" i="8"/>
  <c r="X21" i="8"/>
  <c r="X24" i="8" s="1"/>
  <c r="BR45" i="8"/>
  <c r="BR46" i="8" s="1"/>
  <c r="BR9" i="8" s="1"/>
  <c r="AT21" i="8"/>
  <c r="AT24" i="8" s="1"/>
  <c r="AU21" i="8"/>
  <c r="AU24" i="8" s="1"/>
  <c r="BR21" i="8"/>
  <c r="BR24" i="8" s="1"/>
  <c r="BT45" i="8"/>
  <c r="BT8" i="8" s="1"/>
  <c r="BS45" i="8"/>
  <c r="BS8" i="8" s="1"/>
  <c r="BT21" i="8"/>
  <c r="BT24" i="8" s="1"/>
  <c r="AT45" i="8"/>
  <c r="AT8" i="8" s="1"/>
  <c r="CI21" i="8"/>
  <c r="CI23" i="8" s="1"/>
  <c r="CI25" i="8" s="1"/>
  <c r="W21" i="8"/>
  <c r="W24" i="8" s="1"/>
  <c r="AV21" i="8"/>
  <c r="AV24" i="8" s="1"/>
  <c r="X45" i="8"/>
  <c r="X8" i="8" s="1"/>
  <c r="AV45" i="8"/>
  <c r="AV8" i="8" s="1"/>
  <c r="V45" i="8"/>
  <c r="V8" i="8" s="1"/>
  <c r="V21" i="8"/>
  <c r="V24" i="8" s="1"/>
  <c r="AU46" i="8"/>
  <c r="AU9" i="8" s="1"/>
  <c r="W45" i="8"/>
  <c r="W8" i="8" s="1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U14" i="8"/>
  <c r="BV14" i="8"/>
  <c r="BW14" i="8"/>
  <c r="BX14" i="8"/>
  <c r="BY14" i="8"/>
  <c r="BZ14" i="8"/>
  <c r="CA14" i="8"/>
  <c r="CB14" i="8"/>
  <c r="CC14" i="8"/>
  <c r="CD14" i="8"/>
  <c r="CE14" i="8"/>
  <c r="CH14" i="8"/>
  <c r="CL14" i="8"/>
  <c r="CN14" i="8"/>
  <c r="AQ15" i="8"/>
  <c r="AR15" i="8"/>
  <c r="AS15" i="8"/>
  <c r="BO15" i="8"/>
  <c r="BP15" i="8"/>
  <c r="BQ15" i="8"/>
  <c r="CH15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U16" i="8"/>
  <c r="BV16" i="8"/>
  <c r="BW16" i="8"/>
  <c r="BX16" i="8"/>
  <c r="BY16" i="8"/>
  <c r="BZ16" i="8"/>
  <c r="CA16" i="8"/>
  <c r="CB16" i="8"/>
  <c r="CC16" i="8"/>
  <c r="CD16" i="8"/>
  <c r="CE16" i="8"/>
  <c r="CH16" i="8"/>
  <c r="CL16" i="8"/>
  <c r="CN16" i="8"/>
  <c r="Y19" i="8"/>
  <c r="Y22" i="8" s="1"/>
  <c r="Z19" i="8"/>
  <c r="Z22" i="8" s="1"/>
  <c r="AA19" i="8"/>
  <c r="AA22" i="8" s="1"/>
  <c r="AB19" i="8"/>
  <c r="AB22" i="8" s="1"/>
  <c r="AC19" i="8"/>
  <c r="AC22" i="8" s="1"/>
  <c r="AD19" i="8"/>
  <c r="AD22" i="8" s="1"/>
  <c r="AE19" i="8"/>
  <c r="AE22" i="8" s="1"/>
  <c r="AF19" i="8"/>
  <c r="AF22" i="8" s="1"/>
  <c r="AG19" i="8"/>
  <c r="AG22" i="8" s="1"/>
  <c r="AH19" i="8"/>
  <c r="AH22" i="8" s="1"/>
  <c r="AI19" i="8"/>
  <c r="AI22" i="8" s="1"/>
  <c r="AJ19" i="8"/>
  <c r="AJ22" i="8" s="1"/>
  <c r="AK19" i="8"/>
  <c r="AK22" i="8" s="1"/>
  <c r="AL19" i="8"/>
  <c r="AL22" i="8" s="1"/>
  <c r="AM19" i="8"/>
  <c r="AM22" i="8" s="1"/>
  <c r="AN19" i="8"/>
  <c r="AN22" i="8" s="1"/>
  <c r="AO19" i="8"/>
  <c r="AO22" i="8" s="1"/>
  <c r="AP19" i="8"/>
  <c r="AP22" i="8" s="1"/>
  <c r="AQ19" i="8"/>
  <c r="AQ22" i="8" s="1"/>
  <c r="AR19" i="8"/>
  <c r="AR22" i="8" s="1"/>
  <c r="AS19" i="8"/>
  <c r="AS22" i="8" s="1"/>
  <c r="AW19" i="8"/>
  <c r="AW22" i="8" s="1"/>
  <c r="AX19" i="8"/>
  <c r="AX22" i="8" s="1"/>
  <c r="AY19" i="8"/>
  <c r="AY22" i="8" s="1"/>
  <c r="AZ19" i="8"/>
  <c r="AZ22" i="8" s="1"/>
  <c r="BA19" i="8"/>
  <c r="BA22" i="8" s="1"/>
  <c r="BB19" i="8"/>
  <c r="BB22" i="8" s="1"/>
  <c r="BC19" i="8"/>
  <c r="BC22" i="8" s="1"/>
  <c r="BD19" i="8"/>
  <c r="BD22" i="8" s="1"/>
  <c r="BE19" i="8"/>
  <c r="BE22" i="8" s="1"/>
  <c r="BF19" i="8"/>
  <c r="BF22" i="8" s="1"/>
  <c r="BG19" i="8"/>
  <c r="BG22" i="8" s="1"/>
  <c r="BH19" i="8"/>
  <c r="BH22" i="8" s="1"/>
  <c r="BI19" i="8"/>
  <c r="BI22" i="8" s="1"/>
  <c r="BJ19" i="8"/>
  <c r="BJ22" i="8" s="1"/>
  <c r="BK19" i="8"/>
  <c r="BK22" i="8" s="1"/>
  <c r="BL19" i="8"/>
  <c r="BL22" i="8" s="1"/>
  <c r="BM19" i="8"/>
  <c r="BM22" i="8" s="1"/>
  <c r="BN19" i="8"/>
  <c r="BN22" i="8" s="1"/>
  <c r="BO19" i="8"/>
  <c r="BO22" i="8" s="1"/>
  <c r="BP19" i="8"/>
  <c r="BP22" i="8" s="1"/>
  <c r="BQ19" i="8"/>
  <c r="BQ22" i="8" s="1"/>
  <c r="BU19" i="8"/>
  <c r="BU22" i="8" s="1"/>
  <c r="BV19" i="8"/>
  <c r="BV22" i="8" s="1"/>
  <c r="BW19" i="8"/>
  <c r="BW22" i="8" s="1"/>
  <c r="BX19" i="8"/>
  <c r="BX22" i="8" s="1"/>
  <c r="BY19" i="8"/>
  <c r="BY22" i="8" s="1"/>
  <c r="BZ19" i="8"/>
  <c r="BZ22" i="8" s="1"/>
  <c r="CA19" i="8"/>
  <c r="CA22" i="8" s="1"/>
  <c r="CB19" i="8"/>
  <c r="CB22" i="8" s="1"/>
  <c r="CC19" i="8"/>
  <c r="CC22" i="8" s="1"/>
  <c r="CD19" i="8"/>
  <c r="CD22" i="8" s="1"/>
  <c r="CE19" i="8"/>
  <c r="CE22" i="8" s="1"/>
  <c r="CH19" i="8"/>
  <c r="CH22" i="8" s="1"/>
  <c r="CL19" i="8"/>
  <c r="CL22" i="8" s="1"/>
  <c r="CN19" i="8"/>
  <c r="CN22" i="8" s="1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U20" i="8"/>
  <c r="BV20" i="8"/>
  <c r="BW20" i="8"/>
  <c r="BX20" i="8"/>
  <c r="BY20" i="8"/>
  <c r="BZ20" i="8"/>
  <c r="CA20" i="8"/>
  <c r="CB20" i="8"/>
  <c r="CC20" i="8"/>
  <c r="CD20" i="8"/>
  <c r="CE20" i="8"/>
  <c r="CH20" i="8"/>
  <c r="CL20" i="8"/>
  <c r="CN20" i="8"/>
  <c r="U20" i="8"/>
  <c r="T20" i="8"/>
  <c r="S20" i="8"/>
  <c r="U19" i="8"/>
  <c r="U22" i="8" s="1"/>
  <c r="T19" i="8"/>
  <c r="T22" i="8" s="1"/>
  <c r="S19" i="8"/>
  <c r="S22" i="8" s="1"/>
  <c r="U16" i="8"/>
  <c r="T16" i="8"/>
  <c r="S16" i="8"/>
  <c r="U15" i="8"/>
  <c r="T15" i="8"/>
  <c r="S15" i="8"/>
  <c r="U14" i="8"/>
  <c r="T14" i="8"/>
  <c r="S1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U44" i="8"/>
  <c r="BV44" i="8"/>
  <c r="BW44" i="8"/>
  <c r="BX44" i="8"/>
  <c r="BY44" i="8"/>
  <c r="BZ44" i="8"/>
  <c r="CA44" i="8"/>
  <c r="CB44" i="8"/>
  <c r="CC44" i="8"/>
  <c r="CD44" i="8"/>
  <c r="CE44" i="8"/>
  <c r="CH44" i="8"/>
  <c r="CL44" i="8"/>
  <c r="CN44" i="8"/>
  <c r="S44" i="8"/>
  <c r="T44" i="8"/>
  <c r="U44" i="8"/>
  <c r="AZ7" i="8"/>
  <c r="BX7" i="8"/>
  <c r="BU7" i="8"/>
  <c r="BV7" i="8"/>
  <c r="AW7" i="8"/>
  <c r="AX7" i="8"/>
  <c r="BO7" i="8"/>
  <c r="BP7" i="8"/>
  <c r="AQ7" i="8"/>
  <c r="AR7" i="8"/>
  <c r="BM7" i="8"/>
  <c r="AO7" i="8"/>
  <c r="CD7" i="8"/>
  <c r="CB7" i="8"/>
  <c r="BZ7" i="8"/>
  <c r="BF7" i="8"/>
  <c r="BD7" i="8"/>
  <c r="BB7" i="8"/>
  <c r="AH7" i="8"/>
  <c r="AF7" i="8"/>
  <c r="AD7" i="8"/>
  <c r="AB7" i="8"/>
  <c r="S7" i="8"/>
  <c r="T7" i="8"/>
  <c r="U7" i="8"/>
  <c r="Y7" i="8"/>
  <c r="Z7" i="8"/>
  <c r="Q44" i="8"/>
  <c r="Q20" i="8"/>
  <c r="Q19" i="8"/>
  <c r="Q22" i="8" s="1"/>
  <c r="Q16" i="8"/>
  <c r="Q14" i="8"/>
  <c r="Q7" i="8"/>
  <c r="CG53" i="8" l="1"/>
  <c r="CG51" i="8"/>
  <c r="CG59" i="8" s="1"/>
  <c r="CG40" i="8"/>
  <c r="CG50" i="8" s="1"/>
  <c r="CF53" i="8"/>
  <c r="CF51" i="8"/>
  <c r="CF59" i="8" s="1"/>
  <c r="CF40" i="8"/>
  <c r="CF50" i="8" s="1"/>
  <c r="BR8" i="8"/>
  <c r="CI8" i="8"/>
  <c r="CM46" i="8"/>
  <c r="CM9" i="8" s="1"/>
  <c r="CK51" i="8"/>
  <c r="CK40" i="8"/>
  <c r="CK50" i="8" s="1"/>
  <c r="CK53" i="8"/>
  <c r="AU23" i="8"/>
  <c r="AU25" i="8" s="1"/>
  <c r="AU29" i="8" s="1"/>
  <c r="AU37" i="8" s="1"/>
  <c r="AT23" i="8"/>
  <c r="AT25" i="8" s="1"/>
  <c r="BS23" i="8"/>
  <c r="BS25" i="8" s="1"/>
  <c r="BS29" i="8" s="1"/>
  <c r="BS37" i="8" s="1"/>
  <c r="AT46" i="8"/>
  <c r="AT9" i="8" s="1"/>
  <c r="V46" i="8"/>
  <c r="V9" i="8" s="1"/>
  <c r="CJ46" i="8"/>
  <c r="CJ9" i="8" s="1"/>
  <c r="X23" i="8"/>
  <c r="X25" i="8" s="1"/>
  <c r="X57" i="8" s="1"/>
  <c r="CI24" i="8"/>
  <c r="CM30" i="8"/>
  <c r="CM38" i="8" s="1"/>
  <c r="CM55" i="8"/>
  <c r="CM32" i="8"/>
  <c r="CM29" i="8"/>
  <c r="CM37" i="8" s="1"/>
  <c r="CM57" i="8"/>
  <c r="CM28" i="8"/>
  <c r="CM36" i="8" s="1"/>
  <c r="CM27" i="8"/>
  <c r="CM35" i="8" s="1"/>
  <c r="CM54" i="8" s="1"/>
  <c r="CM34" i="8"/>
  <c r="CM56" i="8" s="1"/>
  <c r="CM31" i="8"/>
  <c r="CM39" i="8" s="1"/>
  <c r="CJ30" i="8"/>
  <c r="CJ38" i="8" s="1"/>
  <c r="CJ31" i="8"/>
  <c r="CJ39" i="8" s="1"/>
  <c r="CJ29" i="8"/>
  <c r="CJ37" i="8" s="1"/>
  <c r="CJ55" i="8"/>
  <c r="CJ34" i="8"/>
  <c r="CJ56" i="8" s="1"/>
  <c r="CJ57" i="8"/>
  <c r="CJ28" i="8"/>
  <c r="CJ36" i="8" s="1"/>
  <c r="CJ27" i="8"/>
  <c r="CJ35" i="8" s="1"/>
  <c r="CJ54" i="8" s="1"/>
  <c r="CJ32" i="8"/>
  <c r="BT46" i="8"/>
  <c r="BT9" i="8" s="1"/>
  <c r="BR23" i="8"/>
  <c r="BR25" i="8" s="1"/>
  <c r="BR31" i="8" s="1"/>
  <c r="BR39" i="8" s="1"/>
  <c r="AQ21" i="8"/>
  <c r="BT23" i="8"/>
  <c r="BT25" i="8" s="1"/>
  <c r="BT30" i="8" s="1"/>
  <c r="BT38" i="8" s="1"/>
  <c r="W23" i="8"/>
  <c r="W25" i="8" s="1"/>
  <c r="W34" i="8" s="1"/>
  <c r="W56" i="8" s="1"/>
  <c r="BS46" i="8"/>
  <c r="BS9" i="8" s="1"/>
  <c r="V23" i="8"/>
  <c r="V25" i="8" s="1"/>
  <c r="V57" i="8" s="1"/>
  <c r="AV23" i="8"/>
  <c r="AV25" i="8" s="1"/>
  <c r="AV57" i="8" s="1"/>
  <c r="BP21" i="8"/>
  <c r="BP24" i="8" s="1"/>
  <c r="CI28" i="8"/>
  <c r="CI32" i="8"/>
  <c r="CI57" i="8"/>
  <c r="CI29" i="8"/>
  <c r="CI34" i="8"/>
  <c r="CI56" i="8" s="1"/>
  <c r="CI30" i="8"/>
  <c r="CI55" i="8"/>
  <c r="CI27" i="8"/>
  <c r="CI31" i="8"/>
  <c r="BF45" i="8"/>
  <c r="BF46" i="8" s="1"/>
  <c r="BF9" i="8" s="1"/>
  <c r="AX45" i="8"/>
  <c r="AX46" i="8" s="1"/>
  <c r="AX9" i="8" s="1"/>
  <c r="AA45" i="8"/>
  <c r="AA46" i="8" s="1"/>
  <c r="AA9" i="8" s="1"/>
  <c r="BE45" i="8"/>
  <c r="BE46" i="8" s="1"/>
  <c r="BE9" i="8" s="1"/>
  <c r="AW45" i="8"/>
  <c r="AW46" i="8" s="1"/>
  <c r="AW9" i="8" s="1"/>
  <c r="Z45" i="8"/>
  <c r="Z8" i="8" s="1"/>
  <c r="X46" i="8"/>
  <c r="X9" i="8" s="1"/>
  <c r="BS57" i="8"/>
  <c r="BS30" i="8"/>
  <c r="BS38" i="8" s="1"/>
  <c r="BT34" i="8"/>
  <c r="BT56" i="8" s="1"/>
  <c r="BT27" i="8"/>
  <c r="BT35" i="8" s="1"/>
  <c r="BT54" i="8" s="1"/>
  <c r="BR27" i="8"/>
  <c r="BR35" i="8" s="1"/>
  <c r="BR54" i="8" s="1"/>
  <c r="AV46" i="8"/>
  <c r="AV9" i="8" s="1"/>
  <c r="AR45" i="8"/>
  <c r="AR46" i="8" s="1"/>
  <c r="AR9" i="8" s="1"/>
  <c r="W46" i="8"/>
  <c r="W9" i="8" s="1"/>
  <c r="CL45" i="8"/>
  <c r="CL46" i="8" s="1"/>
  <c r="CL9" i="8" s="1"/>
  <c r="CC45" i="8"/>
  <c r="CC8" i="8" s="1"/>
  <c r="BY45" i="8"/>
  <c r="BY46" i="8" s="1"/>
  <c r="BY9" i="8" s="1"/>
  <c r="BU45" i="8"/>
  <c r="BU46" i="8" s="1"/>
  <c r="BU9" i="8" s="1"/>
  <c r="BN45" i="8"/>
  <c r="BN46" i="8" s="1"/>
  <c r="BN9" i="8" s="1"/>
  <c r="BJ45" i="8"/>
  <c r="BJ46" i="8" s="1"/>
  <c r="BJ9" i="8" s="1"/>
  <c r="BB45" i="8"/>
  <c r="BB46" i="8" s="1"/>
  <c r="BB9" i="8" s="1"/>
  <c r="AQ45" i="8"/>
  <c r="AQ46" i="8" s="1"/>
  <c r="AQ9" i="8" s="1"/>
  <c r="AM45" i="8"/>
  <c r="AM46" i="8" s="1"/>
  <c r="AM9" i="8" s="1"/>
  <c r="AI45" i="8"/>
  <c r="AI46" i="8" s="1"/>
  <c r="AI9" i="8" s="1"/>
  <c r="AE45" i="8"/>
  <c r="AE46" i="8" s="1"/>
  <c r="AE9" i="8" s="1"/>
  <c r="CH45" i="8"/>
  <c r="CH46" i="8" s="1"/>
  <c r="CH9" i="8" s="1"/>
  <c r="CB45" i="8"/>
  <c r="CB46" i="8" s="1"/>
  <c r="CB9" i="8" s="1"/>
  <c r="BX45" i="8"/>
  <c r="BX8" i="8" s="1"/>
  <c r="BQ45" i="8"/>
  <c r="BQ8" i="8" s="1"/>
  <c r="BM45" i="8"/>
  <c r="BM46" i="8" s="1"/>
  <c r="BM9" i="8" s="1"/>
  <c r="BI45" i="8"/>
  <c r="BI46" i="8" s="1"/>
  <c r="BI9" i="8" s="1"/>
  <c r="BA45" i="8"/>
  <c r="BA46" i="8" s="1"/>
  <c r="BA9" i="8" s="1"/>
  <c r="AP45" i="8"/>
  <c r="AP46" i="8" s="1"/>
  <c r="AP9" i="8" s="1"/>
  <c r="AL45" i="8"/>
  <c r="AL46" i="8" s="1"/>
  <c r="AL9" i="8" s="1"/>
  <c r="AH45" i="8"/>
  <c r="AH46" i="8" s="1"/>
  <c r="AH9" i="8" s="1"/>
  <c r="AV31" i="8"/>
  <c r="AV39" i="8" s="1"/>
  <c r="AV32" i="8"/>
  <c r="AU31" i="8"/>
  <c r="AU39" i="8" s="1"/>
  <c r="AT28" i="8"/>
  <c r="AT36" i="8" s="1"/>
  <c r="AT32" i="8"/>
  <c r="AT57" i="8"/>
  <c r="AT29" i="8"/>
  <c r="AT37" i="8" s="1"/>
  <c r="AT27" i="8"/>
  <c r="AT35" i="8" s="1"/>
  <c r="AT54" i="8" s="1"/>
  <c r="AT31" i="8"/>
  <c r="AT39" i="8" s="1"/>
  <c r="AT30" i="8"/>
  <c r="AT38" i="8" s="1"/>
  <c r="AT55" i="8"/>
  <c r="AT34" i="8"/>
  <c r="AT56" i="8" s="1"/>
  <c r="AD45" i="8"/>
  <c r="AD46" i="8" s="1"/>
  <c r="AD9" i="8" s="1"/>
  <c r="BP45" i="8"/>
  <c r="BP46" i="8" s="1"/>
  <c r="BP9" i="8" s="1"/>
  <c r="AZ45" i="8"/>
  <c r="AZ46" i="8" s="1"/>
  <c r="AZ9" i="8" s="1"/>
  <c r="AO45" i="8"/>
  <c r="BO21" i="8"/>
  <c r="BO24" i="8" s="1"/>
  <c r="CL8" i="8"/>
  <c r="AX8" i="8"/>
  <c r="BQ21" i="8"/>
  <c r="BQ24" i="8" s="1"/>
  <c r="AQ24" i="8"/>
  <c r="AQ23" i="8"/>
  <c r="AQ25" i="8" s="1"/>
  <c r="AQ57" i="8" s="1"/>
  <c r="BP23" i="8"/>
  <c r="BP25" i="8" s="1"/>
  <c r="AR21" i="8"/>
  <c r="AR24" i="8" s="1"/>
  <c r="CH21" i="8"/>
  <c r="CH23" i="8" s="1"/>
  <c r="CH25" i="8" s="1"/>
  <c r="AS21" i="8"/>
  <c r="AS24" i="8" s="1"/>
  <c r="CD45" i="8"/>
  <c r="CD8" i="8" s="1"/>
  <c r="BK45" i="8"/>
  <c r="BK46" i="8" s="1"/>
  <c r="BK9" i="8" s="1"/>
  <c r="AJ45" i="8"/>
  <c r="AJ46" i="8" s="1"/>
  <c r="AJ9" i="8" s="1"/>
  <c r="AB45" i="8"/>
  <c r="AB46" i="8" s="1"/>
  <c r="AB9" i="8" s="1"/>
  <c r="X55" i="8"/>
  <c r="U21" i="8"/>
  <c r="U24" i="8" s="1"/>
  <c r="BA8" i="8"/>
  <c r="CC46" i="8"/>
  <c r="CC9" i="8" s="1"/>
  <c r="BI8" i="8"/>
  <c r="S21" i="8"/>
  <c r="S23" i="8" s="1"/>
  <c r="S25" i="8" s="1"/>
  <c r="T21" i="8"/>
  <c r="T24" i="8" s="1"/>
  <c r="BV45" i="8"/>
  <c r="BV46" i="8" s="1"/>
  <c r="BV9" i="8" s="1"/>
  <c r="BC45" i="8"/>
  <c r="BC8" i="8" s="1"/>
  <c r="BF8" i="8"/>
  <c r="CE45" i="8"/>
  <c r="CA45" i="8"/>
  <c r="BW45" i="8"/>
  <c r="BL45" i="8"/>
  <c r="BH45" i="8"/>
  <c r="BD45" i="8"/>
  <c r="AS45" i="8"/>
  <c r="AS46" i="8" s="1"/>
  <c r="AS9" i="8" s="1"/>
  <c r="AK45" i="8"/>
  <c r="AG45" i="8"/>
  <c r="AC45" i="8"/>
  <c r="Y45" i="8"/>
  <c r="AD8" i="8"/>
  <c r="BY8" i="8"/>
  <c r="CN45" i="8"/>
  <c r="CN8" i="8" s="1"/>
  <c r="BZ45" i="8"/>
  <c r="BZ8" i="8" s="1"/>
  <c r="BO45" i="8"/>
  <c r="BO46" i="8" s="1"/>
  <c r="BO9" i="8" s="1"/>
  <c r="BG45" i="8"/>
  <c r="BG46" i="8" s="1"/>
  <c r="BG9" i="8" s="1"/>
  <c r="AN45" i="8"/>
  <c r="AN8" i="8" s="1"/>
  <c r="AF45" i="8"/>
  <c r="AF8" i="8" s="1"/>
  <c r="Q45" i="8"/>
  <c r="Q8" i="8" s="1"/>
  <c r="AI8" i="8"/>
  <c r="AY45" i="8"/>
  <c r="AY8" i="8" s="1"/>
  <c r="S45" i="8"/>
  <c r="S8" i="8" s="1"/>
  <c r="U45" i="8"/>
  <c r="U8" i="8" s="1"/>
  <c r="T45" i="8"/>
  <c r="T8" i="8" s="1"/>
  <c r="M7" i="8"/>
  <c r="N7" i="8"/>
  <c r="O7" i="8"/>
  <c r="P7" i="8"/>
  <c r="R7" i="8"/>
  <c r="AA7" i="8"/>
  <c r="AC7" i="8"/>
  <c r="AE7" i="8"/>
  <c r="AG7" i="8"/>
  <c r="AI7" i="8"/>
  <c r="AJ7" i="8"/>
  <c r="AK7" i="8"/>
  <c r="AL7" i="8"/>
  <c r="AM7" i="8"/>
  <c r="AN7" i="8"/>
  <c r="AP7" i="8"/>
  <c r="AS7" i="8"/>
  <c r="AY7" i="8"/>
  <c r="BA7" i="8"/>
  <c r="BC7" i="8"/>
  <c r="BE7" i="8"/>
  <c r="BG7" i="8"/>
  <c r="BH7" i="8"/>
  <c r="BI7" i="8"/>
  <c r="BJ7" i="8"/>
  <c r="BK7" i="8"/>
  <c r="BL7" i="8"/>
  <c r="BN7" i="8"/>
  <c r="BQ7" i="8"/>
  <c r="BW7" i="8"/>
  <c r="BY7" i="8"/>
  <c r="CA7" i="8"/>
  <c r="CC7" i="8"/>
  <c r="CE7" i="8"/>
  <c r="CH7" i="8"/>
  <c r="CL7" i="8"/>
  <c r="CN7" i="8"/>
  <c r="L7" i="8"/>
  <c r="D21" i="13"/>
  <c r="B23" i="13"/>
  <c r="CG52" i="8" l="1"/>
  <c r="CG58" i="8" s="1"/>
  <c r="CG42" i="8" s="1"/>
  <c r="CF52" i="8"/>
  <c r="CF58" i="8" s="1"/>
  <c r="CF42" i="8" s="1"/>
  <c r="AU30" i="8"/>
  <c r="AU38" i="8" s="1"/>
  <c r="AU27" i="8"/>
  <c r="AU35" i="8" s="1"/>
  <c r="AU54" i="8" s="1"/>
  <c r="AW8" i="8"/>
  <c r="AU57" i="8"/>
  <c r="AU32" i="8"/>
  <c r="AU28" i="8"/>
  <c r="AU36" i="8" s="1"/>
  <c r="AU34" i="8"/>
  <c r="AU56" i="8" s="1"/>
  <c r="Z46" i="8"/>
  <c r="Z9" i="8" s="1"/>
  <c r="AU55" i="8"/>
  <c r="CI35" i="8"/>
  <c r="CI54" i="8" s="1"/>
  <c r="BS31" i="8"/>
  <c r="BS39" i="8" s="1"/>
  <c r="BS27" i="8"/>
  <c r="BS35" i="8" s="1"/>
  <c r="BS54" i="8" s="1"/>
  <c r="CI38" i="8"/>
  <c r="BS32" i="8"/>
  <c r="CI37" i="8"/>
  <c r="BX46" i="8"/>
  <c r="BX9" i="8" s="1"/>
  <c r="AM8" i="8"/>
  <c r="BS28" i="8"/>
  <c r="BS36" i="8" s="1"/>
  <c r="CK59" i="8"/>
  <c r="BS34" i="8"/>
  <c r="BS56" i="8" s="1"/>
  <c r="BS55" i="8"/>
  <c r="CI39" i="8"/>
  <c r="CI36" i="8"/>
  <c r="CK52" i="8"/>
  <c r="CK58" i="8" s="1"/>
  <c r="CK42" i="8" s="1"/>
  <c r="X34" i="8"/>
  <c r="X56" i="8" s="1"/>
  <c r="W57" i="8"/>
  <c r="W55" i="8"/>
  <c r="M66" i="10"/>
  <c r="J66" i="10"/>
  <c r="H66" i="10"/>
  <c r="G66" i="10"/>
  <c r="F66" i="10"/>
  <c r="H57" i="10"/>
  <c r="F57" i="10"/>
  <c r="J57" i="10"/>
  <c r="G57" i="10"/>
  <c r="M57" i="10"/>
  <c r="AV34" i="8"/>
  <c r="AV56" i="8" s="1"/>
  <c r="BR57" i="8"/>
  <c r="CM51" i="8"/>
  <c r="CM53" i="8"/>
  <c r="CM40" i="8"/>
  <c r="CM50" i="8" s="1"/>
  <c r="BR32" i="8"/>
  <c r="BR53" i="8" s="1"/>
  <c r="BR55" i="8"/>
  <c r="BR28" i="8"/>
  <c r="BR36" i="8" s="1"/>
  <c r="BR30" i="8"/>
  <c r="BR38" i="8" s="1"/>
  <c r="AH8" i="8"/>
  <c r="BR34" i="8"/>
  <c r="BR56" i="8" s="1"/>
  <c r="BT32" i="8"/>
  <c r="BT51" i="8" s="1"/>
  <c r="BR29" i="8"/>
  <c r="BR37" i="8" s="1"/>
  <c r="BT55" i="8"/>
  <c r="CJ51" i="8"/>
  <c r="CJ53" i="8"/>
  <c r="CJ40" i="8"/>
  <c r="CJ50" i="8" s="1"/>
  <c r="AR8" i="8"/>
  <c r="F30" i="10" s="1"/>
  <c r="CB8" i="8"/>
  <c r="BQ46" i="8"/>
  <c r="BQ9" i="8" s="1"/>
  <c r="BN8" i="8"/>
  <c r="F25" i="10" s="1"/>
  <c r="AV28" i="8"/>
  <c r="AV36" i="8" s="1"/>
  <c r="AV30" i="8"/>
  <c r="AV38" i="8" s="1"/>
  <c r="BT57" i="8"/>
  <c r="BT29" i="8"/>
  <c r="BT37" i="8" s="1"/>
  <c r="AV27" i="8"/>
  <c r="AV35" i="8" s="1"/>
  <c r="AV54" i="8" s="1"/>
  <c r="AV29" i="8"/>
  <c r="AV37" i="8" s="1"/>
  <c r="BT31" i="8"/>
  <c r="BT39" i="8" s="1"/>
  <c r="BT28" i="8"/>
  <c r="BT36" i="8" s="1"/>
  <c r="AV55" i="8"/>
  <c r="V34" i="8"/>
  <c r="V56" i="8" s="1"/>
  <c r="V55" i="8"/>
  <c r="CI53" i="8"/>
  <c r="CI40" i="8"/>
  <c r="CI50" i="8" s="1"/>
  <c r="CI51" i="8"/>
  <c r="BE8" i="8"/>
  <c r="AA8" i="8"/>
  <c r="F50" i="10" s="1"/>
  <c r="BP8" i="8"/>
  <c r="BJ8" i="8"/>
  <c r="F13" i="10" s="1"/>
  <c r="CD46" i="8"/>
  <c r="CD9" i="8" s="1"/>
  <c r="BS51" i="8"/>
  <c r="BS53" i="8"/>
  <c r="BS40" i="8"/>
  <c r="BS50" i="8" s="1"/>
  <c r="BT40" i="8"/>
  <c r="BT50" i="8" s="1"/>
  <c r="BT53" i="8"/>
  <c r="BC46" i="8"/>
  <c r="BC9" i="8" s="1"/>
  <c r="BU8" i="8"/>
  <c r="F54" i="10" s="1"/>
  <c r="AQ8" i="8"/>
  <c r="BM8" i="8"/>
  <c r="AP8" i="8"/>
  <c r="F23" i="10" s="1"/>
  <c r="CH8" i="8"/>
  <c r="F37" i="10" s="1"/>
  <c r="BB8" i="8"/>
  <c r="AL8" i="8"/>
  <c r="F12" i="10" s="1"/>
  <c r="AB8" i="8"/>
  <c r="F60" i="10" s="1"/>
  <c r="AE8" i="8"/>
  <c r="F69" i="10" s="1"/>
  <c r="AT53" i="8"/>
  <c r="AT40" i="8"/>
  <c r="AT50" i="8" s="1"/>
  <c r="AT51" i="8"/>
  <c r="AV51" i="8"/>
  <c r="AV40" i="8"/>
  <c r="AV50" i="8" s="1"/>
  <c r="AV53" i="8"/>
  <c r="AU40" i="8"/>
  <c r="AU50" i="8" s="1"/>
  <c r="AU53" i="8"/>
  <c r="AU51" i="8"/>
  <c r="BZ46" i="8"/>
  <c r="BZ9" i="8" s="1"/>
  <c r="AY46" i="8"/>
  <c r="AY9" i="8" s="1"/>
  <c r="G53" i="10" s="1"/>
  <c r="AJ8" i="8"/>
  <c r="BO23" i="8"/>
  <c r="BO25" i="8" s="1"/>
  <c r="BO57" i="8" s="1"/>
  <c r="AZ8" i="8"/>
  <c r="F62" i="10" s="1"/>
  <c r="CN46" i="8"/>
  <c r="CN9" i="8" s="1"/>
  <c r="G67" i="10" s="1"/>
  <c r="BV8" i="8"/>
  <c r="F55" i="10" s="1"/>
  <c r="AO46" i="8"/>
  <c r="AO9" i="8" s="1"/>
  <c r="G22" i="10" s="1"/>
  <c r="AO8" i="8"/>
  <c r="AN46" i="8"/>
  <c r="AN9" i="8" s="1"/>
  <c r="G18" i="10" s="1"/>
  <c r="AF46" i="8"/>
  <c r="AF9" i="8" s="1"/>
  <c r="G74" i="10" s="1"/>
  <c r="BK8" i="8"/>
  <c r="F16" i="10" s="1"/>
  <c r="BO8" i="8"/>
  <c r="F32" i="10" s="1"/>
  <c r="BQ23" i="8"/>
  <c r="BQ25" i="8" s="1"/>
  <c r="CH24" i="8"/>
  <c r="U23" i="8"/>
  <c r="U25" i="8" s="1"/>
  <c r="U55" i="8" s="1"/>
  <c r="AR23" i="8"/>
  <c r="AR25" i="8" s="1"/>
  <c r="J30" i="10" s="1"/>
  <c r="AQ55" i="8"/>
  <c r="CH57" i="8"/>
  <c r="CH55" i="8"/>
  <c r="CH34" i="8"/>
  <c r="CH56" i="8" s="1"/>
  <c r="S24" i="8"/>
  <c r="AQ34" i="8"/>
  <c r="AQ56" i="8" s="1"/>
  <c r="AS23" i="8"/>
  <c r="AS25" i="8" s="1"/>
  <c r="T23" i="8"/>
  <c r="T25" i="8" s="1"/>
  <c r="T55" i="8" s="1"/>
  <c r="AS8" i="8"/>
  <c r="F31" i="10" s="1"/>
  <c r="BW46" i="8"/>
  <c r="BW9" i="8" s="1"/>
  <c r="BW8" i="8"/>
  <c r="F56" i="10" s="1"/>
  <c r="AC46" i="8"/>
  <c r="AC9" i="8" s="1"/>
  <c r="G61" i="10" s="1"/>
  <c r="AC8" i="8"/>
  <c r="F61" i="10" s="1"/>
  <c r="BD46" i="8"/>
  <c r="BD9" i="8" s="1"/>
  <c r="G76" i="10" s="1"/>
  <c r="BD8" i="8"/>
  <c r="F76" i="10" s="1"/>
  <c r="CA46" i="8"/>
  <c r="CA9" i="8" s="1"/>
  <c r="G73" i="10" s="1"/>
  <c r="CA8" i="8"/>
  <c r="F73" i="10" s="1"/>
  <c r="Y8" i="8"/>
  <c r="F48" i="10" s="1"/>
  <c r="Y46" i="8"/>
  <c r="Y9" i="8" s="1"/>
  <c r="G48" i="10" s="1"/>
  <c r="BG8" i="8"/>
  <c r="AG46" i="8"/>
  <c r="AG9" i="8" s="1"/>
  <c r="G75" i="10" s="1"/>
  <c r="AG8" i="8"/>
  <c r="F75" i="10" s="1"/>
  <c r="BH46" i="8"/>
  <c r="BH9" i="8" s="1"/>
  <c r="G7" i="10" s="1"/>
  <c r="BH8" i="8"/>
  <c r="F7" i="10" s="1"/>
  <c r="CE46" i="8"/>
  <c r="CE9" i="8" s="1"/>
  <c r="G85" i="10" s="1"/>
  <c r="CE8" i="8"/>
  <c r="AK46" i="8"/>
  <c r="AK9" i="8" s="1"/>
  <c r="G9" i="10" s="1"/>
  <c r="AK8" i="8"/>
  <c r="F9" i="10" s="1"/>
  <c r="BL46" i="8"/>
  <c r="BL9" i="8" s="1"/>
  <c r="G19" i="10" s="1"/>
  <c r="BL8" i="8"/>
  <c r="F19" i="10" s="1"/>
  <c r="Q46" i="8"/>
  <c r="Q9" i="8" s="1"/>
  <c r="G20" i="10" s="1"/>
  <c r="BP57" i="8"/>
  <c r="BP55" i="8"/>
  <c r="BP34" i="8"/>
  <c r="BP56" i="8" s="1"/>
  <c r="F38" i="10"/>
  <c r="J38" i="10"/>
  <c r="J39" i="10"/>
  <c r="J40" i="10"/>
  <c r="J41" i="10"/>
  <c r="M42" i="10"/>
  <c r="H43" i="10"/>
  <c r="M43" i="10"/>
  <c r="H44" i="10"/>
  <c r="G45" i="10"/>
  <c r="G46" i="10"/>
  <c r="G47" i="10"/>
  <c r="F84" i="10"/>
  <c r="F78" i="10"/>
  <c r="F72" i="10"/>
  <c r="F64" i="10"/>
  <c r="G55" i="10"/>
  <c r="G33" i="10"/>
  <c r="J33" i="10"/>
  <c r="F24" i="10"/>
  <c r="F82" i="10"/>
  <c r="F70" i="10"/>
  <c r="G52" i="10"/>
  <c r="G30" i="10"/>
  <c r="F22" i="10"/>
  <c r="F80" i="10"/>
  <c r="G23" i="10"/>
  <c r="G34" i="10"/>
  <c r="G38" i="10"/>
  <c r="F39" i="10"/>
  <c r="F40" i="10"/>
  <c r="F41" i="10"/>
  <c r="K41" i="10"/>
  <c r="F42" i="10"/>
  <c r="J42" i="10"/>
  <c r="J43" i="10"/>
  <c r="M44" i="10"/>
  <c r="H45" i="10"/>
  <c r="M45" i="10"/>
  <c r="H46" i="10"/>
  <c r="M46" i="10"/>
  <c r="H47" i="10"/>
  <c r="M47" i="10"/>
  <c r="G84" i="10"/>
  <c r="G78" i="10"/>
  <c r="G72" i="10"/>
  <c r="G64" i="10"/>
  <c r="G24" i="10"/>
  <c r="G82" i="10"/>
  <c r="G70" i="10"/>
  <c r="G62" i="10"/>
  <c r="F51" i="10"/>
  <c r="F29" i="10"/>
  <c r="G80" i="10"/>
  <c r="F68" i="10"/>
  <c r="G60" i="10"/>
  <c r="F49" i="10"/>
  <c r="F26" i="10"/>
  <c r="G39" i="10"/>
  <c r="G40" i="10"/>
  <c r="G41" i="10"/>
  <c r="G42" i="10"/>
  <c r="F43" i="10"/>
  <c r="F44" i="10"/>
  <c r="J44" i="10"/>
  <c r="J45" i="10"/>
  <c r="J46" i="10"/>
  <c r="J47" i="10"/>
  <c r="G54" i="10"/>
  <c r="G32" i="10"/>
  <c r="G51" i="10"/>
  <c r="G29" i="10"/>
  <c r="J29" i="10"/>
  <c r="F74" i="10"/>
  <c r="G68" i="10"/>
  <c r="G49" i="10"/>
  <c r="J26" i="10"/>
  <c r="G25" i="10"/>
  <c r="G31" i="10"/>
  <c r="G37" i="10"/>
  <c r="H42" i="10"/>
  <c r="G44" i="10"/>
  <c r="F46" i="10"/>
  <c r="F77" i="10"/>
  <c r="M40" i="10"/>
  <c r="F33" i="10"/>
  <c r="G50" i="10"/>
  <c r="G56" i="10"/>
  <c r="G65" i="10"/>
  <c r="G69" i="10"/>
  <c r="G77" i="10"/>
  <c r="G81" i="10"/>
  <c r="G13" i="10"/>
  <c r="G15" i="10"/>
  <c r="M41" i="10"/>
  <c r="K47" i="10"/>
  <c r="F52" i="10"/>
  <c r="G59" i="10"/>
  <c r="G71" i="10"/>
  <c r="G79" i="10"/>
  <c r="G12" i="10"/>
  <c r="F81" i="10"/>
  <c r="H41" i="10"/>
  <c r="G43" i="10"/>
  <c r="F45" i="10"/>
  <c r="F47" i="10"/>
  <c r="F27" i="10"/>
  <c r="F28" i="10"/>
  <c r="F53" i="10"/>
  <c r="F59" i="10"/>
  <c r="F63" i="10"/>
  <c r="F67" i="10"/>
  <c r="F71" i="10"/>
  <c r="F79" i="10"/>
  <c r="F83" i="10"/>
  <c r="F20" i="10"/>
  <c r="F18" i="10"/>
  <c r="F10" i="10"/>
  <c r="M39" i="10"/>
  <c r="K45" i="10"/>
  <c r="F34" i="10"/>
  <c r="G63" i="10"/>
  <c r="G83" i="10"/>
  <c r="G16" i="10"/>
  <c r="G10" i="10"/>
  <c r="F65" i="10"/>
  <c r="F85" i="10"/>
  <c r="F15" i="10"/>
  <c r="G6" i="10"/>
  <c r="F6" i="10"/>
  <c r="T46" i="8"/>
  <c r="T9" i="8" s="1"/>
  <c r="G27" i="10" s="1"/>
  <c r="S46" i="8"/>
  <c r="S9" i="8" s="1"/>
  <c r="G26" i="10" s="1"/>
  <c r="U46" i="8"/>
  <c r="U9" i="8" s="1"/>
  <c r="G28" i="10" s="1"/>
  <c r="S34" i="8"/>
  <c r="S56" i="8" s="1"/>
  <c r="S55" i="8"/>
  <c r="S57" i="8"/>
  <c r="I63" i="8"/>
  <c r="I62" i="8"/>
  <c r="CG47" i="8" l="1"/>
  <c r="CG11" i="8" s="1"/>
  <c r="CG10" i="8"/>
  <c r="CF47" i="8"/>
  <c r="CF11" i="8" s="1"/>
  <c r="CF10" i="8"/>
  <c r="CK10" i="8"/>
  <c r="CK47" i="8"/>
  <c r="CK11" i="8" s="1"/>
  <c r="K66" i="10"/>
  <c r="M38" i="10"/>
  <c r="BR40" i="8"/>
  <c r="K57" i="10"/>
  <c r="CM52" i="8"/>
  <c r="CM58" i="8" s="1"/>
  <c r="CM42" i="8" s="1"/>
  <c r="L66" i="10" s="1"/>
  <c r="BR51" i="8"/>
  <c r="BR59" i="8" s="1"/>
  <c r="CM59" i="8"/>
  <c r="CJ52" i="8"/>
  <c r="CJ58" i="8" s="1"/>
  <c r="CJ42" i="8" s="1"/>
  <c r="L57" i="10" s="1"/>
  <c r="CJ59" i="8"/>
  <c r="CI59" i="8"/>
  <c r="K46" i="10"/>
  <c r="K43" i="10"/>
  <c r="AT59" i="8"/>
  <c r="U34" i="8"/>
  <c r="U56" i="8" s="1"/>
  <c r="CI52" i="8"/>
  <c r="CI58" i="8" s="1"/>
  <c r="CI42" i="8" s="1"/>
  <c r="M29" i="10"/>
  <c r="BT52" i="8"/>
  <c r="BT58" i="8" s="1"/>
  <c r="BT42" i="8" s="1"/>
  <c r="BS59" i="8"/>
  <c r="BT59" i="8"/>
  <c r="BS52" i="8"/>
  <c r="BS58" i="8" s="1"/>
  <c r="BS42" i="8" s="1"/>
  <c r="K42" i="10"/>
  <c r="AV59" i="8"/>
  <c r="AU52" i="8"/>
  <c r="AU58" i="8" s="1"/>
  <c r="AU42" i="8" s="1"/>
  <c r="AT52" i="8"/>
  <c r="AT58" i="8" s="1"/>
  <c r="AT42" i="8" s="1"/>
  <c r="AU59" i="8"/>
  <c r="AV52" i="8"/>
  <c r="AV58" i="8" s="1"/>
  <c r="AV42" i="8" s="1"/>
  <c r="U57" i="8"/>
  <c r="J32" i="10"/>
  <c r="BO34" i="8"/>
  <c r="BO55" i="8"/>
  <c r="BQ57" i="8"/>
  <c r="BQ34" i="8"/>
  <c r="BQ56" i="8" s="1"/>
  <c r="BQ55" i="8"/>
  <c r="J27" i="10"/>
  <c r="T57" i="8"/>
  <c r="AR57" i="8"/>
  <c r="AR55" i="8"/>
  <c r="AR34" i="8"/>
  <c r="T34" i="8"/>
  <c r="T56" i="8" s="1"/>
  <c r="AS55" i="8"/>
  <c r="AS34" i="8"/>
  <c r="AS56" i="8" s="1"/>
  <c r="AS57" i="8"/>
  <c r="M26" i="10"/>
  <c r="M33" i="10"/>
  <c r="I6" i="8"/>
  <c r="I44" i="8" s="1"/>
  <c r="I5" i="8"/>
  <c r="I4" i="8"/>
  <c r="I15" i="8" s="1"/>
  <c r="L20" i="8"/>
  <c r="L19" i="8"/>
  <c r="L16" i="8"/>
  <c r="L14" i="8"/>
  <c r="E27" i="12"/>
  <c r="E26" i="12"/>
  <c r="E25" i="12"/>
  <c r="E24" i="12"/>
  <c r="E23" i="12"/>
  <c r="E22" i="12"/>
  <c r="M44" i="8"/>
  <c r="N44" i="8"/>
  <c r="O44" i="8"/>
  <c r="P44" i="8"/>
  <c r="R44" i="8"/>
  <c r="L44" i="8"/>
  <c r="M14" i="8"/>
  <c r="N14" i="8"/>
  <c r="O14" i="8"/>
  <c r="P14" i="8"/>
  <c r="R14" i="8"/>
  <c r="M16" i="8"/>
  <c r="N16" i="8"/>
  <c r="O16" i="8"/>
  <c r="P16" i="8"/>
  <c r="R16" i="8"/>
  <c r="D9" i="12"/>
  <c r="E9" i="12"/>
  <c r="F9" i="12"/>
  <c r="G9" i="12"/>
  <c r="H9" i="12"/>
  <c r="I9" i="12"/>
  <c r="L9" i="12"/>
  <c r="M9" i="12"/>
  <c r="N9" i="12"/>
  <c r="O9" i="12"/>
  <c r="P9" i="12"/>
  <c r="BR50" i="8" l="1"/>
  <c r="BR52" i="8" s="1"/>
  <c r="BR58" i="8" s="1"/>
  <c r="BR42" i="8" s="1"/>
  <c r="K44" i="10"/>
  <c r="CM47" i="8"/>
  <c r="CM11" i="8" s="1"/>
  <c r="N66" i="10" s="1"/>
  <c r="CM10" i="8"/>
  <c r="CJ47" i="8"/>
  <c r="CJ11" i="8" s="1"/>
  <c r="N57" i="10" s="1"/>
  <c r="CJ10" i="8"/>
  <c r="M27" i="10"/>
  <c r="CI47" i="8"/>
  <c r="CI11" i="8" s="1"/>
  <c r="N47" i="10" s="1"/>
  <c r="CI10" i="8"/>
  <c r="L47" i="10"/>
  <c r="BR47" i="8"/>
  <c r="BR11" i="8" s="1"/>
  <c r="N44" i="10" s="1"/>
  <c r="BR10" i="8"/>
  <c r="L44" i="10"/>
  <c r="BS47" i="8"/>
  <c r="BS11" i="8" s="1"/>
  <c r="N45" i="10" s="1"/>
  <c r="BS10" i="8"/>
  <c r="L45" i="10"/>
  <c r="BT10" i="8"/>
  <c r="BT47" i="8"/>
  <c r="BT11" i="8" s="1"/>
  <c r="N46" i="10" s="1"/>
  <c r="L46" i="10"/>
  <c r="AV10" i="8"/>
  <c r="AV47" i="8"/>
  <c r="AV11" i="8" s="1"/>
  <c r="N43" i="10" s="1"/>
  <c r="L43" i="10"/>
  <c r="AT47" i="8"/>
  <c r="AT11" i="8" s="1"/>
  <c r="N41" i="10" s="1"/>
  <c r="AT10" i="8"/>
  <c r="L41" i="10"/>
  <c r="AU10" i="8"/>
  <c r="AU47" i="8"/>
  <c r="AU11" i="8" s="1"/>
  <c r="N42" i="10" s="1"/>
  <c r="L42" i="10"/>
  <c r="BO56" i="8"/>
  <c r="M32" i="10"/>
  <c r="AR56" i="8"/>
  <c r="M30" i="10"/>
  <c r="AJ15" i="8"/>
  <c r="AJ21" i="8" s="1"/>
  <c r="BH15" i="8"/>
  <c r="BH21" i="8" s="1"/>
  <c r="AQ30" i="8"/>
  <c r="AQ38" i="8" s="1"/>
  <c r="AS30" i="8"/>
  <c r="AS38" i="8" s="1"/>
  <c r="BQ30" i="8"/>
  <c r="BQ38" i="8" s="1"/>
  <c r="BO30" i="8"/>
  <c r="BO38" i="8" s="1"/>
  <c r="V30" i="8"/>
  <c r="V38" i="8" s="1"/>
  <c r="X30" i="8"/>
  <c r="X38" i="8" s="1"/>
  <c r="AR30" i="8"/>
  <c r="AR38" i="8" s="1"/>
  <c r="W30" i="8"/>
  <c r="W38" i="8" s="1"/>
  <c r="CH30" i="8"/>
  <c r="CH38" i="8" s="1"/>
  <c r="S30" i="8"/>
  <c r="S38" i="8" s="1"/>
  <c r="BP30" i="8"/>
  <c r="BP38" i="8" s="1"/>
  <c r="U30" i="8"/>
  <c r="U38" i="8" s="1"/>
  <c r="T30" i="8"/>
  <c r="T38" i="8" s="1"/>
  <c r="O15" i="8"/>
  <c r="BK15" i="8"/>
  <c r="BK21" i="8" s="1"/>
  <c r="AM15" i="8"/>
  <c r="AM21" i="8" s="1"/>
  <c r="AQ27" i="8"/>
  <c r="AQ35" i="8" s="1"/>
  <c r="AQ54" i="8" s="1"/>
  <c r="AR27" i="8"/>
  <c r="AR35" i="8" s="1"/>
  <c r="AR54" i="8" s="1"/>
  <c r="V27" i="8"/>
  <c r="V35" i="8" s="1"/>
  <c r="V54" i="8" s="1"/>
  <c r="X27" i="8"/>
  <c r="X35" i="8" s="1"/>
  <c r="X54" i="8" s="1"/>
  <c r="BQ27" i="8"/>
  <c r="BQ35" i="8" s="1"/>
  <c r="BQ54" i="8" s="1"/>
  <c r="W27" i="8"/>
  <c r="W35" i="8" s="1"/>
  <c r="W54" i="8" s="1"/>
  <c r="CH27" i="8"/>
  <c r="CH35" i="8" s="1"/>
  <c r="CH54" i="8" s="1"/>
  <c r="AS27" i="8"/>
  <c r="AS35" i="8" s="1"/>
  <c r="AS54" i="8" s="1"/>
  <c r="BO27" i="8"/>
  <c r="BO35" i="8" s="1"/>
  <c r="BO54" i="8" s="1"/>
  <c r="BP27" i="8"/>
  <c r="BP35" i="8" s="1"/>
  <c r="BP54" i="8" s="1"/>
  <c r="S27" i="8"/>
  <c r="S35" i="8" s="1"/>
  <c r="S54" i="8" s="1"/>
  <c r="T27" i="8"/>
  <c r="T35" i="8" s="1"/>
  <c r="T54" i="8" s="1"/>
  <c r="U27" i="8"/>
  <c r="U35" i="8" s="1"/>
  <c r="U54" i="8" s="1"/>
  <c r="BG15" i="8"/>
  <c r="BG21" i="8" s="1"/>
  <c r="CD15" i="8"/>
  <c r="CD21" i="8" s="1"/>
  <c r="CE15" i="8"/>
  <c r="CE21" i="8" s="1"/>
  <c r="AH15" i="8"/>
  <c r="AH21" i="8" s="1"/>
  <c r="AI15" i="8"/>
  <c r="AI21" i="8" s="1"/>
  <c r="BF15" i="8"/>
  <c r="BF21" i="8" s="1"/>
  <c r="AY15" i="8"/>
  <c r="AY21" i="8" s="1"/>
  <c r="BV15" i="8"/>
  <c r="BV21" i="8" s="1"/>
  <c r="Y15" i="8"/>
  <c r="Y21" i="8" s="1"/>
  <c r="BW15" i="8"/>
  <c r="BW21" i="8" s="1"/>
  <c r="Z15" i="8"/>
  <c r="Z21" i="8" s="1"/>
  <c r="AW15" i="8"/>
  <c r="AW21" i="8" s="1"/>
  <c r="AA15" i="8"/>
  <c r="AA21" i="8" s="1"/>
  <c r="AX15" i="8"/>
  <c r="AX21" i="8" s="1"/>
  <c r="BU15" i="8"/>
  <c r="BU21" i="8" s="1"/>
  <c r="CL15" i="8"/>
  <c r="CL21" i="8" s="1"/>
  <c r="N15" i="8"/>
  <c r="AL15" i="8"/>
  <c r="AL21" i="8" s="1"/>
  <c r="BJ15" i="8"/>
  <c r="BJ21" i="8" s="1"/>
  <c r="AQ28" i="8"/>
  <c r="AQ36" i="8" s="1"/>
  <c r="X28" i="8"/>
  <c r="X36" i="8" s="1"/>
  <c r="AR28" i="8"/>
  <c r="AR36" i="8" s="1"/>
  <c r="V28" i="8"/>
  <c r="V36" i="8" s="1"/>
  <c r="BO28" i="8"/>
  <c r="BO36" i="8" s="1"/>
  <c r="BQ28" i="8"/>
  <c r="BQ36" i="8" s="1"/>
  <c r="AS28" i="8"/>
  <c r="AS36" i="8" s="1"/>
  <c r="W28" i="8"/>
  <c r="W36" i="8" s="1"/>
  <c r="CH28" i="8"/>
  <c r="CH36" i="8" s="1"/>
  <c r="T28" i="8"/>
  <c r="T36" i="8" s="1"/>
  <c r="S28" i="8"/>
  <c r="S36" i="8" s="1"/>
  <c r="BP28" i="8"/>
  <c r="BP36" i="8" s="1"/>
  <c r="U28" i="8"/>
  <c r="U36" i="8" s="1"/>
  <c r="AS32" i="8"/>
  <c r="CH32" i="8"/>
  <c r="AQ32" i="8"/>
  <c r="BQ32" i="8"/>
  <c r="X32" i="8"/>
  <c r="V32" i="8"/>
  <c r="W32" i="8"/>
  <c r="AR32" i="8"/>
  <c r="BO32" i="8"/>
  <c r="S32" i="8"/>
  <c r="U32" i="8"/>
  <c r="T32" i="8"/>
  <c r="BP32" i="8"/>
  <c r="BC15" i="8"/>
  <c r="BC21" i="8" s="1"/>
  <c r="BZ15" i="8"/>
  <c r="BZ21" i="8" s="1"/>
  <c r="CA15" i="8"/>
  <c r="CA21" i="8" s="1"/>
  <c r="AD15" i="8"/>
  <c r="AD21" i="8" s="1"/>
  <c r="AE15" i="8"/>
  <c r="AE21" i="8" s="1"/>
  <c r="BB15" i="8"/>
  <c r="BB21" i="8" s="1"/>
  <c r="L15" i="8"/>
  <c r="AB15" i="8"/>
  <c r="AB21" i="8" s="1"/>
  <c r="CN15" i="8"/>
  <c r="CN21" i="8" s="1"/>
  <c r="AC15" i="8"/>
  <c r="AC21" i="8" s="1"/>
  <c r="AZ15" i="8"/>
  <c r="AZ21" i="8" s="1"/>
  <c r="BA15" i="8"/>
  <c r="BA21" i="8" s="1"/>
  <c r="BX15" i="8"/>
  <c r="BX21" i="8" s="1"/>
  <c r="BY15" i="8"/>
  <c r="BY21" i="8" s="1"/>
  <c r="AF15" i="8"/>
  <c r="AF21" i="8" s="1"/>
  <c r="AG15" i="8"/>
  <c r="AG21" i="8" s="1"/>
  <c r="BD15" i="8"/>
  <c r="BD21" i="8" s="1"/>
  <c r="BE15" i="8"/>
  <c r="BE21" i="8" s="1"/>
  <c r="CB15" i="8"/>
  <c r="CB21" i="8" s="1"/>
  <c r="CC15" i="8"/>
  <c r="CC21" i="8" s="1"/>
  <c r="AO15" i="8"/>
  <c r="AO21" i="8" s="1"/>
  <c r="AP15" i="8"/>
  <c r="AP21" i="8" s="1"/>
  <c r="BM15" i="8"/>
  <c r="BM21" i="8" s="1"/>
  <c r="BN15" i="8"/>
  <c r="BN21" i="8" s="1"/>
  <c r="Q15" i="8"/>
  <c r="Q21" i="8" s="1"/>
  <c r="M15" i="8"/>
  <c r="AK15" i="8"/>
  <c r="AK21" i="8" s="1"/>
  <c r="BI15" i="8"/>
  <c r="BI21" i="8" s="1"/>
  <c r="AQ29" i="8"/>
  <c r="AQ37" i="8" s="1"/>
  <c r="CH29" i="8"/>
  <c r="CH37" i="8" s="1"/>
  <c r="V29" i="8"/>
  <c r="V37" i="8" s="1"/>
  <c r="AS29" i="8"/>
  <c r="AS37" i="8" s="1"/>
  <c r="AR29" i="8"/>
  <c r="AR37" i="8" s="1"/>
  <c r="X29" i="8"/>
  <c r="X37" i="8" s="1"/>
  <c r="BO29" i="8"/>
  <c r="BO37" i="8" s="1"/>
  <c r="W29" i="8"/>
  <c r="W37" i="8" s="1"/>
  <c r="BQ29" i="8"/>
  <c r="BQ37" i="8" s="1"/>
  <c r="U29" i="8"/>
  <c r="U37" i="8" s="1"/>
  <c r="S29" i="8"/>
  <c r="S37" i="8" s="1"/>
  <c r="BP29" i="8"/>
  <c r="BP37" i="8" s="1"/>
  <c r="T29" i="8"/>
  <c r="T37" i="8" s="1"/>
  <c r="P15" i="8"/>
  <c r="AN15" i="8"/>
  <c r="AN21" i="8" s="1"/>
  <c r="BL15" i="8"/>
  <c r="BL21" i="8" s="1"/>
  <c r="CH31" i="8"/>
  <c r="CH39" i="8" s="1"/>
  <c r="AQ31" i="8"/>
  <c r="AQ39" i="8" s="1"/>
  <c r="AR31" i="8"/>
  <c r="AR39" i="8" s="1"/>
  <c r="AS31" i="8"/>
  <c r="AS39" i="8" s="1"/>
  <c r="BO31" i="8"/>
  <c r="BO39" i="8" s="1"/>
  <c r="BQ31" i="8"/>
  <c r="BQ39" i="8" s="1"/>
  <c r="V31" i="8"/>
  <c r="V39" i="8" s="1"/>
  <c r="X31" i="8"/>
  <c r="X39" i="8" s="1"/>
  <c r="W31" i="8"/>
  <c r="W39" i="8" s="1"/>
  <c r="S31" i="8"/>
  <c r="S39" i="8" s="1"/>
  <c r="BP31" i="8"/>
  <c r="BP39" i="8" s="1"/>
  <c r="U31" i="8"/>
  <c r="U39" i="8" s="1"/>
  <c r="T31" i="8"/>
  <c r="T39" i="8" s="1"/>
  <c r="R15" i="8"/>
  <c r="I16" i="8"/>
  <c r="I21" i="8" s="1"/>
  <c r="I20" i="8"/>
  <c r="I14" i="8"/>
  <c r="I19" i="8"/>
  <c r="I22" i="8" s="1"/>
  <c r="I45" i="8" s="1"/>
  <c r="C8" i="13" s="1"/>
  <c r="J37" i="10"/>
  <c r="Q24" i="8" l="1"/>
  <c r="Q23" i="8"/>
  <c r="Q25" i="8" s="1"/>
  <c r="AO23" i="8"/>
  <c r="AO25" i="8" s="1"/>
  <c r="AO24" i="8"/>
  <c r="BD23" i="8"/>
  <c r="BD25" i="8" s="1"/>
  <c r="BD24" i="8"/>
  <c r="BX23" i="8"/>
  <c r="BX25" i="8" s="1"/>
  <c r="BX24" i="8"/>
  <c r="CN23" i="8"/>
  <c r="CN25" i="8" s="1"/>
  <c r="CN24" i="8"/>
  <c r="AE23" i="8"/>
  <c r="AE25" i="8" s="1"/>
  <c r="AE24" i="8"/>
  <c r="BC23" i="8"/>
  <c r="BC25" i="8" s="1"/>
  <c r="BC24" i="8"/>
  <c r="H32" i="10"/>
  <c r="BO40" i="8"/>
  <c r="BO51" i="8"/>
  <c r="BO53" i="8"/>
  <c r="W51" i="8"/>
  <c r="W53" i="8"/>
  <c r="H39" i="10"/>
  <c r="W40" i="8"/>
  <c r="X53" i="8"/>
  <c r="H40" i="10"/>
  <c r="X51" i="8"/>
  <c r="X40" i="8"/>
  <c r="CH53" i="8"/>
  <c r="CH51" i="8"/>
  <c r="CH40" i="8"/>
  <c r="CH50" i="8" s="1"/>
  <c r="AL23" i="8"/>
  <c r="AL25" i="8" s="1"/>
  <c r="AL24" i="8"/>
  <c r="AX23" i="8"/>
  <c r="AX25" i="8" s="1"/>
  <c r="AX24" i="8"/>
  <c r="BW23" i="8"/>
  <c r="BW25" i="8" s="1"/>
  <c r="BW24" i="8"/>
  <c r="BF23" i="8"/>
  <c r="BF25" i="8" s="1"/>
  <c r="BF24" i="8"/>
  <c r="CD23" i="8"/>
  <c r="CD25" i="8" s="1"/>
  <c r="CD24" i="8"/>
  <c r="BK23" i="8"/>
  <c r="BK25" i="8" s="1"/>
  <c r="BK24" i="8"/>
  <c r="BI23" i="8"/>
  <c r="BI25" i="8" s="1"/>
  <c r="BI24" i="8"/>
  <c r="BN23" i="8"/>
  <c r="BN25" i="8" s="1"/>
  <c r="BN24" i="8"/>
  <c r="CC23" i="8"/>
  <c r="CC25" i="8" s="1"/>
  <c r="CC24" i="8"/>
  <c r="AG23" i="8"/>
  <c r="AG25" i="8" s="1"/>
  <c r="AG24" i="8"/>
  <c r="BA23" i="8"/>
  <c r="BA25" i="8" s="1"/>
  <c r="BA24" i="8"/>
  <c r="AB23" i="8"/>
  <c r="AB25" i="8" s="1"/>
  <c r="AB24" i="8"/>
  <c r="AD23" i="8"/>
  <c r="AD25" i="8" s="1"/>
  <c r="AD24" i="8"/>
  <c r="H27" i="10"/>
  <c r="T51" i="8"/>
  <c r="T53" i="8"/>
  <c r="T40" i="8"/>
  <c r="V40" i="8"/>
  <c r="H38" i="10"/>
  <c r="V51" i="8"/>
  <c r="V53" i="8"/>
  <c r="BQ40" i="8"/>
  <c r="BQ50" i="8" s="1"/>
  <c r="BQ52" i="8" s="1"/>
  <c r="BQ58" i="8" s="1"/>
  <c r="BQ42" i="8" s="1"/>
  <c r="BQ53" i="8"/>
  <c r="BQ51" i="8"/>
  <c r="AQ53" i="8"/>
  <c r="AQ40" i="8"/>
  <c r="AQ51" i="8"/>
  <c r="H29" i="10"/>
  <c r="AA23" i="8"/>
  <c r="AA25" i="8" s="1"/>
  <c r="AA24" i="8"/>
  <c r="Y23" i="8"/>
  <c r="Y25" i="8" s="1"/>
  <c r="Y24" i="8"/>
  <c r="AI23" i="8"/>
  <c r="AI25" i="8" s="1"/>
  <c r="AI24" i="8"/>
  <c r="BG23" i="8"/>
  <c r="BG25" i="8" s="1"/>
  <c r="BG24" i="8"/>
  <c r="BL23" i="8"/>
  <c r="BL25" i="8" s="1"/>
  <c r="BL24" i="8"/>
  <c r="AK23" i="8"/>
  <c r="AK25" i="8" s="1"/>
  <c r="AK24" i="8"/>
  <c r="BM23" i="8"/>
  <c r="BM25" i="8" s="1"/>
  <c r="BM24" i="8"/>
  <c r="CB23" i="8"/>
  <c r="CB25" i="8" s="1"/>
  <c r="CB24" i="8"/>
  <c r="AF23" i="8"/>
  <c r="AF25" i="8" s="1"/>
  <c r="AF24" i="8"/>
  <c r="AZ23" i="8"/>
  <c r="AZ25" i="8" s="1"/>
  <c r="AZ24" i="8"/>
  <c r="CA23" i="8"/>
  <c r="CA25" i="8" s="1"/>
  <c r="CA24" i="8"/>
  <c r="H33" i="10"/>
  <c r="BP53" i="8"/>
  <c r="BP51" i="8"/>
  <c r="BP40" i="8"/>
  <c r="U53" i="8"/>
  <c r="U51" i="8"/>
  <c r="U40" i="8"/>
  <c r="U50" i="8" s="1"/>
  <c r="AS40" i="8"/>
  <c r="AS50" i="8" s="1"/>
  <c r="AS51" i="8"/>
  <c r="AS53" i="8"/>
  <c r="CL23" i="8"/>
  <c r="CL25" i="8" s="1"/>
  <c r="CL24" i="8"/>
  <c r="AW23" i="8"/>
  <c r="AW25" i="8" s="1"/>
  <c r="AW24" i="8"/>
  <c r="BV23" i="8"/>
  <c r="BV25" i="8" s="1"/>
  <c r="BV24" i="8"/>
  <c r="AH23" i="8"/>
  <c r="AH25" i="8" s="1"/>
  <c r="AH24" i="8"/>
  <c r="BH23" i="8"/>
  <c r="BH25" i="8" s="1"/>
  <c r="BH24" i="8"/>
  <c r="AN23" i="8"/>
  <c r="AN25" i="8" s="1"/>
  <c r="AN24" i="8"/>
  <c r="AP23" i="8"/>
  <c r="AP25" i="8" s="1"/>
  <c r="AP24" i="8"/>
  <c r="BE23" i="8"/>
  <c r="BE25" i="8" s="1"/>
  <c r="BE24" i="8"/>
  <c r="BY23" i="8"/>
  <c r="BY25" i="8" s="1"/>
  <c r="BY24" i="8"/>
  <c r="AC23" i="8"/>
  <c r="AC25" i="8" s="1"/>
  <c r="AC24" i="8"/>
  <c r="BB23" i="8"/>
  <c r="BB25" i="8" s="1"/>
  <c r="BB24" i="8"/>
  <c r="BZ23" i="8"/>
  <c r="BZ25" i="8" s="1"/>
  <c r="BZ24" i="8"/>
  <c r="H26" i="10"/>
  <c r="S51" i="8"/>
  <c r="S40" i="8"/>
  <c r="S53" i="8"/>
  <c r="AR40" i="8"/>
  <c r="AR51" i="8"/>
  <c r="AR53" i="8"/>
  <c r="H30" i="10"/>
  <c r="BJ23" i="8"/>
  <c r="BJ25" i="8" s="1"/>
  <c r="BJ24" i="8"/>
  <c r="BU23" i="8"/>
  <c r="BU25" i="8" s="1"/>
  <c r="BU24" i="8"/>
  <c r="Z23" i="8"/>
  <c r="Z25" i="8" s="1"/>
  <c r="Z24" i="8"/>
  <c r="AY23" i="8"/>
  <c r="AY25" i="8" s="1"/>
  <c r="AY24" i="8"/>
  <c r="CE23" i="8"/>
  <c r="CE25" i="8" s="1"/>
  <c r="CE24" i="8"/>
  <c r="AM23" i="8"/>
  <c r="AM25" i="8" s="1"/>
  <c r="AM24" i="8"/>
  <c r="AJ23" i="8"/>
  <c r="AJ25" i="8" s="1"/>
  <c r="AJ24" i="8"/>
  <c r="I24" i="8"/>
  <c r="I64" i="8" s="1"/>
  <c r="G14" i="13" s="1"/>
  <c r="I23" i="8"/>
  <c r="I25" i="8" s="1"/>
  <c r="I8" i="8"/>
  <c r="I46" i="8"/>
  <c r="C9" i="13" s="1"/>
  <c r="L9" i="13" s="1"/>
  <c r="H37" i="10"/>
  <c r="BP59" i="8" l="1"/>
  <c r="S59" i="8"/>
  <c r="AS59" i="8"/>
  <c r="W59" i="8"/>
  <c r="AR59" i="8"/>
  <c r="AS52" i="8"/>
  <c r="AS58" i="8" s="1"/>
  <c r="AS42" i="8" s="1"/>
  <c r="BP50" i="8"/>
  <c r="BP52" i="8" s="1"/>
  <c r="BP58" i="8" s="1"/>
  <c r="BP42" i="8" s="1"/>
  <c r="BP10" i="8" s="1"/>
  <c r="K33" i="10"/>
  <c r="AQ50" i="8"/>
  <c r="K29" i="10"/>
  <c r="BQ47" i="8"/>
  <c r="L34" i="10"/>
  <c r="V50" i="8"/>
  <c r="V52" i="8" s="1"/>
  <c r="V58" i="8" s="1"/>
  <c r="V42" i="8" s="1"/>
  <c r="K38" i="10"/>
  <c r="AB55" i="8"/>
  <c r="AB57" i="8"/>
  <c r="AB34" i="8"/>
  <c r="J60" i="10"/>
  <c r="AB30" i="8"/>
  <c r="AB38" i="8" s="1"/>
  <c r="AB31" i="8"/>
  <c r="AB39" i="8" s="1"/>
  <c r="AB28" i="8"/>
  <c r="AB36" i="8" s="1"/>
  <c r="AB32" i="8"/>
  <c r="AB27" i="8"/>
  <c r="AB35" i="8" s="1"/>
  <c r="AB54" i="8" s="1"/>
  <c r="AB29" i="8"/>
  <c r="AB37" i="8" s="1"/>
  <c r="AG34" i="8"/>
  <c r="AG56" i="8" s="1"/>
  <c r="AG57" i="8"/>
  <c r="AG55" i="8"/>
  <c r="AG27" i="8"/>
  <c r="AG35" i="8" s="1"/>
  <c r="AG54" i="8" s="1"/>
  <c r="AG32" i="8"/>
  <c r="AG29" i="8"/>
  <c r="AG37" i="8" s="1"/>
  <c r="AG28" i="8"/>
  <c r="AG36" i="8" s="1"/>
  <c r="AG30" i="8"/>
  <c r="AG38" i="8" s="1"/>
  <c r="AG31" i="8"/>
  <c r="AG39" i="8" s="1"/>
  <c r="BN30" i="8"/>
  <c r="BN38" i="8" s="1"/>
  <c r="BN34" i="8"/>
  <c r="BN56" i="8" s="1"/>
  <c r="BN55" i="8"/>
  <c r="BN57" i="8"/>
  <c r="BN27" i="8"/>
  <c r="BN35" i="8" s="1"/>
  <c r="BN54" i="8" s="1"/>
  <c r="BN28" i="8"/>
  <c r="BN36" i="8" s="1"/>
  <c r="BN32" i="8"/>
  <c r="BN31" i="8"/>
  <c r="BN39" i="8" s="1"/>
  <c r="BN29" i="8"/>
  <c r="BN37" i="8" s="1"/>
  <c r="BK34" i="8"/>
  <c r="BK56" i="8" s="1"/>
  <c r="BK57" i="8"/>
  <c r="BK55" i="8"/>
  <c r="BK30" i="8"/>
  <c r="BK38" i="8" s="1"/>
  <c r="BK31" i="8"/>
  <c r="BK39" i="8" s="1"/>
  <c r="BK32" i="8"/>
  <c r="BK27" i="8"/>
  <c r="BK35" i="8" s="1"/>
  <c r="BK54" i="8" s="1"/>
  <c r="BK28" i="8"/>
  <c r="BK36" i="8" s="1"/>
  <c r="BK29" i="8"/>
  <c r="BK37" i="8" s="1"/>
  <c r="BF34" i="8"/>
  <c r="BF57" i="8"/>
  <c r="BF55" i="8"/>
  <c r="J82" i="10"/>
  <c r="BF28" i="8"/>
  <c r="BF36" i="8" s="1"/>
  <c r="BF31" i="8"/>
  <c r="BF39" i="8" s="1"/>
  <c r="BF30" i="8"/>
  <c r="BF38" i="8" s="1"/>
  <c r="BF27" i="8"/>
  <c r="BF35" i="8" s="1"/>
  <c r="BF54" i="8" s="1"/>
  <c r="BF32" i="8"/>
  <c r="BF29" i="8"/>
  <c r="BF37" i="8" s="1"/>
  <c r="AX30" i="8"/>
  <c r="AX38" i="8" s="1"/>
  <c r="AX55" i="8"/>
  <c r="AX57" i="8"/>
  <c r="AX34" i="8"/>
  <c r="J52" i="10"/>
  <c r="AX32" i="8"/>
  <c r="AX27" i="8"/>
  <c r="AX35" i="8" s="1"/>
  <c r="AX54" i="8" s="1"/>
  <c r="AX29" i="8"/>
  <c r="AX37" i="8" s="1"/>
  <c r="AX31" i="8"/>
  <c r="AX39" i="8" s="1"/>
  <c r="AX28" i="8"/>
  <c r="AX36" i="8" s="1"/>
  <c r="CH59" i="8"/>
  <c r="BO50" i="8"/>
  <c r="BO52" i="8" s="1"/>
  <c r="BO58" i="8" s="1"/>
  <c r="BO42" i="8" s="1"/>
  <c r="K32" i="10"/>
  <c r="AJ55" i="8"/>
  <c r="AJ34" i="8"/>
  <c r="AJ56" i="8" s="1"/>
  <c r="AJ57" i="8"/>
  <c r="AJ30" i="8"/>
  <c r="AJ38" i="8" s="1"/>
  <c r="AJ28" i="8"/>
  <c r="AJ36" i="8" s="1"/>
  <c r="AJ29" i="8"/>
  <c r="AJ37" i="8" s="1"/>
  <c r="AJ31" i="8"/>
  <c r="AJ39" i="8" s="1"/>
  <c r="AJ27" i="8"/>
  <c r="AJ35" i="8" s="1"/>
  <c r="AJ54" i="8" s="1"/>
  <c r="AJ32" i="8"/>
  <c r="CE34" i="8"/>
  <c r="CE56" i="8" s="1"/>
  <c r="CE57" i="8"/>
  <c r="CE55" i="8"/>
  <c r="CE27" i="8"/>
  <c r="CE35" i="8" s="1"/>
  <c r="CE54" i="8" s="1"/>
  <c r="CE32" i="8"/>
  <c r="CE31" i="8"/>
  <c r="CE39" i="8" s="1"/>
  <c r="CE30" i="8"/>
  <c r="CE38" i="8" s="1"/>
  <c r="CE28" i="8"/>
  <c r="CE36" i="8" s="1"/>
  <c r="CE29" i="8"/>
  <c r="CE37" i="8" s="1"/>
  <c r="Z55" i="8"/>
  <c r="Z34" i="8"/>
  <c r="Z57" i="8"/>
  <c r="J49" i="10"/>
  <c r="Z27" i="8"/>
  <c r="Z35" i="8" s="1"/>
  <c r="Z54" i="8" s="1"/>
  <c r="Z28" i="8"/>
  <c r="Z36" i="8" s="1"/>
  <c r="Z32" i="8"/>
  <c r="Z31" i="8"/>
  <c r="Z39" i="8" s="1"/>
  <c r="Z30" i="8"/>
  <c r="Z38" i="8" s="1"/>
  <c r="Z29" i="8"/>
  <c r="Z37" i="8" s="1"/>
  <c r="BJ55" i="8"/>
  <c r="BJ34" i="8"/>
  <c r="BJ56" i="8" s="1"/>
  <c r="BJ57" i="8"/>
  <c r="BJ30" i="8"/>
  <c r="BJ38" i="8" s="1"/>
  <c r="BJ27" i="8"/>
  <c r="BJ35" i="8" s="1"/>
  <c r="BJ54" i="8" s="1"/>
  <c r="BJ28" i="8"/>
  <c r="BJ36" i="8" s="1"/>
  <c r="BJ32" i="8"/>
  <c r="BJ29" i="8"/>
  <c r="BJ37" i="8" s="1"/>
  <c r="BJ31" i="8"/>
  <c r="BJ39" i="8" s="1"/>
  <c r="AR50" i="8"/>
  <c r="K30" i="10"/>
  <c r="BB57" i="8"/>
  <c r="BB55" i="8"/>
  <c r="BB34" i="8"/>
  <c r="J70" i="10"/>
  <c r="BB30" i="8"/>
  <c r="BB38" i="8" s="1"/>
  <c r="BB29" i="8"/>
  <c r="BB37" i="8" s="1"/>
  <c r="BB32" i="8"/>
  <c r="BB31" i="8"/>
  <c r="BB39" i="8" s="1"/>
  <c r="BB27" i="8"/>
  <c r="BB35" i="8" s="1"/>
  <c r="BB54" i="8" s="1"/>
  <c r="BB28" i="8"/>
  <c r="BB36" i="8" s="1"/>
  <c r="BY30" i="8"/>
  <c r="BY38" i="8" s="1"/>
  <c r="BY34" i="8"/>
  <c r="BY56" i="8" s="1"/>
  <c r="BY57" i="8"/>
  <c r="BY55" i="8"/>
  <c r="BY32" i="8"/>
  <c r="BY29" i="8"/>
  <c r="BY37" i="8" s="1"/>
  <c r="BY27" i="8"/>
  <c r="BY35" i="8" s="1"/>
  <c r="BY54" i="8" s="1"/>
  <c r="BY28" i="8"/>
  <c r="BY36" i="8" s="1"/>
  <c r="BY31" i="8"/>
  <c r="BY39" i="8" s="1"/>
  <c r="AP55" i="8"/>
  <c r="AP57" i="8"/>
  <c r="AP34" i="8"/>
  <c r="AP56" i="8" s="1"/>
  <c r="AP27" i="8"/>
  <c r="AP35" i="8" s="1"/>
  <c r="AP54" i="8" s="1"/>
  <c r="AP32" i="8"/>
  <c r="AP31" i="8"/>
  <c r="AP39" i="8" s="1"/>
  <c r="AP28" i="8"/>
  <c r="AP36" i="8" s="1"/>
  <c r="AP29" i="8"/>
  <c r="AP37" i="8" s="1"/>
  <c r="AP30" i="8"/>
  <c r="AP38" i="8" s="1"/>
  <c r="BH55" i="8"/>
  <c r="BH57" i="8"/>
  <c r="BH34" i="8"/>
  <c r="BH56" i="8" s="1"/>
  <c r="BH30" i="8"/>
  <c r="BH38" i="8" s="1"/>
  <c r="BH27" i="8"/>
  <c r="BH35" i="8" s="1"/>
  <c r="BH54" i="8" s="1"/>
  <c r="BH28" i="8"/>
  <c r="BH36" i="8" s="1"/>
  <c r="BH29" i="8"/>
  <c r="BH37" i="8" s="1"/>
  <c r="BH31" i="8"/>
  <c r="BH39" i="8" s="1"/>
  <c r="BH32" i="8"/>
  <c r="BV34" i="8"/>
  <c r="BV57" i="8"/>
  <c r="BV55" i="8"/>
  <c r="J55" i="10"/>
  <c r="BV28" i="8"/>
  <c r="BV36" i="8" s="1"/>
  <c r="BV32" i="8"/>
  <c r="BV27" i="8"/>
  <c r="BV35" i="8" s="1"/>
  <c r="BV54" i="8" s="1"/>
  <c r="BV29" i="8"/>
  <c r="BV37" i="8" s="1"/>
  <c r="BV31" i="8"/>
  <c r="BV39" i="8" s="1"/>
  <c r="BV30" i="8"/>
  <c r="BV38" i="8" s="1"/>
  <c r="CL30" i="8"/>
  <c r="CL38" i="8" s="1"/>
  <c r="CL57" i="8"/>
  <c r="CL55" i="8"/>
  <c r="CL34" i="8"/>
  <c r="CL56" i="8" s="1"/>
  <c r="CL28" i="8"/>
  <c r="CL36" i="8" s="1"/>
  <c r="CL32" i="8"/>
  <c r="J59" i="10"/>
  <c r="CL27" i="8"/>
  <c r="CL35" i="8" s="1"/>
  <c r="CL54" i="8" s="1"/>
  <c r="CL29" i="8"/>
  <c r="CL37" i="8" s="1"/>
  <c r="CL31" i="8"/>
  <c r="CL39" i="8" s="1"/>
  <c r="U52" i="8"/>
  <c r="U58" i="8" s="1"/>
  <c r="U42" i="8" s="1"/>
  <c r="CA57" i="8"/>
  <c r="CA55" i="8"/>
  <c r="CA34" i="8"/>
  <c r="CA56" i="8" s="1"/>
  <c r="CA30" i="8"/>
  <c r="CA38" i="8" s="1"/>
  <c r="CA27" i="8"/>
  <c r="CA35" i="8" s="1"/>
  <c r="CA54" i="8" s="1"/>
  <c r="CA31" i="8"/>
  <c r="CA39" i="8" s="1"/>
  <c r="CA32" i="8"/>
  <c r="CA28" i="8"/>
  <c r="CA36" i="8" s="1"/>
  <c r="CA29" i="8"/>
  <c r="CA37" i="8" s="1"/>
  <c r="AF28" i="8"/>
  <c r="AF36" i="8" s="1"/>
  <c r="AF55" i="8"/>
  <c r="AF57" i="8"/>
  <c r="AF34" i="8"/>
  <c r="J74" i="10"/>
  <c r="AF27" i="8"/>
  <c r="AF35" i="8" s="1"/>
  <c r="AF54" i="8" s="1"/>
  <c r="AF31" i="8"/>
  <c r="AF39" i="8" s="1"/>
  <c r="AF30" i="8"/>
  <c r="AF38" i="8" s="1"/>
  <c r="AF32" i="8"/>
  <c r="AF29" i="8"/>
  <c r="AF37" i="8" s="1"/>
  <c r="BM55" i="8"/>
  <c r="BM57" i="8"/>
  <c r="BM34" i="8"/>
  <c r="J24" i="10"/>
  <c r="BM27" i="8"/>
  <c r="BM35" i="8" s="1"/>
  <c r="BM54" i="8" s="1"/>
  <c r="BM32" i="8"/>
  <c r="BM28" i="8"/>
  <c r="BM36" i="8" s="1"/>
  <c r="BM31" i="8"/>
  <c r="BM39" i="8" s="1"/>
  <c r="BM30" i="8"/>
  <c r="BM38" i="8" s="1"/>
  <c r="BM29" i="8"/>
  <c r="BM37" i="8" s="1"/>
  <c r="BL57" i="8"/>
  <c r="BL55" i="8"/>
  <c r="BL34" i="8"/>
  <c r="BL56" i="8" s="1"/>
  <c r="BL29" i="8"/>
  <c r="BL37" i="8" s="1"/>
  <c r="BL31" i="8"/>
  <c r="BL39" i="8" s="1"/>
  <c r="BL30" i="8"/>
  <c r="BL38" i="8" s="1"/>
  <c r="BL27" i="8"/>
  <c r="BL35" i="8" s="1"/>
  <c r="BL54" i="8" s="1"/>
  <c r="BL28" i="8"/>
  <c r="BL36" i="8" s="1"/>
  <c r="BL32" i="8"/>
  <c r="AI57" i="8"/>
  <c r="AI55" i="8"/>
  <c r="AI34" i="8"/>
  <c r="AI56" i="8" s="1"/>
  <c r="AI30" i="8"/>
  <c r="AI38" i="8" s="1"/>
  <c r="AI29" i="8"/>
  <c r="AI37" i="8" s="1"/>
  <c r="AI27" i="8"/>
  <c r="AI35" i="8" s="1"/>
  <c r="AI54" i="8" s="1"/>
  <c r="AI28" i="8"/>
  <c r="AI36" i="8" s="1"/>
  <c r="AI31" i="8"/>
  <c r="AI39" i="8" s="1"/>
  <c r="AI32" i="8"/>
  <c r="AA57" i="8"/>
  <c r="AA55" i="8"/>
  <c r="AA34" i="8"/>
  <c r="AA56" i="8" s="1"/>
  <c r="AA30" i="8"/>
  <c r="AA38" i="8" s="1"/>
  <c r="AA28" i="8"/>
  <c r="AA36" i="8" s="1"/>
  <c r="AA31" i="8"/>
  <c r="AA39" i="8" s="1"/>
  <c r="AA29" i="8"/>
  <c r="AA37" i="8" s="1"/>
  <c r="AA27" i="8"/>
  <c r="AA35" i="8" s="1"/>
  <c r="AA54" i="8" s="1"/>
  <c r="AA32" i="8"/>
  <c r="T50" i="8"/>
  <c r="T52" i="8" s="1"/>
  <c r="T58" i="8" s="1"/>
  <c r="T42" i="8" s="1"/>
  <c r="K27" i="10"/>
  <c r="AE57" i="8"/>
  <c r="AE55" i="8"/>
  <c r="AE34" i="8"/>
  <c r="AE56" i="8" s="1"/>
  <c r="AE30" i="8"/>
  <c r="AE38" i="8" s="1"/>
  <c r="AE32" i="8"/>
  <c r="AE27" i="8"/>
  <c r="AE35" i="8" s="1"/>
  <c r="AE54" i="8" s="1"/>
  <c r="AE28" i="8"/>
  <c r="AE36" i="8" s="1"/>
  <c r="AE29" i="8"/>
  <c r="AE37" i="8" s="1"/>
  <c r="AE31" i="8"/>
  <c r="AE39" i="8" s="1"/>
  <c r="BX57" i="8"/>
  <c r="BX55" i="8"/>
  <c r="BX34" i="8"/>
  <c r="J64" i="10"/>
  <c r="BX28" i="8"/>
  <c r="BX36" i="8" s="1"/>
  <c r="BX32" i="8"/>
  <c r="BX31" i="8"/>
  <c r="BX39" i="8" s="1"/>
  <c r="BX30" i="8"/>
  <c r="BX38" i="8" s="1"/>
  <c r="BX27" i="8"/>
  <c r="BX35" i="8" s="1"/>
  <c r="BX54" i="8" s="1"/>
  <c r="BX29" i="8"/>
  <c r="BX37" i="8" s="1"/>
  <c r="AO57" i="8"/>
  <c r="AO34" i="8"/>
  <c r="AO55" i="8"/>
  <c r="J22" i="10"/>
  <c r="AO29" i="8"/>
  <c r="AO37" i="8" s="1"/>
  <c r="AO30" i="8"/>
  <c r="AO38" i="8" s="1"/>
  <c r="AO32" i="8"/>
  <c r="AO27" i="8"/>
  <c r="AO35" i="8" s="1"/>
  <c r="AO54" i="8" s="1"/>
  <c r="AO28" i="8"/>
  <c r="AO36" i="8" s="1"/>
  <c r="AO31" i="8"/>
  <c r="AO39" i="8" s="1"/>
  <c r="U59" i="8"/>
  <c r="BQ59" i="8"/>
  <c r="V59" i="8"/>
  <c r="AD55" i="8"/>
  <c r="AD57" i="8"/>
  <c r="AD34" i="8"/>
  <c r="J68" i="10"/>
  <c r="AD32" i="8"/>
  <c r="AD29" i="8"/>
  <c r="AD37" i="8" s="1"/>
  <c r="AD31" i="8"/>
  <c r="AD39" i="8" s="1"/>
  <c r="AD30" i="8"/>
  <c r="AD38" i="8" s="1"/>
  <c r="AD27" i="8"/>
  <c r="AD35" i="8" s="1"/>
  <c r="AD54" i="8" s="1"/>
  <c r="AD28" i="8"/>
  <c r="AD36" i="8" s="1"/>
  <c r="BA29" i="8"/>
  <c r="BA37" i="8" s="1"/>
  <c r="BA34" i="8"/>
  <c r="BA56" i="8" s="1"/>
  <c r="BA55" i="8"/>
  <c r="BA57" i="8"/>
  <c r="BA27" i="8"/>
  <c r="BA35" i="8" s="1"/>
  <c r="BA54" i="8" s="1"/>
  <c r="BA28" i="8"/>
  <c r="BA36" i="8" s="1"/>
  <c r="BA31" i="8"/>
  <c r="BA39" i="8" s="1"/>
  <c r="BA30" i="8"/>
  <c r="BA38" i="8" s="1"/>
  <c r="BA32" i="8"/>
  <c r="CC55" i="8"/>
  <c r="CC57" i="8"/>
  <c r="CC34" i="8"/>
  <c r="CC56" i="8" s="1"/>
  <c r="CC29" i="8"/>
  <c r="CC37" i="8" s="1"/>
  <c r="CC27" i="8"/>
  <c r="CC35" i="8" s="1"/>
  <c r="CC54" i="8" s="1"/>
  <c r="CC28" i="8"/>
  <c r="CC36" i="8" s="1"/>
  <c r="CC30" i="8"/>
  <c r="CC38" i="8" s="1"/>
  <c r="CC32" i="8"/>
  <c r="CC31" i="8"/>
  <c r="CC39" i="8" s="1"/>
  <c r="BI29" i="8"/>
  <c r="BI37" i="8" s="1"/>
  <c r="BI55" i="8"/>
  <c r="BI57" i="8"/>
  <c r="BI34" i="8"/>
  <c r="BI56" i="8" s="1"/>
  <c r="BI27" i="8"/>
  <c r="BI35" i="8" s="1"/>
  <c r="BI54" i="8" s="1"/>
  <c r="BI32" i="8"/>
  <c r="BI31" i="8"/>
  <c r="BI39" i="8" s="1"/>
  <c r="BI30" i="8"/>
  <c r="BI38" i="8" s="1"/>
  <c r="BI28" i="8"/>
  <c r="BI36" i="8" s="1"/>
  <c r="CD34" i="8"/>
  <c r="CD57" i="8"/>
  <c r="CD55" i="8"/>
  <c r="J84" i="10"/>
  <c r="CD27" i="8"/>
  <c r="CD35" i="8" s="1"/>
  <c r="CD54" i="8" s="1"/>
  <c r="CD30" i="8"/>
  <c r="CD38" i="8" s="1"/>
  <c r="CD29" i="8"/>
  <c r="CD37" i="8" s="1"/>
  <c r="CD28" i="8"/>
  <c r="CD36" i="8" s="1"/>
  <c r="CD32" i="8"/>
  <c r="CD31" i="8"/>
  <c r="CD39" i="8" s="1"/>
  <c r="BW55" i="8"/>
  <c r="BW57" i="8"/>
  <c r="BW34" i="8"/>
  <c r="BW56" i="8" s="1"/>
  <c r="BW32" i="8"/>
  <c r="BW29" i="8"/>
  <c r="BW37" i="8" s="1"/>
  <c r="BW30" i="8"/>
  <c r="BW38" i="8" s="1"/>
  <c r="BW28" i="8"/>
  <c r="BW36" i="8" s="1"/>
  <c r="BW31" i="8"/>
  <c r="BW39" i="8" s="1"/>
  <c r="BW27" i="8"/>
  <c r="BW35" i="8" s="1"/>
  <c r="BW54" i="8" s="1"/>
  <c r="AL55" i="8"/>
  <c r="AL34" i="8"/>
  <c r="AL56" i="8" s="1"/>
  <c r="AL57" i="8"/>
  <c r="AL28" i="8"/>
  <c r="AL36" i="8" s="1"/>
  <c r="AL32" i="8"/>
  <c r="AL29" i="8"/>
  <c r="AL37" i="8" s="1"/>
  <c r="AL31" i="8"/>
  <c r="AL39" i="8" s="1"/>
  <c r="AL30" i="8"/>
  <c r="AL38" i="8" s="1"/>
  <c r="AL27" i="8"/>
  <c r="AL35" i="8" s="1"/>
  <c r="AL54" i="8" s="1"/>
  <c r="X50" i="8"/>
  <c r="K40" i="10"/>
  <c r="W50" i="8"/>
  <c r="K39" i="10"/>
  <c r="BO59" i="8"/>
  <c r="Q57" i="8"/>
  <c r="Q29" i="8"/>
  <c r="Q37" i="8" s="1"/>
  <c r="Q34" i="8"/>
  <c r="J20" i="10"/>
  <c r="Q55" i="8"/>
  <c r="Q27" i="8"/>
  <c r="Q35" i="8" s="1"/>
  <c r="Q54" i="8" s="1"/>
  <c r="Q30" i="8"/>
  <c r="Q38" i="8" s="1"/>
  <c r="Q28" i="8"/>
  <c r="Q36" i="8" s="1"/>
  <c r="Q32" i="8"/>
  <c r="Q31" i="8"/>
  <c r="Q39" i="8" s="1"/>
  <c r="AM30" i="8"/>
  <c r="AM38" i="8" s="1"/>
  <c r="AM57" i="8"/>
  <c r="AM34" i="8"/>
  <c r="AM56" i="8" s="1"/>
  <c r="AM55" i="8"/>
  <c r="AM29" i="8"/>
  <c r="AM37" i="8" s="1"/>
  <c r="AM27" i="8"/>
  <c r="AM35" i="8" s="1"/>
  <c r="AM54" i="8" s="1"/>
  <c r="AM32" i="8"/>
  <c r="AM31" i="8"/>
  <c r="AM39" i="8" s="1"/>
  <c r="AM28" i="8"/>
  <c r="AM36" i="8" s="1"/>
  <c r="AY57" i="8"/>
  <c r="AY34" i="8"/>
  <c r="AY56" i="8" s="1"/>
  <c r="AY55" i="8"/>
  <c r="AY29" i="8"/>
  <c r="AY37" i="8" s="1"/>
  <c r="AY27" i="8"/>
  <c r="AY35" i="8" s="1"/>
  <c r="AY54" i="8" s="1"/>
  <c r="AY32" i="8"/>
  <c r="AY31" i="8"/>
  <c r="AY39" i="8" s="1"/>
  <c r="AY28" i="8"/>
  <c r="AY36" i="8" s="1"/>
  <c r="AY30" i="8"/>
  <c r="AY38" i="8" s="1"/>
  <c r="BU55" i="8"/>
  <c r="BU34" i="8"/>
  <c r="BU57" i="8"/>
  <c r="J54" i="10"/>
  <c r="BU28" i="8"/>
  <c r="BU36" i="8" s="1"/>
  <c r="BU30" i="8"/>
  <c r="BU38" i="8" s="1"/>
  <c r="BU29" i="8"/>
  <c r="BU37" i="8" s="1"/>
  <c r="BU27" i="8"/>
  <c r="BU35" i="8" s="1"/>
  <c r="BU54" i="8" s="1"/>
  <c r="BU32" i="8"/>
  <c r="BU31" i="8"/>
  <c r="BU39" i="8" s="1"/>
  <c r="S50" i="8"/>
  <c r="S52" i="8" s="1"/>
  <c r="S58" i="8" s="1"/>
  <c r="S42" i="8" s="1"/>
  <c r="K26" i="10"/>
  <c r="BZ28" i="8"/>
  <c r="BZ36" i="8" s="1"/>
  <c r="BZ34" i="8"/>
  <c r="BZ55" i="8"/>
  <c r="BZ57" i="8"/>
  <c r="J72" i="10"/>
  <c r="BZ32" i="8"/>
  <c r="BZ27" i="8"/>
  <c r="BZ35" i="8" s="1"/>
  <c r="BZ54" i="8" s="1"/>
  <c r="BZ29" i="8"/>
  <c r="BZ37" i="8" s="1"/>
  <c r="BZ31" i="8"/>
  <c r="BZ39" i="8" s="1"/>
  <c r="BZ30" i="8"/>
  <c r="BZ38" i="8" s="1"/>
  <c r="AC30" i="8"/>
  <c r="AC38" i="8" s="1"/>
  <c r="AC34" i="8"/>
  <c r="AC56" i="8" s="1"/>
  <c r="AC55" i="8"/>
  <c r="AC57" i="8"/>
  <c r="AC29" i="8"/>
  <c r="AC37" i="8" s="1"/>
  <c r="AC27" i="8"/>
  <c r="AC35" i="8" s="1"/>
  <c r="AC54" i="8" s="1"/>
  <c r="AC32" i="8"/>
  <c r="AC31" i="8"/>
  <c r="AC39" i="8" s="1"/>
  <c r="AC28" i="8"/>
  <c r="AC36" i="8" s="1"/>
  <c r="BE34" i="8"/>
  <c r="BE56" i="8" s="1"/>
  <c r="BE57" i="8"/>
  <c r="BE55" i="8"/>
  <c r="BE30" i="8"/>
  <c r="BE38" i="8" s="1"/>
  <c r="BE27" i="8"/>
  <c r="BE35" i="8" s="1"/>
  <c r="BE54" i="8" s="1"/>
  <c r="BE28" i="8"/>
  <c r="BE36" i="8" s="1"/>
  <c r="BE29" i="8"/>
  <c r="BE37" i="8" s="1"/>
  <c r="BE32" i="8"/>
  <c r="BE31" i="8"/>
  <c r="BE39" i="8" s="1"/>
  <c r="AN29" i="8"/>
  <c r="AN37" i="8" s="1"/>
  <c r="AN55" i="8"/>
  <c r="AN57" i="8"/>
  <c r="AN34" i="8"/>
  <c r="AN56" i="8" s="1"/>
  <c r="AN32" i="8"/>
  <c r="AN27" i="8"/>
  <c r="AN35" i="8" s="1"/>
  <c r="AN54" i="8" s="1"/>
  <c r="AN28" i="8"/>
  <c r="AN36" i="8" s="1"/>
  <c r="AN30" i="8"/>
  <c r="AN38" i="8" s="1"/>
  <c r="AN31" i="8"/>
  <c r="AN39" i="8" s="1"/>
  <c r="AH57" i="8"/>
  <c r="AH55" i="8"/>
  <c r="AH34" i="8"/>
  <c r="J80" i="10"/>
  <c r="AH32" i="8"/>
  <c r="AH28" i="8"/>
  <c r="AH36" i="8" s="1"/>
  <c r="AH31" i="8"/>
  <c r="AH39" i="8" s="1"/>
  <c r="AH30" i="8"/>
  <c r="AH38" i="8" s="1"/>
  <c r="AH27" i="8"/>
  <c r="AH35" i="8" s="1"/>
  <c r="AH54" i="8" s="1"/>
  <c r="AH29" i="8"/>
  <c r="AH37" i="8" s="1"/>
  <c r="AW55" i="8"/>
  <c r="AW57" i="8"/>
  <c r="AW34" i="8"/>
  <c r="J51" i="10"/>
  <c r="AW30" i="8"/>
  <c r="AW38" i="8" s="1"/>
  <c r="AW29" i="8"/>
  <c r="AW37" i="8" s="1"/>
  <c r="AW31" i="8"/>
  <c r="AW39" i="8" s="1"/>
  <c r="AW27" i="8"/>
  <c r="AW35" i="8" s="1"/>
  <c r="AW54" i="8" s="1"/>
  <c r="AW28" i="8"/>
  <c r="AW36" i="8" s="1"/>
  <c r="AW32" i="8"/>
  <c r="AZ55" i="8"/>
  <c r="AZ57" i="8"/>
  <c r="AZ34" i="8"/>
  <c r="J62" i="10"/>
  <c r="AZ31" i="8"/>
  <c r="AZ39" i="8" s="1"/>
  <c r="AZ27" i="8"/>
  <c r="AZ35" i="8" s="1"/>
  <c r="AZ54" i="8" s="1"/>
  <c r="AZ30" i="8"/>
  <c r="AZ38" i="8" s="1"/>
  <c r="AZ28" i="8"/>
  <c r="AZ36" i="8" s="1"/>
  <c r="AZ32" i="8"/>
  <c r="AZ29" i="8"/>
  <c r="AZ37" i="8" s="1"/>
  <c r="CB34" i="8"/>
  <c r="CB57" i="8"/>
  <c r="CB55" i="8"/>
  <c r="J78" i="10"/>
  <c r="CB30" i="8"/>
  <c r="CB38" i="8" s="1"/>
  <c r="CB27" i="8"/>
  <c r="CB35" i="8" s="1"/>
  <c r="CB54" i="8" s="1"/>
  <c r="CB32" i="8"/>
  <c r="CB31" i="8"/>
  <c r="CB39" i="8" s="1"/>
  <c r="CB28" i="8"/>
  <c r="CB36" i="8" s="1"/>
  <c r="CB29" i="8"/>
  <c r="CB37" i="8" s="1"/>
  <c r="AK27" i="8"/>
  <c r="AK35" i="8" s="1"/>
  <c r="AK54" i="8" s="1"/>
  <c r="AK55" i="8"/>
  <c r="AK57" i="8"/>
  <c r="AK34" i="8"/>
  <c r="AK56" i="8" s="1"/>
  <c r="AK28" i="8"/>
  <c r="AK36" i="8" s="1"/>
  <c r="AK29" i="8"/>
  <c r="AK37" i="8" s="1"/>
  <c r="AK31" i="8"/>
  <c r="AK39" i="8" s="1"/>
  <c r="AK32" i="8"/>
  <c r="AK30" i="8"/>
  <c r="AK38" i="8" s="1"/>
  <c r="BG28" i="8"/>
  <c r="BG36" i="8" s="1"/>
  <c r="BG57" i="8"/>
  <c r="BG34" i="8"/>
  <c r="BG56" i="8" s="1"/>
  <c r="BG55" i="8"/>
  <c r="BG30" i="8"/>
  <c r="BG38" i="8" s="1"/>
  <c r="BG29" i="8"/>
  <c r="BG37" i="8" s="1"/>
  <c r="BG27" i="8"/>
  <c r="BG35" i="8" s="1"/>
  <c r="BG54" i="8" s="1"/>
  <c r="BG32" i="8"/>
  <c r="BG31" i="8"/>
  <c r="BG39" i="8" s="1"/>
  <c r="Y34" i="8"/>
  <c r="Y55" i="8"/>
  <c r="Y57" i="8"/>
  <c r="J48" i="10"/>
  <c r="Y27" i="8"/>
  <c r="Y35" i="8" s="1"/>
  <c r="Y54" i="8" s="1"/>
  <c r="Y32" i="8"/>
  <c r="Y29" i="8"/>
  <c r="Y37" i="8" s="1"/>
  <c r="Y31" i="8"/>
  <c r="Y39" i="8" s="1"/>
  <c r="Y30" i="8"/>
  <c r="Y38" i="8" s="1"/>
  <c r="Y28" i="8"/>
  <c r="Y36" i="8" s="1"/>
  <c r="AQ59" i="8"/>
  <c r="T59" i="8"/>
  <c r="CH52" i="8"/>
  <c r="CH58" i="8" s="1"/>
  <c r="CH42" i="8" s="1"/>
  <c r="X59" i="8"/>
  <c r="BC32" i="8"/>
  <c r="BC57" i="8"/>
  <c r="BC34" i="8"/>
  <c r="BC56" i="8" s="1"/>
  <c r="BC55" i="8"/>
  <c r="BC27" i="8"/>
  <c r="BC35" i="8" s="1"/>
  <c r="BC54" i="8" s="1"/>
  <c r="BC28" i="8"/>
  <c r="BC36" i="8" s="1"/>
  <c r="BC30" i="8"/>
  <c r="BC38" i="8" s="1"/>
  <c r="BC29" i="8"/>
  <c r="BC37" i="8" s="1"/>
  <c r="BC31" i="8"/>
  <c r="BC39" i="8" s="1"/>
  <c r="CN34" i="8"/>
  <c r="CN56" i="8" s="1"/>
  <c r="CN55" i="8"/>
  <c r="CN57" i="8"/>
  <c r="CN29" i="8"/>
  <c r="CN37" i="8" s="1"/>
  <c r="CN31" i="8"/>
  <c r="CN39" i="8" s="1"/>
  <c r="CN28" i="8"/>
  <c r="CN36" i="8" s="1"/>
  <c r="CN32" i="8"/>
  <c r="CN27" i="8"/>
  <c r="CN35" i="8" s="1"/>
  <c r="CN54" i="8" s="1"/>
  <c r="CN30" i="8"/>
  <c r="CN38" i="8" s="1"/>
  <c r="J67" i="10"/>
  <c r="BD55" i="8"/>
  <c r="BD57" i="8"/>
  <c r="BD34" i="8"/>
  <c r="J76" i="10"/>
  <c r="BD27" i="8"/>
  <c r="BD35" i="8" s="1"/>
  <c r="BD54" i="8" s="1"/>
  <c r="BD29" i="8"/>
  <c r="BD37" i="8" s="1"/>
  <c r="BD32" i="8"/>
  <c r="BD30" i="8"/>
  <c r="BD38" i="8" s="1"/>
  <c r="BD28" i="8"/>
  <c r="BD36" i="8" s="1"/>
  <c r="BD31" i="8"/>
  <c r="BD39" i="8" s="1"/>
  <c r="H54" i="8"/>
  <c r="H43" i="13" s="1"/>
  <c r="M37" i="10"/>
  <c r="M59" i="10"/>
  <c r="I65" i="8"/>
  <c r="G15" i="13" s="1"/>
  <c r="I28" i="8"/>
  <c r="D24" i="13" s="1"/>
  <c r="I41" i="13" s="1"/>
  <c r="I34" i="8"/>
  <c r="F23" i="13" s="1"/>
  <c r="I57" i="8"/>
  <c r="K43" i="13" s="1"/>
  <c r="I43" i="13" s="1"/>
  <c r="I55" i="8"/>
  <c r="I27" i="8"/>
  <c r="D23" i="13" s="1"/>
  <c r="I42" i="13" s="1"/>
  <c r="I9" i="8"/>
  <c r="I29" i="8"/>
  <c r="D25" i="13" s="1"/>
  <c r="I40" i="13" s="1"/>
  <c r="I32" i="8"/>
  <c r="D28" i="13" s="1"/>
  <c r="I30" i="8"/>
  <c r="D26" i="13" s="1"/>
  <c r="I39" i="13" s="1"/>
  <c r="I31" i="8"/>
  <c r="D27" i="13" s="1"/>
  <c r="I38" i="13" s="1"/>
  <c r="L33" i="10" l="1"/>
  <c r="BP47" i="8"/>
  <c r="BP11" i="8" s="1"/>
  <c r="N33" i="10" s="1"/>
  <c r="M67" i="10"/>
  <c r="U47" i="8"/>
  <c r="L28" i="10"/>
  <c r="BC53" i="8"/>
  <c r="BC51" i="8"/>
  <c r="BC40" i="8"/>
  <c r="BC50" i="8" s="1"/>
  <c r="BE40" i="8"/>
  <c r="BE50" i="8" s="1"/>
  <c r="BE53" i="8"/>
  <c r="BE51" i="8"/>
  <c r="L26" i="10"/>
  <c r="S47" i="8"/>
  <c r="S11" i="8" s="1"/>
  <c r="N26" i="10" s="1"/>
  <c r="S10" i="8"/>
  <c r="Q56" i="8"/>
  <c r="M20" i="10"/>
  <c r="AL40" i="8"/>
  <c r="AL50" i="8" s="1"/>
  <c r="AL51" i="8"/>
  <c r="AL53" i="8"/>
  <c r="AD53" i="8"/>
  <c r="AD40" i="8"/>
  <c r="AD51" i="8"/>
  <c r="H68" i="10"/>
  <c r="AO56" i="8"/>
  <c r="M22" i="10"/>
  <c r="AE40" i="8"/>
  <c r="AE50" i="8" s="1"/>
  <c r="AE52" i="8" s="1"/>
  <c r="AE58" i="8" s="1"/>
  <c r="AE42" i="8" s="1"/>
  <c r="AE53" i="8"/>
  <c r="AE51" i="8"/>
  <c r="AI51" i="8"/>
  <c r="AI53" i="8"/>
  <c r="AI40" i="8"/>
  <c r="AI50" i="8" s="1"/>
  <c r="CA40" i="8"/>
  <c r="CA50" i="8" s="1"/>
  <c r="CA52" i="8" s="1"/>
  <c r="CA58" i="8" s="1"/>
  <c r="CA42" i="8" s="1"/>
  <c r="CA53" i="8"/>
  <c r="CA51" i="8"/>
  <c r="BV56" i="8"/>
  <c r="M55" i="10"/>
  <c r="Z53" i="8"/>
  <c r="Z40" i="8"/>
  <c r="Z51" i="8"/>
  <c r="H49" i="10"/>
  <c r="AJ40" i="8"/>
  <c r="AJ50" i="8" s="1"/>
  <c r="AJ52" i="8" s="1"/>
  <c r="AJ51" i="8"/>
  <c r="AJ53" i="8"/>
  <c r="H52" i="10"/>
  <c r="AX51" i="8"/>
  <c r="AX53" i="8"/>
  <c r="AX40" i="8"/>
  <c r="CN40" i="8"/>
  <c r="CN50" i="8" s="1"/>
  <c r="CN52" i="8" s="1"/>
  <c r="CN58" i="8" s="1"/>
  <c r="CN42" i="8" s="1"/>
  <c r="CN10" i="8" s="1"/>
  <c r="CN53" i="8"/>
  <c r="CN51" i="8"/>
  <c r="H67" i="10"/>
  <c r="BG51" i="8"/>
  <c r="BG53" i="8"/>
  <c r="BG40" i="8"/>
  <c r="BG50" i="8" s="1"/>
  <c r="BG52" i="8" s="1"/>
  <c r="BG58" i="8" s="1"/>
  <c r="BG42" i="8" s="1"/>
  <c r="CB40" i="8"/>
  <c r="CB53" i="8"/>
  <c r="CB51" i="8"/>
  <c r="H78" i="10"/>
  <c r="H62" i="10"/>
  <c r="AZ51" i="8"/>
  <c r="AZ53" i="8"/>
  <c r="AZ40" i="8"/>
  <c r="AW56" i="8"/>
  <c r="M51" i="10"/>
  <c r="AH53" i="8"/>
  <c r="AH40" i="8"/>
  <c r="AH51" i="8"/>
  <c r="H80" i="10"/>
  <c r="BZ40" i="8"/>
  <c r="BZ51" i="8"/>
  <c r="H72" i="10"/>
  <c r="BZ53" i="8"/>
  <c r="BZ56" i="8"/>
  <c r="M72" i="10"/>
  <c r="BU56" i="8"/>
  <c r="M54" i="10"/>
  <c r="W52" i="8"/>
  <c r="W58" i="8" s="1"/>
  <c r="W42" i="8" s="1"/>
  <c r="BX56" i="8"/>
  <c r="M64" i="10"/>
  <c r="BL51" i="8"/>
  <c r="BL40" i="8"/>
  <c r="BL50" i="8" s="1"/>
  <c r="BL52" i="8" s="1"/>
  <c r="BL58" i="8" s="1"/>
  <c r="BL42" i="8" s="1"/>
  <c r="BL53" i="8"/>
  <c r="BM56" i="8"/>
  <c r="M24" i="10"/>
  <c r="AF40" i="8"/>
  <c r="AF51" i="8"/>
  <c r="AF53" i="8"/>
  <c r="H74" i="10"/>
  <c r="CL51" i="8"/>
  <c r="CL53" i="8"/>
  <c r="CL40" i="8"/>
  <c r="CL50" i="8" s="1"/>
  <c r="CL52" i="8" s="1"/>
  <c r="CL58" i="8" s="1"/>
  <c r="CL42" i="8" s="1"/>
  <c r="CL10" i="8" s="1"/>
  <c r="H59" i="10"/>
  <c r="BH51" i="8"/>
  <c r="BH53" i="8"/>
  <c r="BH40" i="8"/>
  <c r="BH50" i="8" s="1"/>
  <c r="BH52" i="8" s="1"/>
  <c r="BH58" i="8" s="1"/>
  <c r="BH42" i="8" s="1"/>
  <c r="Z56" i="8"/>
  <c r="M49" i="10"/>
  <c r="AB53" i="8"/>
  <c r="AB40" i="8"/>
  <c r="AB51" i="8"/>
  <c r="H60" i="10"/>
  <c r="L31" i="10"/>
  <c r="AS47" i="8"/>
  <c r="CH47" i="8"/>
  <c r="L37" i="10"/>
  <c r="Y53" i="8"/>
  <c r="Y51" i="8"/>
  <c r="Y40" i="8"/>
  <c r="H48" i="10"/>
  <c r="AK40" i="8"/>
  <c r="AK50" i="8" s="1"/>
  <c r="AK52" i="8" s="1"/>
  <c r="AK53" i="8"/>
  <c r="AK51" i="8"/>
  <c r="AW51" i="8"/>
  <c r="AW40" i="8"/>
  <c r="AW53" i="8"/>
  <c r="H51" i="10"/>
  <c r="AN40" i="8"/>
  <c r="AN50" i="8" s="1"/>
  <c r="AN52" i="8" s="1"/>
  <c r="AN58" i="8" s="1"/>
  <c r="AN42" i="8" s="1"/>
  <c r="AN53" i="8"/>
  <c r="AN51" i="8"/>
  <c r="AC40" i="8"/>
  <c r="AC50" i="8" s="1"/>
  <c r="AC52" i="8" s="1"/>
  <c r="AC51" i="8"/>
  <c r="AC53" i="8"/>
  <c r="BU53" i="8"/>
  <c r="BU40" i="8"/>
  <c r="BU51" i="8"/>
  <c r="H54" i="10"/>
  <c r="AY51" i="8"/>
  <c r="AY53" i="8"/>
  <c r="AY40" i="8"/>
  <c r="AY50" i="8" s="1"/>
  <c r="AY52" i="8" s="1"/>
  <c r="AY58" i="8" s="1"/>
  <c r="AY42" i="8" s="1"/>
  <c r="AM53" i="8"/>
  <c r="AM40" i="8"/>
  <c r="AM50" i="8" s="1"/>
  <c r="AM52" i="8" s="1"/>
  <c r="AM58" i="8" s="1"/>
  <c r="AM42" i="8" s="1"/>
  <c r="AM51" i="8"/>
  <c r="H20" i="10"/>
  <c r="Q40" i="8"/>
  <c r="Q51" i="8"/>
  <c r="Q53" i="8"/>
  <c r="BW51" i="8"/>
  <c r="BW53" i="8"/>
  <c r="BW40" i="8"/>
  <c r="BW50" i="8" s="1"/>
  <c r="BW52" i="8" s="1"/>
  <c r="BW58" i="8" s="1"/>
  <c r="BW42" i="8" s="1"/>
  <c r="CC53" i="8"/>
  <c r="CC51" i="8"/>
  <c r="CC40" i="8"/>
  <c r="CC50" i="8" s="1"/>
  <c r="BA51" i="8"/>
  <c r="BA53" i="8"/>
  <c r="BA40" i="8"/>
  <c r="BA50" i="8" s="1"/>
  <c r="AD56" i="8"/>
  <c r="M68" i="10"/>
  <c r="BX51" i="8"/>
  <c r="BX53" i="8"/>
  <c r="BX40" i="8"/>
  <c r="H64" i="10"/>
  <c r="L27" i="10"/>
  <c r="T47" i="8"/>
  <c r="T11" i="8" s="1"/>
  <c r="N27" i="10" s="1"/>
  <c r="T10" i="8"/>
  <c r="BM53" i="8"/>
  <c r="BM40" i="8"/>
  <c r="BM51" i="8"/>
  <c r="H24" i="10"/>
  <c r="AF56" i="8"/>
  <c r="M74" i="10"/>
  <c r="AP51" i="8"/>
  <c r="AP53" i="8"/>
  <c r="AP40" i="8"/>
  <c r="AP50" i="8" s="1"/>
  <c r="BJ51" i="8"/>
  <c r="BJ53" i="8"/>
  <c r="BJ40" i="8"/>
  <c r="BJ50" i="8" s="1"/>
  <c r="L32" i="10"/>
  <c r="BO10" i="8"/>
  <c r="BO47" i="8"/>
  <c r="BO11" i="8" s="1"/>
  <c r="N32" i="10" s="1"/>
  <c r="AX56" i="8"/>
  <c r="M52" i="10"/>
  <c r="AG51" i="8"/>
  <c r="AG40" i="8"/>
  <c r="AG50" i="8" s="1"/>
  <c r="AG53" i="8"/>
  <c r="AB56" i="8"/>
  <c r="M60" i="10"/>
  <c r="L38" i="10"/>
  <c r="V47" i="8"/>
  <c r="V11" i="8" s="1"/>
  <c r="N38" i="10" s="1"/>
  <c r="V10" i="8"/>
  <c r="AQ52" i="8"/>
  <c r="AQ58" i="8" s="1"/>
  <c r="AQ42" i="8" s="1"/>
  <c r="BD53" i="8"/>
  <c r="BD51" i="8"/>
  <c r="H76" i="10"/>
  <c r="BD40" i="8"/>
  <c r="BD56" i="8"/>
  <c r="M76" i="10"/>
  <c r="Y56" i="8"/>
  <c r="M48" i="10"/>
  <c r="CB56" i="8"/>
  <c r="M78" i="10"/>
  <c r="AZ56" i="8"/>
  <c r="M62" i="10"/>
  <c r="AH56" i="8"/>
  <c r="M80" i="10"/>
  <c r="X52" i="8"/>
  <c r="X58" i="8" s="1"/>
  <c r="X42" i="8" s="1"/>
  <c r="CD40" i="8"/>
  <c r="CD53" i="8"/>
  <c r="CD51" i="8"/>
  <c r="H84" i="10"/>
  <c r="CD56" i="8"/>
  <c r="M84" i="10"/>
  <c r="BI51" i="8"/>
  <c r="BI53" i="8"/>
  <c r="BI40" i="8"/>
  <c r="BI50" i="8" s="1"/>
  <c r="AO53" i="8"/>
  <c r="AO51" i="8"/>
  <c r="AO40" i="8"/>
  <c r="H22" i="10"/>
  <c r="AA51" i="8"/>
  <c r="AA53" i="8"/>
  <c r="AA40" i="8"/>
  <c r="AA50" i="8" s="1"/>
  <c r="BV53" i="8"/>
  <c r="BV51" i="8"/>
  <c r="BV40" i="8"/>
  <c r="H55" i="10"/>
  <c r="BY51" i="8"/>
  <c r="BY53" i="8"/>
  <c r="BY40" i="8"/>
  <c r="BY50" i="8" s="1"/>
  <c r="BY52" i="8" s="1"/>
  <c r="BY58" i="8" s="1"/>
  <c r="BY42" i="8" s="1"/>
  <c r="BB51" i="8"/>
  <c r="BB53" i="8"/>
  <c r="BB40" i="8"/>
  <c r="H70" i="10"/>
  <c r="BB56" i="8"/>
  <c r="M70" i="10"/>
  <c r="AR52" i="8"/>
  <c r="AR58" i="8" s="1"/>
  <c r="AR42" i="8" s="1"/>
  <c r="CE40" i="8"/>
  <c r="CE50" i="8" s="1"/>
  <c r="CE53" i="8"/>
  <c r="CE51" i="8"/>
  <c r="BF40" i="8"/>
  <c r="BF53" i="8"/>
  <c r="BF51" i="8"/>
  <c r="H82" i="10"/>
  <c r="BF56" i="8"/>
  <c r="M82" i="10"/>
  <c r="BK40" i="8"/>
  <c r="BK50" i="8" s="1"/>
  <c r="BK53" i="8"/>
  <c r="BK51" i="8"/>
  <c r="BN40" i="8"/>
  <c r="BN50" i="8" s="1"/>
  <c r="BN52" i="8" s="1"/>
  <c r="BN58" i="8" s="1"/>
  <c r="BN42" i="8" s="1"/>
  <c r="BN53" i="8"/>
  <c r="BN51" i="8"/>
  <c r="CH10" i="8"/>
  <c r="K37" i="10"/>
  <c r="F16" i="13"/>
  <c r="K37" i="13"/>
  <c r="I37" i="13"/>
  <c r="I56" i="8"/>
  <c r="J43" i="13" s="1"/>
  <c r="I36" i="8"/>
  <c r="E24" i="13" s="1"/>
  <c r="H41" i="13" s="1"/>
  <c r="I51" i="8"/>
  <c r="I40" i="8"/>
  <c r="I53" i="8"/>
  <c r="I38" i="8"/>
  <c r="E26" i="13" s="1"/>
  <c r="H39" i="13" s="1"/>
  <c r="I37" i="8"/>
  <c r="E25" i="13" s="1"/>
  <c r="H40" i="13" s="1"/>
  <c r="I39" i="8"/>
  <c r="E27" i="13" s="1"/>
  <c r="H38" i="13" s="1"/>
  <c r="I35" i="8"/>
  <c r="E23" i="13" s="1"/>
  <c r="H42" i="13" s="1"/>
  <c r="K59" i="10" l="1"/>
  <c r="K67" i="10"/>
  <c r="AZ59" i="8"/>
  <c r="BG59" i="8"/>
  <c r="AC58" i="8"/>
  <c r="AC42" i="8" s="1"/>
  <c r="AC47" i="8" s="1"/>
  <c r="BM59" i="8"/>
  <c r="BW59" i="8"/>
  <c r="BU59" i="8"/>
  <c r="AJ58" i="8"/>
  <c r="AJ42" i="8" s="1"/>
  <c r="AJ47" i="8" s="1"/>
  <c r="AH59" i="8"/>
  <c r="AX59" i="8"/>
  <c r="AI59" i="8"/>
  <c r="BY59" i="8"/>
  <c r="BJ59" i="8"/>
  <c r="AP59" i="8"/>
  <c r="CC59" i="8"/>
  <c r="AC59" i="8"/>
  <c r="BK59" i="8"/>
  <c r="AA59" i="8"/>
  <c r="AO59" i="8"/>
  <c r="BI59" i="8"/>
  <c r="CD59" i="8"/>
  <c r="AG59" i="8"/>
  <c r="AM59" i="8"/>
  <c r="AL59" i="8"/>
  <c r="BF59" i="8"/>
  <c r="X10" i="8"/>
  <c r="X47" i="8"/>
  <c r="X11" i="8" s="1"/>
  <c r="N40" i="10" s="1"/>
  <c r="L40" i="10"/>
  <c r="BN59" i="8"/>
  <c r="CE59" i="8"/>
  <c r="BB50" i="8"/>
  <c r="K70" i="10"/>
  <c r="BV59" i="8"/>
  <c r="BM50" i="8"/>
  <c r="BM52" i="8" s="1"/>
  <c r="BM58" i="8" s="1"/>
  <c r="BM42" i="8" s="1"/>
  <c r="K24" i="10"/>
  <c r="BX59" i="8"/>
  <c r="BU50" i="8"/>
  <c r="K54" i="10"/>
  <c r="AK58" i="8"/>
  <c r="AK42" i="8" s="1"/>
  <c r="AF59" i="8"/>
  <c r="CB50" i="8"/>
  <c r="K78" i="10"/>
  <c r="AX50" i="8"/>
  <c r="K52" i="10"/>
  <c r="Z59" i="8"/>
  <c r="AI52" i="8"/>
  <c r="AI58" i="8" s="1"/>
  <c r="AI42" i="8" s="1"/>
  <c r="BE59" i="8"/>
  <c r="BC59" i="8"/>
  <c r="BF50" i="8"/>
  <c r="BF52" i="8" s="1"/>
  <c r="BF58" i="8" s="1"/>
  <c r="BF42" i="8" s="1"/>
  <c r="K82" i="10"/>
  <c r="BY47" i="8"/>
  <c r="L65" i="10"/>
  <c r="BI52" i="8"/>
  <c r="BI58" i="8" s="1"/>
  <c r="BI42" i="8" s="1"/>
  <c r="CD50" i="8"/>
  <c r="K84" i="10"/>
  <c r="BD59" i="8"/>
  <c r="AP52" i="8"/>
  <c r="AP58" i="8" s="1"/>
  <c r="AP42" i="8" s="1"/>
  <c r="BA59" i="8"/>
  <c r="BW47" i="8"/>
  <c r="L56" i="10"/>
  <c r="Q59" i="8"/>
  <c r="AM47" i="8"/>
  <c r="L15" i="10"/>
  <c r="AY59" i="8"/>
  <c r="AN59" i="8"/>
  <c r="AW59" i="8"/>
  <c r="AK59" i="8"/>
  <c r="Y50" i="8"/>
  <c r="K48" i="10"/>
  <c r="AB59" i="8"/>
  <c r="BH59" i="8"/>
  <c r="CL59" i="8"/>
  <c r="AF50" i="8"/>
  <c r="AF52" i="8" s="1"/>
  <c r="AF58" i="8" s="1"/>
  <c r="AF42" i="8" s="1"/>
  <c r="K74" i="10"/>
  <c r="L19" i="10"/>
  <c r="BL47" i="8"/>
  <c r="W47" i="8"/>
  <c r="W11" i="8" s="1"/>
  <c r="N39" i="10" s="1"/>
  <c r="W10" i="8"/>
  <c r="L39" i="10"/>
  <c r="BZ59" i="8"/>
  <c r="AH50" i="8"/>
  <c r="K80" i="10"/>
  <c r="AZ50" i="8"/>
  <c r="AZ52" i="8" s="1"/>
  <c r="AZ58" i="8" s="1"/>
  <c r="AZ42" i="8" s="1"/>
  <c r="K62" i="10"/>
  <c r="BG47" i="8"/>
  <c r="L83" i="10"/>
  <c r="CN59" i="8"/>
  <c r="AJ59" i="8"/>
  <c r="Z50" i="8"/>
  <c r="K49" i="10"/>
  <c r="CA59" i="8"/>
  <c r="AE47" i="8"/>
  <c r="L69" i="10"/>
  <c r="AD59" i="8"/>
  <c r="AR10" i="8"/>
  <c r="AR47" i="8"/>
  <c r="AR11" i="8" s="1"/>
  <c r="N30" i="10" s="1"/>
  <c r="L30" i="10"/>
  <c r="BK52" i="8"/>
  <c r="BK58" i="8" s="1"/>
  <c r="BK42" i="8" s="1"/>
  <c r="BN47" i="8"/>
  <c r="L25" i="10"/>
  <c r="CE52" i="8"/>
  <c r="CE58" i="8" s="1"/>
  <c r="CE42" i="8" s="1"/>
  <c r="BB59" i="8"/>
  <c r="AA52" i="8"/>
  <c r="AA58" i="8" s="1"/>
  <c r="AA42" i="8" s="1"/>
  <c r="AO50" i="8"/>
  <c r="K22" i="10"/>
  <c r="BJ52" i="8"/>
  <c r="BJ58" i="8" s="1"/>
  <c r="BJ42" i="8" s="1"/>
  <c r="BX50" i="8"/>
  <c r="BX52" i="8" s="1"/>
  <c r="BX58" i="8" s="1"/>
  <c r="BX42" i="8" s="1"/>
  <c r="K64" i="10"/>
  <c r="CC52" i="8"/>
  <c r="CC58" i="8" s="1"/>
  <c r="CC42" i="8" s="1"/>
  <c r="K20" i="10"/>
  <c r="Q50" i="8"/>
  <c r="Q52" i="8" s="1"/>
  <c r="Q58" i="8" s="1"/>
  <c r="Q42" i="8" s="1"/>
  <c r="AW50" i="8"/>
  <c r="AW52" i="8" s="1"/>
  <c r="AW58" i="8" s="1"/>
  <c r="AW42" i="8" s="1"/>
  <c r="K51" i="10"/>
  <c r="Y59" i="8"/>
  <c r="AB50" i="8"/>
  <c r="AB52" i="8" s="1"/>
  <c r="AB58" i="8" s="1"/>
  <c r="AB42" i="8" s="1"/>
  <c r="K60" i="10"/>
  <c r="BL59" i="8"/>
  <c r="BZ50" i="8"/>
  <c r="BZ52" i="8" s="1"/>
  <c r="BZ58" i="8" s="1"/>
  <c r="BZ42" i="8" s="1"/>
  <c r="K72" i="10"/>
  <c r="CB59" i="8"/>
  <c r="AD50" i="8"/>
  <c r="AD52" i="8" s="1"/>
  <c r="AD58" i="8" s="1"/>
  <c r="AD42" i="8" s="1"/>
  <c r="K68" i="10"/>
  <c r="AL52" i="8"/>
  <c r="AL58" i="8" s="1"/>
  <c r="AL42" i="8" s="1"/>
  <c r="BE52" i="8"/>
  <c r="BE58" i="8" s="1"/>
  <c r="BE42" i="8" s="1"/>
  <c r="BV50" i="8"/>
  <c r="K55" i="10"/>
  <c r="K76" i="10"/>
  <c r="BD50" i="8"/>
  <c r="BD52" i="8" s="1"/>
  <c r="BD58" i="8" s="1"/>
  <c r="BD42" i="8" s="1"/>
  <c r="L29" i="10"/>
  <c r="AQ10" i="8"/>
  <c r="AQ47" i="8"/>
  <c r="AQ11" i="8" s="1"/>
  <c r="N29" i="10" s="1"/>
  <c r="AG52" i="8"/>
  <c r="AG58" i="8" s="1"/>
  <c r="AG42" i="8" s="1"/>
  <c r="BA52" i="8"/>
  <c r="BA58" i="8" s="1"/>
  <c r="BA42" i="8" s="1"/>
  <c r="AY47" i="8"/>
  <c r="L53" i="10"/>
  <c r="AN47" i="8"/>
  <c r="L18" i="10"/>
  <c r="BH47" i="8"/>
  <c r="L7" i="10"/>
  <c r="CL47" i="8"/>
  <c r="L59" i="10"/>
  <c r="CN47" i="8"/>
  <c r="L67" i="10"/>
  <c r="CA47" i="8"/>
  <c r="L73" i="10"/>
  <c r="AE59" i="8"/>
  <c r="BC52" i="8"/>
  <c r="BC58" i="8" s="1"/>
  <c r="BC42" i="8" s="1"/>
  <c r="I50" i="8"/>
  <c r="I52" i="8" s="1"/>
  <c r="J37" i="13" s="1"/>
  <c r="E28" i="13"/>
  <c r="H37" i="13" s="1"/>
  <c r="I54" i="8"/>
  <c r="I59" i="8"/>
  <c r="M37" i="13" s="1"/>
  <c r="L61" i="10" l="1"/>
  <c r="L6" i="10"/>
  <c r="CE47" i="8"/>
  <c r="L85" i="10"/>
  <c r="BK47" i="8"/>
  <c r="L16" i="10"/>
  <c r="BC47" i="8"/>
  <c r="L71" i="10"/>
  <c r="AP47" i="8"/>
  <c r="L23" i="10"/>
  <c r="BE47" i="8"/>
  <c r="L77" i="10"/>
  <c r="BA47" i="8"/>
  <c r="L63" i="10"/>
  <c r="AD10" i="8"/>
  <c r="AD47" i="8"/>
  <c r="AD11" i="8" s="1"/>
  <c r="N68" i="10" s="1"/>
  <c r="L68" i="10"/>
  <c r="CC47" i="8"/>
  <c r="L79" i="10"/>
  <c r="BJ47" i="8"/>
  <c r="L13" i="10"/>
  <c r="AA47" i="8"/>
  <c r="L50" i="10"/>
  <c r="CB52" i="8"/>
  <c r="CB58" i="8" s="1"/>
  <c r="CB42" i="8" s="1"/>
  <c r="AK47" i="8"/>
  <c r="L9" i="10"/>
  <c r="AL47" i="8"/>
  <c r="L12" i="10"/>
  <c r="AW47" i="8"/>
  <c r="AW11" i="8" s="1"/>
  <c r="N51" i="10" s="1"/>
  <c r="AW10" i="8"/>
  <c r="L51" i="10"/>
  <c r="Z52" i="8"/>
  <c r="Z58" i="8" s="1"/>
  <c r="Z42" i="8" s="1"/>
  <c r="AH52" i="8"/>
  <c r="AH58" i="8" s="1"/>
  <c r="AH42" i="8" s="1"/>
  <c r="L74" i="10"/>
  <c r="AF47" i="8"/>
  <c r="AF11" i="8" s="1"/>
  <c r="N74" i="10" s="1"/>
  <c r="AF10" i="8"/>
  <c r="CD52" i="8"/>
  <c r="CD58" i="8" s="1"/>
  <c r="CD42" i="8" s="1"/>
  <c r="BM10" i="8"/>
  <c r="BM47" i="8"/>
  <c r="BM11" i="8" s="1"/>
  <c r="N24" i="10" s="1"/>
  <c r="L24" i="10"/>
  <c r="AG47" i="8"/>
  <c r="L75" i="10"/>
  <c r="L20" i="10"/>
  <c r="Q10" i="8"/>
  <c r="Q47" i="8"/>
  <c r="Q11" i="8" s="1"/>
  <c r="N20" i="10" s="1"/>
  <c r="Y52" i="8"/>
  <c r="Y58" i="8" s="1"/>
  <c r="Y42" i="8" s="1"/>
  <c r="BI47" i="8"/>
  <c r="L10" i="10"/>
  <c r="AI47" i="8"/>
  <c r="L81" i="10"/>
  <c r="AX52" i="8"/>
  <c r="AX58" i="8" s="1"/>
  <c r="AX42" i="8" s="1"/>
  <c r="BU52" i="8"/>
  <c r="BU58" i="8" s="1"/>
  <c r="BU42" i="8" s="1"/>
  <c r="BB52" i="8"/>
  <c r="BB58" i="8" s="1"/>
  <c r="BB42" i="8" s="1"/>
  <c r="BV52" i="8"/>
  <c r="BV58" i="8" s="1"/>
  <c r="BV42" i="8" s="1"/>
  <c r="AB10" i="8"/>
  <c r="L60" i="10"/>
  <c r="AB47" i="8"/>
  <c r="AB11" i="8" s="1"/>
  <c r="N60" i="10" s="1"/>
  <c r="L76" i="10"/>
  <c r="BD10" i="8"/>
  <c r="BD47" i="8"/>
  <c r="BD11" i="8" s="1"/>
  <c r="N76" i="10" s="1"/>
  <c r="L72" i="10"/>
  <c r="BZ47" i="8"/>
  <c r="BZ11" i="8" s="1"/>
  <c r="N72" i="10" s="1"/>
  <c r="BZ10" i="8"/>
  <c r="BX10" i="8"/>
  <c r="BX47" i="8"/>
  <c r="BX11" i="8" s="1"/>
  <c r="N64" i="10" s="1"/>
  <c r="L64" i="10"/>
  <c r="AO52" i="8"/>
  <c r="AO58" i="8" s="1"/>
  <c r="AO42" i="8" s="1"/>
  <c r="AZ47" i="8"/>
  <c r="AZ11" i="8" s="1"/>
  <c r="N62" i="10" s="1"/>
  <c r="L62" i="10"/>
  <c r="AZ10" i="8"/>
  <c r="L82" i="10"/>
  <c r="BF47" i="8"/>
  <c r="BF11" i="8" s="1"/>
  <c r="N82" i="10" s="1"/>
  <c r="BF10" i="8"/>
  <c r="I58" i="8"/>
  <c r="N19" i="8"/>
  <c r="N22" i="8" s="1"/>
  <c r="N45" i="8" s="1"/>
  <c r="O19" i="8"/>
  <c r="O22" i="8" s="1"/>
  <c r="O45" i="8" s="1"/>
  <c r="P19" i="8"/>
  <c r="P22" i="8" s="1"/>
  <c r="P45" i="8" s="1"/>
  <c r="R19" i="8"/>
  <c r="R22" i="8" s="1"/>
  <c r="R45" i="8" s="1"/>
  <c r="N20" i="8"/>
  <c r="O20" i="8"/>
  <c r="P20" i="8"/>
  <c r="R20" i="8"/>
  <c r="L22" i="8"/>
  <c r="L45" i="8" s="1"/>
  <c r="L8" i="8" s="1"/>
  <c r="F5" i="10" s="1"/>
  <c r="M19" i="8"/>
  <c r="M22" i="8" s="1"/>
  <c r="M45" i="8" s="1"/>
  <c r="M20" i="8"/>
  <c r="L54" i="10" l="1"/>
  <c r="BU47" i="8"/>
  <c r="BU11" i="8" s="1"/>
  <c r="N54" i="10" s="1"/>
  <c r="BU10" i="8"/>
  <c r="L55" i="10"/>
  <c r="BV47" i="8"/>
  <c r="BV11" i="8" s="1"/>
  <c r="N55" i="10" s="1"/>
  <c r="BV10" i="8"/>
  <c r="BB10" i="8"/>
  <c r="L70" i="10"/>
  <c r="BB47" i="8"/>
  <c r="BB11" i="8" s="1"/>
  <c r="N70" i="10" s="1"/>
  <c r="CB47" i="8"/>
  <c r="CB11" i="8" s="1"/>
  <c r="N78" i="10" s="1"/>
  <c r="CB10" i="8"/>
  <c r="L78" i="10"/>
  <c r="L48" i="10"/>
  <c r="Y10" i="8"/>
  <c r="Y47" i="8"/>
  <c r="Y11" i="8" s="1"/>
  <c r="N48" i="10" s="1"/>
  <c r="CD10" i="8"/>
  <c r="CD47" i="8"/>
  <c r="CD11" i="8" s="1"/>
  <c r="N84" i="10" s="1"/>
  <c r="L84" i="10"/>
  <c r="Z47" i="8"/>
  <c r="Z11" i="8" s="1"/>
  <c r="N49" i="10" s="1"/>
  <c r="Z10" i="8"/>
  <c r="L49" i="10"/>
  <c r="AO47" i="8"/>
  <c r="AO11" i="8" s="1"/>
  <c r="N22" i="10" s="1"/>
  <c r="AO10" i="8"/>
  <c r="L22" i="10"/>
  <c r="L52" i="10"/>
  <c r="AX10" i="8"/>
  <c r="AX47" i="8"/>
  <c r="AX11" i="8" s="1"/>
  <c r="N52" i="10" s="1"/>
  <c r="L80" i="10"/>
  <c r="AH47" i="8"/>
  <c r="AH11" i="8" s="1"/>
  <c r="N80" i="10" s="1"/>
  <c r="AH10" i="8"/>
  <c r="L37" i="13"/>
  <c r="I42" i="8"/>
  <c r="E29" i="13"/>
  <c r="C14" i="13"/>
  <c r="L46" i="8"/>
  <c r="L9" i="8" s="1"/>
  <c r="G5" i="10" s="1"/>
  <c r="R8" i="8"/>
  <c r="F21" i="10" s="1"/>
  <c r="R46" i="8"/>
  <c r="R9" i="8" s="1"/>
  <c r="G21" i="10" s="1"/>
  <c r="M8" i="8"/>
  <c r="F8" i="10" s="1"/>
  <c r="M46" i="8"/>
  <c r="M9" i="8" s="1"/>
  <c r="G8" i="10" s="1"/>
  <c r="P8" i="8"/>
  <c r="F17" i="10" s="1"/>
  <c r="P46" i="8"/>
  <c r="P9" i="8" s="1"/>
  <c r="G17" i="10" s="1"/>
  <c r="O46" i="8"/>
  <c r="O9" i="8" s="1"/>
  <c r="G14" i="10" s="1"/>
  <c r="O8" i="8"/>
  <c r="F14" i="10" s="1"/>
  <c r="N8" i="8"/>
  <c r="F11" i="10" s="1"/>
  <c r="N46" i="8"/>
  <c r="N9" i="8" s="1"/>
  <c r="G11" i="10" s="1"/>
  <c r="J34" i="10"/>
  <c r="J31" i="10"/>
  <c r="M21" i="8"/>
  <c r="M24" i="8" s="1"/>
  <c r="J28" i="10"/>
  <c r="R21" i="8"/>
  <c r="R24" i="8" s="1"/>
  <c r="O21" i="8"/>
  <c r="O24" i="8" s="1"/>
  <c r="L21" i="8"/>
  <c r="I47" i="8" l="1"/>
  <c r="I10" i="8"/>
  <c r="H34" i="10"/>
  <c r="H28" i="10"/>
  <c r="H31" i="10"/>
  <c r="J50" i="10"/>
  <c r="J23" i="10"/>
  <c r="N21" i="8"/>
  <c r="N24" i="8" s="1"/>
  <c r="J69" i="10"/>
  <c r="M23" i="8"/>
  <c r="M25" i="8" s="1"/>
  <c r="J8" i="10" s="1"/>
  <c r="L23" i="8"/>
  <c r="L25" i="8" s="1"/>
  <c r="J5" i="10" s="1"/>
  <c r="L24" i="8"/>
  <c r="J81" i="10"/>
  <c r="J16" i="10"/>
  <c r="P21" i="8"/>
  <c r="O23" i="8"/>
  <c r="O25" i="8" s="1"/>
  <c r="J14" i="10" s="1"/>
  <c r="R23" i="8"/>
  <c r="R25" i="8" s="1"/>
  <c r="J21" i="10" s="1"/>
  <c r="M28" i="10" l="1"/>
  <c r="M31" i="10"/>
  <c r="M34" i="10"/>
  <c r="C15" i="13"/>
  <c r="I11" i="8"/>
  <c r="L57" i="8"/>
  <c r="L55" i="8"/>
  <c r="M55" i="8"/>
  <c r="M57" i="8"/>
  <c r="R57" i="8"/>
  <c r="R55" i="8"/>
  <c r="O55" i="8"/>
  <c r="O57" i="8"/>
  <c r="H69" i="10"/>
  <c r="H23" i="10"/>
  <c r="H50" i="10"/>
  <c r="R29" i="8"/>
  <c r="R37" i="8" s="1"/>
  <c r="R28" i="8"/>
  <c r="R36" i="8" s="1"/>
  <c r="R32" i="8"/>
  <c r="H21" i="10" s="1"/>
  <c r="R27" i="8"/>
  <c r="R35" i="8" s="1"/>
  <c r="R54" i="8" s="1"/>
  <c r="R31" i="8"/>
  <c r="R39" i="8" s="1"/>
  <c r="R30" i="8"/>
  <c r="R38" i="8" s="1"/>
  <c r="R34" i="8"/>
  <c r="O28" i="8"/>
  <c r="O36" i="8" s="1"/>
  <c r="O32" i="8"/>
  <c r="H14" i="10" s="1"/>
  <c r="O27" i="8"/>
  <c r="O35" i="8" s="1"/>
  <c r="O54" i="8" s="1"/>
  <c r="O31" i="8"/>
  <c r="O39" i="8" s="1"/>
  <c r="O30" i="8"/>
  <c r="O38" i="8" s="1"/>
  <c r="O34" i="8"/>
  <c r="O29" i="8"/>
  <c r="O37" i="8" s="1"/>
  <c r="H16" i="10"/>
  <c r="H81" i="10"/>
  <c r="J10" i="10"/>
  <c r="M27" i="8"/>
  <c r="M35" i="8" s="1"/>
  <c r="M54" i="8" s="1"/>
  <c r="M31" i="8"/>
  <c r="M39" i="8" s="1"/>
  <c r="M30" i="8"/>
  <c r="M38" i="8" s="1"/>
  <c r="M34" i="8"/>
  <c r="M29" i="8"/>
  <c r="M37" i="8" s="1"/>
  <c r="M28" i="8"/>
  <c r="M36" i="8" s="1"/>
  <c r="M32" i="8"/>
  <c r="H8" i="10" s="1"/>
  <c r="L34" i="8"/>
  <c r="L30" i="8"/>
  <c r="L38" i="8" s="1"/>
  <c r="L29" i="8"/>
  <c r="L37" i="8" s="1"/>
  <c r="J25" i="10"/>
  <c r="L32" i="8"/>
  <c r="H5" i="10" s="1"/>
  <c r="L31" i="8"/>
  <c r="L39" i="8" s="1"/>
  <c r="L28" i="8"/>
  <c r="L36" i="8" s="1"/>
  <c r="L27" i="8"/>
  <c r="L35" i="8" s="1"/>
  <c r="L54" i="8" s="1"/>
  <c r="J15" i="10"/>
  <c r="J9" i="10"/>
  <c r="J85" i="10"/>
  <c r="J56" i="10"/>
  <c r="J83" i="10"/>
  <c r="N23" i="8"/>
  <c r="N25" i="8" s="1"/>
  <c r="J11" i="10" s="1"/>
  <c r="J75" i="10"/>
  <c r="J7" i="10"/>
  <c r="J79" i="10"/>
  <c r="P24" i="8"/>
  <c r="P23" i="8"/>
  <c r="P25" i="8" s="1"/>
  <c r="J17" i="10" s="1"/>
  <c r="J53" i="10"/>
  <c r="J61" i="10"/>
  <c r="J6" i="10"/>
  <c r="J77" i="10"/>
  <c r="J65" i="10"/>
  <c r="J18" i="10"/>
  <c r="J13" i="10"/>
  <c r="J12" i="10"/>
  <c r="J19" i="10"/>
  <c r="J63" i="10"/>
  <c r="J73" i="10"/>
  <c r="J71" i="10"/>
  <c r="R56" i="8" l="1"/>
  <c r="M21" i="10"/>
  <c r="M69" i="10"/>
  <c r="U10" i="8"/>
  <c r="K28" i="10"/>
  <c r="M23" i="10"/>
  <c r="O56" i="8"/>
  <c r="M14" i="10"/>
  <c r="M16" i="10"/>
  <c r="L56" i="8"/>
  <c r="M5" i="10"/>
  <c r="M81" i="10"/>
  <c r="M50" i="10"/>
  <c r="BQ10" i="8"/>
  <c r="K34" i="10"/>
  <c r="M56" i="8"/>
  <c r="M8" i="10"/>
  <c r="AS10" i="8"/>
  <c r="K31" i="10"/>
  <c r="N10" i="13"/>
  <c r="L10" i="13"/>
  <c r="L14" i="13" s="1"/>
  <c r="M40" i="8"/>
  <c r="M53" i="8"/>
  <c r="M51" i="8"/>
  <c r="R40" i="8"/>
  <c r="R53" i="8"/>
  <c r="R51" i="8"/>
  <c r="P55" i="8"/>
  <c r="P57" i="8"/>
  <c r="N55" i="8"/>
  <c r="N57" i="8"/>
  <c r="L40" i="8"/>
  <c r="L51" i="8"/>
  <c r="L53" i="8"/>
  <c r="O40" i="8"/>
  <c r="O53" i="8"/>
  <c r="O51" i="8"/>
  <c r="H77" i="10"/>
  <c r="H6" i="10"/>
  <c r="H79" i="10"/>
  <c r="H56" i="10"/>
  <c r="H25" i="10"/>
  <c r="P28" i="8"/>
  <c r="P36" i="8" s="1"/>
  <c r="P32" i="8"/>
  <c r="H17" i="10" s="1"/>
  <c r="P27" i="8"/>
  <c r="P35" i="8" s="1"/>
  <c r="P54" i="8" s="1"/>
  <c r="P31" i="8"/>
  <c r="P39" i="8" s="1"/>
  <c r="P30" i="8"/>
  <c r="P38" i="8" s="1"/>
  <c r="P29" i="8"/>
  <c r="P37" i="8" s="1"/>
  <c r="P34" i="8"/>
  <c r="H85" i="10"/>
  <c r="H12" i="10"/>
  <c r="H83" i="10"/>
  <c r="H18" i="10"/>
  <c r="H61" i="10"/>
  <c r="H7" i="10"/>
  <c r="H9" i="10"/>
  <c r="N27" i="8"/>
  <c r="N35" i="8" s="1"/>
  <c r="N54" i="8" s="1"/>
  <c r="N31" i="8"/>
  <c r="N39" i="8" s="1"/>
  <c r="N28" i="8"/>
  <c r="N36" i="8" s="1"/>
  <c r="N30" i="8"/>
  <c r="N38" i="8" s="1"/>
  <c r="N34" i="8"/>
  <c r="N32" i="8"/>
  <c r="H11" i="10" s="1"/>
  <c r="N29" i="8"/>
  <c r="N37" i="8" s="1"/>
  <c r="H73" i="10"/>
  <c r="H63" i="10"/>
  <c r="H15" i="10"/>
  <c r="H10" i="10"/>
  <c r="H71" i="10"/>
  <c r="H13" i="10"/>
  <c r="H19" i="10"/>
  <c r="H65" i="10"/>
  <c r="H53" i="10"/>
  <c r="H75" i="10"/>
  <c r="M53" i="10" l="1"/>
  <c r="N56" i="8"/>
  <c r="M11" i="10"/>
  <c r="M85" i="10"/>
  <c r="M25" i="10"/>
  <c r="L50" i="8"/>
  <c r="L52" i="8" s="1"/>
  <c r="L58" i="8" s="1"/>
  <c r="K5" i="10"/>
  <c r="AA10" i="8"/>
  <c r="K50" i="10"/>
  <c r="M63" i="10"/>
  <c r="M7" i="10"/>
  <c r="M56" i="10"/>
  <c r="K81" i="10"/>
  <c r="M73" i="10"/>
  <c r="M6" i="10"/>
  <c r="K23" i="10"/>
  <c r="M75" i="10"/>
  <c r="M65" i="10"/>
  <c r="M9" i="10"/>
  <c r="M71" i="10"/>
  <c r="M19" i="10"/>
  <c r="M10" i="10"/>
  <c r="O50" i="8"/>
  <c r="O52" i="8" s="1"/>
  <c r="O58" i="8" s="1"/>
  <c r="O42" i="8" s="1"/>
  <c r="K14" i="10"/>
  <c r="M61" i="10"/>
  <c r="K69" i="10"/>
  <c r="M13" i="10"/>
  <c r="M15" i="10"/>
  <c r="M83" i="10"/>
  <c r="M12" i="10"/>
  <c r="P56" i="8"/>
  <c r="M17" i="10"/>
  <c r="M79" i="10"/>
  <c r="K16" i="10"/>
  <c r="M18" i="10"/>
  <c r="M77" i="10"/>
  <c r="R50" i="8"/>
  <c r="R52" i="8" s="1"/>
  <c r="R58" i="8" s="1"/>
  <c r="R42" i="8" s="1"/>
  <c r="L21" i="10" s="1"/>
  <c r="K21" i="10"/>
  <c r="M50" i="8"/>
  <c r="M52" i="8" s="1"/>
  <c r="M58" i="8" s="1"/>
  <c r="M42" i="8" s="1"/>
  <c r="L8" i="10" s="1"/>
  <c r="K8" i="10"/>
  <c r="R59" i="8"/>
  <c r="P40" i="8"/>
  <c r="P51" i="8"/>
  <c r="P53" i="8"/>
  <c r="O59" i="8"/>
  <c r="AE10" i="8"/>
  <c r="BK10" i="8"/>
  <c r="N40" i="8"/>
  <c r="N53" i="8"/>
  <c r="N51" i="8"/>
  <c r="L59" i="8"/>
  <c r="M59" i="8"/>
  <c r="L42" i="8" l="1"/>
  <c r="O47" i="8"/>
  <c r="O11" i="8" s="1"/>
  <c r="N14" i="10" s="1"/>
  <c r="L14" i="10"/>
  <c r="L10" i="8"/>
  <c r="L5" i="10"/>
  <c r="I5" i="10" s="1"/>
  <c r="CL11" i="8"/>
  <c r="N59" i="10" s="1"/>
  <c r="CN11" i="8"/>
  <c r="N67" i="10" s="1"/>
  <c r="AP10" i="8"/>
  <c r="BQ11" i="8"/>
  <c r="N34" i="10" s="1"/>
  <c r="AS11" i="8"/>
  <c r="N31" i="10" s="1"/>
  <c r="CH11" i="8"/>
  <c r="N37" i="10" s="1"/>
  <c r="U11" i="8"/>
  <c r="N28" i="10" s="1"/>
  <c r="K85" i="10"/>
  <c r="K56" i="10"/>
  <c r="BY10" i="8"/>
  <c r="K65" i="10"/>
  <c r="AJ10" i="8"/>
  <c r="K6" i="10"/>
  <c r="AC10" i="8"/>
  <c r="K61" i="10"/>
  <c r="BI10" i="8"/>
  <c r="K10" i="10"/>
  <c r="K18" i="10"/>
  <c r="AM10" i="8"/>
  <c r="K15" i="10"/>
  <c r="K9" i="10"/>
  <c r="K71" i="10"/>
  <c r="K53" i="10"/>
  <c r="BA10" i="8"/>
  <c r="K63" i="10"/>
  <c r="CC10" i="8"/>
  <c r="K79" i="10"/>
  <c r="L47" i="8"/>
  <c r="L11" i="8" s="1"/>
  <c r="N5" i="10" s="1"/>
  <c r="BE10" i="8"/>
  <c r="K77" i="10"/>
  <c r="K83" i="10"/>
  <c r="BN10" i="8"/>
  <c r="K25" i="10"/>
  <c r="AG10" i="8"/>
  <c r="K75" i="10"/>
  <c r="AL10" i="8"/>
  <c r="K12" i="10"/>
  <c r="N50" i="8"/>
  <c r="N52" i="8" s="1"/>
  <c r="N58" i="8" s="1"/>
  <c r="N42" i="8" s="1"/>
  <c r="K11" i="10"/>
  <c r="BH10" i="8"/>
  <c r="K7" i="10"/>
  <c r="K73" i="10"/>
  <c r="BL10" i="8"/>
  <c r="K19" i="10"/>
  <c r="BJ10" i="8"/>
  <c r="K13" i="10"/>
  <c r="P50" i="8"/>
  <c r="P52" i="8" s="1"/>
  <c r="P58" i="8" s="1"/>
  <c r="P42" i="8" s="1"/>
  <c r="K17" i="10"/>
  <c r="I8" i="10"/>
  <c r="M10" i="8"/>
  <c r="M47" i="8"/>
  <c r="M11" i="8" s="1"/>
  <c r="N8" i="10" s="1"/>
  <c r="N59" i="8"/>
  <c r="R47" i="8"/>
  <c r="R11" i="8" s="1"/>
  <c r="N21" i="10" s="1"/>
  <c r="R10" i="8"/>
  <c r="P59" i="8"/>
  <c r="CA10" i="8"/>
  <c r="O10" i="8"/>
  <c r="I66" i="10" l="1"/>
  <c r="I57" i="10"/>
  <c r="I47" i="10"/>
  <c r="I46" i="10"/>
  <c r="I45" i="10"/>
  <c r="I44" i="10"/>
  <c r="I42" i="10"/>
  <c r="I43" i="10"/>
  <c r="I41" i="10"/>
  <c r="I40" i="10"/>
  <c r="I39" i="10"/>
  <c r="I38" i="10"/>
  <c r="I82" i="10"/>
  <c r="I24" i="10"/>
  <c r="I74" i="10"/>
  <c r="I64" i="10"/>
  <c r="I76" i="10"/>
  <c r="I26" i="10"/>
  <c r="I22" i="10"/>
  <c r="I54" i="10"/>
  <c r="I51" i="10"/>
  <c r="I78" i="10"/>
  <c r="I29" i="10"/>
  <c r="I84" i="10"/>
  <c r="I62" i="10"/>
  <c r="I27" i="10"/>
  <c r="I60" i="10"/>
  <c r="I30" i="10"/>
  <c r="I32" i="10"/>
  <c r="I48" i="10"/>
  <c r="I55" i="10"/>
  <c r="N10" i="8"/>
  <c r="L11" i="10"/>
  <c r="I11" i="10" s="1"/>
  <c r="I20" i="10"/>
  <c r="P10" i="8"/>
  <c r="L17" i="10"/>
  <c r="I17" i="10" s="1"/>
  <c r="I33" i="10"/>
  <c r="I52" i="10"/>
  <c r="I72" i="10"/>
  <c r="I68" i="10"/>
  <c r="I70" i="10"/>
  <c r="I49" i="10"/>
  <c r="I80" i="10"/>
  <c r="P47" i="8"/>
  <c r="P11" i="8" s="1"/>
  <c r="N17" i="10" s="1"/>
  <c r="BK11" i="8"/>
  <c r="N16" i="10" s="1"/>
  <c r="AE11" i="8"/>
  <c r="N69" i="10" s="1"/>
  <c r="AC11" i="8"/>
  <c r="N61" i="10" s="1"/>
  <c r="BG10" i="8"/>
  <c r="AN10" i="8"/>
  <c r="BH11" i="8"/>
  <c r="N7" i="10" s="1"/>
  <c r="AP11" i="8"/>
  <c r="N23" i="10" s="1"/>
  <c r="CC11" i="8"/>
  <c r="N79" i="10" s="1"/>
  <c r="BJ11" i="8"/>
  <c r="N13" i="10" s="1"/>
  <c r="AG11" i="8"/>
  <c r="N75" i="10" s="1"/>
  <c r="BW10" i="8"/>
  <c r="AJ11" i="8"/>
  <c r="N6" i="10" s="1"/>
  <c r="CE10" i="8"/>
  <c r="AA11" i="8"/>
  <c r="N50" i="10" s="1"/>
  <c r="AI10" i="8"/>
  <c r="I23" i="10"/>
  <c r="I16" i="10"/>
  <c r="I9" i="10"/>
  <c r="I6" i="10"/>
  <c r="I50" i="10"/>
  <c r="I21" i="10"/>
  <c r="I69" i="10"/>
  <c r="I12" i="10"/>
  <c r="N47" i="8"/>
  <c r="N11" i="8" s="1"/>
  <c r="N11" i="10" s="1"/>
  <c r="I28" i="10"/>
  <c r="I14" i="10"/>
  <c r="I61" i="10"/>
  <c r="I18" i="10"/>
  <c r="I15" i="10"/>
  <c r="I75" i="10"/>
  <c r="I31" i="10"/>
  <c r="I81" i="10"/>
  <c r="AK10" i="8"/>
  <c r="AN11" i="8" l="1"/>
  <c r="N18" i="10" s="1"/>
  <c r="BC10" i="8"/>
  <c r="BL11" i="8"/>
  <c r="N19" i="10" s="1"/>
  <c r="BY11" i="8"/>
  <c r="N65" i="10" s="1"/>
  <c r="BG11" i="8"/>
  <c r="N83" i="10" s="1"/>
  <c r="AM11" i="8"/>
  <c r="N15" i="10" s="1"/>
  <c r="AL11" i="8"/>
  <c r="N12" i="10" s="1"/>
  <c r="BE11" i="8"/>
  <c r="N77" i="10" s="1"/>
  <c r="BW11" i="8"/>
  <c r="N56" i="10" s="1"/>
  <c r="CA11" i="8"/>
  <c r="N73" i="10" s="1"/>
  <c r="BI11" i="8"/>
  <c r="N10" i="10" s="1"/>
  <c r="BN11" i="8"/>
  <c r="N25" i="10" s="1"/>
  <c r="BA11" i="8"/>
  <c r="N63" i="10" s="1"/>
  <c r="AY10" i="8"/>
  <c r="CE11" i="8"/>
  <c r="N85" i="10" s="1"/>
  <c r="I13" i="10"/>
  <c r="I37" i="10"/>
  <c r="I56" i="10"/>
  <c r="I7" i="10"/>
  <c r="I53" i="10"/>
  <c r="I10" i="10"/>
  <c r="I59" i="10"/>
  <c r="I85" i="10"/>
  <c r="I73" i="10"/>
  <c r="I34" i="10"/>
  <c r="I67" i="10"/>
  <c r="I79" i="10"/>
  <c r="I19" i="10"/>
  <c r="I71" i="10"/>
  <c r="I63" i="10"/>
  <c r="I83" i="10"/>
  <c r="I25" i="10"/>
  <c r="I65" i="10"/>
  <c r="I77" i="10"/>
  <c r="AK11" i="8" l="1"/>
  <c r="N9" i="10" s="1"/>
  <c r="AY11" i="8"/>
  <c r="N53" i="10" s="1"/>
  <c r="BC11" i="8"/>
  <c r="N71" i="10" s="1"/>
  <c r="AI11" i="8"/>
  <c r="N81" i="10" s="1"/>
</calcChain>
</file>

<file path=xl/sharedStrings.xml><?xml version="1.0" encoding="utf-8"?>
<sst xmlns="http://schemas.openxmlformats.org/spreadsheetml/2006/main" count="338" uniqueCount="157">
  <si>
    <t>*</t>
  </si>
  <si>
    <t>Csmax</t>
  </si>
  <si>
    <t>Re</t>
  </si>
  <si>
    <t>As</t>
  </si>
  <si>
    <t>rm</t>
  </si>
  <si>
    <t>deq</t>
  </si>
  <si>
    <t>d2</t>
  </si>
  <si>
    <t>Dw</t>
  </si>
  <si>
    <t>Di</t>
  </si>
  <si>
    <t>Classe A</t>
  </si>
  <si>
    <t>Classe B</t>
  </si>
  <si>
    <t>Classe M</t>
  </si>
  <si>
    <t>Classe C</t>
  </si>
  <si>
    <t>Classe D</t>
  </si>
  <si>
    <t>Classe E</t>
  </si>
  <si>
    <t>Amax</t>
  </si>
  <si>
    <t>mumax</t>
  </si>
  <si>
    <t>mumin</t>
  </si>
  <si>
    <t>Amin</t>
  </si>
  <si>
    <t>Fo min (N)</t>
  </si>
  <si>
    <t>Cs nominal (N.m)</t>
  </si>
  <si>
    <t>D</t>
  </si>
  <si>
    <t>Pas</t>
  </si>
  <si>
    <t>Diametre de portée de la tete de vis ou écrou</t>
  </si>
  <si>
    <t>Pas de vis</t>
  </si>
  <si>
    <t>Diametre du trou de passage (abaque)</t>
  </si>
  <si>
    <t>Section equivalente</t>
  </si>
  <si>
    <t>Diamètre VIS</t>
  </si>
  <si>
    <t>Diamètre d0</t>
  </si>
  <si>
    <t>Classe de vis</t>
  </si>
  <si>
    <t>Classe</t>
  </si>
  <si>
    <t>Cs nom / Classe A</t>
  </si>
  <si>
    <t>Cs nom / Classe B</t>
  </si>
  <si>
    <t>Cs nom / Classe M</t>
  </si>
  <si>
    <t>Cs nom / Classe C</t>
  </si>
  <si>
    <t>Cs nom / Classe D</t>
  </si>
  <si>
    <t>Cs nom / Classe E</t>
  </si>
  <si>
    <t>Nominal</t>
  </si>
  <si>
    <t>Traction</t>
  </si>
  <si>
    <t>Cisaillement</t>
  </si>
  <si>
    <t>Valeurs estimées via le ratio connu du diamètre 10</t>
  </si>
  <si>
    <t>Di_min</t>
  </si>
  <si>
    <t>Di_max</t>
  </si>
  <si>
    <t>Classe quality</t>
  </si>
  <si>
    <t>Rrupt (N/mm²)</t>
  </si>
  <si>
    <t>Risque serrage</t>
  </si>
  <si>
    <t>Serrage nominal</t>
  </si>
  <si>
    <t>Rupture Traction</t>
  </si>
  <si>
    <t>Rr</t>
  </si>
  <si>
    <t>Rupture Cisaillement</t>
  </si>
  <si>
    <t>Tightening initial risk</t>
  </si>
  <si>
    <t>Ratio</t>
  </si>
  <si>
    <t>Ratio CS nom</t>
  </si>
  <si>
    <t>Precision</t>
  </si>
  <si>
    <t>Moyen application couple</t>
  </si>
  <si>
    <t>Moyen application tension minimale</t>
  </si>
  <si>
    <t>Tension maximale</t>
  </si>
  <si>
    <t>Force serrage Min / Classe A</t>
  </si>
  <si>
    <t>Force serrage Max</t>
  </si>
  <si>
    <t>Force serrage Min / Classe B</t>
  </si>
  <si>
    <t>Force serrage Min / Classe C</t>
  </si>
  <si>
    <t>Force serrage Min / Classe D</t>
  </si>
  <si>
    <t>Force serrage Min / Classe M</t>
  </si>
  <si>
    <t>Force serrage Min / Classe E</t>
  </si>
  <si>
    <t>Thread</t>
  </si>
  <si>
    <t>Quality class</t>
  </si>
  <si>
    <t>Screw diameter</t>
  </si>
  <si>
    <t xml:space="preserve">Nominal </t>
  </si>
  <si>
    <t>Diameter x Thread</t>
  </si>
  <si>
    <t>Tightening tool</t>
  </si>
  <si>
    <t>Class A</t>
  </si>
  <si>
    <t>Class B</t>
  </si>
  <si>
    <t>Class M</t>
  </si>
  <si>
    <t>Class C</t>
  </si>
  <si>
    <t>Class D</t>
  </si>
  <si>
    <t>Class E</t>
  </si>
  <si>
    <t>Nominal tightening force</t>
  </si>
  <si>
    <t>Traction force max</t>
  </si>
  <si>
    <t>Shear force max</t>
  </si>
  <si>
    <t>Tightening risk</t>
  </si>
  <si>
    <t>Tightening</t>
  </si>
  <si>
    <t>N.m</t>
  </si>
  <si>
    <t>Torque</t>
  </si>
  <si>
    <t>Tool class</t>
  </si>
  <si>
    <t>mm</t>
  </si>
  <si>
    <t>N</t>
  </si>
  <si>
    <t>Screw information</t>
  </si>
  <si>
    <t>OR</t>
  </si>
  <si>
    <t>Tightening force</t>
  </si>
  <si>
    <t>XA</t>
  </si>
  <si>
    <t>YA</t>
  </si>
  <si>
    <t>XB</t>
  </si>
  <si>
    <t>YB</t>
  </si>
  <si>
    <t>XC</t>
  </si>
  <si>
    <t>YC</t>
  </si>
  <si>
    <t>XD</t>
  </si>
  <si>
    <t>YD</t>
  </si>
  <si>
    <t>XG</t>
  </si>
  <si>
    <t>YG</t>
  </si>
  <si>
    <t>XCOG Quad ABCD</t>
  </si>
  <si>
    <t>Quad ABCD</t>
  </si>
  <si>
    <t>COLONNE USER</t>
  </si>
  <si>
    <t>Shear</t>
  </si>
  <si>
    <t>Failure force</t>
  </si>
  <si>
    <t>DEATDS68193</t>
  </si>
  <si>
    <t>MOT DE PASSE FEUILLE USER:</t>
  </si>
  <si>
    <t>User tightening parameter</t>
  </si>
  <si>
    <t>User tightening force</t>
  </si>
  <si>
    <t>Associated risk</t>
  </si>
  <si>
    <t>D-Pas-Classe</t>
  </si>
  <si>
    <t>Nominal (CONLO database)</t>
  </si>
  <si>
    <t>Nominal (used for database)</t>
  </si>
  <si>
    <t>Initial risk…</t>
  </si>
  <si>
    <t>...due to nominal tightening</t>
  </si>
  <si>
    <t>Min torque from Norm</t>
  </si>
  <si>
    <t>Max torque from Norm</t>
  </si>
  <si>
    <t>Torque (N.m)…</t>
  </si>
  <si>
    <t>… &amp; associated force (N)</t>
  </si>
  <si>
    <t>Screw diameter (mm)</t>
  </si>
  <si>
    <t>Thread (mm)</t>
  </si>
  <si>
    <t>Min Force from Norm</t>
  </si>
  <si>
    <t>Max Force from Norm</t>
  </si>
  <si>
    <t>1 - To fill / Screw informations</t>
  </si>
  <si>
    <t>Cells to fill by user</t>
  </si>
  <si>
    <t>Cells automatically filled</t>
  </si>
  <si>
    <t>2 - Infos / Screw force failure</t>
  </si>
  <si>
    <t>CAE Mohr risk</t>
  </si>
  <si>
    <t>3 - Infos / Nominal force tightening</t>
  </si>
  <si>
    <t>Friction max</t>
  </si>
  <si>
    <t>Friction min</t>
  </si>
  <si>
    <t>COG Area</t>
  </si>
  <si>
    <t>X</t>
  </si>
  <si>
    <t>Y</t>
  </si>
  <si>
    <t>4 - Optional / Tightening based on user torque</t>
  </si>
  <si>
    <t>5 - Infos / Torque &amp; tightening values based on Norm</t>
  </si>
  <si>
    <t>Fo max (N) 
&amp; Cs max (N.m)</t>
  </si>
  <si>
    <t>6 - Optional / Risk simulation</t>
  </si>
  <si>
    <t>CAE Traction force max</t>
  </si>
  <si>
    <t>CAE Shear force max</t>
  </si>
  <si>
    <t>M10 - 1.5 - 11.9</t>
  </si>
  <si>
    <t>Select a different screw (Diameter - Thread - Class quality)</t>
  </si>
  <si>
    <t>New estimated CAE Mohr risk</t>
  </si>
  <si>
    <t>with initial tightening risk</t>
  </si>
  <si>
    <t>Give as input the force values when risk is maximum in CAE</t>
  </si>
  <si>
    <t>/!\ Assumption: Screw change doesn't affect the loading force, which could be wrong if diameter is modified /!\</t>
  </si>
  <si>
    <t>Current CAE results</t>
  </si>
  <si>
    <t>Analytics trials with screw modification</t>
  </si>
  <si>
    <t>o</t>
  </si>
  <si>
    <t>new</t>
  </si>
  <si>
    <t>?</t>
  </si>
  <si>
    <t>New Thread</t>
  </si>
  <si>
    <t>Fine pitch (New) in grey cell</t>
  </si>
  <si>
    <t>Default pitch in white cell</t>
  </si>
  <si>
    <t>7/16 inch (NISSAN)</t>
  </si>
  <si>
    <t>7/16 inch (11.1125)</t>
  </si>
  <si>
    <t>NEW 2024 06 10</t>
  </si>
  <si>
    <t>NEW 2024 07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</si>
</sst>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</numFmts>
  <fonts count="2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5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lightDown">
        <bgColor theme="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5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" fontId="0" fillId="9" borderId="10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10" borderId="10" xfId="0" applyNumberFormat="1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2" fontId="0" fillId="11" borderId="10" xfId="0" applyNumberFormat="1" applyFill="1" applyBorder="1" applyAlignment="1">
      <alignment horizontal="center" vertical="center"/>
    </xf>
    <xf numFmtId="2" fontId="0" fillId="8" borderId="10" xfId="0" applyNumberForma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1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15" borderId="1" xfId="0" applyFont="1" applyFill="1" applyBorder="1" applyAlignment="1">
      <alignment horizontal="center" vertical="center"/>
    </xf>
    <xf numFmtId="0" fontId="0" fillId="2" borderId="0" xfId="0" applyFill="1" applyBorder="1" applyAlignment="1"/>
    <xf numFmtId="166" fontId="0" fillId="3" borderId="7" xfId="1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1" fontId="0" fillId="2" borderId="10" xfId="0" applyNumberFormat="1" applyFont="1" applyFill="1" applyBorder="1" applyAlignment="1">
      <alignment horizontal="center" vertical="center"/>
    </xf>
    <xf numFmtId="2" fontId="0" fillId="2" borderId="10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left" vertical="center"/>
      <protection hidden="1"/>
    </xf>
    <xf numFmtId="0" fontId="0" fillId="2" borderId="5" xfId="0" applyFill="1" applyBorder="1" applyAlignment="1" applyProtection="1">
      <alignment horizontal="center" vertical="center"/>
      <protection hidden="1"/>
    </xf>
    <xf numFmtId="0" fontId="0" fillId="2" borderId="6" xfId="0" applyFill="1" applyBorder="1" applyAlignment="1" applyProtection="1">
      <alignment horizontal="left" vertical="center"/>
      <protection hidden="1"/>
    </xf>
    <xf numFmtId="0" fontId="0" fillId="2" borderId="8" xfId="0" applyFill="1" applyBorder="1" applyAlignment="1" applyProtection="1">
      <alignment horizontal="center" vertical="center"/>
      <protection hidden="1"/>
    </xf>
    <xf numFmtId="166" fontId="0" fillId="3" borderId="1" xfId="1" applyNumberFormat="1" applyFont="1" applyFill="1" applyBorder="1" applyAlignment="1" applyProtection="1">
      <alignment horizontal="center" vertical="center"/>
      <protection hidden="1"/>
    </xf>
    <xf numFmtId="2" fontId="0" fillId="3" borderId="7" xfId="0" applyNumberFormat="1" applyFill="1" applyBorder="1" applyAlignment="1" applyProtection="1">
      <alignment horizontal="center" vertical="center"/>
      <protection hidden="1"/>
    </xf>
    <xf numFmtId="166" fontId="0" fillId="3" borderId="1" xfId="1" applyNumberFormat="1" applyFont="1" applyFill="1" applyBorder="1" applyAlignment="1" applyProtection="1">
      <alignment horizontal="center"/>
      <protection hidden="1"/>
    </xf>
    <xf numFmtId="0" fontId="0" fillId="2" borderId="5" xfId="0" applyFill="1" applyBorder="1" applyAlignment="1" applyProtection="1">
      <alignment horizontal="center"/>
      <protection hidden="1"/>
    </xf>
    <xf numFmtId="2" fontId="0" fillId="3" borderId="7" xfId="0" applyNumberFormat="1" applyFill="1" applyBorder="1" applyAlignment="1" applyProtection="1">
      <alignment horizontal="center"/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3" fillId="6" borderId="18" xfId="0" applyFont="1" applyFill="1" applyBorder="1" applyAlignment="1" applyProtection="1">
      <alignment horizontal="center" vertical="center" wrapText="1"/>
      <protection hidden="1"/>
    </xf>
    <xf numFmtId="0" fontId="3" fillId="6" borderId="19" xfId="0" applyFont="1" applyFill="1" applyBorder="1" applyAlignment="1" applyProtection="1">
      <alignment horizontal="center" vertical="center" wrapText="1"/>
      <protection hidden="1"/>
    </xf>
    <xf numFmtId="0" fontId="3" fillId="6" borderId="17" xfId="0" applyFont="1" applyFill="1" applyBorder="1" applyAlignment="1" applyProtection="1">
      <alignment horizontal="center" vertical="center" wrapText="1"/>
      <protection hidden="1"/>
    </xf>
    <xf numFmtId="165" fontId="0" fillId="7" borderId="20" xfId="0" applyNumberFormat="1" applyFill="1" applyBorder="1" applyAlignment="1" applyProtection="1">
      <alignment horizontal="center" vertical="center"/>
      <protection hidden="1"/>
    </xf>
    <xf numFmtId="166" fontId="0" fillId="7" borderId="14" xfId="1" applyNumberFormat="1" applyFont="1" applyFill="1" applyBorder="1" applyAlignment="1" applyProtection="1">
      <alignment horizontal="center" vertical="center"/>
      <protection hidden="1"/>
    </xf>
    <xf numFmtId="0" fontId="3" fillId="3" borderId="9" xfId="0" applyFont="1" applyFill="1" applyBorder="1" applyAlignment="1" applyProtection="1">
      <alignment horizontal="center" vertical="center"/>
      <protection hidden="1"/>
    </xf>
    <xf numFmtId="0" fontId="0" fillId="1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left"/>
      <protection hidden="1"/>
    </xf>
    <xf numFmtId="0" fontId="0" fillId="2" borderId="6" xfId="0" applyFill="1" applyBorder="1" applyAlignment="1" applyProtection="1">
      <alignment horizontal="left"/>
      <protection hidden="1"/>
    </xf>
    <xf numFmtId="0" fontId="0" fillId="2" borderId="0" xfId="0" applyFill="1" applyAlignment="1">
      <alignment wrapText="1"/>
    </xf>
    <xf numFmtId="0" fontId="13" fillId="0" borderId="0" xfId="0" applyFont="1"/>
    <xf numFmtId="0" fontId="5" fillId="0" borderId="1" xfId="0" applyFont="1" applyFill="1" applyBorder="1" applyAlignment="1">
      <alignment horizontal="center" vertical="center"/>
    </xf>
    <xf numFmtId="166" fontId="0" fillId="0" borderId="1" xfId="1" applyNumberFormat="1" applyFont="1" applyFill="1" applyBorder="1" applyAlignment="1" applyProtection="1">
      <alignment horizontal="center"/>
      <protection hidden="1"/>
    </xf>
    <xf numFmtId="2" fontId="0" fillId="0" borderId="7" xfId="0" applyNumberFormat="1" applyFill="1" applyBorder="1" applyAlignment="1" applyProtection="1">
      <alignment horizontal="center"/>
      <protection hidden="1"/>
    </xf>
    <xf numFmtId="1" fontId="0" fillId="18" borderId="1" xfId="0" applyNumberForma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6" fillId="5" borderId="38" xfId="0" applyFont="1" applyFill="1" applyBorder="1" applyAlignment="1">
      <alignment horizontal="center" vertical="center" wrapText="1"/>
    </xf>
    <xf numFmtId="0" fontId="14" fillId="5" borderId="39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6" fillId="5" borderId="41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166" fontId="0" fillId="4" borderId="1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66" fontId="0" fillId="2" borderId="4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  <xf numFmtId="166" fontId="0" fillId="2" borderId="6" xfId="0" applyNumberForma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left" vertical="center"/>
      <protection hidden="1"/>
    </xf>
    <xf numFmtId="0" fontId="0" fillId="4" borderId="14" xfId="0" applyFill="1" applyBorder="1" applyAlignment="1">
      <alignment horizontal="center" vertical="center"/>
    </xf>
    <xf numFmtId="0" fontId="0" fillId="2" borderId="15" xfId="0" applyFill="1" applyBorder="1" applyAlignment="1" applyProtection="1">
      <alignment horizontal="center" vertical="center"/>
      <protection hidden="1"/>
    </xf>
    <xf numFmtId="166" fontId="0" fillId="3" borderId="14" xfId="1" applyNumberFormat="1" applyFont="1" applyFill="1" applyBorder="1" applyAlignment="1">
      <alignment horizontal="center" vertical="center"/>
    </xf>
    <xf numFmtId="0" fontId="0" fillId="6" borderId="30" xfId="0" applyFill="1" applyBorder="1" applyAlignment="1" applyProtection="1">
      <alignment horizontal="center" vertical="center"/>
      <protection hidden="1"/>
    </xf>
    <xf numFmtId="0" fontId="0" fillId="6" borderId="51" xfId="0" applyFill="1" applyBorder="1" applyAlignment="1" applyProtection="1">
      <alignment horizontal="center" vertical="center"/>
      <protection hidden="1"/>
    </xf>
    <xf numFmtId="0" fontId="0" fillId="6" borderId="52" xfId="0" applyFill="1" applyBorder="1" applyAlignment="1" applyProtection="1">
      <alignment horizontal="center" vertical="center"/>
      <protection hidden="1"/>
    </xf>
    <xf numFmtId="166" fontId="0" fillId="4" borderId="14" xfId="1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right" vertical="center"/>
    </xf>
    <xf numFmtId="0" fontId="0" fillId="2" borderId="8" xfId="0" applyFill="1" applyBorder="1" applyAlignment="1">
      <alignment horizontal="center" vertical="center"/>
    </xf>
    <xf numFmtId="2" fontId="0" fillId="3" borderId="7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4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" fontId="0" fillId="2" borderId="27" xfId="0" applyNumberFormat="1" applyFill="1" applyBorder="1" applyAlignment="1">
      <alignment horizontal="center" vertical="center"/>
    </xf>
    <xf numFmtId="1" fontId="0" fillId="2" borderId="55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0" fontId="14" fillId="5" borderId="5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57" xfId="0" applyFill="1" applyBorder="1" applyAlignment="1">
      <alignment horizontal="center" vertical="center"/>
    </xf>
    <xf numFmtId="1" fontId="0" fillId="2" borderId="0" xfId="0" applyNumberFormat="1" applyFill="1"/>
    <xf numFmtId="1" fontId="12" fillId="5" borderId="6" xfId="0" applyNumberFormat="1" applyFont="1" applyFill="1" applyBorder="1" applyAlignment="1">
      <alignment horizontal="center" vertical="center" wrapText="1"/>
    </xf>
    <xf numFmtId="1" fontId="0" fillId="20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21" borderId="1" xfId="0" applyNumberFormat="1" applyFill="1" applyBorder="1" applyAlignment="1">
      <alignment horizontal="center" vertical="center"/>
    </xf>
    <xf numFmtId="1" fontId="0" fillId="22" borderId="1" xfId="0" applyNumberFormat="1" applyFill="1" applyBorder="1" applyAlignment="1">
      <alignment horizontal="center" vertical="center"/>
    </xf>
    <xf numFmtId="1" fontId="0" fillId="17" borderId="1" xfId="0" applyNumberFormat="1" applyFill="1" applyBorder="1" applyAlignment="1">
      <alignment horizontal="center" vertical="center"/>
    </xf>
    <xf numFmtId="1" fontId="0" fillId="23" borderId="1" xfId="0" applyNumberFormat="1" applyFill="1" applyBorder="1" applyAlignment="1">
      <alignment horizontal="center" vertical="center"/>
    </xf>
    <xf numFmtId="1" fontId="0" fillId="30" borderId="1" xfId="0" applyNumberFormat="1" applyFill="1" applyBorder="1" applyAlignment="1">
      <alignment horizontal="center" vertical="center"/>
    </xf>
    <xf numFmtId="1" fontId="0" fillId="24" borderId="1" xfId="0" applyNumberFormat="1" applyFill="1" applyBorder="1" applyAlignment="1">
      <alignment horizontal="center" vertical="center"/>
    </xf>
    <xf numFmtId="1" fontId="0" fillId="14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25" borderId="1" xfId="0" applyNumberFormat="1" applyFill="1" applyBorder="1" applyAlignment="1">
      <alignment horizontal="center" vertical="center"/>
    </xf>
    <xf numFmtId="1" fontId="0" fillId="26" borderId="1" xfId="0" applyNumberForma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wrapText="1"/>
    </xf>
    <xf numFmtId="0" fontId="3" fillId="29" borderId="1" xfId="0" applyFont="1" applyFill="1" applyBorder="1" applyAlignment="1">
      <alignment horizontal="center" vertical="center" wrapText="1"/>
    </xf>
    <xf numFmtId="0" fontId="15" fillId="5" borderId="33" xfId="0" applyFont="1" applyFill="1" applyBorder="1" applyAlignment="1">
      <alignment horizontal="center" vertical="center"/>
    </xf>
    <xf numFmtId="0" fontId="15" fillId="5" borderId="34" xfId="0" applyFont="1" applyFill="1" applyBorder="1" applyAlignment="1">
      <alignment horizontal="center" vertical="center"/>
    </xf>
    <xf numFmtId="0" fontId="15" fillId="5" borderId="35" xfId="0" applyFont="1" applyFill="1" applyBorder="1" applyAlignment="1">
      <alignment horizontal="center" vertical="center"/>
    </xf>
    <xf numFmtId="0" fontId="15" fillId="5" borderId="36" xfId="0" applyFont="1" applyFill="1" applyBorder="1" applyAlignment="1">
      <alignment horizontal="center" vertical="center"/>
    </xf>
    <xf numFmtId="0" fontId="15" fillId="5" borderId="25" xfId="0" applyFont="1" applyFill="1" applyBorder="1" applyAlignment="1">
      <alignment horizontal="center" vertical="center"/>
    </xf>
    <xf numFmtId="0" fontId="15" fillId="5" borderId="30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wrapText="1"/>
    </xf>
    <xf numFmtId="0" fontId="19" fillId="2" borderId="0" xfId="0" quotePrefix="1" applyFont="1" applyFill="1" applyBorder="1" applyAlignment="1">
      <alignment horizontal="center" vertical="center" wrapText="1"/>
    </xf>
    <xf numFmtId="0" fontId="0" fillId="28" borderId="33" xfId="0" applyFill="1" applyBorder="1" applyAlignment="1">
      <alignment horizontal="center"/>
    </xf>
    <xf numFmtId="0" fontId="0" fillId="28" borderId="34" xfId="0" applyFill="1" applyBorder="1" applyAlignment="1">
      <alignment horizontal="center"/>
    </xf>
    <xf numFmtId="0" fontId="0" fillId="28" borderId="35" xfId="0" applyFill="1" applyBorder="1" applyAlignment="1">
      <alignment horizontal="center"/>
    </xf>
    <xf numFmtId="0" fontId="3" fillId="6" borderId="53" xfId="0" applyFont="1" applyFill="1" applyBorder="1" applyAlignment="1" applyProtection="1">
      <alignment horizontal="center" vertical="center"/>
      <protection hidden="1"/>
    </xf>
    <xf numFmtId="0" fontId="3" fillId="6" borderId="10" xfId="0" applyFont="1" applyFill="1" applyBorder="1" applyAlignment="1" applyProtection="1">
      <alignment horizontal="center" vertical="center"/>
      <protection hidden="1"/>
    </xf>
    <xf numFmtId="0" fontId="3" fillId="6" borderId="11" xfId="0" applyFont="1" applyFill="1" applyBorder="1" applyAlignment="1" applyProtection="1">
      <alignment horizontal="center" vertical="center"/>
      <protection hidden="1"/>
    </xf>
    <xf numFmtId="1" fontId="0" fillId="7" borderId="15" xfId="0" applyNumberFormat="1" applyFill="1" applyBorder="1" applyAlignment="1" applyProtection="1">
      <alignment horizontal="center" vertical="center" wrapText="1"/>
      <protection hidden="1"/>
    </xf>
    <xf numFmtId="0" fontId="0" fillId="7" borderId="5" xfId="0" applyFill="1" applyBorder="1" applyAlignment="1" applyProtection="1">
      <alignment horizontal="center" vertical="center" wrapText="1"/>
      <protection hidden="1"/>
    </xf>
    <xf numFmtId="0" fontId="0" fillId="7" borderId="8" xfId="0" applyFill="1" applyBorder="1" applyAlignment="1" applyProtection="1">
      <alignment horizontal="center" vertical="center" wrapText="1"/>
      <protection hidden="1"/>
    </xf>
    <xf numFmtId="0" fontId="17" fillId="4" borderId="16" xfId="0" applyFont="1" applyFill="1" applyBorder="1" applyAlignment="1" applyProtection="1">
      <alignment horizontal="left" vertical="center"/>
      <protection hidden="1"/>
    </xf>
    <xf numFmtId="0" fontId="17" fillId="4" borderId="17" xfId="0" applyFont="1" applyFill="1" applyBorder="1" applyAlignment="1" applyProtection="1">
      <alignment horizontal="left" vertical="center"/>
      <protection hidden="1"/>
    </xf>
    <xf numFmtId="0" fontId="17" fillId="4" borderId="18" xfId="0" applyFont="1" applyFill="1" applyBorder="1" applyAlignment="1" applyProtection="1">
      <alignment horizontal="left" vertical="center"/>
      <protection hidden="1"/>
    </xf>
    <xf numFmtId="0" fontId="3" fillId="6" borderId="31" xfId="0" applyFont="1" applyFill="1" applyBorder="1" applyAlignment="1" applyProtection="1">
      <alignment horizontal="center" vertical="center" wrapText="1"/>
      <protection hidden="1"/>
    </xf>
    <xf numFmtId="0" fontId="3" fillId="6" borderId="50" xfId="0" applyFont="1" applyFill="1" applyBorder="1" applyAlignment="1" applyProtection="1">
      <alignment horizontal="center" vertical="center" wrapText="1"/>
      <protection hidden="1"/>
    </xf>
    <xf numFmtId="0" fontId="3" fillId="6" borderId="35" xfId="0" applyFont="1" applyFill="1" applyBorder="1" applyAlignment="1" applyProtection="1">
      <alignment horizontal="center" vertical="center" wrapText="1"/>
      <protection hidden="1"/>
    </xf>
    <xf numFmtId="0" fontId="3" fillId="6" borderId="44" xfId="0" applyFont="1" applyFill="1" applyBorder="1" applyAlignment="1" applyProtection="1">
      <alignment horizontal="center" vertical="center" wrapText="1"/>
      <protection hidden="1"/>
    </xf>
    <xf numFmtId="0" fontId="18" fillId="2" borderId="34" xfId="0" applyFont="1" applyFill="1" applyBorder="1" applyAlignment="1">
      <alignment horizontal="center" wrapText="1"/>
    </xf>
    <xf numFmtId="0" fontId="18" fillId="2" borderId="0" xfId="0" applyFont="1" applyFill="1" applyBorder="1" applyAlignment="1">
      <alignment horizontal="center" wrapText="1"/>
    </xf>
    <xf numFmtId="0" fontId="3" fillId="6" borderId="22" xfId="0" applyFont="1" applyFill="1" applyBorder="1" applyAlignment="1" applyProtection="1">
      <alignment horizontal="center" vertical="center"/>
      <protection hidden="1"/>
    </xf>
    <xf numFmtId="0" fontId="3" fillId="6" borderId="23" xfId="0" applyFont="1" applyFill="1" applyBorder="1" applyAlignment="1" applyProtection="1">
      <alignment horizontal="center" vertical="center"/>
      <protection hidden="1"/>
    </xf>
    <xf numFmtId="0" fontId="3" fillId="6" borderId="24" xfId="0" applyFont="1" applyFill="1" applyBorder="1" applyAlignment="1" applyProtection="1">
      <alignment horizontal="center" vertical="center"/>
      <protection hidden="1"/>
    </xf>
    <xf numFmtId="0" fontId="17" fillId="4" borderId="47" xfId="0" applyFont="1" applyFill="1" applyBorder="1" applyAlignment="1" applyProtection="1">
      <alignment horizontal="center" vertical="center"/>
      <protection hidden="1"/>
    </xf>
    <xf numFmtId="0" fontId="17" fillId="4" borderId="48" xfId="0" applyFont="1" applyFill="1" applyBorder="1" applyAlignment="1" applyProtection="1">
      <alignment horizontal="center" vertical="center"/>
      <protection hidden="1"/>
    </xf>
    <xf numFmtId="0" fontId="17" fillId="4" borderId="46" xfId="0" applyFont="1" applyFill="1" applyBorder="1" applyAlignment="1" applyProtection="1">
      <alignment horizontal="center" vertical="center"/>
      <protection hidden="1"/>
    </xf>
    <xf numFmtId="0" fontId="17" fillId="3" borderId="22" xfId="0" applyFont="1" applyFill="1" applyBorder="1" applyAlignment="1" applyProtection="1">
      <alignment horizontal="left"/>
      <protection hidden="1"/>
    </xf>
    <xf numFmtId="0" fontId="17" fillId="3" borderId="23" xfId="0" applyFont="1" applyFill="1" applyBorder="1" applyAlignment="1" applyProtection="1">
      <alignment horizontal="left"/>
      <protection hidden="1"/>
    </xf>
    <xf numFmtId="0" fontId="17" fillId="3" borderId="24" xfId="0" applyFont="1" applyFill="1" applyBorder="1" applyAlignment="1" applyProtection="1">
      <alignment horizontal="left"/>
      <protection hidden="1"/>
    </xf>
    <xf numFmtId="0" fontId="0" fillId="28" borderId="4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28" borderId="5" xfId="0" applyFill="1" applyBorder="1" applyAlignment="1">
      <alignment horizontal="center"/>
    </xf>
    <xf numFmtId="0" fontId="0" fillId="23" borderId="33" xfId="0" applyFill="1" applyBorder="1" applyAlignment="1">
      <alignment horizontal="center"/>
    </xf>
    <xf numFmtId="0" fontId="0" fillId="23" borderId="35" xfId="0" applyFill="1" applyBorder="1" applyAlignment="1">
      <alignment horizontal="center"/>
    </xf>
    <xf numFmtId="0" fontId="0" fillId="4" borderId="19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" fontId="3" fillId="3" borderId="22" xfId="0" applyNumberFormat="1" applyFont="1" applyFill="1" applyBorder="1" applyAlignment="1" applyProtection="1">
      <alignment horizontal="center" vertical="center"/>
      <protection hidden="1"/>
    </xf>
    <xf numFmtId="1" fontId="3" fillId="3" borderId="24" xfId="0" applyNumberFormat="1" applyFont="1" applyFill="1" applyBorder="1" applyAlignment="1" applyProtection="1">
      <alignment horizontal="center" vertical="center"/>
      <protection hidden="1"/>
    </xf>
    <xf numFmtId="0" fontId="0" fillId="27" borderId="33" xfId="0" applyFill="1" applyBorder="1" applyAlignment="1">
      <alignment horizontal="center" vertical="center"/>
    </xf>
    <xf numFmtId="0" fontId="0" fillId="27" borderId="35" xfId="0" applyFill="1" applyBorder="1" applyAlignment="1">
      <alignment horizontal="center" vertical="center"/>
    </xf>
    <xf numFmtId="0" fontId="17" fillId="4" borderId="33" xfId="0" applyFont="1" applyFill="1" applyBorder="1" applyAlignment="1">
      <alignment horizontal="center" wrapText="1"/>
    </xf>
    <xf numFmtId="0" fontId="17" fillId="4" borderId="34" xfId="0" applyFont="1" applyFill="1" applyBorder="1" applyAlignment="1">
      <alignment horizontal="center" wrapText="1"/>
    </xf>
    <xf numFmtId="0" fontId="17" fillId="4" borderId="35" xfId="0" applyFont="1" applyFill="1" applyBorder="1" applyAlignment="1">
      <alignment horizontal="center" wrapText="1"/>
    </xf>
    <xf numFmtId="0" fontId="17" fillId="4" borderId="16" xfId="0" applyFont="1" applyFill="1" applyBorder="1" applyAlignment="1" applyProtection="1">
      <alignment horizontal="left"/>
      <protection hidden="1"/>
    </xf>
    <xf numFmtId="0" fontId="17" fillId="4" borderId="17" xfId="0" applyFont="1" applyFill="1" applyBorder="1" applyAlignment="1" applyProtection="1">
      <alignment horizontal="left"/>
      <protection hidden="1"/>
    </xf>
    <xf numFmtId="0" fontId="17" fillId="4" borderId="18" xfId="0" applyFont="1" applyFill="1" applyBorder="1" applyAlignment="1" applyProtection="1">
      <alignment horizontal="left"/>
      <protection hidden="1"/>
    </xf>
    <xf numFmtId="0" fontId="17" fillId="3" borderId="16" xfId="0" applyFont="1" applyFill="1" applyBorder="1" applyAlignment="1" applyProtection="1">
      <alignment horizontal="left"/>
      <protection hidden="1"/>
    </xf>
    <xf numFmtId="0" fontId="17" fillId="3" borderId="17" xfId="0" applyFont="1" applyFill="1" applyBorder="1" applyAlignment="1" applyProtection="1">
      <alignment horizontal="left"/>
      <protection hidden="1"/>
    </xf>
    <xf numFmtId="0" fontId="17" fillId="3" borderId="18" xfId="0" applyFont="1" applyFill="1" applyBorder="1" applyAlignment="1" applyProtection="1">
      <alignment horizontal="left"/>
      <protection hidden="1"/>
    </xf>
    <xf numFmtId="2" fontId="0" fillId="16" borderId="32" xfId="0" applyNumberFormat="1" applyFill="1" applyBorder="1" applyAlignment="1" applyProtection="1">
      <alignment horizontal="center" vertical="center"/>
      <protection hidden="1"/>
    </xf>
    <xf numFmtId="2" fontId="0" fillId="16" borderId="49" xfId="0" applyNumberFormat="1" applyFill="1" applyBorder="1" applyAlignment="1" applyProtection="1">
      <alignment horizontal="center" vertical="center"/>
      <protection hidden="1"/>
    </xf>
    <xf numFmtId="2" fontId="0" fillId="16" borderId="12" xfId="0" applyNumberFormat="1" applyFill="1" applyBorder="1" applyAlignment="1" applyProtection="1">
      <alignment horizontal="center" vertical="center"/>
      <protection hidden="1"/>
    </xf>
    <xf numFmtId="2" fontId="0" fillId="16" borderId="30" xfId="0" applyNumberFormat="1" applyFill="1" applyBorder="1" applyAlignment="1" applyProtection="1">
      <alignment horizontal="center" vertical="center"/>
      <protection hidden="1"/>
    </xf>
    <xf numFmtId="0" fontId="11" fillId="2" borderId="29" xfId="0" applyFont="1" applyFill="1" applyBorder="1" applyAlignment="1">
      <alignment horizontal="center" vertical="center"/>
    </xf>
    <xf numFmtId="0" fontId="17" fillId="3" borderId="42" xfId="0" applyFont="1" applyFill="1" applyBorder="1" applyAlignment="1">
      <alignment horizontal="center" wrapText="1"/>
    </xf>
    <xf numFmtId="0" fontId="17" fillId="3" borderId="43" xfId="0" applyFont="1" applyFill="1" applyBorder="1" applyAlignment="1">
      <alignment horizontal="center" wrapText="1"/>
    </xf>
    <xf numFmtId="0" fontId="17" fillId="3" borderId="44" xfId="0" applyFont="1" applyFill="1" applyBorder="1" applyAlignment="1">
      <alignment horizontal="center" wrapText="1"/>
    </xf>
    <xf numFmtId="0" fontId="0" fillId="2" borderId="2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</cellXfs>
  <cellStyles count="2">
    <cellStyle name="Milliers" xfId="1" builtinId="3"/>
    <cellStyle name="Normal" xfId="0" builtinId="0"/>
  </cellStyles>
  <dxfs count="18">
    <dxf>
      <font>
        <b/>
        <i val="0"/>
        <color rgb="FFFF0000"/>
      </font>
    </dxf>
    <dxf>
      <font>
        <b/>
        <i val="0"/>
        <color rgb="FFFF0000"/>
      </font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\ _€_-;\-* #,##0\ _€_-;_-* &quot;-&quot;??\ _€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\ _€_-;\-* #,##0\ _€_-;_-* &quot;-&quot;??\ _€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\ _€_-;\-* #,##0\ _€_-;_-* &quot;-&quot;??\ _€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CC"/>
      <color rgb="FF0099CC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/>
              <a:t>[DYNAMIC] Tightening area from Norm + Nominal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241722623943309"/>
          <c:w val="0.77982742782152226"/>
          <c:h val="0.621168779591470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User_Screw_Compute!$H$35</c:f>
              <c:strCache>
                <c:ptCount val="1"/>
                <c:pt idx="0">
                  <c:v>Friction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User_Screw_Compute!$H$37:$H$43</c:f>
              <c:numCache>
                <c:formatCode>_-* #\ ##0\ _€_-;\-* #\ ##0\ _€_-;_-* "-"??\ _€_-;_-@_-</c:formatCode>
                <c:ptCount val="7"/>
                <c:pt idx="0">
                  <c:v>23220.135362578025</c:v>
                </c:pt>
                <c:pt idx="1">
                  <c:v>29474.717278423952</c:v>
                </c:pt>
                <c:pt idx="2">
                  <c:v>40811.147000894714</c:v>
                </c:pt>
                <c:pt idx="3">
                  <c:v>45247.141240122386</c:v>
                </c:pt>
                <c:pt idx="4">
                  <c:v>50086.407682916222</c:v>
                </c:pt>
                <c:pt idx="5">
                  <c:v>55386.556644071374</c:v>
                </c:pt>
                <c:pt idx="6">
                  <c:v>61216.720501342053</c:v>
                </c:pt>
              </c:numCache>
            </c:numRef>
          </c:xVal>
          <c:yVal>
            <c:numRef>
              <c:f>User_Screw_Compute!$I$37:$I$43</c:f>
              <c:numCache>
                <c:formatCode>0.0</c:formatCode>
                <c:ptCount val="7"/>
                <c:pt idx="0">
                  <c:v>136.46913630835459</c:v>
                </c:pt>
                <c:pt idx="1">
                  <c:v>146.57796122008455</c:v>
                </c:pt>
                <c:pt idx="2">
                  <c:v>164.90020637259514</c:v>
                </c:pt>
                <c:pt idx="3">
                  <c:v>172.06978056270796</c:v>
                </c:pt>
                <c:pt idx="4">
                  <c:v>179.89113422464922</c:v>
                </c:pt>
                <c:pt idx="5">
                  <c:v>188.45737871153727</c:v>
                </c:pt>
                <c:pt idx="6">
                  <c:v>197.88024764711415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5A-435B-BB51-E6CA739BB5A0}"/>
            </c:ext>
          </c:extLst>
        </c:ser>
        <c:ser>
          <c:idx val="1"/>
          <c:order val="1"/>
          <c:tx>
            <c:strRef>
              <c:f>User_Screw_Compute!$J$35</c:f>
              <c:strCache>
                <c:ptCount val="1"/>
                <c:pt idx="0">
                  <c:v>Friction 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User_Screw_Compute!$J$37:$J$43</c:f>
              <c:numCache>
                <c:formatCode>_-* #\ ##0\ _€_-;\-* #\ ##0\ _€_-;_-* "-"??\ _€_-;_-@_-</c:formatCode>
                <c:ptCount val="7"/>
                <c:pt idx="0">
                  <c:v>33583.46734875843</c:v>
                </c:pt>
                <c:pt idx="6">
                  <c:v>88538.232101272224</c:v>
                </c:pt>
              </c:numCache>
            </c:numRef>
          </c:xVal>
          <c:yVal>
            <c:numRef>
              <c:f>User_Screw_Compute!$K$37:$K$43</c:f>
              <c:numCache>
                <c:formatCode>0.0</c:formatCode>
                <c:ptCount val="7"/>
                <c:pt idx="0">
                  <c:v>136.46913630835459</c:v>
                </c:pt>
                <c:pt idx="6">
                  <c:v>197.88024764711415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5A-435B-BB51-E6CA739BB5A0}"/>
            </c:ext>
          </c:extLst>
        </c:ser>
        <c:ser>
          <c:idx val="2"/>
          <c:order val="2"/>
          <c:tx>
            <c:strRef>
              <c:f>User_Screw_Compute!$L$35</c:f>
              <c:strCache>
                <c:ptCount val="1"/>
                <c:pt idx="0">
                  <c:v>COG Area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User_Screw_Compute!$L$37</c:f>
              <c:numCache>
                <c:formatCode>General</c:formatCode>
                <c:ptCount val="1"/>
                <c:pt idx="0">
                  <c:v>50900</c:v>
                </c:pt>
              </c:numCache>
            </c:numRef>
          </c:xVal>
          <c:yVal>
            <c:numRef>
              <c:f>User_Screw_Compute!$M$37</c:f>
              <c:numCache>
                <c:formatCode>0.0</c:formatCode>
                <c:ptCount val="1"/>
                <c:pt idx="0">
                  <c:v>167.17469197773437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5A-435B-BB51-E6CA739BB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14968"/>
        <c:axId val="855616280"/>
      </c:scatterChart>
      <c:valAx>
        <c:axId val="85561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Tightening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\ _€_-;\-* #\ ##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5616280"/>
        <c:crosses val="autoZero"/>
        <c:crossBetween val="midCat"/>
      </c:valAx>
      <c:valAx>
        <c:axId val="8556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Torque (N.m)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561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920794404161299"/>
          <c:y val="0.7199089628474441"/>
          <c:w val="0.723865995887087"/>
          <c:h val="6.3463672315237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18</xdr:row>
      <xdr:rowOff>108042</xdr:rowOff>
    </xdr:from>
    <xdr:to>
      <xdr:col>10</xdr:col>
      <xdr:colOff>1076325</xdr:colOff>
      <xdr:row>32</xdr:row>
      <xdr:rowOff>95870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802B1D9-C783-4882-8B0E-E467AF884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679917"/>
          <a:ext cx="3743325" cy="29024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180975</xdr:rowOff>
    </xdr:from>
    <xdr:to>
      <xdr:col>5</xdr:col>
      <xdr:colOff>660289</xdr:colOff>
      <xdr:row>47</xdr:row>
      <xdr:rowOff>41006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966A3D55-5512-4526-BEDD-0E85DE452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6667500"/>
          <a:ext cx="4584589" cy="2755631"/>
        </a:xfrm>
        <a:prstGeom prst="rect">
          <a:avLst/>
        </a:prstGeom>
      </xdr:spPr>
    </xdr:pic>
    <xdr:clientData/>
  </xdr:twoCellAnchor>
  <xdr:twoCellAnchor>
    <xdr:from>
      <xdr:col>6</xdr:col>
      <xdr:colOff>581025</xdr:colOff>
      <xdr:row>33</xdr:row>
      <xdr:rowOff>104775</xdr:rowOff>
    </xdr:from>
    <xdr:to>
      <xdr:col>14</xdr:col>
      <xdr:colOff>549650</xdr:colOff>
      <xdr:row>49</xdr:row>
      <xdr:rowOff>121584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2AFD6E7-F66A-4230-8BC7-CAB1E0876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1905000</xdr:colOff>
      <xdr:row>64</xdr:row>
      <xdr:rowOff>40821</xdr:rowOff>
    </xdr:from>
    <xdr:to>
      <xdr:col>15</xdr:col>
      <xdr:colOff>288568</xdr:colOff>
      <xdr:row>80</xdr:row>
      <xdr:rowOff>91440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78EB8D4-9B33-47F8-90FB-F5CC60EEB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3536" y="12260035"/>
          <a:ext cx="6392188" cy="311603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71081D-A119-4646-8E4E-FF987C2FCFE3}" name="Tableau2" displayName="Tableau2" ref="C4:N85" totalsRowShown="0" headerRowDxfId="17" headerRowBorderDxfId="16" tableBorderDxfId="15" totalsRowBorderDxfId="14">
  <autoFilter ref="C4:N85" xr:uid="{8E73D978-D52E-41DA-8D6D-3B47ACC2EA2E}"/>
  <sortState xmlns:xlrd2="http://schemas.microsoft.com/office/spreadsheetml/2017/richdata2" ref="C5:N85">
    <sortCondition ref="C4:C85"/>
  </sortState>
  <tableColumns count="12">
    <tableColumn id="1" xr3:uid="{36E88BC7-D2A2-4FA4-9B42-59DD675BBED4}" name="Screw diameter (mm)" dataDxfId="13"/>
    <tableColumn id="2" xr3:uid="{BFEA2CC2-35B7-473F-8582-941767ECF80F}" name="Thread (mm)" dataDxfId="12"/>
    <tableColumn id="3" xr3:uid="{6FF19355-E319-48B0-B7A8-AC5BA10801B0}" name="Quality class" dataDxfId="11"/>
    <tableColumn id="4" xr3:uid="{796C209D-EDFA-4F94-B117-6FF342E63507}" name="Traction" dataDxfId="10" dataCellStyle="Milliers"/>
    <tableColumn id="5" xr3:uid="{3ECDCF3A-89DE-4CB6-9D7C-C819DBD5E4B9}" name="Shear" dataDxfId="9" dataCellStyle="Milliers"/>
    <tableColumn id="17" xr3:uid="{618E34CE-5ADA-4D35-9A84-8D1D80F066AA}" name="Min torque from Norm" dataDxfId="8">
      <calculatedColumnFormula>HLOOKUP(CONCATENATE("M",Tableau2[[#This Row],[Screw diameter (mm)]]," - ",Tableau2[[#This Row],[Thread (mm)]]," - ",Tableau2[[#This Row],[Quality class]]),Table_Metier!$L$7:$CN$59,26,FALSE)</calculatedColumnFormula>
    </tableColumn>
    <tableColumn id="8" xr3:uid="{325E9A22-107B-4230-8E2C-157D136F55BF}" name="Nominal (used for database)" dataDxfId="7" dataCellStyle="Milliers">
      <calculatedColumnFormula>HLOOKUP(#REF!,Table_Metier!$L$58:$CN$59,2,FALSE)</calculatedColumnFormula>
    </tableColumn>
    <tableColumn id="19" xr3:uid="{60D8BB5B-E711-4EE0-A2DA-A0F5E309ED7E}" name="Max torque from Norm" dataDxfId="6">
      <calculatedColumnFormula>HLOOKUP(CONCATENATE("M",Tableau2[[#This Row],[Screw diameter (mm)]]," - ",Tableau2[[#This Row],[Thread (mm)]]," - ",Tableau2[[#This Row],[Quality class]]),Table_Metier!$L$7:$CN$59,19,FALSE)</calculatedColumnFormula>
    </tableColumn>
    <tableColumn id="16" xr3:uid="{BFA762C4-915C-489A-857A-D7C2EBC2101A}" name="Min Force from Norm" dataDxfId="5">
      <calculatedColumnFormula>HLOOKUP(CONCATENATE("M",Tableau2[[#This Row],[Screw diameter (mm)]]," - ",Tableau2[[#This Row],[Thread (mm)]]," - ",Tableau2[[#This Row],[Quality class]]),Table_Metier!$L$7:$CN$59,34,FALSE)</calculatedColumnFormula>
    </tableColumn>
    <tableColumn id="18" xr3:uid="{CF38DB70-D72B-4A10-8F88-2586745D2555}" name="Nominal (CONLO database)" dataDxfId="4"/>
    <tableColumn id="15" xr3:uid="{13F2116B-1F92-4015-BA85-8F79EABDD056}" name="Max Force from Norm" dataDxfId="3">
      <calculatedColumnFormula>HLOOKUP(CONCATENATE("M",Tableau2[[#This Row],[Screw diameter (mm)]]," - ",Tableau2[[#This Row],[Thread (mm)]]," - ",Tableau2[[#This Row],[Quality class]]),Table_Metier!$L$7:$CN$59,28,FALSE)</calculatedColumnFormula>
    </tableColumn>
    <tableColumn id="20" xr3:uid="{56DB6022-ABDE-4552-B2A7-3438FB661B2C}" name="...due to nominal tightening" dataDxfId="2">
      <calculatedColumnFormula>HLOOKUP(CONCATENATE("M",Tableau2[[#This Row],[Screw diameter (mm)]]," - ",Tableau2[[#This Row],[Thread (mm)]]," - ",Tableau2[[#This Row],[Quality class]]),Table_Metier!$L$7:$CN$59,5,FALSE)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N90"/>
  <sheetViews>
    <sheetView tabSelected="1" zoomScaleNormal="100" workbookViewId="0">
      <pane ySplit="4" topLeftCell="A5" activePane="bottomLeft" state="frozen"/>
      <selection pane="bottomLeft" activeCell="C2" sqref="C2:E3"/>
    </sheetView>
  </sheetViews>
  <sheetFormatPr baseColWidth="10" defaultColWidth="11.5703125" defaultRowHeight="15" x14ac:dyDescent="0.25"/>
  <cols>
    <col min="1" max="1" width="17.5703125" style="1" bestFit="1" customWidth="1"/>
    <col min="2" max="2" width="1" style="1" customWidth="1"/>
    <col min="3" max="3" width="18.28515625" style="161" bestFit="1" customWidth="1"/>
    <col min="4" max="4" width="15.7109375" style="1" customWidth="1"/>
    <col min="5" max="5" width="21.42578125" style="1" bestFit="1" customWidth="1"/>
    <col min="6" max="6" width="15.140625" style="1" bestFit="1" customWidth="1"/>
    <col min="7" max="7" width="12.28515625" style="1" bestFit="1" customWidth="1"/>
    <col min="8" max="13" width="15.7109375" style="1" customWidth="1"/>
    <col min="14" max="14" width="15.28515625" style="159" customWidth="1"/>
    <col min="15" max="16384" width="11.5703125" style="1"/>
  </cols>
  <sheetData>
    <row r="1" spans="3:14" ht="6.75" customHeight="1" thickBot="1" x14ac:dyDescent="0.3"/>
    <row r="2" spans="3:14" s="8" customFormat="1" ht="24" thickBot="1" x14ac:dyDescent="0.3">
      <c r="C2" s="178" t="s">
        <v>86</v>
      </c>
      <c r="D2" s="179"/>
      <c r="E2" s="180"/>
      <c r="F2" s="178" t="s">
        <v>103</v>
      </c>
      <c r="G2" s="180"/>
      <c r="H2" s="178" t="s">
        <v>80</v>
      </c>
      <c r="I2" s="179"/>
      <c r="J2" s="179"/>
      <c r="K2" s="179"/>
      <c r="L2" s="179"/>
      <c r="M2" s="179"/>
      <c r="N2" s="180"/>
    </row>
    <row r="3" spans="3:14" s="8" customFormat="1" ht="42" customHeight="1" thickBot="1" x14ac:dyDescent="0.3">
      <c r="C3" s="181"/>
      <c r="D3" s="182"/>
      <c r="E3" s="183"/>
      <c r="F3" s="181"/>
      <c r="G3" s="182"/>
      <c r="H3" s="186" t="s">
        <v>116</v>
      </c>
      <c r="I3" s="187"/>
      <c r="J3" s="187"/>
      <c r="K3" s="184" t="s">
        <v>117</v>
      </c>
      <c r="L3" s="184"/>
      <c r="M3" s="185"/>
      <c r="N3" s="100" t="s">
        <v>112</v>
      </c>
    </row>
    <row r="4" spans="3:14" s="94" customFormat="1" ht="60" customHeight="1" thickBot="1" x14ac:dyDescent="0.3">
      <c r="C4" s="162" t="s">
        <v>118</v>
      </c>
      <c r="D4" s="102" t="s">
        <v>119</v>
      </c>
      <c r="E4" s="103" t="s">
        <v>65</v>
      </c>
      <c r="F4" s="101" t="s">
        <v>38</v>
      </c>
      <c r="G4" s="103" t="s">
        <v>102</v>
      </c>
      <c r="H4" s="104" t="s">
        <v>114</v>
      </c>
      <c r="I4" s="105" t="s">
        <v>111</v>
      </c>
      <c r="J4" s="106" t="s">
        <v>115</v>
      </c>
      <c r="K4" s="104" t="s">
        <v>120</v>
      </c>
      <c r="L4" s="158" t="s">
        <v>110</v>
      </c>
      <c r="M4" s="107" t="s">
        <v>121</v>
      </c>
      <c r="N4" s="108" t="s">
        <v>113</v>
      </c>
    </row>
    <row r="5" spans="3:14" x14ac:dyDescent="0.25">
      <c r="C5" s="163">
        <v>3</v>
      </c>
      <c r="D5" s="9">
        <v>0.5</v>
      </c>
      <c r="E5" s="88">
        <v>6.8</v>
      </c>
      <c r="F5" s="152">
        <f>HLOOKUP(CONCATENATE("M",Tableau2[[#This Row],[Screw diameter (mm)]]," - ",Tableau2[[#This Row],[Thread (mm)]]," - ",Tableau2[[#This Row],[Quality class]]),Table_Metier!$L$7:$CN$59,2,FALSE)</f>
        <v>3020</v>
      </c>
      <c r="G5" s="152">
        <f>HLOOKUP(CONCATENATE("M",Tableau2[[#This Row],[Screw diameter (mm)]]," - ",Tableau2[[#This Row],[Thread (mm)]]," - ",Tableau2[[#This Row],[Quality class]]),Table_Metier!$L$7:$CN$59,3,FALSE)</f>
        <v>1810</v>
      </c>
      <c r="H5" s="11">
        <f>HLOOKUP(CONCATENATE("M",Tableau2[[#This Row],[Screw diameter (mm)]]," - ",Tableau2[[#This Row],[Thread (mm)]]," - ",Tableau2[[#This Row],[Quality class]]),Table_Metier!$L$7:$CN$59,26,FALSE)</f>
        <v>0.57409636692981936</v>
      </c>
      <c r="I5" s="99">
        <f>HLOOKUP(Tableau2[[#This Row],[Nominal (CONLO database)]],Table_Metier!$L$58:$CN$59,2,FALSE)</f>
        <v>0.70326804948902866</v>
      </c>
      <c r="J5" s="11">
        <f>HLOOKUP(CONCATENATE("M",Tableau2[[#This Row],[Screw diameter (mm)]]," - ",Tableau2[[#This Row],[Thread (mm)]]," - ",Tableau2[[#This Row],[Quality class]]),Table_Metier!$L$7:$CN$59,19,FALSE)</f>
        <v>0.83243973204823796</v>
      </c>
      <c r="K5" s="11">
        <f>HLOOKUP(CONCATENATE("M",Tableau2[[#This Row],[Screw diameter (mm)]]," - ",Tableau2[[#This Row],[Thread (mm)]]," - ",Tableau2[[#This Row],[Quality class]]),Table_Metier!$L$7:$CN$59,34,FALSE)</f>
        <v>442.43941830335433</v>
      </c>
      <c r="L5" s="99">
        <f>HLOOKUP(CONCATENATE("M",Tableau2[[#This Row],[Screw diameter (mm)]]," - ",Tableau2[[#This Row],[Thread (mm)]]," - ",Tableau2[[#This Row],[Quality class]]),Table_Metier!$L$7:$CN$59,36,FALSE)</f>
        <v>1000</v>
      </c>
      <c r="M5" s="156">
        <f>HLOOKUP(CONCATENATE("M",Tableau2[[#This Row],[Screw diameter (mm)]]," - ",Tableau2[[#This Row],[Thread (mm)]]," - ",Tableau2[[#This Row],[Quality class]]),Table_Metier!$L$7:$CN$59,28,FALSE)</f>
        <v>1656.7859280469236</v>
      </c>
      <c r="N5" s="10">
        <f>HLOOKUP(CONCATENATE("M",Tableau2[[#This Row],[Screw diameter (mm)]]," - ",Tableau2[[#This Row],[Thread (mm)]]," - ",Tableau2[[#This Row],[Quality class]]),Table_Metier!$L$7:$CN$59,5,FALSE)</f>
        <v>0.33112582781456956</v>
      </c>
    </row>
    <row r="6" spans="3:14" x14ac:dyDescent="0.25">
      <c r="C6" s="163">
        <v>3</v>
      </c>
      <c r="D6" s="9">
        <v>0.5</v>
      </c>
      <c r="E6" s="89">
        <v>8.8000000000000007</v>
      </c>
      <c r="F6" s="152">
        <f>HLOOKUP(CONCATENATE("M",Tableau2[[#This Row],[Screw diameter (mm)]]," - ",Tableau2[[#This Row],[Thread (mm)]]," - ",Tableau2[[#This Row],[Quality class]]),Table_Metier!$L$7:$CN$59,2,FALSE)</f>
        <v>4020</v>
      </c>
      <c r="G6" s="152">
        <f>HLOOKUP(CONCATENATE("M",Tableau2[[#This Row],[Screw diameter (mm)]]," - ",Tableau2[[#This Row],[Thread (mm)]]," - ",Tableau2[[#This Row],[Quality class]]),Table_Metier!$L$7:$CN$59,3,FALSE)</f>
        <v>2410</v>
      </c>
      <c r="H6" s="11">
        <f>HLOOKUP(CONCATENATE("M",Tableau2[[#This Row],[Screw diameter (mm)]]," - ",Tableau2[[#This Row],[Thread (mm)]]," - ",Tableau2[[#This Row],[Quality class]]),Table_Metier!$L$7:$CN$59,26,FALSE)</f>
        <v>0.76546182257309237</v>
      </c>
      <c r="I6" s="99">
        <f>HLOOKUP(Tableau2[[#This Row],[Nominal (CONLO database)]],Table_Metier!$L$58:$CN$59,2,FALSE)</f>
        <v>0.93769073265203806</v>
      </c>
      <c r="J6" s="11">
        <f>HLOOKUP(CONCATENATE("M",Tableau2[[#This Row],[Screw diameter (mm)]]," - ",Tableau2[[#This Row],[Thread (mm)]]," - ",Tableau2[[#This Row],[Quality class]]),Table_Metier!$L$7:$CN$59,19,FALSE)</f>
        <v>1.1099196427309839</v>
      </c>
      <c r="K6" s="11">
        <f>HLOOKUP(CONCATENATE("M",Tableau2[[#This Row],[Screw diameter (mm)]]," - ",Tableau2[[#This Row],[Thread (mm)]]," - ",Tableau2[[#This Row],[Quality class]]),Table_Metier!$L$7:$CN$59,34,FALSE)</f>
        <v>589.91922440447252</v>
      </c>
      <c r="L6" s="99">
        <f>HLOOKUP(CONCATENATE("M",Tableau2[[#This Row],[Screw diameter (mm)]]," - ",Tableau2[[#This Row],[Thread (mm)]]," - ",Tableau2[[#This Row],[Quality class]]),Table_Metier!$L$7:$CN$59,36,FALSE)</f>
        <v>1300</v>
      </c>
      <c r="M6" s="156">
        <f>HLOOKUP(CONCATENATE("M",Tableau2[[#This Row],[Screw diameter (mm)]]," - ",Tableau2[[#This Row],[Thread (mm)]]," - ",Tableau2[[#This Row],[Quality class]]),Table_Metier!$L$7:$CN$59,28,FALSE)</f>
        <v>2209.0479040625646</v>
      </c>
      <c r="N6" s="10">
        <f>HLOOKUP(CONCATENATE("M",Tableau2[[#This Row],[Screw diameter (mm)]]," - ",Tableau2[[#This Row],[Thread (mm)]]," - ",Tableau2[[#This Row],[Quality class]]),Table_Metier!$L$7:$CN$59,5,FALSE)</f>
        <v>0.32338308457711445</v>
      </c>
    </row>
    <row r="7" spans="3:14" x14ac:dyDescent="0.25">
      <c r="C7" s="163">
        <v>3</v>
      </c>
      <c r="D7" s="9">
        <v>0.5</v>
      </c>
      <c r="E7" s="90">
        <v>10.9</v>
      </c>
      <c r="F7" s="152">
        <f>HLOOKUP(CONCATENATE("M",Tableau2[[#This Row],[Screw diameter (mm)]]," - ",Tableau2[[#This Row],[Thread (mm)]]," - ",Tableau2[[#This Row],[Quality class]]),Table_Metier!$L$7:$CN$59,2,FALSE)</f>
        <v>5230</v>
      </c>
      <c r="G7" s="152">
        <f>HLOOKUP(CONCATENATE("M",Tableau2[[#This Row],[Screw diameter (mm)]]," - ",Tableau2[[#This Row],[Thread (mm)]]," - ",Tableau2[[#This Row],[Quality class]]),Table_Metier!$L$7:$CN$59,3,FALSE)</f>
        <v>3130</v>
      </c>
      <c r="H7" s="11">
        <f>HLOOKUP(CONCATENATE("M",Tableau2[[#This Row],[Screw diameter (mm)]]," - ",Tableau2[[#This Row],[Thread (mm)]]," - ",Tableau2[[#This Row],[Quality class]]),Table_Metier!$L$7:$CN$59,26,FALSE)</f>
        <v>1.1242720519042295</v>
      </c>
      <c r="I7" s="99">
        <f>HLOOKUP(Tableau2[[#This Row],[Nominal (CONLO database)]],Table_Metier!$L$58:$CN$59,2,FALSE)</f>
        <v>1.3772332635826809</v>
      </c>
      <c r="J7" s="11">
        <f>HLOOKUP(CONCATENATE("M",Tableau2[[#This Row],[Screw diameter (mm)]]," - ",Tableau2[[#This Row],[Thread (mm)]]," - ",Tableau2[[#This Row],[Quality class]]),Table_Metier!$L$7:$CN$59,19,FALSE)</f>
        <v>1.6301944752611326</v>
      </c>
      <c r="K7" s="11">
        <f>HLOOKUP(CONCATENATE("M",Tableau2[[#This Row],[Screw diameter (mm)]]," - ",Tableau2[[#This Row],[Thread (mm)]]," - ",Tableau2[[#This Row],[Quality class]]),Table_Metier!$L$7:$CN$59,34,FALSE)</f>
        <v>866.44386084406904</v>
      </c>
      <c r="L7" s="99">
        <f>HLOOKUP(CONCATENATE("M",Tableau2[[#This Row],[Screw diameter (mm)]]," - ",Tableau2[[#This Row],[Thread (mm)]]," - ",Tableau2[[#This Row],[Quality class]]),Table_Metier!$L$7:$CN$59,36,FALSE)</f>
        <v>1900</v>
      </c>
      <c r="M7" s="156">
        <f>HLOOKUP(CONCATENATE("M",Tableau2[[#This Row],[Screw diameter (mm)]]," - ",Tableau2[[#This Row],[Thread (mm)]]," - ",Tableau2[[#This Row],[Quality class]]),Table_Metier!$L$7:$CN$59,28,FALSE)</f>
        <v>3244.5391090918915</v>
      </c>
      <c r="N7" s="10">
        <f>HLOOKUP(CONCATENATE("M",Tableau2[[#This Row],[Screw diameter (mm)]]," - ",Tableau2[[#This Row],[Thread (mm)]]," - ",Tableau2[[#This Row],[Quality class]]),Table_Metier!$L$7:$CN$59,5,FALSE)</f>
        <v>0.3632887189292543</v>
      </c>
    </row>
    <row r="8" spans="3:14" x14ac:dyDescent="0.25">
      <c r="C8" s="164">
        <v>4</v>
      </c>
      <c r="D8" s="9">
        <v>0.7</v>
      </c>
      <c r="E8" s="88">
        <v>6.8</v>
      </c>
      <c r="F8" s="152">
        <f>HLOOKUP(CONCATENATE("M",Tableau2[[#This Row],[Screw diameter (mm)]]," - ",Tableau2[[#This Row],[Thread (mm)]]," - ",Tableau2[[#This Row],[Quality class]]),Table_Metier!$L$7:$CN$59,2,FALSE)</f>
        <v>5270</v>
      </c>
      <c r="G8" s="152">
        <f>HLOOKUP(CONCATENATE("M",Tableau2[[#This Row],[Screw diameter (mm)]]," - ",Tableau2[[#This Row],[Thread (mm)]]," - ",Tableau2[[#This Row],[Quality class]]),Table_Metier!$L$7:$CN$59,3,FALSE)</f>
        <v>3160</v>
      </c>
      <c r="H8" s="11">
        <f>HLOOKUP(CONCATENATE("M",Tableau2[[#This Row],[Screw diameter (mm)]]," - ",Tableau2[[#This Row],[Thread (mm)]]," - ",Tableau2[[#This Row],[Quality class]]),Table_Metier!$L$7:$CN$59,26,FALSE)</f>
        <v>1.3278148454476313</v>
      </c>
      <c r="I8" s="99">
        <f>HLOOKUP(Tableau2[[#This Row],[Nominal (CONLO database)]],Table_Metier!$L$58:$CN$59,2,FALSE)</f>
        <v>1.6265731856733483</v>
      </c>
      <c r="J8" s="11">
        <f>HLOOKUP(CONCATENATE("M",Tableau2[[#This Row],[Screw diameter (mm)]]," - ",Tableau2[[#This Row],[Thread (mm)]]," - ",Tableau2[[#This Row],[Quality class]]),Table_Metier!$L$7:$CN$59,19,FALSE)</f>
        <v>1.9253315258990653</v>
      </c>
      <c r="K8" s="11">
        <f>HLOOKUP(CONCATENATE("M",Tableau2[[#This Row],[Screw diameter (mm)]]," - ",Tableau2[[#This Row],[Thread (mm)]]," - ",Tableau2[[#This Row],[Quality class]]),Table_Metier!$L$7:$CN$59,34,FALSE)</f>
        <v>768.72666164135967</v>
      </c>
      <c r="L8" s="99">
        <f>HLOOKUP(CONCATENATE("M",Tableau2[[#This Row],[Screw diameter (mm)]]," - ",Tableau2[[#This Row],[Thread (mm)]]," - ",Tableau2[[#This Row],[Quality class]]),Table_Metier!$L$7:$CN$59,36,FALSE)</f>
        <v>1700</v>
      </c>
      <c r="M8" s="156">
        <f>HLOOKUP(CONCATENATE("M",Tableau2[[#This Row],[Screw diameter (mm)]]," - ",Tableau2[[#This Row],[Thread (mm)]]," - ",Tableau2[[#This Row],[Quality class]]),Table_Metier!$L$7:$CN$59,28,FALSE)</f>
        <v>2870.7435629715319</v>
      </c>
      <c r="N8" s="10">
        <f>HLOOKUP(CONCATENATE("M",Tableau2[[#This Row],[Screw diameter (mm)]]," - ",Tableau2[[#This Row],[Thread (mm)]]," - ",Tableau2[[#This Row],[Quality class]]),Table_Metier!$L$7:$CN$59,5,FALSE)</f>
        <v>0.32258064516129031</v>
      </c>
    </row>
    <row r="9" spans="3:14" x14ac:dyDescent="0.25">
      <c r="C9" s="164">
        <v>4</v>
      </c>
      <c r="D9" s="9">
        <v>0.7</v>
      </c>
      <c r="E9" s="89">
        <v>8.8000000000000007</v>
      </c>
      <c r="F9" s="152">
        <f>HLOOKUP(CONCATENATE("M",Tableau2[[#This Row],[Screw diameter (mm)]]," - ",Tableau2[[#This Row],[Thread (mm)]]," - ",Tableau2[[#This Row],[Quality class]]),Table_Metier!$L$7:$CN$59,2,FALSE)</f>
        <v>7020</v>
      </c>
      <c r="G9" s="152">
        <f>HLOOKUP(CONCATENATE("M",Tableau2[[#This Row],[Screw diameter (mm)]]," - ",Tableau2[[#This Row],[Thread (mm)]]," - ",Tableau2[[#This Row],[Quality class]]),Table_Metier!$L$7:$CN$59,3,FALSE)</f>
        <v>4200</v>
      </c>
      <c r="H9" s="11">
        <f>HLOOKUP(CONCATENATE("M",Tableau2[[#This Row],[Screw diameter (mm)]]," - ",Tableau2[[#This Row],[Thread (mm)]]," - ",Tableau2[[#This Row],[Quality class]]),Table_Metier!$L$7:$CN$59,26,FALSE)</f>
        <v>1.7704197939301751</v>
      </c>
      <c r="I9" s="99">
        <f>HLOOKUP(Tableau2[[#This Row],[Nominal (CONLO database)]],Table_Metier!$L$58:$CN$59,2,FALSE)</f>
        <v>2.1687642475644644</v>
      </c>
      <c r="J9" s="11">
        <f>HLOOKUP(CONCATENATE("M",Tableau2[[#This Row],[Screw diameter (mm)]]," - ",Tableau2[[#This Row],[Thread (mm)]]," - ",Tableau2[[#This Row],[Quality class]]),Table_Metier!$L$7:$CN$59,19,FALSE)</f>
        <v>2.5671087011987539</v>
      </c>
      <c r="K9" s="11">
        <f>HLOOKUP(CONCATENATE("M",Tableau2[[#This Row],[Screw diameter (mm)]]," - ",Tableau2[[#This Row],[Thread (mm)]]," - ",Tableau2[[#This Row],[Quality class]]),Table_Metier!$L$7:$CN$59,34,FALSE)</f>
        <v>1024.9688821884797</v>
      </c>
      <c r="L9" s="99">
        <f>HLOOKUP(CONCATENATE("M",Tableau2[[#This Row],[Screw diameter (mm)]]," - ",Tableau2[[#This Row],[Thread (mm)]]," - ",Tableau2[[#This Row],[Quality class]]),Table_Metier!$L$7:$CN$59,36,FALSE)</f>
        <v>2200</v>
      </c>
      <c r="M9" s="156">
        <f>HLOOKUP(CONCATENATE("M",Tableau2[[#This Row],[Screw diameter (mm)]]," - ",Tableau2[[#This Row],[Thread (mm)]]," - ",Tableau2[[#This Row],[Quality class]]),Table_Metier!$L$7:$CN$59,28,FALSE)</f>
        <v>3827.6580839620424</v>
      </c>
      <c r="N9" s="10">
        <f>HLOOKUP(CONCATENATE("M",Tableau2[[#This Row],[Screw diameter (mm)]]," - ",Tableau2[[#This Row],[Thread (mm)]]," - ",Tableau2[[#This Row],[Quality class]]),Table_Metier!$L$7:$CN$59,5,FALSE)</f>
        <v>0.31339031339031337</v>
      </c>
    </row>
    <row r="10" spans="3:14" x14ac:dyDescent="0.25">
      <c r="C10" s="164">
        <v>4</v>
      </c>
      <c r="D10" s="9">
        <v>0.7</v>
      </c>
      <c r="E10" s="90">
        <v>10.9</v>
      </c>
      <c r="F10" s="152">
        <f>HLOOKUP(CONCATENATE("M",Tableau2[[#This Row],[Screw diameter (mm)]]," - ",Tableau2[[#This Row],[Thread (mm)]]," - ",Tableau2[[#This Row],[Quality class]]),Table_Metier!$L$7:$CN$59,2,FALSE)</f>
        <v>9130</v>
      </c>
      <c r="G10" s="152">
        <f>HLOOKUP(CONCATENATE("M",Tableau2[[#This Row],[Screw diameter (mm)]]," - ",Tableau2[[#This Row],[Thread (mm)]]," - ",Tableau2[[#This Row],[Quality class]]),Table_Metier!$L$7:$CN$59,3,FALSE)</f>
        <v>5470</v>
      </c>
      <c r="H10" s="11">
        <f>HLOOKUP(CONCATENATE("M",Tableau2[[#This Row],[Screw diameter (mm)]]," - ",Tableau2[[#This Row],[Thread (mm)]]," - ",Tableau2[[#This Row],[Quality class]]),Table_Metier!$L$7:$CN$59,26,FALSE)</f>
        <v>2.6003040723349446</v>
      </c>
      <c r="I10" s="99">
        <f>HLOOKUP(Tableau2[[#This Row],[Nominal (CONLO database)]],Table_Metier!$L$58:$CN$59,2,FALSE)</f>
        <v>3.185372488610307</v>
      </c>
      <c r="J10" s="11">
        <f>HLOOKUP(CONCATENATE("M",Tableau2[[#This Row],[Screw diameter (mm)]]," - ",Tableau2[[#This Row],[Thread (mm)]]," - ",Tableau2[[#This Row],[Quality class]]),Table_Metier!$L$7:$CN$59,19,FALSE)</f>
        <v>3.7704409048856693</v>
      </c>
      <c r="K10" s="11">
        <f>HLOOKUP(CONCATENATE("M",Tableau2[[#This Row],[Screw diameter (mm)]]," - ",Tableau2[[#This Row],[Thread (mm)]]," - ",Tableau2[[#This Row],[Quality class]]),Table_Metier!$L$7:$CN$59,34,FALSE)</f>
        <v>1505.4230457143296</v>
      </c>
      <c r="L10" s="99">
        <f>HLOOKUP(CONCATENATE("M",Tableau2[[#This Row],[Screw diameter (mm)]]," - ",Tableau2[[#This Row],[Thread (mm)]]," - ",Tableau2[[#This Row],[Quality class]]),Table_Metier!$L$7:$CN$59,36,FALSE)</f>
        <v>3300</v>
      </c>
      <c r="M10" s="156">
        <f>HLOOKUP(CONCATENATE("M",Tableau2[[#This Row],[Screw diameter (mm)]]," - ",Tableau2[[#This Row],[Thread (mm)]]," - ",Tableau2[[#This Row],[Quality class]]),Table_Metier!$L$7:$CN$59,28,FALSE)</f>
        <v>5621.872810819249</v>
      </c>
      <c r="N10" s="10">
        <f>HLOOKUP(CONCATENATE("M",Tableau2[[#This Row],[Screw diameter (mm)]]," - ",Tableau2[[#This Row],[Thread (mm)]]," - ",Tableau2[[#This Row],[Quality class]]),Table_Metier!$L$7:$CN$59,5,FALSE)</f>
        <v>0.36144578313253012</v>
      </c>
    </row>
    <row r="11" spans="3:14" x14ac:dyDescent="0.25">
      <c r="C11" s="99">
        <v>5</v>
      </c>
      <c r="D11" s="9">
        <v>0.8</v>
      </c>
      <c r="E11" s="88">
        <v>6.8</v>
      </c>
      <c r="F11" s="152">
        <f>HLOOKUP(CONCATENATE("M",Tableau2[[#This Row],[Screw diameter (mm)]]," - ",Tableau2[[#This Row],[Thread (mm)]]," - ",Tableau2[[#This Row],[Quality class]]),Table_Metier!$L$7:$CN$59,2,FALSE)</f>
        <v>8510</v>
      </c>
      <c r="G11" s="152">
        <f>HLOOKUP(CONCATENATE("M",Tableau2[[#This Row],[Screw diameter (mm)]]," - ",Tableau2[[#This Row],[Thread (mm)]]," - ",Tableau2[[#This Row],[Quality class]]),Table_Metier!$L$7:$CN$59,3,FALSE)</f>
        <v>5100</v>
      </c>
      <c r="H11" s="11">
        <f>HLOOKUP(CONCATENATE("M",Tableau2[[#This Row],[Screw diameter (mm)]]," - ",Tableau2[[#This Row],[Thread (mm)]]," - ",Tableau2[[#This Row],[Quality class]]),Table_Metier!$L$7:$CN$59,26,FALSE)</f>
        <v>2.6818095649426494</v>
      </c>
      <c r="I11" s="99">
        <f>HLOOKUP(Tableau2[[#This Row],[Nominal (CONLO database)]],Table_Metier!$L$58:$CN$59,2,FALSE)</f>
        <v>3.2852167170547455</v>
      </c>
      <c r="J11" s="11">
        <f>HLOOKUP(CONCATENATE("M",Tableau2[[#This Row],[Screw diameter (mm)]]," - ",Tableau2[[#This Row],[Thread (mm)]]," - ",Tableau2[[#This Row],[Quality class]]),Table_Metier!$L$7:$CN$59,19,FALSE)</f>
        <v>3.8886238691668411</v>
      </c>
      <c r="K11" s="11">
        <f>HLOOKUP(CONCATENATE("M",Tableau2[[#This Row],[Screw diameter (mm)]]," - ",Tableau2[[#This Row],[Thread (mm)]]," - ",Tableau2[[#This Row],[Quality class]]),Table_Metier!$L$7:$CN$59,34,FALSE)</f>
        <v>1252.150052088597</v>
      </c>
      <c r="L11" s="99">
        <f>HLOOKUP(CONCATENATE("M",Tableau2[[#This Row],[Screw diameter (mm)]]," - ",Tableau2[[#This Row],[Thread (mm)]]," - ",Tableau2[[#This Row],[Quality class]]),Table_Metier!$L$7:$CN$59,36,FALSE)</f>
        <v>2700</v>
      </c>
      <c r="M11" s="156">
        <f>HLOOKUP(CONCATENATE("M",Tableau2[[#This Row],[Screw diameter (mm)]]," - ",Tableau2[[#This Row],[Thread (mm)]]," - ",Tableau2[[#This Row],[Quality class]]),Table_Metier!$L$7:$CN$59,28,FALSE)</f>
        <v>4696.5188887233971</v>
      </c>
      <c r="N11" s="10">
        <f>HLOOKUP(CONCATENATE("M",Tableau2[[#This Row],[Screw diameter (mm)]]," - ",Tableau2[[#This Row],[Thread (mm)]]," - ",Tableau2[[#This Row],[Quality class]]),Table_Metier!$L$7:$CN$59,5,FALSE)</f>
        <v>0.31727379553466512</v>
      </c>
    </row>
    <row r="12" spans="3:14" x14ac:dyDescent="0.25">
      <c r="C12" s="99">
        <v>5</v>
      </c>
      <c r="D12" s="9">
        <v>0.8</v>
      </c>
      <c r="E12" s="89">
        <v>8.8000000000000007</v>
      </c>
      <c r="F12" s="152">
        <f>HLOOKUP(CONCATENATE("M",Tableau2[[#This Row],[Screw diameter (mm)]]," - ",Tableau2[[#This Row],[Thread (mm)]]," - ",Tableau2[[#This Row],[Quality class]]),Table_Metier!$L$7:$CN$59,2,FALSE)</f>
        <v>11350</v>
      </c>
      <c r="G12" s="152">
        <f>HLOOKUP(CONCATENATE("M",Tableau2[[#This Row],[Screw diameter (mm)]]," - ",Tableau2[[#This Row],[Thread (mm)]]," - ",Tableau2[[#This Row],[Quality class]]),Table_Metier!$L$7:$CN$59,3,FALSE)</f>
        <v>6800</v>
      </c>
      <c r="H12" s="11">
        <f>HLOOKUP(CONCATENATE("M",Tableau2[[#This Row],[Screw diameter (mm)]]," - ",Tableau2[[#This Row],[Thread (mm)]]," - ",Tableau2[[#This Row],[Quality class]]),Table_Metier!$L$7:$CN$59,26,FALSE)</f>
        <v>3.5757460865901991</v>
      </c>
      <c r="I12" s="99">
        <f>HLOOKUP(Tableau2[[#This Row],[Nominal (CONLO database)]],Table_Metier!$L$58:$CN$59,2,FALSE)</f>
        <v>4.3802889560729934</v>
      </c>
      <c r="J12" s="11">
        <f>HLOOKUP(CONCATENATE("M",Tableau2[[#This Row],[Screw diameter (mm)]]," - ",Tableau2[[#This Row],[Thread (mm)]]," - ",Tableau2[[#This Row],[Quality class]]),Table_Metier!$L$7:$CN$59,19,FALSE)</f>
        <v>5.1848318255557881</v>
      </c>
      <c r="K12" s="11">
        <f>HLOOKUP(CONCATENATE("M",Tableau2[[#This Row],[Screw diameter (mm)]]," - ",Tableau2[[#This Row],[Thread (mm)]]," - ",Tableau2[[#This Row],[Quality class]]),Table_Metier!$L$7:$CN$59,34,FALSE)</f>
        <v>1669.533402784796</v>
      </c>
      <c r="L12" s="99">
        <f>HLOOKUP(CONCATENATE("M",Tableau2[[#This Row],[Screw diameter (mm)]]," - ",Tableau2[[#This Row],[Thread (mm)]]," - ",Tableau2[[#This Row],[Quality class]]),Table_Metier!$L$7:$CN$59,36,FALSE)</f>
        <v>3600</v>
      </c>
      <c r="M12" s="156">
        <f>HLOOKUP(CONCATENATE("M",Tableau2[[#This Row],[Screw diameter (mm)]]," - ",Tableau2[[#This Row],[Thread (mm)]]," - ",Tableau2[[#This Row],[Quality class]]),Table_Metier!$L$7:$CN$59,28,FALSE)</f>
        <v>6262.0251849645292</v>
      </c>
      <c r="N12" s="10">
        <f>HLOOKUP(CONCATENATE("M",Tableau2[[#This Row],[Screw diameter (mm)]]," - ",Tableau2[[#This Row],[Thread (mm)]]," - ",Tableau2[[#This Row],[Quality class]]),Table_Metier!$L$7:$CN$59,5,FALSE)</f>
        <v>0.31718061674008813</v>
      </c>
    </row>
    <row r="13" spans="3:14" x14ac:dyDescent="0.25">
      <c r="C13" s="99">
        <v>5</v>
      </c>
      <c r="D13" s="9">
        <v>0.8</v>
      </c>
      <c r="E13" s="90">
        <v>10.9</v>
      </c>
      <c r="F13" s="152">
        <f>HLOOKUP(CONCATENATE("M",Tableau2[[#This Row],[Screw diameter (mm)]]," - ",Tableau2[[#This Row],[Thread (mm)]]," - ",Tableau2[[#This Row],[Quality class]]),Table_Metier!$L$7:$CN$59,2,FALSE)</f>
        <v>14750</v>
      </c>
      <c r="G13" s="152">
        <f>HLOOKUP(CONCATENATE("M",Tableau2[[#This Row],[Screw diameter (mm)]]," - ",Tableau2[[#This Row],[Thread (mm)]]," - ",Tableau2[[#This Row],[Quality class]]),Table_Metier!$L$7:$CN$59,3,FALSE)</f>
        <v>8830</v>
      </c>
      <c r="H13" s="11">
        <f>HLOOKUP(CONCATENATE("M",Tableau2[[#This Row],[Screw diameter (mm)]]," - ",Tableau2[[#This Row],[Thread (mm)]]," - ",Tableau2[[#This Row],[Quality class]]),Table_Metier!$L$7:$CN$59,26,FALSE)</f>
        <v>5.2518770646793538</v>
      </c>
      <c r="I13" s="99">
        <f>HLOOKUP(Tableau2[[#This Row],[Nominal (CONLO database)]],Table_Metier!$L$58:$CN$59,2,FALSE)</f>
        <v>6.4335494042322079</v>
      </c>
      <c r="J13" s="11">
        <f>HLOOKUP(CONCATENATE("M",Tableau2[[#This Row],[Screw diameter (mm)]]," - ",Tableau2[[#This Row],[Thread (mm)]]," - ",Tableau2[[#This Row],[Quality class]]),Table_Metier!$L$7:$CN$59,19,FALSE)</f>
        <v>7.6152217437850629</v>
      </c>
      <c r="K13" s="11">
        <f>HLOOKUP(CONCATENATE("M",Tableau2[[#This Row],[Screw diameter (mm)]]," - ",Tableau2[[#This Row],[Thread (mm)]]," - ",Tableau2[[#This Row],[Quality class]]),Table_Metier!$L$7:$CN$59,34,FALSE)</f>
        <v>2452.1271853401686</v>
      </c>
      <c r="L13" s="99">
        <f>HLOOKUP(CONCATENATE("M",Tableau2[[#This Row],[Screw diameter (mm)]]," - ",Tableau2[[#This Row],[Thread (mm)]]," - ",Tableau2[[#This Row],[Quality class]]),Table_Metier!$L$7:$CN$59,36,FALSE)</f>
        <v>5300</v>
      </c>
      <c r="M13" s="156">
        <f>HLOOKUP(CONCATENATE("M",Tableau2[[#This Row],[Screw diameter (mm)]]," - ",Tableau2[[#This Row],[Thread (mm)]]," - ",Tableau2[[#This Row],[Quality class]]),Table_Metier!$L$7:$CN$59,28,FALSE)</f>
        <v>9197.3494904166528</v>
      </c>
      <c r="N13" s="10">
        <f>HLOOKUP(CONCATENATE("M",Tableau2[[#This Row],[Screw diameter (mm)]]," - ",Tableau2[[#This Row],[Thread (mm)]]," - ",Tableau2[[#This Row],[Quality class]]),Table_Metier!$L$7:$CN$59,5,FALSE)</f>
        <v>0.35932203389830508</v>
      </c>
    </row>
    <row r="14" spans="3:14" x14ac:dyDescent="0.25">
      <c r="C14" s="165">
        <v>6</v>
      </c>
      <c r="D14" s="9">
        <v>1</v>
      </c>
      <c r="E14" s="88">
        <v>6.8</v>
      </c>
      <c r="F14" s="152">
        <f>HLOOKUP(CONCATENATE("M",Tableau2[[#This Row],[Screw diameter (mm)]]," - ",Tableau2[[#This Row],[Thread (mm)]]," - ",Tableau2[[#This Row],[Quality class]]),Table_Metier!$L$7:$CN$59,2,FALSE)</f>
        <v>12070</v>
      </c>
      <c r="G14" s="152">
        <f>HLOOKUP(CONCATENATE("M",Tableau2[[#This Row],[Screw diameter (mm)]]," - ",Tableau2[[#This Row],[Thread (mm)]]," - ",Tableau2[[#This Row],[Quality class]]),Table_Metier!$L$7:$CN$59,3,FALSE)</f>
        <v>7230</v>
      </c>
      <c r="H14" s="11">
        <f>HLOOKUP(CONCATENATE("M",Tableau2[[#This Row],[Screw diameter (mm)]]," - ",Tableau2[[#This Row],[Thread (mm)]]," - ",Tableau2[[#This Row],[Quality class]]),Table_Metier!$L$7:$CN$59,26,FALSE)</f>
        <v>4.5679934371588082</v>
      </c>
      <c r="I14" s="99">
        <f>HLOOKUP(Tableau2[[#This Row],[Nominal (CONLO database)]],Table_Metier!$L$58:$CN$59,2,FALSE)</f>
        <v>5.5957919605195396</v>
      </c>
      <c r="J14" s="11">
        <f>HLOOKUP(CONCATENATE("M",Tableau2[[#This Row],[Screw diameter (mm)]]," - ",Tableau2[[#This Row],[Thread (mm)]]," - ",Tableau2[[#This Row],[Quality class]]),Table_Metier!$L$7:$CN$59,19,FALSE)</f>
        <v>6.6235904838802711</v>
      </c>
      <c r="K14" s="11">
        <f>HLOOKUP(CONCATENATE("M",Tableau2[[#This Row],[Screw diameter (mm)]]," - ",Tableau2[[#This Row],[Thread (mm)]]," - ",Tableau2[[#This Row],[Quality class]]),Table_Metier!$L$7:$CN$59,34,FALSE)</f>
        <v>1770.2958737872266</v>
      </c>
      <c r="L14" s="99">
        <f>HLOOKUP(CONCATENATE("M",Tableau2[[#This Row],[Screw diameter (mm)]]," - ",Tableau2[[#This Row],[Thread (mm)]]," - ",Tableau2[[#This Row],[Quality class]]),Table_Metier!$L$7:$CN$59,36,FALSE)</f>
        <v>3800</v>
      </c>
      <c r="M14" s="156">
        <f>HLOOKUP(CONCATENATE("M",Tableau2[[#This Row],[Screw diameter (mm)]]," - ",Tableau2[[#This Row],[Thread (mm)]]," - ",Tableau2[[#This Row],[Quality class]]),Table_Metier!$L$7:$CN$59,28,FALSE)</f>
        <v>6627.1437121876934</v>
      </c>
      <c r="N14" s="10">
        <f>HLOOKUP(CONCATENATE("M",Tableau2[[#This Row],[Screw diameter (mm)]]," - ",Tableau2[[#This Row],[Thread (mm)]]," - ",Tableau2[[#This Row],[Quality class]]),Table_Metier!$L$7:$CN$59,5,FALSE)</f>
        <v>0.31483015741507869</v>
      </c>
    </row>
    <row r="15" spans="3:14" x14ac:dyDescent="0.25">
      <c r="C15" s="165">
        <v>6</v>
      </c>
      <c r="D15" s="9">
        <v>1</v>
      </c>
      <c r="E15" s="89">
        <v>8.8000000000000007</v>
      </c>
      <c r="F15" s="152">
        <f>HLOOKUP(CONCATENATE("M",Tableau2[[#This Row],[Screw diameter (mm)]]," - ",Tableau2[[#This Row],[Thread (mm)]]," - ",Tableau2[[#This Row],[Quality class]]),Table_Metier!$L$7:$CN$59,2,FALSE)</f>
        <v>16100</v>
      </c>
      <c r="G15" s="152">
        <f>HLOOKUP(CONCATENATE("M",Tableau2[[#This Row],[Screw diameter (mm)]]," - ",Tableau2[[#This Row],[Thread (mm)]]," - ",Tableau2[[#This Row],[Quality class]]),Table_Metier!$L$7:$CN$59,3,FALSE)</f>
        <v>9640</v>
      </c>
      <c r="H15" s="11">
        <f>HLOOKUP(CONCATENATE("M",Tableau2[[#This Row],[Screw diameter (mm)]]," - ",Tableau2[[#This Row],[Thread (mm)]]," - ",Tableau2[[#This Row],[Quality class]]),Table_Metier!$L$7:$CN$59,26,FALSE)</f>
        <v>6.090657916211744</v>
      </c>
      <c r="I15" s="99">
        <f>HLOOKUP(Tableau2[[#This Row],[Nominal (CONLO database)]],Table_Metier!$L$58:$CN$59,2,FALSE)</f>
        <v>7.4610559473593856</v>
      </c>
      <c r="J15" s="11">
        <f>HLOOKUP(CONCATENATE("M",Tableau2[[#This Row],[Screw diameter (mm)]]," - ",Tableau2[[#This Row],[Thread (mm)]]," - ",Tableau2[[#This Row],[Quality class]]),Table_Metier!$L$7:$CN$59,19,FALSE)</f>
        <v>8.8314539785070281</v>
      </c>
      <c r="K15" s="11">
        <f>HLOOKUP(CONCATENATE("M",Tableau2[[#This Row],[Screw diameter (mm)]]," - ",Tableau2[[#This Row],[Thread (mm)]]," - ",Tableau2[[#This Row],[Quality class]]),Table_Metier!$L$7:$CN$59,34,FALSE)</f>
        <v>2360.3944983829688</v>
      </c>
      <c r="L15" s="99">
        <f>HLOOKUP(CONCATENATE("M",Tableau2[[#This Row],[Screw diameter (mm)]]," - ",Tableau2[[#This Row],[Thread (mm)]]," - ",Tableau2[[#This Row],[Quality class]]),Table_Metier!$L$7:$CN$59,36,FALSE)</f>
        <v>5100</v>
      </c>
      <c r="M15" s="156">
        <f>HLOOKUP(CONCATENATE("M",Tableau2[[#This Row],[Screw diameter (mm)]]," - ",Tableau2[[#This Row],[Thread (mm)]]," - ",Tableau2[[#This Row],[Quality class]]),Table_Metier!$L$7:$CN$59,28,FALSE)</f>
        <v>8836.1916162502584</v>
      </c>
      <c r="N15" s="10">
        <f>HLOOKUP(CONCATENATE("M",Tableau2[[#This Row],[Screw diameter (mm)]]," - ",Tableau2[[#This Row],[Thread (mm)]]," - ",Tableau2[[#This Row],[Quality class]]),Table_Metier!$L$7:$CN$59,5,FALSE)</f>
        <v>0.31677018633540371</v>
      </c>
    </row>
    <row r="16" spans="3:14" x14ac:dyDescent="0.25">
      <c r="C16" s="165">
        <v>6</v>
      </c>
      <c r="D16" s="9">
        <v>1</v>
      </c>
      <c r="E16" s="90">
        <v>10.9</v>
      </c>
      <c r="F16" s="152">
        <f>HLOOKUP(CONCATENATE("M",Tableau2[[#This Row],[Screw diameter (mm)]]," - ",Tableau2[[#This Row],[Thread (mm)]]," - ",Tableau2[[#This Row],[Quality class]]),Table_Metier!$L$7:$CN$59,2,FALSE)</f>
        <v>20930</v>
      </c>
      <c r="G16" s="152">
        <f>HLOOKUP(CONCATENATE("M",Tableau2[[#This Row],[Screw diameter (mm)]]," - ",Tableau2[[#This Row],[Thread (mm)]]," - ",Tableau2[[#This Row],[Quality class]]),Table_Metier!$L$7:$CN$59,3,FALSE)</f>
        <v>12530</v>
      </c>
      <c r="H16" s="11">
        <f>HLOOKUP(CONCATENATE("M",Tableau2[[#This Row],[Screw diameter (mm)]]," - ",Tableau2[[#This Row],[Thread (mm)]]," - ",Tableau2[[#This Row],[Quality class]]),Table_Metier!$L$7:$CN$59,26,FALSE)</f>
        <v>8.9456538144359978</v>
      </c>
      <c r="I16" s="99">
        <f>HLOOKUP(Tableau2[[#This Row],[Nominal (CONLO database)]],Table_Metier!$L$58:$CN$59,2,FALSE)</f>
        <v>12.464253538252256</v>
      </c>
      <c r="J16" s="11">
        <f>HLOOKUP(CONCATENATE("M",Tableau2[[#This Row],[Screw diameter (mm)]]," - ",Tableau2[[#This Row],[Thread (mm)]]," - ",Tableau2[[#This Row],[Quality class]]),Table_Metier!$L$7:$CN$59,19,FALSE)</f>
        <v>12.971198030932197</v>
      </c>
      <c r="K16" s="11">
        <f>HLOOKUP(CONCATENATE("M",Tableau2[[#This Row],[Screw diameter (mm)]]," - ",Tableau2[[#This Row],[Thread (mm)]]," - ",Tableau2[[#This Row],[Quality class]]),Table_Metier!$L$7:$CN$59,34,FALSE)</f>
        <v>3466.8294194999849</v>
      </c>
      <c r="L16" s="99">
        <f>HLOOKUP(CONCATENATE("M",Tableau2[[#This Row],[Screw diameter (mm)]]," - ",Tableau2[[#This Row],[Thread (mm)]]," - ",Tableau2[[#This Row],[Quality class]]),Table_Metier!$L$7:$CN$59,36,FALSE)</f>
        <v>7500</v>
      </c>
      <c r="M16" s="156">
        <f>HLOOKUP(CONCATENATE("M",Tableau2[[#This Row],[Screw diameter (mm)]]," - ",Tableau2[[#This Row],[Thread (mm)]]," - ",Tableau2[[#This Row],[Quality class]]),Table_Metier!$L$7:$CN$59,28,FALSE)</f>
        <v>12978.156436367566</v>
      </c>
      <c r="N16" s="10">
        <f>HLOOKUP(CONCATENATE("M",Tableau2[[#This Row],[Screw diameter (mm)]]," - ",Tableau2[[#This Row],[Thread (mm)]]," - ",Tableau2[[#This Row],[Quality class]]),Table_Metier!$L$7:$CN$59,5,FALSE)</f>
        <v>0.35833731485905401</v>
      </c>
    </row>
    <row r="17" spans="3:14" x14ac:dyDescent="0.25">
      <c r="C17" s="166">
        <v>7</v>
      </c>
      <c r="D17" s="9">
        <v>1</v>
      </c>
      <c r="E17" s="88">
        <v>6.8</v>
      </c>
      <c r="F17" s="152">
        <f>HLOOKUP(CONCATENATE("M",Tableau2[[#This Row],[Screw diameter (mm)]]," - ",Tableau2[[#This Row],[Thread (mm)]]," - ",Tableau2[[#This Row],[Quality class]]),Table_Metier!$L$7:$CN$59,2,FALSE)</f>
        <v>17320</v>
      </c>
      <c r="G17" s="152">
        <f>HLOOKUP(CONCATENATE("M",Tableau2[[#This Row],[Screw diameter (mm)]]," - ",Tableau2[[#This Row],[Thread (mm)]]," - ",Tableau2[[#This Row],[Quality class]]),Table_Metier!$L$7:$CN$59,3,FALSE)</f>
        <v>10370</v>
      </c>
      <c r="H17" s="11">
        <f>HLOOKUP(CONCATENATE("M",Tableau2[[#This Row],[Screw diameter (mm)]]," - ",Tableau2[[#This Row],[Thread (mm)]]," - ",Tableau2[[#This Row],[Quality class]]),Table_Metier!$L$7:$CN$59,26,FALSE)</f>
        <v>7.6311756356646478</v>
      </c>
      <c r="I17" s="99">
        <f>HLOOKUP(Tableau2[[#This Row],[Nominal (CONLO database)]],Table_Metier!$L$58:$CN$59,2,FALSE)</f>
        <v>9.3481901536891936</v>
      </c>
      <c r="J17" s="11">
        <f>HLOOKUP(CONCATENATE("M",Tableau2[[#This Row],[Screw diameter (mm)]]," - ",Tableau2[[#This Row],[Thread (mm)]]," - ",Tableau2[[#This Row],[Quality class]]),Table_Metier!$L$7:$CN$59,19,FALSE)</f>
        <v>11.065204671713738</v>
      </c>
      <c r="K17" s="11">
        <f>HLOOKUP(CONCATENATE("M",Tableau2[[#This Row],[Screw diameter (mm)]]," - ",Tableau2[[#This Row],[Thread (mm)]]," - ",Tableau2[[#This Row],[Quality class]]),Table_Metier!$L$7:$CN$59,34,FALSE)</f>
        <v>2570.0202585697393</v>
      </c>
      <c r="L17" s="99">
        <f>HLOOKUP(CONCATENATE("M",Tableau2[[#This Row],[Screw diameter (mm)]]," - ",Tableau2[[#This Row],[Thread (mm)]]," - ",Tableau2[[#This Row],[Quality class]]),Table_Metier!$L$7:$CN$59,36,FALSE)</f>
        <v>5600</v>
      </c>
      <c r="M17" s="156">
        <f>HLOOKUP(CONCATENATE("M",Tableau2[[#This Row],[Screw diameter (mm)]]," - ",Tableau2[[#This Row],[Thread (mm)]]," - ",Tableau2[[#This Row],[Quality class]]),Table_Metier!$L$7:$CN$59,28,FALSE)</f>
        <v>9688.6531145697991</v>
      </c>
      <c r="N17" s="10">
        <f>HLOOKUP(CONCATENATE("M",Tableau2[[#This Row],[Screw diameter (mm)]]," - ",Tableau2[[#This Row],[Thread (mm)]]," - ",Tableau2[[#This Row],[Quality class]]),Table_Metier!$L$7:$CN$59,5,FALSE)</f>
        <v>0.32332563510392609</v>
      </c>
    </row>
    <row r="18" spans="3:14" x14ac:dyDescent="0.25">
      <c r="C18" s="166">
        <v>7</v>
      </c>
      <c r="D18" s="9">
        <v>1</v>
      </c>
      <c r="E18" s="89">
        <v>8.8000000000000007</v>
      </c>
      <c r="F18" s="152">
        <f>HLOOKUP(CONCATENATE("M",Tableau2[[#This Row],[Screw diameter (mm)]]," - ",Tableau2[[#This Row],[Thread (mm)]]," - ",Tableau2[[#This Row],[Quality class]]),Table_Metier!$L$7:$CN$59,2,FALSE)</f>
        <v>23090</v>
      </c>
      <c r="G18" s="152">
        <f>HLOOKUP(CONCATENATE("M",Tableau2[[#This Row],[Screw diameter (mm)]]," - ",Tableau2[[#This Row],[Thread (mm)]]," - ",Tableau2[[#This Row],[Quality class]]),Table_Metier!$L$7:$CN$59,3,FALSE)</f>
        <v>13830</v>
      </c>
      <c r="H18" s="11">
        <f>HLOOKUP(CONCATENATE("M",Tableau2[[#This Row],[Screw diameter (mm)]]," - ",Tableau2[[#This Row],[Thread (mm)]]," - ",Tableau2[[#This Row],[Quality class]]),Table_Metier!$L$7:$CN$59,26,FALSE)</f>
        <v>10.174900847552863</v>
      </c>
      <c r="I18" s="99">
        <f>HLOOKUP(Tableau2[[#This Row],[Nominal (CONLO database)]],Table_Metier!$L$58:$CN$59,2,FALSE)</f>
        <v>12.464253538252256</v>
      </c>
      <c r="J18" s="11">
        <f>HLOOKUP(CONCATENATE("M",Tableau2[[#This Row],[Screw diameter (mm)]]," - ",Tableau2[[#This Row],[Thread (mm)]]," - ",Tableau2[[#This Row],[Quality class]]),Table_Metier!$L$7:$CN$59,19,FALSE)</f>
        <v>14.75360622895165</v>
      </c>
      <c r="K18" s="11">
        <f>HLOOKUP(CONCATENATE("M",Tableau2[[#This Row],[Screw diameter (mm)]]," - ",Tableau2[[#This Row],[Thread (mm)]]," - ",Tableau2[[#This Row],[Quality class]]),Table_Metier!$L$7:$CN$59,34,FALSE)</f>
        <v>3426.693678092985</v>
      </c>
      <c r="L18" s="99">
        <f>HLOOKUP(CONCATENATE("M",Tableau2[[#This Row],[Screw diameter (mm)]]," - ",Tableau2[[#This Row],[Thread (mm)]]," - ",Tableau2[[#This Row],[Quality class]]),Table_Metier!$L$7:$CN$59,36,FALSE)</f>
        <v>7500</v>
      </c>
      <c r="M18" s="156">
        <f>HLOOKUP(CONCATENATE("M",Tableau2[[#This Row],[Screw diameter (mm)]]," - ",Tableau2[[#This Row],[Thread (mm)]]," - ",Tableau2[[#This Row],[Quality class]]),Table_Metier!$L$7:$CN$59,28,FALSE)</f>
        <v>12918.204152759732</v>
      </c>
      <c r="N18" s="10">
        <f>HLOOKUP(CONCATENATE("M",Tableau2[[#This Row],[Screw diameter (mm)]]," - ",Tableau2[[#This Row],[Thread (mm)]]," - ",Tableau2[[#This Row],[Quality class]]),Table_Metier!$L$7:$CN$59,5,FALSE)</f>
        <v>0.32481593763533995</v>
      </c>
    </row>
    <row r="19" spans="3:14" x14ac:dyDescent="0.25">
      <c r="C19" s="166">
        <v>7</v>
      </c>
      <c r="D19" s="9">
        <v>1</v>
      </c>
      <c r="E19" s="90">
        <v>10.9</v>
      </c>
      <c r="F19" s="152">
        <f>HLOOKUP(CONCATENATE("M",Tableau2[[#This Row],[Screw diameter (mm)]]," - ",Tableau2[[#This Row],[Thread (mm)]]," - ",Tableau2[[#This Row],[Quality class]]),Table_Metier!$L$7:$CN$59,2,FALSE)</f>
        <v>30010</v>
      </c>
      <c r="G19" s="152">
        <f>HLOOKUP(CONCATENATE("M",Tableau2[[#This Row],[Screw diameter (mm)]]," - ",Tableau2[[#This Row],[Thread (mm)]]," - ",Tableau2[[#This Row],[Quality class]]),Table_Metier!$L$7:$CN$59,3,FALSE)</f>
        <v>17970</v>
      </c>
      <c r="H19" s="11">
        <f>HLOOKUP(CONCATENATE("M",Tableau2[[#This Row],[Screw diameter (mm)]]," - ",Tableau2[[#This Row],[Thread (mm)]]," - ",Tableau2[[#This Row],[Quality class]]),Table_Metier!$L$7:$CN$59,26,FALSE)</f>
        <v>14.944385619843269</v>
      </c>
      <c r="I19" s="99">
        <f>HLOOKUP(Tableau2[[#This Row],[Nominal (CONLO database)]],Table_Metier!$L$58:$CN$59,2,FALSE)</f>
        <v>18.306872384308004</v>
      </c>
      <c r="J19" s="11">
        <f>HLOOKUP(CONCATENATE("M",Tableau2[[#This Row],[Screw diameter (mm)]]," - ",Tableau2[[#This Row],[Thread (mm)]]," - ",Tableau2[[#This Row],[Quality class]]),Table_Metier!$L$7:$CN$59,19,FALSE)</f>
        <v>21.669359148772738</v>
      </c>
      <c r="K19" s="11">
        <f>HLOOKUP(CONCATENATE("M",Tableau2[[#This Row],[Screw diameter (mm)]]," - ",Tableau2[[#This Row],[Thread (mm)]]," - ",Tableau2[[#This Row],[Quality class]]),Table_Metier!$L$7:$CN$59,34,FALSE)</f>
        <v>5032.9563396990734</v>
      </c>
      <c r="L19" s="99">
        <f>HLOOKUP(CONCATENATE("M",Tableau2[[#This Row],[Screw diameter (mm)]]," - ",Tableau2[[#This Row],[Thread (mm)]]," - ",Tableau2[[#This Row],[Quality class]]),Table_Metier!$L$7:$CN$59,36,FALSE)</f>
        <v>11000</v>
      </c>
      <c r="M19" s="156">
        <f>HLOOKUP(CONCATENATE("M",Tableau2[[#This Row],[Screw diameter (mm)]]," - ",Tableau2[[#This Row],[Thread (mm)]]," - ",Tableau2[[#This Row],[Quality class]]),Table_Metier!$L$7:$CN$59,28,FALSE)</f>
        <v>18973.61234936586</v>
      </c>
      <c r="N19" s="10">
        <f>HLOOKUP(CONCATENATE("M",Tableau2[[#This Row],[Screw diameter (mm)]]," - ",Tableau2[[#This Row],[Thread (mm)]]," - ",Tableau2[[#This Row],[Quality class]]),Table_Metier!$L$7:$CN$59,5,FALSE)</f>
        <v>0.36654448517160948</v>
      </c>
    </row>
    <row r="20" spans="3:14" x14ac:dyDescent="0.25">
      <c r="C20" s="167">
        <v>8</v>
      </c>
      <c r="D20" s="154">
        <v>1</v>
      </c>
      <c r="E20" s="88">
        <v>6.8</v>
      </c>
      <c r="F20" s="152">
        <f>HLOOKUP(CONCATENATE("M",Tableau2[[#This Row],[Screw diameter (mm)]]," - ",Tableau2[[#This Row],[Thread (mm)]]," - ",Tableau2[[#This Row],[Quality class]]),Table_Metier!$L$7:$CN$59,2,FALSE)</f>
        <v>23500</v>
      </c>
      <c r="G20" s="152">
        <f>HLOOKUP(CONCATENATE("M",Tableau2[[#This Row],[Screw diameter (mm)]]," - ",Tableau2[[#This Row],[Thread (mm)]]," - ",Tableau2[[#This Row],[Quality class]]),Table_Metier!$L$7:$CN$59,3,FALSE)</f>
        <v>14070</v>
      </c>
      <c r="H20" s="11">
        <f>HLOOKUP(CONCATENATE("M",Tableau2[[#This Row],[Screw diameter (mm)]]," - ",Tableau2[[#This Row],[Thread (mm)]]," - ",Tableau2[[#This Row],[Quality class]]),Table_Metier!$L$7:$CN$59,26,FALSE)</f>
        <v>11.937935368344169</v>
      </c>
      <c r="I20" s="99">
        <f>HLOOKUP(Tableau2[[#This Row],[Nominal (CONLO database)]],Table_Metier!$L$58:$CN$59,2,FALSE)</f>
        <v>14.623970826221605</v>
      </c>
      <c r="J20" s="11">
        <f>HLOOKUP(CONCATENATE("M",Tableau2[[#This Row],[Screw diameter (mm)]]," - ",Tableau2[[#This Row],[Thread (mm)]]," - ",Tableau2[[#This Row],[Quality class]]),Table_Metier!$L$7:$CN$59,19,FALSE)</f>
        <v>17.310006284099043</v>
      </c>
      <c r="K20" s="11">
        <f>HLOOKUP(CONCATENATE("M",Tableau2[[#This Row],[Screw diameter (mm)]]," - ",Tableau2[[#This Row],[Thread (mm)]]," - ",Tableau2[[#This Row],[Quality class]]),Table_Metier!$L$7:$CN$59,34,FALSE)</f>
        <v>3514.6456461610896</v>
      </c>
      <c r="L20" s="99">
        <f>HLOOKUP(CONCATENATE("M",Tableau2[[#This Row],[Screw diameter (mm)]]," - ",Tableau2[[#This Row],[Thread (mm)]]," - ",Tableau2[[#This Row],[Quality class]]),Table_Metier!$L$7:$CN$59,36,FALSE)</f>
        <v>7700</v>
      </c>
      <c r="M20" s="155">
        <f>HLOOKUP(CONCATENATE("M",Tableau2[[#This Row],[Screw diameter (mm)]]," - ",Tableau2[[#This Row],[Thread (mm)]]," - ",Tableau2[[#This Row],[Quality class]]),Table_Metier!$L$7:$CN$59,28,FALSE)</f>
        <v>13328.074504393438</v>
      </c>
      <c r="N20" s="10">
        <f>HLOOKUP(CONCATENATE("M",Tableau2[[#This Row],[Screw diameter (mm)]]," - ",Tableau2[[#This Row],[Thread (mm)]]," - ",Tableau2[[#This Row],[Quality class]]),Table_Metier!$L$7:$CN$59,5,FALSE)</f>
        <v>0.32765957446808508</v>
      </c>
    </row>
    <row r="21" spans="3:14" x14ac:dyDescent="0.25">
      <c r="C21" s="167">
        <v>8</v>
      </c>
      <c r="D21" s="9">
        <v>1.25</v>
      </c>
      <c r="E21" s="88">
        <v>6.8</v>
      </c>
      <c r="F21" s="152">
        <f>HLOOKUP(CONCATENATE("M",Tableau2[[#This Row],[Screw diameter (mm)]]," - ",Tableau2[[#This Row],[Thread (mm)]]," - ",Tableau2[[#This Row],[Quality class]]),Table_Metier!$L$7:$CN$59,2,FALSE)</f>
        <v>21970</v>
      </c>
      <c r="G21" s="152">
        <f>HLOOKUP(CONCATENATE("M",Tableau2[[#This Row],[Screw diameter (mm)]]," - ",Tableau2[[#This Row],[Thread (mm)]]," - ",Tableau2[[#This Row],[Quality class]]),Table_Metier!$L$7:$CN$59,3,FALSE)</f>
        <v>13160</v>
      </c>
      <c r="H21" s="11">
        <f>HLOOKUP(CONCATENATE("M",Tableau2[[#This Row],[Screw diameter (mm)]]," - ",Tableau2[[#This Row],[Thread (mm)]]," - ",Tableau2[[#This Row],[Quality class]]),Table_Metier!$L$7:$CN$59,26,FALSE)</f>
        <v>11.131822266894432</v>
      </c>
      <c r="I21" s="99">
        <f>HLOOKUP(Tableau2[[#This Row],[Nominal (CONLO database)]],Table_Metier!$L$58:$CN$59,2,FALSE)</f>
        <v>13.636482276945678</v>
      </c>
      <c r="J21" s="11">
        <f>HLOOKUP(CONCATENATE("M",Tableau2[[#This Row],[Screw diameter (mm)]]," - ",Tableau2[[#This Row],[Thread (mm)]]," - ",Tableau2[[#This Row],[Quality class]]),Table_Metier!$L$7:$CN$59,19,FALSE)</f>
        <v>16.141142286996924</v>
      </c>
      <c r="K21" s="11">
        <f>HLOOKUP(CONCATENATE("M",Tableau2[[#This Row],[Screw diameter (mm)]]," - ",Tableau2[[#This Row],[Thread (mm)]]," - ",Tableau2[[#This Row],[Quality class]]),Table_Metier!$L$7:$CN$59,34,FALSE)</f>
        <v>3237.5272868236434</v>
      </c>
      <c r="L21" s="99">
        <f>HLOOKUP(CONCATENATE("M",Tableau2[[#This Row],[Screw diameter (mm)]]," - ",Tableau2[[#This Row],[Thread (mm)]]," - ",Tableau2[[#This Row],[Quality class]]),Table_Metier!$L$7:$CN$59,36,FALSE)</f>
        <v>7000</v>
      </c>
      <c r="M21" s="156">
        <f>HLOOKUP(CONCATENATE("M",Tableau2[[#This Row],[Screw diameter (mm)]]," - ",Tableau2[[#This Row],[Thread (mm)]]," - ",Tableau2[[#This Row],[Quality class]]),Table_Metier!$L$7:$CN$59,28,FALSE)</f>
        <v>12159.941421835521</v>
      </c>
      <c r="N21" s="10">
        <f>HLOOKUP(CONCATENATE("M",Tableau2[[#This Row],[Screw diameter (mm)]]," - ",Tableau2[[#This Row],[Thread (mm)]]," - ",Tableau2[[#This Row],[Quality class]]),Table_Metier!$L$7:$CN$59,5,FALSE)</f>
        <v>0.31861629494765592</v>
      </c>
    </row>
    <row r="22" spans="3:14" x14ac:dyDescent="0.25">
      <c r="C22" s="167">
        <v>8</v>
      </c>
      <c r="D22" s="154">
        <v>1</v>
      </c>
      <c r="E22" s="89">
        <v>8.8000000000000007</v>
      </c>
      <c r="F22" s="152">
        <f>HLOOKUP(CONCATENATE("M",Tableau2[[#This Row],[Screw diameter (mm)]]," - ",Tableau2[[#This Row],[Thread (mm)]]," - ",Tableau2[[#This Row],[Quality class]]),Table_Metier!$L$7:$CN$59,2,FALSE)</f>
        <v>31330</v>
      </c>
      <c r="G22" s="152">
        <f>HLOOKUP(CONCATENATE("M",Tableau2[[#This Row],[Screw diameter (mm)]]," - ",Tableau2[[#This Row],[Thread (mm)]]," - ",Tableau2[[#This Row],[Quality class]]),Table_Metier!$L$7:$CN$59,3,FALSE)</f>
        <v>18760</v>
      </c>
      <c r="H22" s="11">
        <f>HLOOKUP(CONCATENATE("M",Tableau2[[#This Row],[Screw diameter (mm)]]," - ",Tableau2[[#This Row],[Thread (mm)]]," - ",Tableau2[[#This Row],[Quality class]]),Table_Metier!$L$7:$CN$59,26,FALSE)</f>
        <v>15.917247157792223</v>
      </c>
      <c r="I22" s="99">
        <f>HLOOKUP(Tableau2[[#This Row],[Nominal (CONLO database)]],Table_Metier!$L$58:$CN$59,2,FALSE)</f>
        <v>19.498627768295474</v>
      </c>
      <c r="J22" s="11">
        <f>HLOOKUP(CONCATENATE("M",Tableau2[[#This Row],[Screw diameter (mm)]]," - ",Tableau2[[#This Row],[Thread (mm)]]," - ",Tableau2[[#This Row],[Quality class]]),Table_Metier!$L$7:$CN$59,19,FALSE)</f>
        <v>23.080008378798723</v>
      </c>
      <c r="K22" s="11">
        <f>HLOOKUP(CONCATENATE("M",Tableau2[[#This Row],[Screw diameter (mm)]]," - ",Tableau2[[#This Row],[Thread (mm)]]," - ",Tableau2[[#This Row],[Quality class]]),Table_Metier!$L$7:$CN$59,34,FALSE)</f>
        <v>4686.1941948814529</v>
      </c>
      <c r="L22" s="99">
        <f>HLOOKUP(CONCATENATE("M",Tableau2[[#This Row],[Screw diameter (mm)]]," - ",Tableau2[[#This Row],[Thread (mm)]]," - ",Tableau2[[#This Row],[Quality class]]),Table_Metier!$L$7:$CN$59,36,FALSE)</f>
        <v>10200</v>
      </c>
      <c r="M22" s="155">
        <f>HLOOKUP(CONCATENATE("M",Tableau2[[#This Row],[Screw diameter (mm)]]," - ",Tableau2[[#This Row],[Thread (mm)]]," - ",Tableau2[[#This Row],[Quality class]]),Table_Metier!$L$7:$CN$59,28,FALSE)</f>
        <v>17770.766005857917</v>
      </c>
      <c r="N22" s="10">
        <f>HLOOKUP(CONCATENATE("M",Tableau2[[#This Row],[Screw diameter (mm)]]," - ",Tableau2[[#This Row],[Thread (mm)]]," - ",Tableau2[[#This Row],[Quality class]]),Table_Metier!$L$7:$CN$59,5,FALSE)</f>
        <v>0.32556654963293968</v>
      </c>
    </row>
    <row r="23" spans="3:14" x14ac:dyDescent="0.25">
      <c r="C23" s="167">
        <v>8</v>
      </c>
      <c r="D23" s="9">
        <v>1.25</v>
      </c>
      <c r="E23" s="89">
        <v>8.8000000000000007</v>
      </c>
      <c r="F23" s="152">
        <f>HLOOKUP(CONCATENATE("M",Tableau2[[#This Row],[Screw diameter (mm)]]," - ",Tableau2[[#This Row],[Thread (mm)]]," - ",Tableau2[[#This Row],[Quality class]]),Table_Metier!$L$7:$CN$59,2,FALSE)</f>
        <v>29290</v>
      </c>
      <c r="G23" s="152">
        <f>HLOOKUP(CONCATENATE("M",Tableau2[[#This Row],[Screw diameter (mm)]]," - ",Tableau2[[#This Row],[Thread (mm)]]," - ",Tableau2[[#This Row],[Quality class]]),Table_Metier!$L$7:$CN$59,3,FALSE)</f>
        <v>17540</v>
      </c>
      <c r="H23" s="11">
        <f>HLOOKUP(CONCATENATE("M",Tableau2[[#This Row],[Screw diameter (mm)]]," - ",Tableau2[[#This Row],[Thread (mm)]]," - ",Tableau2[[#This Row],[Quality class]]),Table_Metier!$L$7:$CN$59,26,FALSE)</f>
        <v>14.842429689192574</v>
      </c>
      <c r="I23" s="99">
        <f>HLOOKUP(Tableau2[[#This Row],[Nominal (CONLO database)]],Table_Metier!$L$58:$CN$59,2,FALSE)</f>
        <v>18.181976369260902</v>
      </c>
      <c r="J23" s="11">
        <f>HLOOKUP(CONCATENATE("M",Tableau2[[#This Row],[Screw diameter (mm)]]," - ",Tableau2[[#This Row],[Thread (mm)]]," - ",Tableau2[[#This Row],[Quality class]]),Table_Metier!$L$7:$CN$59,19,FALSE)</f>
        <v>21.521523049329232</v>
      </c>
      <c r="K23" s="11">
        <f>HLOOKUP(CONCATENATE("M",Tableau2[[#This Row],[Screw diameter (mm)]]," - ",Tableau2[[#This Row],[Thread (mm)]]," - ",Tableau2[[#This Row],[Quality class]]),Table_Metier!$L$7:$CN$59,34,FALSE)</f>
        <v>4316.7030490981906</v>
      </c>
      <c r="L23" s="99">
        <f>HLOOKUP(CONCATENATE("M",Tableau2[[#This Row],[Screw diameter (mm)]]," - ",Tableau2[[#This Row],[Thread (mm)]]," - ",Tableau2[[#This Row],[Quality class]]),Table_Metier!$L$7:$CN$59,36,FALSE)</f>
        <v>9400</v>
      </c>
      <c r="M23" s="156">
        <f>HLOOKUP(CONCATENATE("M",Tableau2[[#This Row],[Screw diameter (mm)]]," - ",Tableau2[[#This Row],[Thread (mm)]]," - ",Tableau2[[#This Row],[Quality class]]),Table_Metier!$L$7:$CN$59,28,FALSE)</f>
        <v>16213.255229114029</v>
      </c>
      <c r="N23" s="10">
        <f>HLOOKUP(CONCATENATE("M",Tableau2[[#This Row],[Screw diameter (mm)]]," - ",Tableau2[[#This Row],[Thread (mm)]]," - ",Tableau2[[#This Row],[Quality class]]),Table_Metier!$L$7:$CN$59,5,FALSE)</f>
        <v>0.32092864458859677</v>
      </c>
    </row>
    <row r="24" spans="3:14" x14ac:dyDescent="0.25">
      <c r="C24" s="167">
        <v>8</v>
      </c>
      <c r="D24" s="154">
        <v>1</v>
      </c>
      <c r="E24" s="90">
        <v>10.9</v>
      </c>
      <c r="F24" s="152">
        <f>HLOOKUP(CONCATENATE("M",Tableau2[[#This Row],[Screw diameter (mm)]]," - ",Tableau2[[#This Row],[Thread (mm)]]," - ",Tableau2[[#This Row],[Quality class]]),Table_Metier!$L$7:$CN$59,2,FALSE)</f>
        <v>40730</v>
      </c>
      <c r="G24" s="152">
        <f>HLOOKUP(CONCATENATE("M",Tableau2[[#This Row],[Screw diameter (mm)]]," - ",Tableau2[[#This Row],[Thread (mm)]]," - ",Tableau2[[#This Row],[Quality class]]),Table_Metier!$L$7:$CN$59,3,FALSE)</f>
        <v>24390</v>
      </c>
      <c r="H24" s="11">
        <f>HLOOKUP(CONCATENATE("M",Tableau2[[#This Row],[Screw diameter (mm)]]," - ",Tableau2[[#This Row],[Thread (mm)]]," - ",Tableau2[[#This Row],[Quality class]]),Table_Metier!$L$7:$CN$59,26,FALSE)</f>
        <v>23.378456763007328</v>
      </c>
      <c r="I24" s="99">
        <f>HLOOKUP(Tableau2[[#This Row],[Nominal (CONLO database)]],Table_Metier!$L$58:$CN$59,2,FALSE)</f>
        <v>28.638609534683976</v>
      </c>
      <c r="J24" s="11">
        <f>HLOOKUP(CONCATENATE("M",Tableau2[[#This Row],[Screw diameter (mm)]]," - ",Tableau2[[#This Row],[Thread (mm)]]," - ",Tableau2[[#This Row],[Quality class]]),Table_Metier!$L$7:$CN$59,19,FALSE)</f>
        <v>33.898762306360624</v>
      </c>
      <c r="K24" s="11">
        <f>HLOOKUP(CONCATENATE("M",Tableau2[[#This Row],[Screw diameter (mm)]]," - ",Tableau2[[#This Row],[Thread (mm)]]," - ",Tableau2[[#This Row],[Quality class]]),Table_Metier!$L$7:$CN$59,34,FALSE)</f>
        <v>6882.8477237321331</v>
      </c>
      <c r="L24" s="99">
        <f>HLOOKUP(CONCATENATE("M",Tableau2[[#This Row],[Screw diameter (mm)]]," - ",Tableau2[[#This Row],[Thread (mm)]]," - ",Tableau2[[#This Row],[Quality class]]),Table_Metier!$L$7:$CN$59,36,FALSE)</f>
        <v>15000</v>
      </c>
      <c r="M24" s="155">
        <f>HLOOKUP(CONCATENATE("M",Tableau2[[#This Row],[Screw diameter (mm)]]," - ",Tableau2[[#This Row],[Thread (mm)]]," - ",Tableau2[[#This Row],[Quality class]]),Table_Metier!$L$7:$CN$59,28,FALSE)</f>
        <v>26100.812571103816</v>
      </c>
      <c r="N24" s="10">
        <f>HLOOKUP(CONCATENATE("M",Tableau2[[#This Row],[Screw diameter (mm)]]," - ",Tableau2[[#This Row],[Thread (mm)]]," - ",Tableau2[[#This Row],[Quality class]]),Table_Metier!$L$7:$CN$59,5,FALSE)</f>
        <v>0.36827890989442669</v>
      </c>
    </row>
    <row r="25" spans="3:14" x14ac:dyDescent="0.25">
      <c r="C25" s="167">
        <v>8</v>
      </c>
      <c r="D25" s="9">
        <v>1.25</v>
      </c>
      <c r="E25" s="90">
        <v>10.9</v>
      </c>
      <c r="F25" s="152">
        <f>HLOOKUP(CONCATENATE("M",Tableau2[[#This Row],[Screw diameter (mm)]]," - ",Tableau2[[#This Row],[Thread (mm)]]," - ",Tableau2[[#This Row],[Quality class]]),Table_Metier!$L$7:$CN$59,2,FALSE)</f>
        <v>38070</v>
      </c>
      <c r="G25" s="152">
        <f>HLOOKUP(CONCATENATE("M",Tableau2[[#This Row],[Screw diameter (mm)]]," - ",Tableau2[[#This Row],[Thread (mm)]]," - ",Tableau2[[#This Row],[Quality class]]),Table_Metier!$L$7:$CN$59,3,FALSE)</f>
        <v>22800</v>
      </c>
      <c r="H25" s="11">
        <f>HLOOKUP(CONCATENATE("M",Tableau2[[#This Row],[Screw diameter (mm)]]," - ",Tableau2[[#This Row],[Thread (mm)]]," - ",Tableau2[[#This Row],[Quality class]]),Table_Metier!$L$7:$CN$59,26,FALSE)</f>
        <v>21.799818606001597</v>
      </c>
      <c r="I25" s="99">
        <f>HLOOKUP(Tableau2[[#This Row],[Nominal (CONLO database)]],Table_Metier!$L$58:$CN$59,2,FALSE)</f>
        <v>26.704777792351955</v>
      </c>
      <c r="J25" s="11">
        <f>HLOOKUP(CONCATENATE("M",Tableau2[[#This Row],[Screw diameter (mm)]]," - ",Tableau2[[#This Row],[Thread (mm)]]," - ",Tableau2[[#This Row],[Quality class]]),Table_Metier!$L$7:$CN$59,19,FALSE)</f>
        <v>31.609736978702312</v>
      </c>
      <c r="K25" s="11">
        <f>HLOOKUP(CONCATENATE("M",Tableau2[[#This Row],[Screw diameter (mm)]]," - ",Tableau2[[#This Row],[Thread (mm)]]," - ",Tableau2[[#This Row],[Quality class]]),Table_Metier!$L$7:$CN$59,34,FALSE)</f>
        <v>6340.1576033629681</v>
      </c>
      <c r="L25" s="99">
        <f>HLOOKUP(CONCATENATE("M",Tableau2[[#This Row],[Screw diameter (mm)]]," - ",Tableau2[[#This Row],[Thread (mm)]]," - ",Tableau2[[#This Row],[Quality class]]),Table_Metier!$L$7:$CN$59,36,FALSE)</f>
        <v>13800</v>
      </c>
      <c r="M25" s="156">
        <f>HLOOKUP(CONCATENATE("M",Tableau2[[#This Row],[Screw diameter (mm)]]," - ",Tableau2[[#This Row],[Thread (mm)]]," - ",Tableau2[[#This Row],[Quality class]]),Table_Metier!$L$7:$CN$59,28,FALSE)</f>
        <v>23813.218617761231</v>
      </c>
      <c r="N25" s="10">
        <f>HLOOKUP(CONCATENATE("M",Tableau2[[#This Row],[Screw diameter (mm)]]," - ",Tableau2[[#This Row],[Thread (mm)]]," - ",Tableau2[[#This Row],[Quality class]]),Table_Metier!$L$7:$CN$59,5,FALSE)</f>
        <v>0.3624901497241923</v>
      </c>
    </row>
    <row r="26" spans="3:14" x14ac:dyDescent="0.25">
      <c r="C26" s="168">
        <v>10</v>
      </c>
      <c r="D26" s="154">
        <v>1</v>
      </c>
      <c r="E26" s="88">
        <v>6.8</v>
      </c>
      <c r="F26" s="152">
        <f>HLOOKUP(CONCATENATE("M",Tableau2[[#This Row],[Screw diameter (mm)]]," - ",Tableau2[[#This Row],[Thread (mm)]]," - ",Tableau2[[#This Row],[Quality class]]),Table_Metier!$L$7:$CN$59,2,FALSE)</f>
        <v>38700</v>
      </c>
      <c r="G26" s="152">
        <f>HLOOKUP(CONCATENATE("M",Tableau2[[#This Row],[Screw diameter (mm)]]," - ",Tableau2[[#This Row],[Thread (mm)]]," - ",Tableau2[[#This Row],[Quality class]]),Table_Metier!$L$7:$CN$59,3,FALSE)</f>
        <v>23170</v>
      </c>
      <c r="H26" s="11">
        <f>HLOOKUP(CONCATENATE("M",Tableau2[[#This Row],[Screw diameter (mm)]]," - ",Tableau2[[#This Row],[Thread (mm)]]," - ",Tableau2[[#This Row],[Quality class]]),Table_Metier!$L$7:$CN$59,26,FALSE)</f>
        <v>24.453329262708376</v>
      </c>
      <c r="I26" s="99">
        <f>HLOOKUP(Tableau2[[#This Row],[Nominal (CONLO database)]],Table_Metier!$L$58:$CN$59,2,FALSE)</f>
        <v>29.955328346817758</v>
      </c>
      <c r="J26" s="11">
        <f>HLOOKUP(CONCATENATE("M",Tableau2[[#This Row],[Screw diameter (mm)]]," - ",Tableau2[[#This Row],[Thread (mm)]]," - ",Tableau2[[#This Row],[Quality class]]),Table_Metier!$L$7:$CN$59,19,FALSE)</f>
        <v>35.457327430927144</v>
      </c>
      <c r="K26" s="11">
        <f>HLOOKUP(CONCATENATE("M",Tableau2[[#This Row],[Screw diameter (mm)]]," - ",Tableau2[[#This Row],[Thread (mm)]]," - ",Tableau2[[#This Row],[Quality class]]),Table_Metier!$L$7:$CN$59,34,FALSE)</f>
        <v>5845.4125604395113</v>
      </c>
      <c r="L26" s="99">
        <f>HLOOKUP(CONCATENATE("M",Tableau2[[#This Row],[Screw diameter (mm)]]," - ",Tableau2[[#This Row],[Thread (mm)]]," - ",Tableau2[[#This Row],[Quality class]]),Table_Metier!$L$7:$CN$59,36,FALSE)</f>
        <v>12800</v>
      </c>
      <c r="M26" s="155">
        <f>HLOOKUP(CONCATENATE("M",Tableau2[[#This Row],[Screw diameter (mm)]]," - ",Tableau2[[#This Row],[Thread (mm)]]," - ",Tableau2[[#This Row],[Quality class]]),Table_Metier!$L$7:$CN$59,28,FALSE)</f>
        <v>22339.215540666741</v>
      </c>
      <c r="N26" s="10">
        <f>HLOOKUP(CONCATENATE("M",Tableau2[[#This Row],[Screw diameter (mm)]]," - ",Tableau2[[#This Row],[Thread (mm)]]," - ",Tableau2[[#This Row],[Quality class]]),Table_Metier!$L$7:$CN$59,5,FALSE)</f>
        <v>0.33074935400516797</v>
      </c>
    </row>
    <row r="27" spans="3:14" x14ac:dyDescent="0.25">
      <c r="C27" s="168">
        <v>10</v>
      </c>
      <c r="D27" s="154">
        <v>1.25</v>
      </c>
      <c r="E27" s="88">
        <v>6.8</v>
      </c>
      <c r="F27" s="152">
        <f>HLOOKUP(CONCATENATE("M",Tableau2[[#This Row],[Screw diameter (mm)]]," - ",Tableau2[[#This Row],[Thread (mm)]]," - ",Tableau2[[#This Row],[Quality class]]),Table_Metier!$L$7:$CN$59,2,FALSE)</f>
        <v>36720</v>
      </c>
      <c r="G27" s="152">
        <f>HLOOKUP(CONCATENATE("M",Tableau2[[#This Row],[Screw diameter (mm)]]," - ",Tableau2[[#This Row],[Thread (mm)]]," - ",Tableau2[[#This Row],[Quality class]]),Table_Metier!$L$7:$CN$59,3,FALSE)</f>
        <v>21990</v>
      </c>
      <c r="H27" s="11">
        <f>HLOOKUP(CONCATENATE("M",Tableau2[[#This Row],[Screw diameter (mm)]]," - ",Tableau2[[#This Row],[Thread (mm)]]," - ",Tableau2[[#This Row],[Quality class]]),Table_Metier!$L$7:$CN$59,26,FALSE)</f>
        <v>23.207275986796013</v>
      </c>
      <c r="I27" s="99">
        <f>HLOOKUP(Tableau2[[#This Row],[Nominal (CONLO database)]],Table_Metier!$L$58:$CN$59,2,FALSE)</f>
        <v>28.428913083825115</v>
      </c>
      <c r="J27" s="11">
        <f>HLOOKUP(CONCATENATE("M",Tableau2[[#This Row],[Screw diameter (mm)]]," - ",Tableau2[[#This Row],[Thread (mm)]]," - ",Tableau2[[#This Row],[Quality class]]),Table_Metier!$L$7:$CN$59,19,FALSE)</f>
        <v>33.650550180854218</v>
      </c>
      <c r="K27" s="11">
        <f>HLOOKUP(CONCATENATE("M",Tableau2[[#This Row],[Screw diameter (mm)]]," - ",Tableau2[[#This Row],[Thread (mm)]]," - ",Tableau2[[#This Row],[Quality class]]),Table_Metier!$L$7:$CN$59,34,FALSE)</f>
        <v>5492.7386304531437</v>
      </c>
      <c r="L27" s="99">
        <f>HLOOKUP(CONCATENATE("M",Tableau2[[#This Row],[Screw diameter (mm)]]," - ",Tableau2[[#This Row],[Thread (mm)]]," - ",Tableau2[[#This Row],[Quality class]]),Table_Metier!$L$7:$CN$59,36,FALSE)</f>
        <v>12000</v>
      </c>
      <c r="M27" s="155">
        <f>HLOOKUP(CONCATENATE("M",Tableau2[[#This Row],[Screw diameter (mm)]]," - ",Tableau2[[#This Row],[Thread (mm)]]," - ",Tableau2[[#This Row],[Quality class]]),Table_Metier!$L$7:$CN$59,28,FALSE)</f>
        <v>20825.116413114738</v>
      </c>
      <c r="N27" s="10">
        <f>HLOOKUP(CONCATENATE("M",Tableau2[[#This Row],[Screw diameter (mm)]]," - ",Tableau2[[#This Row],[Thread (mm)]]," - ",Tableau2[[#This Row],[Quality class]]),Table_Metier!$L$7:$CN$59,5,FALSE)</f>
        <v>0.32679738562091504</v>
      </c>
    </row>
    <row r="28" spans="3:14" x14ac:dyDescent="0.25">
      <c r="C28" s="168">
        <v>10</v>
      </c>
      <c r="D28" s="9">
        <v>1.5</v>
      </c>
      <c r="E28" s="88">
        <v>6.8</v>
      </c>
      <c r="F28" s="152">
        <f>HLOOKUP(CONCATENATE("M",Tableau2[[#This Row],[Screw diameter (mm)]]," - ",Tableau2[[#This Row],[Thread (mm)]]," - ",Tableau2[[#This Row],[Quality class]]),Table_Metier!$L$7:$CN$59,2,FALSE)</f>
        <v>34790</v>
      </c>
      <c r="G28" s="152">
        <f>HLOOKUP(CONCATENATE("M",Tableau2[[#This Row],[Screw diameter (mm)]]," - ",Tableau2[[#This Row],[Thread (mm)]]," - ",Tableau2[[#This Row],[Quality class]]),Table_Metier!$L$7:$CN$59,3,FALSE)</f>
        <v>20830</v>
      </c>
      <c r="H28" s="11">
        <f>HLOOKUP(CONCATENATE("M",Tableau2[[#This Row],[Screw diameter (mm)]]," - ",Tableau2[[#This Row],[Thread (mm)]]," - ",Tableau2[[#This Row],[Quality class]]),Table_Metier!$L$7:$CN$59,26,FALSE)</f>
        <v>21.955602551655904</v>
      </c>
      <c r="I28" s="99">
        <f>HLOOKUP(Tableau2[[#This Row],[Nominal (CONLO database)]],Table_Metier!$L$58:$CN$59,2,FALSE)</f>
        <v>26.895613125778482</v>
      </c>
      <c r="J28" s="11">
        <f>HLOOKUP(CONCATENATE("M",Tableau2[[#This Row],[Screw diameter (mm)]]," - ",Tableau2[[#This Row],[Thread (mm)]]," - ",Tableau2[[#This Row],[Quality class]]),Table_Metier!$L$7:$CN$59,19,FALSE)</f>
        <v>31.83562369990106</v>
      </c>
      <c r="K28" s="11">
        <f>HLOOKUP(CONCATENATE("M",Tableau2[[#This Row],[Screw diameter (mm)]]," - ",Tableau2[[#This Row],[Thread (mm)]]," - ",Tableau2[[#This Row],[Quality class]]),Table_Metier!$L$7:$CN$59,34,FALSE)</f>
        <v>5145.6485612330098</v>
      </c>
      <c r="L28" s="99">
        <f>HLOOKUP(CONCATENATE("M",Tableau2[[#This Row],[Screw diameter (mm)]]," - ",Tableau2[[#This Row],[Thread (mm)]]," - ",Tableau2[[#This Row],[Quality class]]),Table_Metier!$L$7:$CN$59,36,FALSE)</f>
        <v>11200</v>
      </c>
      <c r="M28" s="156">
        <f>HLOOKUP(CONCATENATE("M",Tableau2[[#This Row],[Screw diameter (mm)]]," - ",Tableau2[[#This Row],[Thread (mm)]]," - ",Tableau2[[#This Row],[Quality class]]),Table_Metier!$L$7:$CN$59,28,FALSE)</f>
        <v>19358.80014926389</v>
      </c>
      <c r="N28" s="10">
        <f>HLOOKUP(CONCATENATE("M",Tableau2[[#This Row],[Screw diameter (mm)]]," - ",Tableau2[[#This Row],[Thread (mm)]]," - ",Tableau2[[#This Row],[Quality class]]),Table_Metier!$L$7:$CN$59,5,FALSE)</f>
        <v>0.32193158953722334</v>
      </c>
    </row>
    <row r="29" spans="3:14" x14ac:dyDescent="0.25">
      <c r="C29" s="168">
        <v>10</v>
      </c>
      <c r="D29" s="154">
        <v>1</v>
      </c>
      <c r="E29" s="89">
        <v>8.8000000000000007</v>
      </c>
      <c r="F29" s="152">
        <f>HLOOKUP(CONCATENATE("M",Tableau2[[#This Row],[Screw diameter (mm)]]," - ",Tableau2[[#This Row],[Thread (mm)]]," - ",Tableau2[[#This Row],[Quality class]]),Table_Metier!$L$7:$CN$59,2,FALSE)</f>
        <v>51600</v>
      </c>
      <c r="G29" s="152">
        <f>HLOOKUP(CONCATENATE("M",Tableau2[[#This Row],[Screw diameter (mm)]]," - ",Tableau2[[#This Row],[Thread (mm)]]," - ",Tableau2[[#This Row],[Quality class]]),Table_Metier!$L$7:$CN$59,3,FALSE)</f>
        <v>30900</v>
      </c>
      <c r="H29" s="11">
        <f>HLOOKUP(CONCATENATE("M",Tableau2[[#This Row],[Screw diameter (mm)]]," - ",Tableau2[[#This Row],[Thread (mm)]]," - ",Tableau2[[#This Row],[Quality class]]),Table_Metier!$L$7:$CN$59,26,FALSE)</f>
        <v>32.604439016944504</v>
      </c>
      <c r="I29" s="99">
        <f>HLOOKUP(Tableau2[[#This Row],[Nominal (CONLO database)]],Table_Metier!$L$58:$CN$59,2,FALSE)</f>
        <v>39.940437795757013</v>
      </c>
      <c r="J29" s="11">
        <f>HLOOKUP(CONCATENATE("M",Tableau2[[#This Row],[Screw diameter (mm)]]," - ",Tableau2[[#This Row],[Thread (mm)]]," - ",Tableau2[[#This Row],[Quality class]]),Table_Metier!$L$7:$CN$59,19,FALSE)</f>
        <v>47.276436574569523</v>
      </c>
      <c r="K29" s="11">
        <f>HLOOKUP(CONCATENATE("M",Tableau2[[#This Row],[Screw diameter (mm)]]," - ",Tableau2[[#This Row],[Thread (mm)]]," - ",Tableau2[[#This Row],[Quality class]]),Table_Metier!$L$7:$CN$59,34,FALSE)</f>
        <v>7793.8834139193486</v>
      </c>
      <c r="L29" s="99">
        <f>HLOOKUP(CONCATENATE("M",Tableau2[[#This Row],[Screw diameter (mm)]]," - ",Tableau2[[#This Row],[Thread (mm)]]," - ",Tableau2[[#This Row],[Quality class]]),Table_Metier!$L$7:$CN$59,36,FALSE)</f>
        <v>17100</v>
      </c>
      <c r="M29" s="155">
        <f>HLOOKUP(CONCATENATE("M",Tableau2[[#This Row],[Screw diameter (mm)]]," - ",Tableau2[[#This Row],[Thread (mm)]]," - ",Tableau2[[#This Row],[Quality class]]),Table_Metier!$L$7:$CN$59,28,FALSE)</f>
        <v>29785.620720888986</v>
      </c>
      <c r="N29" s="10">
        <f>HLOOKUP(CONCATENATE("M",Tableau2[[#This Row],[Screw diameter (mm)]]," - ",Tableau2[[#This Row],[Thread (mm)]]," - ",Tableau2[[#This Row],[Quality class]]),Table_Metier!$L$7:$CN$59,5,FALSE)</f>
        <v>0.33139534883720928</v>
      </c>
    </row>
    <row r="30" spans="3:14" x14ac:dyDescent="0.25">
      <c r="C30" s="168">
        <v>10</v>
      </c>
      <c r="D30" s="154">
        <v>1.25</v>
      </c>
      <c r="E30" s="89">
        <v>8.8000000000000007</v>
      </c>
      <c r="F30" s="152">
        <f>HLOOKUP(CONCATENATE("M",Tableau2[[#This Row],[Screw diameter (mm)]]," - ",Tableau2[[#This Row],[Thread (mm)]]," - ",Tableau2[[#This Row],[Quality class]]),Table_Metier!$L$7:$CN$59,2,FALSE)</f>
        <v>48960</v>
      </c>
      <c r="G30" s="152">
        <f>HLOOKUP(CONCATENATE("M",Tableau2[[#This Row],[Screw diameter (mm)]]," - ",Tableau2[[#This Row],[Thread (mm)]]," - ",Tableau2[[#This Row],[Quality class]]),Table_Metier!$L$7:$CN$59,3,FALSE)</f>
        <v>29320</v>
      </c>
      <c r="H30" s="11">
        <f>HLOOKUP(CONCATENATE("M",Tableau2[[#This Row],[Screw diameter (mm)]]," - ",Tableau2[[#This Row],[Thread (mm)]]," - ",Tableau2[[#This Row],[Quality class]]),Table_Metier!$L$7:$CN$59,26,FALSE)</f>
        <v>30.943034649061353</v>
      </c>
      <c r="I30" s="99">
        <f>HLOOKUP(Tableau2[[#This Row],[Nominal (CONLO database)]],Table_Metier!$L$58:$CN$59,2,FALSE)</f>
        <v>37.905217445100156</v>
      </c>
      <c r="J30" s="11">
        <f>HLOOKUP(CONCATENATE("M",Tableau2[[#This Row],[Screw diameter (mm)]]," - ",Tableau2[[#This Row],[Thread (mm)]]," - ",Tableau2[[#This Row],[Quality class]]),Table_Metier!$L$7:$CN$59,19,FALSE)</f>
        <v>44.867400241138959</v>
      </c>
      <c r="K30" s="11">
        <f>HLOOKUP(CONCATENATE("M",Tableau2[[#This Row],[Screw diameter (mm)]]," - ",Tableau2[[#This Row],[Thread (mm)]]," - ",Tableau2[[#This Row],[Quality class]]),Table_Metier!$L$7:$CN$59,34,FALSE)</f>
        <v>7323.6515072708607</v>
      </c>
      <c r="L30" s="99">
        <f>HLOOKUP(CONCATENATE("M",Tableau2[[#This Row],[Screw diameter (mm)]]," - ",Tableau2[[#This Row],[Thread (mm)]]," - ",Tableau2[[#This Row],[Quality class]]),Table_Metier!$L$7:$CN$59,36,FALSE)</f>
        <v>16000</v>
      </c>
      <c r="M30" s="155">
        <f>HLOOKUP(CONCATENATE("M",Tableau2[[#This Row],[Screw diameter (mm)]]," - ",Tableau2[[#This Row],[Thread (mm)]]," - ",Tableau2[[#This Row],[Quality class]]),Table_Metier!$L$7:$CN$59,28,FALSE)</f>
        <v>27766.821884152985</v>
      </c>
      <c r="N30" s="10">
        <f>HLOOKUP(CONCATENATE("M",Tableau2[[#This Row],[Screw diameter (mm)]]," - ",Tableau2[[#This Row],[Thread (mm)]]," - ",Tableau2[[#This Row],[Quality class]]),Table_Metier!$L$7:$CN$59,5,FALSE)</f>
        <v>0.32679738562091504</v>
      </c>
    </row>
    <row r="31" spans="3:14" x14ac:dyDescent="0.25">
      <c r="C31" s="168">
        <v>10</v>
      </c>
      <c r="D31" s="9">
        <v>1.5</v>
      </c>
      <c r="E31" s="89">
        <v>8.8000000000000007</v>
      </c>
      <c r="F31" s="152">
        <f>HLOOKUP(CONCATENATE("M",Tableau2[[#This Row],[Screw diameter (mm)]]," - ",Tableau2[[#This Row],[Thread (mm)]]," - ",Tableau2[[#This Row],[Quality class]]),Table_Metier!$L$7:$CN$59,2,FALSE)</f>
        <v>46390</v>
      </c>
      <c r="G31" s="152">
        <f>HLOOKUP(CONCATENATE("M",Tableau2[[#This Row],[Screw diameter (mm)]]," - ",Tableau2[[#This Row],[Thread (mm)]]," - ",Tableau2[[#This Row],[Quality class]]),Table_Metier!$L$7:$CN$59,3,FALSE)</f>
        <v>27780</v>
      </c>
      <c r="H31" s="11">
        <f>HLOOKUP(CONCATENATE("M",Tableau2[[#This Row],[Screw diameter (mm)]]," - ",Tableau2[[#This Row],[Thread (mm)]]," - ",Tableau2[[#This Row],[Quality class]]),Table_Metier!$L$7:$CN$59,26,FALSE)</f>
        <v>29.274136735541209</v>
      </c>
      <c r="I31" s="99">
        <f>HLOOKUP(Tableau2[[#This Row],[Nominal (CONLO database)]],Table_Metier!$L$58:$CN$59,2,FALSE)</f>
        <v>35.860817501037978</v>
      </c>
      <c r="J31" s="11">
        <f>HLOOKUP(CONCATENATE("M",Tableau2[[#This Row],[Screw diameter (mm)]]," - ",Tableau2[[#This Row],[Thread (mm)]]," - ",Tableau2[[#This Row],[Quality class]]),Table_Metier!$L$7:$CN$59,19,FALSE)</f>
        <v>42.447498266534751</v>
      </c>
      <c r="K31" s="11">
        <f>HLOOKUP(CONCATENATE("M",Tableau2[[#This Row],[Screw diameter (mm)]]," - ",Tableau2[[#This Row],[Thread (mm)]]," - ",Tableau2[[#This Row],[Quality class]]),Table_Metier!$L$7:$CN$59,34,FALSE)</f>
        <v>6860.8647483106815</v>
      </c>
      <c r="L31" s="99">
        <f>HLOOKUP(CONCATENATE("M",Tableau2[[#This Row],[Screw diameter (mm)]]," - ",Tableau2[[#This Row],[Thread (mm)]]," - ",Tableau2[[#This Row],[Quality class]]),Table_Metier!$L$7:$CN$59,36,FALSE)</f>
        <v>14900</v>
      </c>
      <c r="M31" s="156">
        <f>HLOOKUP(CONCATENATE("M",Tableau2[[#This Row],[Screw diameter (mm)]]," - ",Tableau2[[#This Row],[Thread (mm)]]," - ",Tableau2[[#This Row],[Quality class]]),Table_Metier!$L$7:$CN$59,28,FALSE)</f>
        <v>25811.733532351856</v>
      </c>
      <c r="N31" s="10">
        <f>HLOOKUP(CONCATENATE("M",Tableau2[[#This Row],[Screw diameter (mm)]]," - ",Tableau2[[#This Row],[Thread (mm)]]," - ",Tableau2[[#This Row],[Quality class]]),Table_Metier!$L$7:$CN$59,5,FALSE)</f>
        <v>0.32118991161888338</v>
      </c>
    </row>
    <row r="32" spans="3:14" x14ac:dyDescent="0.25">
      <c r="C32" s="168">
        <v>10</v>
      </c>
      <c r="D32" s="154">
        <v>1</v>
      </c>
      <c r="E32" s="90">
        <v>10.9</v>
      </c>
      <c r="F32" s="152">
        <f>HLOOKUP(CONCATENATE("M",Tableau2[[#This Row],[Screw diameter (mm)]]," - ",Tableau2[[#This Row],[Thread (mm)]]," - ",Tableau2[[#This Row],[Quality class]]),Table_Metier!$L$7:$CN$59,2,FALSE)</f>
        <v>67070</v>
      </c>
      <c r="G32" s="152">
        <f>HLOOKUP(CONCATENATE("M",Tableau2[[#This Row],[Screw diameter (mm)]]," - ",Tableau2[[#This Row],[Thread (mm)]]," - ",Tableau2[[#This Row],[Quality class]]),Table_Metier!$L$7:$CN$59,3,FALSE)</f>
        <v>40160</v>
      </c>
      <c r="H32" s="11">
        <f>HLOOKUP(CONCATENATE("M",Tableau2[[#This Row],[Screw diameter (mm)]]," - ",Tableau2[[#This Row],[Thread (mm)]]," - ",Tableau2[[#This Row],[Quality class]]),Table_Metier!$L$7:$CN$59,26,FALSE)</f>
        <v>47.887769806137236</v>
      </c>
      <c r="I32" s="99">
        <f>HLOOKUP(Tableau2[[#This Row],[Nominal (CONLO database)]],Table_Metier!$L$58:$CN$59,2,FALSE)</f>
        <v>58.662518012518106</v>
      </c>
      <c r="J32" s="11">
        <f>HLOOKUP(CONCATENATE("M",Tableau2[[#This Row],[Screw diameter (mm)]]," - ",Tableau2[[#This Row],[Thread (mm)]]," - ",Tableau2[[#This Row],[Quality class]]),Table_Metier!$L$7:$CN$59,19,FALSE)</f>
        <v>69.437266218898984</v>
      </c>
      <c r="K32" s="11">
        <f>HLOOKUP(CONCATENATE("M",Tableau2[[#This Row],[Screw diameter (mm)]]," - ",Tableau2[[#This Row],[Thread (mm)]]," - ",Tableau2[[#This Row],[Quality class]]),Table_Metier!$L$7:$CN$59,34,FALSE)</f>
        <v>11447.266264194042</v>
      </c>
      <c r="L32" s="99">
        <f>HLOOKUP(CONCATENATE("M",Tableau2[[#This Row],[Screw diameter (mm)]]," - ",Tableau2[[#This Row],[Thread (mm)]]," - ",Tableau2[[#This Row],[Quality class]]),Table_Metier!$L$7:$CN$59,36,FALSE)</f>
        <v>25100</v>
      </c>
      <c r="M32" s="155">
        <f>HLOOKUP(CONCATENATE("M",Tableau2[[#This Row],[Screw diameter (mm)]]," - ",Tableau2[[#This Row],[Thread (mm)]]," - ",Tableau2[[#This Row],[Quality class]]),Table_Metier!$L$7:$CN$59,28,FALSE)</f>
        <v>43747.630433805687</v>
      </c>
      <c r="N32" s="10">
        <f>HLOOKUP(CONCATENATE("M",Tableau2[[#This Row],[Screw diameter (mm)]]," - ",Tableau2[[#This Row],[Thread (mm)]]," - ",Tableau2[[#This Row],[Quality class]]),Table_Metier!$L$7:$CN$59,5,FALSE)</f>
        <v>0.37423587296854033</v>
      </c>
    </row>
    <row r="33" spans="1:14" x14ac:dyDescent="0.25">
      <c r="C33" s="168">
        <v>10</v>
      </c>
      <c r="D33" s="154">
        <v>1.25</v>
      </c>
      <c r="E33" s="90">
        <v>10.9</v>
      </c>
      <c r="F33" s="152">
        <f>HLOOKUP(CONCATENATE("M",Tableau2[[#This Row],[Screw diameter (mm)]]," - ",Tableau2[[#This Row],[Thread (mm)]]," - ",Tableau2[[#This Row],[Quality class]]),Table_Metier!$L$7:$CN$59,2,FALSE)</f>
        <v>63650</v>
      </c>
      <c r="G33" s="152">
        <f>HLOOKUP(CONCATENATE("M",Tableau2[[#This Row],[Screw diameter (mm)]]," - ",Tableau2[[#This Row],[Thread (mm)]]," - ",Tableau2[[#This Row],[Quality class]]),Table_Metier!$L$7:$CN$59,3,FALSE)</f>
        <v>38110</v>
      </c>
      <c r="H33" s="11">
        <f>HLOOKUP(CONCATENATE("M",Tableau2[[#This Row],[Screw diameter (mm)]]," - ",Tableau2[[#This Row],[Thread (mm)]]," - ",Tableau2[[#This Row],[Quality class]]),Table_Metier!$L$7:$CN$59,26,FALSE)</f>
        <v>45.447582140808862</v>
      </c>
      <c r="I33" s="99">
        <f>HLOOKUP(Tableau2[[#This Row],[Nominal (CONLO database)]],Table_Metier!$L$58:$CN$59,2,FALSE)</f>
        <v>55.673288122490852</v>
      </c>
      <c r="J33" s="11">
        <f>HLOOKUP(CONCATENATE("M",Tableau2[[#This Row],[Screw diameter (mm)]]," - ",Tableau2[[#This Row],[Thread (mm)]]," - ",Tableau2[[#This Row],[Quality class]]),Table_Metier!$L$7:$CN$59,19,FALSE)</f>
        <v>65.898994104172843</v>
      </c>
      <c r="K33" s="11">
        <f>HLOOKUP(CONCATENATE("M",Tableau2[[#This Row],[Screw diameter (mm)]]," - ",Tableau2[[#This Row],[Thread (mm)]]," - ",Tableau2[[#This Row],[Quality class]]),Table_Metier!$L$7:$CN$59,34,FALSE)</f>
        <v>10756.613151304075</v>
      </c>
      <c r="L33" s="99">
        <f>HLOOKUP(CONCATENATE("M",Tableau2[[#This Row],[Screw diameter (mm)]]," - ",Tableau2[[#This Row],[Thread (mm)]]," - ",Tableau2[[#This Row],[Quality class]]),Table_Metier!$L$7:$CN$59,36,FALSE)</f>
        <v>23500</v>
      </c>
      <c r="M33" s="155">
        <f>HLOOKUP(CONCATENATE("M",Tableau2[[#This Row],[Screw diameter (mm)]]," - ",Tableau2[[#This Row],[Thread (mm)]]," - ",Tableau2[[#This Row],[Quality class]]),Table_Metier!$L$7:$CN$59,28,FALSE)</f>
        <v>40782.519642349696</v>
      </c>
      <c r="N33" s="10">
        <f>HLOOKUP(CONCATENATE("M",Tableau2[[#This Row],[Screw diameter (mm)]]," - ",Tableau2[[#This Row],[Thread (mm)]]," - ",Tableau2[[#This Row],[Quality class]]),Table_Metier!$L$7:$CN$59,5,FALSE)</f>
        <v>0.36920659858601729</v>
      </c>
    </row>
    <row r="34" spans="1:14" x14ac:dyDescent="0.25">
      <c r="C34" s="168">
        <v>10</v>
      </c>
      <c r="D34" s="9">
        <v>1.5</v>
      </c>
      <c r="E34" s="90">
        <v>10.9</v>
      </c>
      <c r="F34" s="152">
        <f>HLOOKUP(CONCATENATE("M",Tableau2[[#This Row],[Screw diameter (mm)]]," - ",Tableau2[[#This Row],[Thread (mm)]]," - ",Tableau2[[#This Row],[Quality class]]),Table_Metier!$L$7:$CN$59,2,FALSE)</f>
        <v>60310</v>
      </c>
      <c r="G34" s="152">
        <f>HLOOKUP(CONCATENATE("M",Tableau2[[#This Row],[Screw diameter (mm)]]," - ",Tableau2[[#This Row],[Thread (mm)]]," - ",Tableau2[[#This Row],[Quality class]]),Table_Metier!$L$7:$CN$59,3,FALSE)</f>
        <v>36110</v>
      </c>
      <c r="H34" s="11">
        <f>HLOOKUP(CONCATENATE("M",Tableau2[[#This Row],[Screw diameter (mm)]]," - ",Tableau2[[#This Row],[Thread (mm)]]," - ",Tableau2[[#This Row],[Quality class]]),Table_Metier!$L$7:$CN$59,26,FALSE)</f>
        <v>42.996388330326148</v>
      </c>
      <c r="I34" s="99">
        <f>HLOOKUP(Tableau2[[#This Row],[Nominal (CONLO database)]],Table_Metier!$L$58:$CN$59,2,FALSE)</f>
        <v>52.670575704649529</v>
      </c>
      <c r="J34" s="11">
        <f>HLOOKUP(CONCATENATE("M",Tableau2[[#This Row],[Screw diameter (mm)]]," - ",Tableau2[[#This Row],[Thread (mm)]]," - ",Tableau2[[#This Row],[Quality class]]),Table_Metier!$L$7:$CN$59,19,FALSE)</f>
        <v>62.34476307897291</v>
      </c>
      <c r="K34" s="11">
        <f>HLOOKUP(CONCATENATE("M",Tableau2[[#This Row],[Screw diameter (mm)]]," - ",Tableau2[[#This Row],[Thread (mm)]]," - ",Tableau2[[#This Row],[Quality class]]),Table_Metier!$L$7:$CN$59,34,FALSE)</f>
        <v>10076.895099081312</v>
      </c>
      <c r="L34" s="99">
        <f>HLOOKUP(CONCATENATE("M",Tableau2[[#This Row],[Screw diameter (mm)]]," - ",Tableau2[[#This Row],[Thread (mm)]]," - ",Tableau2[[#This Row],[Quality class]]),Table_Metier!$L$7:$CN$59,36,FALSE)</f>
        <v>21900</v>
      </c>
      <c r="M34" s="156">
        <f>HLOOKUP(CONCATENATE("M",Tableau2[[#This Row],[Screw diameter (mm)]]," - ",Tableau2[[#This Row],[Thread (mm)]]," - ",Tableau2[[#This Row],[Quality class]]),Table_Metier!$L$7:$CN$59,28,FALSE)</f>
        <v>37910.983625641784</v>
      </c>
      <c r="N34" s="10">
        <f>HLOOKUP(CONCATENATE("M",Tableau2[[#This Row],[Screw diameter (mm)]]," - ",Tableau2[[#This Row],[Thread (mm)]]," - ",Tableau2[[#This Row],[Quality class]]),Table_Metier!$L$7:$CN$59,5,FALSE)</f>
        <v>0.36312386005637537</v>
      </c>
    </row>
    <row r="35" spans="1:14" x14ac:dyDescent="0.25">
      <c r="A35" s="1" t="s">
        <v>156</v>
      </c>
      <c r="C35" s="168">
        <v>10</v>
      </c>
      <c r="D35" s="9">
        <v>1</v>
      </c>
      <c r="E35" s="91">
        <v>11.9</v>
      </c>
      <c r="F35" s="152">
        <f>HLOOKUP(CONCATENATE("M",Tableau2[[#This Row],[Screw diameter (mm)]]," - ",Tableau2[[#This Row],[Thread (mm)]]," - ",Tableau2[[#This Row],[Quality class]]),Table_Metier!$L$7:$CN$59,2,FALSE)</f>
        <v>70940</v>
      </c>
      <c r="G35" s="152">
        <f>HLOOKUP(CONCATENATE("M",Tableau2[[#This Row],[Screw diameter (mm)]]," - ",Tableau2[[#This Row],[Thread (mm)]]," - ",Tableau2[[#This Row],[Quality class]]),Table_Metier!$L$7:$CN$59,3,FALSE)</f>
        <v>42480</v>
      </c>
      <c r="H35" s="11">
        <f>HLOOKUP(CONCATENATE("M",Tableau2[[#This Row],[Screw diameter (mm)]]," - ",Tableau2[[#This Row],[Thread (mm)]]," - ",Tableau2[[#This Row],[Quality class]]),Table_Metier!$L$7:$CN$59,26,FALSE)</f>
        <v>50.434991604336027</v>
      </c>
      <c r="I35" s="99">
        <f>HLOOKUP(Tableau2[[#This Row],[Nominal (CONLO database)]],Table_Metier!$L$58:$CN$59,2,FALSE)</f>
        <v>61.782864715311632</v>
      </c>
      <c r="J35" s="11">
        <f>HLOOKUP(CONCATENATE("M",Tableau2[[#This Row],[Screw diameter (mm)]]," - ",Tableau2[[#This Row],[Thread (mm)]]," - ",Tableau2[[#This Row],[Quality class]]),Table_Metier!$L$7:$CN$59,19,FALSE)</f>
        <v>73.130737826287231</v>
      </c>
      <c r="K35" s="11">
        <f>HLOOKUP(CONCATENATE("M",Tableau2[[#This Row],[Screw diameter (mm)]]," - ",Tableau2[[#This Row],[Thread (mm)]]," - ",Tableau2[[#This Row],[Quality class]]),Table_Metier!$L$7:$CN$59,34,FALSE)</f>
        <v>12056.163405906493</v>
      </c>
      <c r="L35" s="99">
        <f>HLOOKUP(CONCATENATE("M",Tableau2[[#This Row],[Screw diameter (mm)]]," - ",Tableau2[[#This Row],[Thread (mm)]]," - ",Tableau2[[#This Row],[Quality class]]),Table_Metier!$L$7:$CN$59,36,FALSE)</f>
        <v>26500</v>
      </c>
      <c r="M35" s="156">
        <f>HLOOKUP(CONCATENATE("M",Tableau2[[#This Row],[Screw diameter (mm)]]," - ",Tableau2[[#This Row],[Thread (mm)]]," - ",Tableau2[[#This Row],[Quality class]]),Table_Metier!$L$7:$CN$59,28,FALSE)</f>
        <v>46074.632052625151</v>
      </c>
      <c r="N35" s="10">
        <f>HLOOKUP(CONCATENATE("M",Tableau2[[#This Row],[Screw diameter (mm)]]," - ",Tableau2[[#This Row],[Thread (mm)]]," - ",Tableau2[[#This Row],[Quality class]]),Table_Metier!$L$7:$CN$59,5,FALSE)</f>
        <v>0.37355511700028193</v>
      </c>
    </row>
    <row r="36" spans="1:14" x14ac:dyDescent="0.25">
      <c r="A36" s="1" t="s">
        <v>156</v>
      </c>
      <c r="C36" s="168">
        <v>10</v>
      </c>
      <c r="D36" s="9">
        <v>1.25</v>
      </c>
      <c r="E36" s="91">
        <v>11.9</v>
      </c>
      <c r="F36" s="152">
        <f>HLOOKUP(CONCATENATE("M",Tableau2[[#This Row],[Screw diameter (mm)]]," - ",Tableau2[[#This Row],[Thread (mm)]]," - ",Tableau2[[#This Row],[Quality class]]),Table_Metier!$L$7:$CN$59,2,FALSE)</f>
        <v>67320</v>
      </c>
      <c r="G36" s="152">
        <f>HLOOKUP(CONCATENATE("M",Tableau2[[#This Row],[Screw diameter (mm)]]," - ",Tableau2[[#This Row],[Thread (mm)]]," - ",Tableau2[[#This Row],[Quality class]]),Table_Metier!$L$7:$CN$59,3,FALSE)</f>
        <v>40310</v>
      </c>
      <c r="H36" s="11">
        <f>HLOOKUP(CONCATENATE("M",Tableau2[[#This Row],[Screw diameter (mm)]]," - ",Tableau2[[#This Row],[Thread (mm)]]," - ",Tableau2[[#This Row],[Quality class]]),Table_Metier!$L$7:$CN$59,26,FALSE)</f>
        <v>47.865006722766779</v>
      </c>
      <c r="I36" s="99">
        <f>HLOOKUP(Tableau2[[#This Row],[Nominal (CONLO database)]],Table_Metier!$L$58:$CN$59,2,FALSE)</f>
        <v>81.054396110416661</v>
      </c>
      <c r="J36" s="11">
        <f>HLOOKUP(CONCATENATE("M",Tableau2[[#This Row],[Screw diameter (mm)]]," - ",Tableau2[[#This Row],[Thread (mm)]]," - ",Tableau2[[#This Row],[Quality class]]),Table_Metier!$L$7:$CN$59,19,FALSE)</f>
        <v>69.404259748011825</v>
      </c>
      <c r="K36" s="11">
        <f>HLOOKUP(CONCATENATE("M",Tableau2[[#This Row],[Screw diameter (mm)]]," - ",Tableau2[[#This Row],[Thread (mm)]]," - ",Tableau2[[#This Row],[Quality class]]),Table_Metier!$L$7:$CN$59,34,FALSE)</f>
        <v>11328.77342530961</v>
      </c>
      <c r="L36" s="99">
        <f>HLOOKUP(CONCATENATE("M",Tableau2[[#This Row],[Screw diameter (mm)]]," - ",Tableau2[[#This Row],[Thread (mm)]]," - ",Tableau2[[#This Row],[Quality class]]),Table_Metier!$L$7:$CN$59,36,FALSE)</f>
        <v>24700</v>
      </c>
      <c r="M36" s="156">
        <f>HLOOKUP(CONCATENATE("M",Tableau2[[#This Row],[Screw diameter (mm)]]," - ",Tableau2[[#This Row],[Thread (mm)]]," - ",Tableau2[[#This Row],[Quality class]]),Table_Metier!$L$7:$CN$59,28,FALSE)</f>
        <v>42951.802602049152</v>
      </c>
      <c r="N36" s="10">
        <f>HLOOKUP(CONCATENATE("M",Tableau2[[#This Row],[Screw diameter (mm)]]," - ",Tableau2[[#This Row],[Thread (mm)]]," - ",Tableau2[[#This Row],[Quality class]]),Table_Metier!$L$7:$CN$59,5,FALSE)</f>
        <v>0.36690433749257279</v>
      </c>
    </row>
    <row r="37" spans="1:14" x14ac:dyDescent="0.25">
      <c r="C37" s="168">
        <v>10</v>
      </c>
      <c r="D37" s="9">
        <v>1.5</v>
      </c>
      <c r="E37" s="91">
        <v>11.9</v>
      </c>
      <c r="F37" s="152">
        <f>HLOOKUP(CONCATENATE("M",Tableau2[[#This Row],[Screw diameter (mm)]]," - ",Tableau2[[#This Row],[Thread (mm)]]," - ",Tableau2[[#This Row],[Quality class]]),Table_Metier!$L$7:$CN$59,2,FALSE)</f>
        <v>63790</v>
      </c>
      <c r="G37" s="152">
        <f>HLOOKUP(CONCATENATE("M",Tableau2[[#This Row],[Screw diameter (mm)]]," - ",Tableau2[[#This Row],[Thread (mm)]]," - ",Tableau2[[#This Row],[Quality class]]),Table_Metier!$L$7:$CN$59,3,FALSE)</f>
        <v>38200</v>
      </c>
      <c r="H37" s="11">
        <f>HLOOKUP(CONCATENATE("M",Tableau2[[#This Row],[Screw diameter (mm)]]," - ",Tableau2[[#This Row],[Thread (mm)]]," - ",Tableau2[[#This Row],[Quality class]]),Table_Metier!$L$7:$CN$59,26,FALSE)</f>
        <v>45.283430262790304</v>
      </c>
      <c r="I37" s="99">
        <f>HLOOKUP(Tableau2[[#This Row],[Nominal (CONLO database)]],Table_Metier!$L$58:$CN$59,2,FALSE)</f>
        <v>55.472202071918119</v>
      </c>
      <c r="J37" s="11">
        <f>HLOOKUP(CONCATENATE("M",Tableau2[[#This Row],[Screw diameter (mm)]]," - ",Tableau2[[#This Row],[Thread (mm)]]," - ",Tableau2[[#This Row],[Quality class]]),Table_Metier!$L$7:$CN$59,19,FALSE)</f>
        <v>65.660973881045933</v>
      </c>
      <c r="K37" s="11">
        <f>HLOOKUP(CONCATENATE("M",Tableau2[[#This Row],[Screw diameter (mm)]]," - ",Tableau2[[#This Row],[Thread (mm)]]," - ",Tableau2[[#This Row],[Quality class]]),Table_Metier!$L$7:$CN$59,34,FALSE)</f>
        <v>10612.900157543083</v>
      </c>
      <c r="L37" s="99">
        <f>HLOOKUP(CONCATENATE("M",Tableau2[[#This Row],[Screw diameter (mm)]]," - ",Tableau2[[#This Row],[Thread (mm)]]," - ",Tableau2[[#This Row],[Quality class]]),Table_Metier!$L$7:$CN$59,36,FALSE)</f>
        <v>23100</v>
      </c>
      <c r="M37" s="156">
        <f>HLOOKUP(CONCATENATE("M",Tableau2[[#This Row],[Screw diameter (mm)]]," - ",Tableau2[[#This Row],[Thread (mm)]]," - ",Tableau2[[#This Row],[Quality class]]),Table_Metier!$L$7:$CN$59,28,FALSE)</f>
        <v>39927.525307856777</v>
      </c>
      <c r="N37" s="10">
        <f>HLOOKUP(CONCATENATE("M",Tableau2[[#This Row],[Screw diameter (mm)]]," - ",Tableau2[[#This Row],[Thread (mm)]]," - ",Tableau2[[#This Row],[Quality class]]),Table_Metier!$L$7:$CN$59,5,FALSE)</f>
        <v>0.36212572503527196</v>
      </c>
    </row>
    <row r="38" spans="1:14" x14ac:dyDescent="0.25">
      <c r="A38" s="175" t="s">
        <v>154</v>
      </c>
      <c r="C38" s="169">
        <v>11.112500000000001</v>
      </c>
      <c r="D38" s="154">
        <v>1</v>
      </c>
      <c r="E38" s="88">
        <v>6.8</v>
      </c>
      <c r="F38" s="152">
        <f>HLOOKUP(CONCATENATE("M",Tableau2[[#This Row],[Screw diameter (mm)]]," - ",Tableau2[[#This Row],[Thread (mm)]]," - ",Tableau2[[#This Row],[Quality class]]),Table_Metier!$L$7:$CN$59,2,FALSE)</f>
        <v>48780</v>
      </c>
      <c r="G38" s="152">
        <f>HLOOKUP(CONCATENATE("M",Tableau2[[#This Row],[Screw diameter (mm)]]," - ",Tableau2[[#This Row],[Thread (mm)]]," - ",Tableau2[[#This Row],[Quality class]]),Table_Metier!$L$7:$CN$59,3,FALSE)</f>
        <v>29210</v>
      </c>
      <c r="H38" s="11">
        <f>HLOOKUP(CONCATENATE("M",Tableau2[[#This Row],[Screw diameter (mm)]]," - ",Tableau2[[#This Row],[Thread (mm)]]," - ",Tableau2[[#This Row],[Quality class]]),Table_Metier!$L$7:$CN$59,26,FALSE)</f>
        <v>33.64654286112215</v>
      </c>
      <c r="I38" s="99">
        <f>HLOOKUP(Tableau2[[#This Row],[Nominal (CONLO database)]],Table_Metier!$L$58:$CN$59,2,FALSE)</f>
        <v>41.217015004874632</v>
      </c>
      <c r="J38" s="11">
        <f>HLOOKUP(CONCATENATE("M",Tableau2[[#This Row],[Screw diameter (mm)]]," - ",Tableau2[[#This Row],[Thread (mm)]]," - ",Tableau2[[#This Row],[Quality class]]),Table_Metier!$L$7:$CN$59,19,FALSE)</f>
        <v>48.787487148627115</v>
      </c>
      <c r="K38" s="11">
        <f>HLOOKUP(CONCATENATE("M",Tableau2[[#This Row],[Screw diameter (mm)]]," - ",Tableau2[[#This Row],[Thread (mm)]]," - ",Tableau2[[#This Row],[Quality class]]),Table_Metier!$L$7:$CN$59,34,FALSE)</f>
        <v>7398.4974141064495</v>
      </c>
      <c r="L38" s="99">
        <f>HLOOKUP(CONCATENATE("M",Tableau2[[#This Row],[Screw diameter (mm)]]," - ",Tableau2[[#This Row],[Thread (mm)]]," - ",Tableau2[[#This Row],[Quality class]]),Table_Metier!$L$7:$CN$59,36,FALSE)</f>
        <v>16300</v>
      </c>
      <c r="M38" s="156">
        <f>HLOOKUP(CONCATENATE("M",Tableau2[[#This Row],[Screw diameter (mm)]]," - ",Tableau2[[#This Row],[Thread (mm)]]," - ",Tableau2[[#This Row],[Quality class]]),Table_Metier!$L$7:$CN$59,28,FALSE)</f>
        <v>28350.923397698105</v>
      </c>
      <c r="N38" s="10">
        <f>HLOOKUP(CONCATENATE("M",Tableau2[[#This Row],[Screw diameter (mm)]]," - ",Tableau2[[#This Row],[Thread (mm)]]," - ",Tableau2[[#This Row],[Quality class]]),Table_Metier!$L$7:$CN$59,5,FALSE)</f>
        <v>0.33415334153341536</v>
      </c>
    </row>
    <row r="39" spans="1:14" x14ac:dyDescent="0.25">
      <c r="A39" s="175" t="s">
        <v>154</v>
      </c>
      <c r="C39" s="169">
        <v>11.112500000000001</v>
      </c>
      <c r="D39" s="154">
        <v>1.25</v>
      </c>
      <c r="E39" s="88">
        <v>6.8</v>
      </c>
      <c r="F39" s="152">
        <f>HLOOKUP(CONCATENATE("M",Tableau2[[#This Row],[Screw diameter (mm)]]," - ",Tableau2[[#This Row],[Thread (mm)]]," - ",Tableau2[[#This Row],[Quality class]]),Table_Metier!$L$7:$CN$59,2,FALSE)</f>
        <v>46560</v>
      </c>
      <c r="G39" s="152">
        <f>HLOOKUP(CONCATENATE("M",Tableau2[[#This Row],[Screw diameter (mm)]]," - ",Tableau2[[#This Row],[Thread (mm)]]," - ",Tableau2[[#This Row],[Quality class]]),Table_Metier!$L$7:$CN$59,3,FALSE)</f>
        <v>27880</v>
      </c>
      <c r="H39" s="11">
        <f>HLOOKUP(CONCATENATE("M",Tableau2[[#This Row],[Screw diameter (mm)]]," - ",Tableau2[[#This Row],[Thread (mm)]]," - ",Tableau2[[#This Row],[Quality class]]),Table_Metier!$L$7:$CN$59,26,FALSE)</f>
        <v>32.148423315701393</v>
      </c>
      <c r="I39" s="99">
        <f>HLOOKUP(Tableau2[[#This Row],[Nominal (CONLO database)]],Table_Metier!$L$58:$CN$59,2,FALSE)</f>
        <v>39.381818561734207</v>
      </c>
      <c r="J39" s="11">
        <f>HLOOKUP(CONCATENATE("M",Tableau2[[#This Row],[Screw diameter (mm)]]," - ",Tableau2[[#This Row],[Thread (mm)]]," - ",Tableau2[[#This Row],[Quality class]]),Table_Metier!$L$7:$CN$59,19,FALSE)</f>
        <v>46.615213807767013</v>
      </c>
      <c r="K39" s="11">
        <f>HLOOKUP(CONCATENATE("M",Tableau2[[#This Row],[Screw diameter (mm)]]," - ",Tableau2[[#This Row],[Thread (mm)]]," - ",Tableau2[[#This Row],[Quality class]]),Table_Metier!$L$7:$CN$59,34,FALSE)</f>
        <v>7004.7773451864659</v>
      </c>
      <c r="L39" s="99">
        <f>HLOOKUP(CONCATENATE("M",Tableau2[[#This Row],[Screw diameter (mm)]]," - ",Tableau2[[#This Row],[Thread (mm)]]," - ",Tableau2[[#This Row],[Quality class]]),Table_Metier!$L$7:$CN$59,36,FALSE)</f>
        <v>15300</v>
      </c>
      <c r="M39" s="156">
        <f>HLOOKUP(CONCATENATE("M",Tableau2[[#This Row],[Screw diameter (mm)]]," - ",Tableau2[[#This Row],[Thread (mm)]]," - ",Tableau2[[#This Row],[Quality class]]),Table_Metier!$L$7:$CN$59,28,FALSE)</f>
        <v>26645.133532570839</v>
      </c>
      <c r="N39" s="10">
        <f>HLOOKUP(CONCATENATE("M",Tableau2[[#This Row],[Screw diameter (mm)]]," - ",Tableau2[[#This Row],[Thread (mm)]]," - ",Tableau2[[#This Row],[Quality class]]),Table_Metier!$L$7:$CN$59,5,FALSE)</f>
        <v>0.32860824742268041</v>
      </c>
    </row>
    <row r="40" spans="1:14" x14ac:dyDescent="0.25">
      <c r="A40" s="175" t="s">
        <v>154</v>
      </c>
      <c r="C40" s="169">
        <v>11.112500000000001</v>
      </c>
      <c r="D40" s="9">
        <v>1.5</v>
      </c>
      <c r="E40" s="88">
        <v>6.8</v>
      </c>
      <c r="F40" s="152">
        <f>HLOOKUP(CONCATENATE("M",Tableau2[[#This Row],[Screw diameter (mm)]]," - ",Tableau2[[#This Row],[Thread (mm)]]," - ",Tableau2[[#This Row],[Quality class]]),Table_Metier!$L$7:$CN$59,2,FALSE)</f>
        <v>44390</v>
      </c>
      <c r="G40" s="152">
        <f>HLOOKUP(CONCATENATE("M",Tableau2[[#This Row],[Screw diameter (mm)]]," - ",Tableau2[[#This Row],[Thread (mm)]]," - ",Tableau2[[#This Row],[Quality class]]),Table_Metier!$L$7:$CN$59,3,FALSE)</f>
        <v>26580</v>
      </c>
      <c r="H40" s="11">
        <f>HLOOKUP(CONCATENATE("M",Tableau2[[#This Row],[Screw diameter (mm)]]," - ",Tableau2[[#This Row],[Thread (mm)]]," - ",Tableau2[[#This Row],[Quality class]]),Table_Metier!$L$7:$CN$59,26,FALSE)</f>
        <v>30.640347200697711</v>
      </c>
      <c r="I40" s="99">
        <f>HLOOKUP(Tableau2[[#This Row],[Nominal (CONLO database)]],Table_Metier!$L$58:$CN$59,2,FALSE)</f>
        <v>37.534425320854695</v>
      </c>
      <c r="J40" s="11">
        <f>HLOOKUP(CONCATENATE("M",Tableau2[[#This Row],[Screw diameter (mm)]]," - ",Tableau2[[#This Row],[Thread (mm)]]," - ",Tableau2[[#This Row],[Quality class]]),Table_Metier!$L$7:$CN$59,19,FALSE)</f>
        <v>44.428503441011678</v>
      </c>
      <c r="K40" s="11">
        <f>HLOOKUP(CONCATENATE("M",Tableau2[[#This Row],[Screw diameter (mm)]]," - ",Tableau2[[#This Row],[Thread (mm)]]," - ",Tableau2[[#This Row],[Quality class]]),Table_Metier!$L$7:$CN$59,34,FALSE)</f>
        <v>6616.0054055768787</v>
      </c>
      <c r="L40" s="99">
        <f>HLOOKUP(CONCATENATE("M",Tableau2[[#This Row],[Screw diameter (mm)]]," - ",Tableau2[[#This Row],[Thread (mm)]]," - ",Tableau2[[#This Row],[Quality class]]),Table_Metier!$L$7:$CN$59,36,FALSE)</f>
        <v>14400</v>
      </c>
      <c r="M40" s="156">
        <f>HLOOKUP(CONCATENATE("M",Tableau2[[#This Row],[Screw diameter (mm)]]," - ",Tableau2[[#This Row],[Thread (mm)]]," - ",Tableau2[[#This Row],[Quality class]]),Table_Metier!$L$7:$CN$59,28,FALSE)</f>
        <v>24986.174753929205</v>
      </c>
      <c r="N40" s="10">
        <f>HLOOKUP(CONCATENATE("M",Tableau2[[#This Row],[Screw diameter (mm)]]," - ",Tableau2[[#This Row],[Thread (mm)]]," - ",Tableau2[[#This Row],[Quality class]]),Table_Metier!$L$7:$CN$59,5,FALSE)</f>
        <v>0.32439738679882857</v>
      </c>
    </row>
    <row r="41" spans="1:14" x14ac:dyDescent="0.25">
      <c r="A41" s="175" t="s">
        <v>154</v>
      </c>
      <c r="C41" s="169">
        <v>11.112500000000001</v>
      </c>
      <c r="D41" s="154">
        <v>1</v>
      </c>
      <c r="E41" s="89">
        <v>8.8000000000000007</v>
      </c>
      <c r="F41" s="152">
        <f>HLOOKUP(CONCATENATE("M",Tableau2[[#This Row],[Screw diameter (mm)]]," - ",Tableau2[[#This Row],[Thread (mm)]]," - ",Tableau2[[#This Row],[Quality class]]),Table_Metier!$L$7:$CN$59,2,FALSE)</f>
        <v>65040</v>
      </c>
      <c r="G41" s="152">
        <f>HLOOKUP(CONCATENATE("M",Tableau2[[#This Row],[Screw diameter (mm)]]," - ",Tableau2[[#This Row],[Thread (mm)]]," - ",Tableau2[[#This Row],[Quality class]]),Table_Metier!$L$7:$CN$59,3,FALSE)</f>
        <v>38950</v>
      </c>
      <c r="H41" s="11">
        <f>HLOOKUP(CONCATENATE("M",Tableau2[[#This Row],[Screw diameter (mm)]]," - ",Tableau2[[#This Row],[Thread (mm)]]," - ",Tableau2[[#This Row],[Quality class]]),Table_Metier!$L$7:$CN$59,26,FALSE)</f>
        <v>44.862057148162869</v>
      </c>
      <c r="I41" s="99">
        <f>HLOOKUP(Tableau2[[#This Row],[Nominal (CONLO database)]],Table_Metier!$L$58:$CN$59,2,FALSE)</f>
        <v>54.956020006499514</v>
      </c>
      <c r="J41" s="11">
        <f>HLOOKUP(CONCATENATE("M",Tableau2[[#This Row],[Screw diameter (mm)]]," - ",Tableau2[[#This Row],[Thread (mm)]]," - ",Tableau2[[#This Row],[Quality class]]),Table_Metier!$L$7:$CN$59,19,FALSE)</f>
        <v>65.049982864836153</v>
      </c>
      <c r="K41" s="11">
        <f>HLOOKUP(CONCATENATE("M",Tableau2[[#This Row],[Screw diameter (mm)]]," - ",Tableau2[[#This Row],[Thread (mm)]]," - ",Tableau2[[#This Row],[Quality class]]),Table_Metier!$L$7:$CN$59,34,FALSE)</f>
        <v>9864.6632188086005</v>
      </c>
      <c r="L41" s="99">
        <f>HLOOKUP(CONCATENATE("M",Tableau2[[#This Row],[Screw diameter (mm)]]," - ",Tableau2[[#This Row],[Thread (mm)]]," - ",Tableau2[[#This Row],[Quality class]]),Table_Metier!$L$7:$CN$59,36,FALSE)</f>
        <v>21700</v>
      </c>
      <c r="M41" s="156">
        <f>HLOOKUP(CONCATENATE("M",Tableau2[[#This Row],[Screw diameter (mm)]]," - ",Tableau2[[#This Row],[Thread (mm)]]," - ",Tableau2[[#This Row],[Quality class]]),Table_Metier!$L$7:$CN$59,28,FALSE)</f>
        <v>37801.231196930807</v>
      </c>
      <c r="N41" s="10">
        <f>HLOOKUP(CONCATENATE("M",Tableau2[[#This Row],[Screw diameter (mm)]]," - ",Tableau2[[#This Row],[Thread (mm)]]," - ",Tableau2[[#This Row],[Quality class]]),Table_Metier!$L$7:$CN$59,5,FALSE)</f>
        <v>0.33364083640836406</v>
      </c>
    </row>
    <row r="42" spans="1:14" x14ac:dyDescent="0.25">
      <c r="A42" s="175" t="s">
        <v>154</v>
      </c>
      <c r="C42" s="169">
        <v>11.112500000000001</v>
      </c>
      <c r="D42" s="154">
        <v>1.25</v>
      </c>
      <c r="E42" s="89">
        <v>8.8000000000000007</v>
      </c>
      <c r="F42" s="152">
        <f>HLOOKUP(CONCATENATE("M",Tableau2[[#This Row],[Screw diameter (mm)]]," - ",Tableau2[[#This Row],[Thread (mm)]]," - ",Tableau2[[#This Row],[Quality class]]),Table_Metier!$L$7:$CN$59,2,FALSE)</f>
        <v>62080</v>
      </c>
      <c r="G42" s="152">
        <f>HLOOKUP(CONCATENATE("M",Tableau2[[#This Row],[Screw diameter (mm)]]," - ",Tableau2[[#This Row],[Thread (mm)]]," - ",Tableau2[[#This Row],[Quality class]]),Table_Metier!$L$7:$CN$59,3,FALSE)</f>
        <v>37170</v>
      </c>
      <c r="H42" s="11">
        <f>HLOOKUP(CONCATENATE("M",Tableau2[[#This Row],[Screw diameter (mm)]]," - ",Tableau2[[#This Row],[Thread (mm)]]," - ",Tableau2[[#This Row],[Quality class]]),Table_Metier!$L$7:$CN$59,26,FALSE)</f>
        <v>42.864564420935189</v>
      </c>
      <c r="I42" s="99">
        <f>HLOOKUP(Tableau2[[#This Row],[Nominal (CONLO database)]],Table_Metier!$L$58:$CN$59,2,FALSE)</f>
        <v>52.509091415645599</v>
      </c>
      <c r="J42" s="11">
        <f>HLOOKUP(CONCATENATE("M",Tableau2[[#This Row],[Screw diameter (mm)]]," - ",Tableau2[[#This Row],[Thread (mm)]]," - ",Tableau2[[#This Row],[Quality class]]),Table_Metier!$L$7:$CN$59,19,FALSE)</f>
        <v>62.153618410356017</v>
      </c>
      <c r="K42" s="11">
        <f>HLOOKUP(CONCATENATE("M",Tableau2[[#This Row],[Screw diameter (mm)]]," - ",Tableau2[[#This Row],[Thread (mm)]]," - ",Tableau2[[#This Row],[Quality class]]),Table_Metier!$L$7:$CN$59,34,FALSE)</f>
        <v>9339.7031269152867</v>
      </c>
      <c r="L42" s="99">
        <f>HLOOKUP(CONCATENATE("M",Tableau2[[#This Row],[Screw diameter (mm)]]," - ",Tableau2[[#This Row],[Thread (mm)]]," - ",Tableau2[[#This Row],[Quality class]]),Table_Metier!$L$7:$CN$59,36,FALSE)</f>
        <v>20400</v>
      </c>
      <c r="M42" s="156">
        <f>HLOOKUP(CONCATENATE("M",Tableau2[[#This Row],[Screw diameter (mm)]]," - ",Tableau2[[#This Row],[Thread (mm)]]," - ",Tableau2[[#This Row],[Quality class]]),Table_Metier!$L$7:$CN$59,28,FALSE)</f>
        <v>35526.844710094454</v>
      </c>
      <c r="N42" s="10">
        <f>HLOOKUP(CONCATENATE("M",Tableau2[[#This Row],[Screw diameter (mm)]]," - ",Tableau2[[#This Row],[Thread (mm)]]," - ",Tableau2[[#This Row],[Quality class]]),Table_Metier!$L$7:$CN$59,5,FALSE)</f>
        <v>0.32860824742268041</v>
      </c>
    </row>
    <row r="43" spans="1:14" x14ac:dyDescent="0.25">
      <c r="A43" s="175" t="s">
        <v>154</v>
      </c>
      <c r="C43" s="169">
        <v>11.112500000000001</v>
      </c>
      <c r="D43" s="9">
        <v>1.5</v>
      </c>
      <c r="E43" s="89">
        <v>8.8000000000000007</v>
      </c>
      <c r="F43" s="152">
        <f>HLOOKUP(CONCATENATE("M",Tableau2[[#This Row],[Screw diameter (mm)]]," - ",Tableau2[[#This Row],[Thread (mm)]]," - ",Tableau2[[#This Row],[Quality class]]),Table_Metier!$L$7:$CN$59,2,FALSE)</f>
        <v>59180</v>
      </c>
      <c r="G43" s="152">
        <f>HLOOKUP(CONCATENATE("M",Tableau2[[#This Row],[Screw diameter (mm)]]," - ",Tableau2[[#This Row],[Thread (mm)]]," - ",Tableau2[[#This Row],[Quality class]]),Table_Metier!$L$7:$CN$59,3,FALSE)</f>
        <v>35440</v>
      </c>
      <c r="H43" s="11">
        <f>HLOOKUP(CONCATENATE("M",Tableau2[[#This Row],[Screw diameter (mm)]]," - ",Tableau2[[#This Row],[Thread (mm)]]," - ",Tableau2[[#This Row],[Quality class]]),Table_Metier!$L$7:$CN$59,26,FALSE)</f>
        <v>40.853796267596955</v>
      </c>
      <c r="I43" s="99">
        <f>HLOOKUP(Tableau2[[#This Row],[Nominal (CONLO database)]],Table_Metier!$L$58:$CN$59,2,FALSE)</f>
        <v>50.045900427806266</v>
      </c>
      <c r="J43" s="11">
        <f>HLOOKUP(CONCATENATE("M",Tableau2[[#This Row],[Screw diameter (mm)]]," - ",Tableau2[[#This Row],[Thread (mm)]]," - ",Tableau2[[#This Row],[Quality class]]),Table_Metier!$L$7:$CN$59,19,FALSE)</f>
        <v>59.238004588015578</v>
      </c>
      <c r="K43" s="11">
        <f>HLOOKUP(CONCATENATE("M",Tableau2[[#This Row],[Screw diameter (mm)]]," - ",Tableau2[[#This Row],[Thread (mm)]]," - ",Tableau2[[#This Row],[Quality class]]),Table_Metier!$L$7:$CN$59,34,FALSE)</f>
        <v>8821.3405407691735</v>
      </c>
      <c r="L43" s="99">
        <f>HLOOKUP(CONCATENATE("M",Tableau2[[#This Row],[Screw diameter (mm)]]," - ",Tableau2[[#This Row],[Thread (mm)]]," - ",Tableau2[[#This Row],[Quality class]]),Table_Metier!$L$7:$CN$59,36,FALSE)</f>
        <v>19200</v>
      </c>
      <c r="M43" s="156">
        <f>HLOOKUP(CONCATENATE("M",Tableau2[[#This Row],[Screw diameter (mm)]]," - ",Tableau2[[#This Row],[Thread (mm)]]," - ",Tableau2[[#This Row],[Quality class]]),Table_Metier!$L$7:$CN$59,28,FALSE)</f>
        <v>33314.899671905609</v>
      </c>
      <c r="N43" s="10">
        <f>HLOOKUP(CONCATENATE("M",Tableau2[[#This Row],[Screw diameter (mm)]]," - ",Tableau2[[#This Row],[Thread (mm)]]," - ",Tableau2[[#This Row],[Quality class]]),Table_Metier!$L$7:$CN$59,5,FALSE)</f>
        <v>0.32443393038188578</v>
      </c>
    </row>
    <row r="44" spans="1:14" x14ac:dyDescent="0.25">
      <c r="A44" s="175" t="s">
        <v>154</v>
      </c>
      <c r="C44" s="169">
        <v>11.112500000000001</v>
      </c>
      <c r="D44" s="154">
        <v>1</v>
      </c>
      <c r="E44" s="90">
        <v>10.9</v>
      </c>
      <c r="F44" s="152">
        <f>HLOOKUP(CONCATENATE("M",Tableau2[[#This Row],[Screw diameter (mm)]]," - ",Tableau2[[#This Row],[Thread (mm)]]," - ",Tableau2[[#This Row],[Quality class]]),Table_Metier!$L$7:$CN$59,2,FALSE)</f>
        <v>84550</v>
      </c>
      <c r="G44" s="152">
        <f>HLOOKUP(CONCATENATE("M",Tableau2[[#This Row],[Screw diameter (mm)]]," - ",Tableau2[[#This Row],[Thread (mm)]]," - ",Tableau2[[#This Row],[Quality class]]),Table_Metier!$L$7:$CN$59,3,FALSE)</f>
        <v>50630</v>
      </c>
      <c r="H44" s="11">
        <f>HLOOKUP(CONCATENATE("M",Tableau2[[#This Row],[Screw diameter (mm)]]," - ",Tableau2[[#This Row],[Thread (mm)]]," - ",Tableau2[[#This Row],[Quality class]]),Table_Metier!$L$7:$CN$59,26,FALSE)</f>
        <v>65.89114643636421</v>
      </c>
      <c r="I44" s="99">
        <f>HLOOKUP(Tableau2[[#This Row],[Nominal (CONLO database)]],Table_Metier!$L$58:$CN$59,2,FALSE)</f>
        <v>80.71665438454616</v>
      </c>
      <c r="J44" s="11">
        <f>HLOOKUP(CONCATENATE("M",Tableau2[[#This Row],[Screw diameter (mm)]]," - ",Tableau2[[#This Row],[Thread (mm)]]," - ",Tableau2[[#This Row],[Quality class]]),Table_Metier!$L$7:$CN$59,19,FALSE)</f>
        <v>95.542162332728097</v>
      </c>
      <c r="K44" s="11">
        <f>HLOOKUP(CONCATENATE("M",Tableau2[[#This Row],[Screw diameter (mm)]]," - ",Tableau2[[#This Row],[Thread (mm)]]," - ",Tableau2[[#This Row],[Quality class]]),Table_Metier!$L$7:$CN$59,34,FALSE)</f>
        <v>14488.724102625129</v>
      </c>
      <c r="L44" s="99">
        <f>HLOOKUP(CONCATENATE("M",Tableau2[[#This Row],[Screw diameter (mm)]]," - ",Tableau2[[#This Row],[Thread (mm)]]," - ",Tableau2[[#This Row],[Quality class]]),Table_Metier!$L$7:$CN$59,36,FALSE)</f>
        <v>31800</v>
      </c>
      <c r="M44" s="156">
        <f>HLOOKUP(CONCATENATE("M",Tableau2[[#This Row],[Screw diameter (mm)]]," - ",Tableau2[[#This Row],[Thread (mm)]]," - ",Tableau2[[#This Row],[Quality class]]),Table_Metier!$L$7:$CN$59,28,FALSE)</f>
        <v>55520.55832049212</v>
      </c>
      <c r="N44" s="10">
        <f>HLOOKUP(CONCATENATE("M",Tableau2[[#This Row],[Screw diameter (mm)]]," - ",Tableau2[[#This Row],[Thread (mm)]]," - ",Tableau2[[#This Row],[Quality class]]),Table_Metier!$L$7:$CN$59,5,FALSE)</f>
        <v>0.37610881135422825</v>
      </c>
    </row>
    <row r="45" spans="1:14" x14ac:dyDescent="0.25">
      <c r="A45" s="175" t="s">
        <v>154</v>
      </c>
      <c r="C45" s="169">
        <v>11.112500000000001</v>
      </c>
      <c r="D45" s="154">
        <v>1.25</v>
      </c>
      <c r="E45" s="90">
        <v>10.9</v>
      </c>
      <c r="F45" s="152">
        <f>HLOOKUP(CONCATENATE("M",Tableau2[[#This Row],[Screw diameter (mm)]]," - ",Tableau2[[#This Row],[Thread (mm)]]," - ",Tableau2[[#This Row],[Quality class]]),Table_Metier!$L$7:$CN$59,2,FALSE)</f>
        <v>80700</v>
      </c>
      <c r="G45" s="152">
        <f>HLOOKUP(CONCATENATE("M",Tableau2[[#This Row],[Screw diameter (mm)]]," - ",Tableau2[[#This Row],[Thread (mm)]]," - ",Tableau2[[#This Row],[Quality class]]),Table_Metier!$L$7:$CN$59,3,FALSE)</f>
        <v>48320</v>
      </c>
      <c r="H45" s="11">
        <f>HLOOKUP(CONCATENATE("M",Tableau2[[#This Row],[Screw diameter (mm)]]," - ",Tableau2[[#This Row],[Thread (mm)]]," - ",Tableau2[[#This Row],[Quality class]]),Table_Metier!$L$7:$CN$59,26,FALSE)</f>
        <v>62.957328993248552</v>
      </c>
      <c r="I45" s="99">
        <f>HLOOKUP(Tableau2[[#This Row],[Nominal (CONLO database)]],Table_Metier!$L$58:$CN$59,2,FALSE)</f>
        <v>77.122728016729468</v>
      </c>
      <c r="J45" s="11">
        <f>HLOOKUP(CONCATENATE("M",Tableau2[[#This Row],[Screw diameter (mm)]]," - ",Tableau2[[#This Row],[Thread (mm)]]," - ",Tableau2[[#This Row],[Quality class]]),Table_Metier!$L$7:$CN$59,19,FALSE)</f>
        <v>91.288127040210398</v>
      </c>
      <c r="K45" s="11">
        <f>HLOOKUP(CONCATENATE("M",Tableau2[[#This Row],[Screw diameter (mm)]]," - ",Tableau2[[#This Row],[Thread (mm)]]," - ",Tableau2[[#This Row],[Quality class]]),Table_Metier!$L$7:$CN$59,34,FALSE)</f>
        <v>13717.688967656828</v>
      </c>
      <c r="L45" s="99">
        <f>HLOOKUP(CONCATENATE("M",Tableau2[[#This Row],[Screw diameter (mm)]]," - ",Tableau2[[#This Row],[Thread (mm)]]," - ",Tableau2[[#This Row],[Quality class]]),Table_Metier!$L$7:$CN$59,36,FALSE)</f>
        <v>30000</v>
      </c>
      <c r="M45" s="156">
        <f>HLOOKUP(CONCATENATE("M",Tableau2[[#This Row],[Screw diameter (mm)]]," - ",Tableau2[[#This Row],[Thread (mm)]]," - ",Tableau2[[#This Row],[Quality class]]),Table_Metier!$L$7:$CN$59,28,FALSE)</f>
        <v>52180.053167951228</v>
      </c>
      <c r="N45" s="10">
        <f>HLOOKUP(CONCATENATE("M",Tableau2[[#This Row],[Screw diameter (mm)]]," - ",Tableau2[[#This Row],[Thread (mm)]]," - ",Tableau2[[#This Row],[Quality class]]),Table_Metier!$L$7:$CN$59,5,FALSE)</f>
        <v>0.37174721189591076</v>
      </c>
    </row>
    <row r="46" spans="1:14" x14ac:dyDescent="0.25">
      <c r="A46" s="175" t="s">
        <v>154</v>
      </c>
      <c r="C46" s="169">
        <v>11.112500000000001</v>
      </c>
      <c r="D46" s="9">
        <v>1.5</v>
      </c>
      <c r="E46" s="90">
        <v>10.9</v>
      </c>
      <c r="F46" s="152">
        <f>HLOOKUP(CONCATENATE("M",Tableau2[[#This Row],[Screw diameter (mm)]]," - ",Tableau2[[#This Row],[Thread (mm)]]," - ",Tableau2[[#This Row],[Quality class]]),Table_Metier!$L$7:$CN$59,2,FALSE)</f>
        <v>76940</v>
      </c>
      <c r="G46" s="152">
        <f>HLOOKUP(CONCATENATE("M",Tableau2[[#This Row],[Screw diameter (mm)]]," - ",Tableau2[[#This Row],[Thread (mm)]]," - ",Tableau2[[#This Row],[Quality class]]),Table_Metier!$L$7:$CN$59,3,FALSE)</f>
        <v>46070</v>
      </c>
      <c r="H46" s="11">
        <f>HLOOKUP(CONCATENATE("M",Tableau2[[#This Row],[Screw diameter (mm)]]," - ",Tableau2[[#This Row],[Thread (mm)]]," - ",Tableau2[[#This Row],[Quality class]]),Table_Metier!$L$7:$CN$59,26,FALSE)</f>
        <v>60.00401326803302</v>
      </c>
      <c r="I46" s="99">
        <f>HLOOKUP(Tableau2[[#This Row],[Nominal (CONLO database)]],Table_Metier!$L$58:$CN$59,2,FALSE)</f>
        <v>73.50491625334044</v>
      </c>
      <c r="J46" s="11">
        <f>HLOOKUP(CONCATENATE("M",Tableau2[[#This Row],[Screw diameter (mm)]]," - ",Tableau2[[#This Row],[Thread (mm)]]," - ",Tableau2[[#This Row],[Quality class]]),Table_Metier!$L$7:$CN$59,19,FALSE)</f>
        <v>87.005819238647874</v>
      </c>
      <c r="K46" s="11">
        <f>HLOOKUP(CONCATENATE("M",Tableau2[[#This Row],[Screw diameter (mm)]]," - ",Tableau2[[#This Row],[Thread (mm)]]," - ",Tableau2[[#This Row],[Quality class]]),Table_Metier!$L$7:$CN$59,34,FALSE)</f>
        <v>12956.343919254721</v>
      </c>
      <c r="L46" s="99">
        <f>HLOOKUP(CONCATENATE("M",Tableau2[[#This Row],[Screw diameter (mm)]]," - ",Tableau2[[#This Row],[Thread (mm)]]," - ",Tableau2[[#This Row],[Quality class]]),Table_Metier!$L$7:$CN$59,36,FALSE)</f>
        <v>28200</v>
      </c>
      <c r="M46" s="156">
        <f>HLOOKUP(CONCATENATE("M",Tableau2[[#This Row],[Screw diameter (mm)]]," - ",Tableau2[[#This Row],[Thread (mm)]]," - ",Tableau2[[#This Row],[Quality class]]),Table_Metier!$L$7:$CN$59,28,FALSE)</f>
        <v>48931.258893111364</v>
      </c>
      <c r="N46" s="10">
        <f>HLOOKUP(CONCATENATE("M",Tableau2[[#This Row],[Screw diameter (mm)]]," - ",Tableau2[[#This Row],[Thread (mm)]]," - ",Tableau2[[#This Row],[Quality class]]),Table_Metier!$L$7:$CN$59,5,FALSE)</f>
        <v>0.36651936573953731</v>
      </c>
    </row>
    <row r="47" spans="1:14" x14ac:dyDescent="0.25">
      <c r="A47" s="175" t="s">
        <v>154</v>
      </c>
      <c r="C47" s="169">
        <v>11.112500000000001</v>
      </c>
      <c r="D47" s="9">
        <v>1.5</v>
      </c>
      <c r="E47" s="91">
        <v>11.9</v>
      </c>
      <c r="F47" s="152">
        <f>HLOOKUP(CONCATENATE("M",Tableau2[[#This Row],[Screw diameter (mm)]]," - ",Tableau2[[#This Row],[Thread (mm)]]," - ",Tableau2[[#This Row],[Quality class]]),Table_Metier!$L$7:$CN$59,2,FALSE)</f>
        <v>81380</v>
      </c>
      <c r="G47" s="152">
        <f>HLOOKUP(CONCATENATE("M",Tableau2[[#This Row],[Screw diameter (mm)]]," - ",Tableau2[[#This Row],[Thread (mm)]]," - ",Tableau2[[#This Row],[Quality class]]),Table_Metier!$L$7:$CN$59,3,FALSE)</f>
        <v>48730</v>
      </c>
      <c r="H47" s="11">
        <f>HLOOKUP(CONCATENATE("M",Tableau2[[#This Row],[Screw diameter (mm)]]," - ",Tableau2[[#This Row],[Thread (mm)]]," - ",Tableau2[[#This Row],[Quality class]]),Table_Metier!$L$7:$CN$59,26,FALSE)</f>
        <v>63.195716101439032</v>
      </c>
      <c r="I47" s="99">
        <f>HLOOKUP(Tableau2[[#This Row],[Nominal (CONLO database)]],Table_Metier!$L$58:$CN$59,2,FALSE)</f>
        <v>77.414752224262813</v>
      </c>
      <c r="J47" s="11">
        <f>HLOOKUP(CONCATENATE("M",Tableau2[[#This Row],[Screw diameter (mm)]]," - ",Tableau2[[#This Row],[Thread (mm)]]," - ",Tableau2[[#This Row],[Quality class]]),Table_Metier!$L$7:$CN$59,19,FALSE)</f>
        <v>91.633788347086593</v>
      </c>
      <c r="K47" s="11">
        <f>HLOOKUP(CONCATENATE("M",Tableau2[[#This Row],[Screw diameter (mm)]]," - ",Tableau2[[#This Row],[Thread (mm)]]," - ",Tableau2[[#This Row],[Quality class]]),Table_Metier!$L$7:$CN$59,34,FALSE)</f>
        <v>13645.511149002314</v>
      </c>
      <c r="L47" s="99">
        <f>HLOOKUP(CONCATENATE("M",Tableau2[[#This Row],[Screw diameter (mm)]]," - ",Tableau2[[#This Row],[Thread (mm)]]," - ",Tableau2[[#This Row],[Quality class]]),Table_Metier!$L$7:$CN$59,36,FALSE)</f>
        <v>29700</v>
      </c>
      <c r="M47" s="156">
        <f>HLOOKUP(CONCATENATE("M",Tableau2[[#This Row],[Screw diameter (mm)]]," - ",Tableau2[[#This Row],[Thread (mm)]]," - ",Tableau2[[#This Row],[Quality class]]),Table_Metier!$L$7:$CN$59,28,FALSE)</f>
        <v>51533.985429978988</v>
      </c>
      <c r="N47" s="10">
        <f>HLOOKUP(CONCATENATE("M",Tableau2[[#This Row],[Screw diameter (mm)]]," - ",Tableau2[[#This Row],[Thread (mm)]]," - ",Tableau2[[#This Row],[Quality class]]),Table_Metier!$L$7:$CN$59,5,FALSE)</f>
        <v>0.36495453428360775</v>
      </c>
    </row>
    <row r="48" spans="1:14" x14ac:dyDescent="0.25">
      <c r="C48" s="170">
        <v>12</v>
      </c>
      <c r="D48" s="154">
        <v>1.25</v>
      </c>
      <c r="E48" s="88">
        <v>6.8</v>
      </c>
      <c r="F48" s="152">
        <f>HLOOKUP(CONCATENATE("M",Tableau2[[#This Row],[Screw diameter (mm)]]," - ",Tableau2[[#This Row],[Thread (mm)]]," - ",Tableau2[[#This Row],[Quality class]]),Table_Metier!$L$7:$CN$59,2,FALSE)</f>
        <v>55240</v>
      </c>
      <c r="G48" s="152">
        <f>HLOOKUP(CONCATENATE("M",Tableau2[[#This Row],[Screw diameter (mm)]]," - ",Tableau2[[#This Row],[Thread (mm)]]," - ",Tableau2[[#This Row],[Quality class]]),Table_Metier!$L$7:$CN$59,3,FALSE)</f>
        <v>33080</v>
      </c>
      <c r="H48" s="11">
        <f>HLOOKUP(CONCATENATE("M",Tableau2[[#This Row],[Screw diameter (mm)]]," - ",Tableau2[[#This Row],[Thread (mm)]]," - ",Tableau2[[#This Row],[Quality class]]),Table_Metier!$L$7:$CN$59,26,FALSE)</f>
        <v>42.061709090492243</v>
      </c>
      <c r="I48" s="99">
        <f>HLOOKUP(Tableau2[[#This Row],[Nominal (CONLO database)]],Table_Metier!$L$58:$CN$59,2,FALSE)</f>
        <v>51.525593635852999</v>
      </c>
      <c r="J48" s="11">
        <f>HLOOKUP(CONCATENATE("M",Tableau2[[#This Row],[Screw diameter (mm)]]," - ",Tableau2[[#This Row],[Thread (mm)]]," - ",Tableau2[[#This Row],[Quality class]]),Table_Metier!$L$7:$CN$59,19,FALSE)</f>
        <v>60.989478181213748</v>
      </c>
      <c r="K48" s="11">
        <f>HLOOKUP(CONCATENATE("M",Tableau2[[#This Row],[Screw diameter (mm)]]," - ",Tableau2[[#This Row],[Thread (mm)]]," - ",Tableau2[[#This Row],[Quality class]]),Table_Metier!$L$7:$CN$59,34,FALSE)</f>
        <v>8331.0796402869564</v>
      </c>
      <c r="L48" s="99">
        <f>HLOOKUP(CONCATENATE("M",Tableau2[[#This Row],[Screw diameter (mm)]]," - ",Tableau2[[#This Row],[Thread (mm)]]," - ",Tableau2[[#This Row],[Quality class]]),Table_Metier!$L$7:$CN$59,36,FALSE)</f>
        <v>18300</v>
      </c>
      <c r="M48" s="157">
        <f>HLOOKUP(CONCATENATE("M",Tableau2[[#This Row],[Screw diameter (mm)]]," - ",Tableau2[[#This Row],[Thread (mm)]]," - ",Tableau2[[#This Row],[Quality class]]),Table_Metier!$L$7:$CN$59,28,FALSE)</f>
        <v>31800.424527544932</v>
      </c>
      <c r="N48" s="10">
        <f>HLOOKUP(CONCATENATE("M",Tableau2[[#This Row],[Screw diameter (mm)]]," - ",Tableau2[[#This Row],[Thread (mm)]]," - ",Tableau2[[#This Row],[Quality class]]),Table_Metier!$L$7:$CN$59,5,FALSE)</f>
        <v>0.33128167994207097</v>
      </c>
    </row>
    <row r="49" spans="1:14" x14ac:dyDescent="0.25">
      <c r="C49" s="170">
        <v>12</v>
      </c>
      <c r="D49" s="154">
        <v>1.5</v>
      </c>
      <c r="E49" s="88">
        <v>6.8</v>
      </c>
      <c r="F49" s="152">
        <f>HLOOKUP(CONCATENATE("M",Tableau2[[#This Row],[Screw diameter (mm)]]," - ",Tableau2[[#This Row],[Thread (mm)]]," - ",Tableau2[[#This Row],[Quality class]]),Table_Metier!$L$7:$CN$59,2,FALSE)</f>
        <v>52880</v>
      </c>
      <c r="G49" s="152">
        <f>HLOOKUP(CONCATENATE("M",Tableau2[[#This Row],[Screw diameter (mm)]]," - ",Tableau2[[#This Row],[Thread (mm)]]," - ",Tableau2[[#This Row],[Quality class]]),Table_Metier!$L$7:$CN$59,3,FALSE)</f>
        <v>31660</v>
      </c>
      <c r="H49" s="11">
        <f>HLOOKUP(CONCATENATE("M",Tableau2[[#This Row],[Screw diameter (mm)]]," - ",Tableau2[[#This Row],[Thread (mm)]]," - ",Tableau2[[#This Row],[Quality class]]),Table_Metier!$L$7:$CN$59,26,FALSE)</f>
        <v>40.257000580464187</v>
      </c>
      <c r="I49" s="99">
        <f>HLOOKUP(Tableau2[[#This Row],[Nominal (CONLO database)]],Table_Metier!$L$58:$CN$59,2,FALSE)</f>
        <v>49.314825711068629</v>
      </c>
      <c r="J49" s="11">
        <f>HLOOKUP(CONCATENATE("M",Tableau2[[#This Row],[Screw diameter (mm)]]," - ",Tableau2[[#This Row],[Thread (mm)]]," - ",Tableau2[[#This Row],[Quality class]]),Table_Metier!$L$7:$CN$59,19,FALSE)</f>
        <v>58.372650841673071</v>
      </c>
      <c r="K49" s="11">
        <f>HLOOKUP(CONCATENATE("M",Tableau2[[#This Row],[Screw diameter (mm)]]," - ",Tableau2[[#This Row],[Thread (mm)]]," - ",Tableau2[[#This Row],[Quality class]]),Table_Metier!$L$7:$CN$59,34,FALSE)</f>
        <v>7908.2347810673518</v>
      </c>
      <c r="L49" s="99">
        <f>HLOOKUP(CONCATENATE("M",Tableau2[[#This Row],[Screw diameter (mm)]]," - ",Tableau2[[#This Row],[Thread (mm)]]," - ",Tableau2[[#This Row],[Quality class]]),Table_Metier!$L$7:$CN$59,36,FALSE)</f>
        <v>17300</v>
      </c>
      <c r="M49" s="155">
        <f>HLOOKUP(CONCATENATE("M",Tableau2[[#This Row],[Screw diameter (mm)]]," - ",Tableau2[[#This Row],[Thread (mm)]]," - ",Tableau2[[#This Row],[Quality class]]),Table_Metier!$L$7:$CN$59,28,FALSE)</f>
        <v>29988.167634885231</v>
      </c>
      <c r="N49" s="10">
        <f>HLOOKUP(CONCATENATE("M",Tableau2[[#This Row],[Screw diameter (mm)]]," - ",Tableau2[[#This Row],[Thread (mm)]]," - ",Tableau2[[#This Row],[Quality class]]),Table_Metier!$L$7:$CN$59,5,FALSE)</f>
        <v>0.3271558245083207</v>
      </c>
    </row>
    <row r="50" spans="1:14" x14ac:dyDescent="0.25">
      <c r="C50" s="170">
        <v>12</v>
      </c>
      <c r="D50" s="9">
        <v>1.75</v>
      </c>
      <c r="E50" s="88">
        <v>6.8</v>
      </c>
      <c r="F50" s="152">
        <f>HLOOKUP(CONCATENATE("M",Tableau2[[#This Row],[Screw diameter (mm)]]," - ",Tableau2[[#This Row],[Thread (mm)]]," - ",Tableau2[[#This Row],[Quality class]]),Table_Metier!$L$7:$CN$59,2,FALSE)</f>
        <v>50560</v>
      </c>
      <c r="G50" s="152">
        <f>HLOOKUP(CONCATENATE("M",Tableau2[[#This Row],[Screw diameter (mm)]]," - ",Tableau2[[#This Row],[Thread (mm)]]," - ",Tableau2[[#This Row],[Quality class]]),Table_Metier!$L$7:$CN$59,3,FALSE)</f>
        <v>30280</v>
      </c>
      <c r="H50" s="11">
        <f>HLOOKUP(CONCATENATE("M",Tableau2[[#This Row],[Screw diameter (mm)]]," - ",Tableau2[[#This Row],[Thread (mm)]]," - ",Tableau2[[#This Row],[Quality class]]),Table_Metier!$L$7:$CN$59,26,FALSE)</f>
        <v>38.445790788890172</v>
      </c>
      <c r="I50" s="99">
        <f>HLOOKUP(Tableau2[[#This Row],[Nominal (CONLO database)]],Table_Metier!$L$58:$CN$59,2,FALSE)</f>
        <v>41.217015004874632</v>
      </c>
      <c r="J50" s="11">
        <f>HLOOKUP(CONCATENATE("M",Tableau2[[#This Row],[Screw diameter (mm)]]," - ",Tableau2[[#This Row],[Thread (mm)]]," - ",Tableau2[[#This Row],[Quality class]]),Table_Metier!$L$7:$CN$59,19,FALSE)</f>
        <v>55.746396643890748</v>
      </c>
      <c r="K50" s="11">
        <f>HLOOKUP(CONCATENATE("M",Tableau2[[#This Row],[Screw diameter (mm)]]," - ",Tableau2[[#This Row],[Thread (mm)]]," - ",Tableau2[[#This Row],[Quality class]]),Table_Metier!$L$7:$CN$59,34,FALSE)</f>
        <v>7491.0020634465527</v>
      </c>
      <c r="L50" s="99">
        <f>HLOOKUP(CONCATENATE("M",Tableau2[[#This Row],[Screw diameter (mm)]]," - ",Tableau2[[#This Row],[Thread (mm)]]," - ",Tableau2[[#This Row],[Quality class]]),Table_Metier!$L$7:$CN$59,36,FALSE)</f>
        <v>16300</v>
      </c>
      <c r="M50" s="156">
        <f>HLOOKUP(CONCATENATE("M",Tableau2[[#This Row],[Screw diameter (mm)]]," - ",Tableau2[[#This Row],[Thread (mm)]]," - ",Tableau2[[#This Row],[Quality class]]),Table_Metier!$L$7:$CN$59,28,FALSE)</f>
        <v>28223.694193171836</v>
      </c>
      <c r="N50" s="10">
        <f>HLOOKUP(CONCATENATE("M",Tableau2[[#This Row],[Screw diameter (mm)]]," - ",Tableau2[[#This Row],[Thread (mm)]]," - ",Tableau2[[#This Row],[Quality class]]),Table_Metier!$L$7:$CN$59,5,FALSE)</f>
        <v>0.32238924050632911</v>
      </c>
    </row>
    <row r="51" spans="1:14" x14ac:dyDescent="0.25">
      <c r="C51" s="170">
        <v>12</v>
      </c>
      <c r="D51" s="154">
        <v>1.25</v>
      </c>
      <c r="E51" s="89">
        <v>8.8000000000000007</v>
      </c>
      <c r="F51" s="152">
        <f>HLOOKUP(CONCATENATE("M",Tableau2[[#This Row],[Screw diameter (mm)]]," - ",Tableau2[[#This Row],[Thread (mm)]]," - ",Tableau2[[#This Row],[Quality class]]),Table_Metier!$L$7:$CN$59,2,FALSE)</f>
        <v>73660</v>
      </c>
      <c r="G51" s="152">
        <f>HLOOKUP(CONCATENATE("M",Tableau2[[#This Row],[Screw diameter (mm)]]," - ",Tableau2[[#This Row],[Thread (mm)]]," - ",Tableau2[[#This Row],[Quality class]]),Table_Metier!$L$7:$CN$59,3,FALSE)</f>
        <v>44110</v>
      </c>
      <c r="H51" s="11">
        <f>HLOOKUP(CONCATENATE("M",Tableau2[[#This Row],[Screw diameter (mm)]]," - ",Tableau2[[#This Row],[Thread (mm)]]," - ",Tableau2[[#This Row],[Quality class]]),Table_Metier!$L$7:$CN$59,26,FALSE)</f>
        <v>56.082278787322998</v>
      </c>
      <c r="I51" s="99">
        <f>HLOOKUP(Tableau2[[#This Row],[Nominal (CONLO database)]],Table_Metier!$L$58:$CN$59,2,FALSE)</f>
        <v>68.700791514470666</v>
      </c>
      <c r="J51" s="11">
        <f>HLOOKUP(CONCATENATE("M",Tableau2[[#This Row],[Screw diameter (mm)]]," - ",Tableau2[[#This Row],[Thread (mm)]]," - ",Tableau2[[#This Row],[Quality class]]),Table_Metier!$L$7:$CN$59,19,FALSE)</f>
        <v>81.31930424161834</v>
      </c>
      <c r="K51" s="11">
        <f>HLOOKUP(CONCATENATE("M",Tableau2[[#This Row],[Screw diameter (mm)]]," - ",Tableau2[[#This Row],[Thread (mm)]]," - ",Tableau2[[#This Row],[Quality class]]),Table_Metier!$L$7:$CN$59,34,FALSE)</f>
        <v>11108.106187049276</v>
      </c>
      <c r="L51" s="99">
        <f>HLOOKUP(CONCATENATE("M",Tableau2[[#This Row],[Screw diameter (mm)]]," - ",Tableau2[[#This Row],[Thread (mm)]]," - ",Tableau2[[#This Row],[Quality class]]),Table_Metier!$L$7:$CN$59,36,FALSE)</f>
        <v>24400</v>
      </c>
      <c r="M51" s="155">
        <f>HLOOKUP(CONCATENATE("M",Tableau2[[#This Row],[Screw diameter (mm)]]," - ",Tableau2[[#This Row],[Thread (mm)]]," - ",Tableau2[[#This Row],[Quality class]]),Table_Metier!$L$7:$CN$59,28,FALSE)</f>
        <v>42400.566036726581</v>
      </c>
      <c r="N51" s="10">
        <f>HLOOKUP(CONCATENATE("M",Tableau2[[#This Row],[Screw diameter (mm)]]," - ",Tableau2[[#This Row],[Thread (mm)]]," - ",Tableau2[[#This Row],[Quality class]]),Table_Metier!$L$7:$CN$59,5,FALSE)</f>
        <v>0.33125169698615259</v>
      </c>
    </row>
    <row r="52" spans="1:14" x14ac:dyDescent="0.25">
      <c r="C52" s="170">
        <v>12</v>
      </c>
      <c r="D52" s="154">
        <v>1.5</v>
      </c>
      <c r="E52" s="89">
        <v>8.8000000000000007</v>
      </c>
      <c r="F52" s="152">
        <f>HLOOKUP(CONCATENATE("M",Tableau2[[#This Row],[Screw diameter (mm)]]," - ",Tableau2[[#This Row],[Thread (mm)]]," - ",Tableau2[[#This Row],[Quality class]]),Table_Metier!$L$7:$CN$59,2,FALSE)</f>
        <v>70500</v>
      </c>
      <c r="G52" s="152">
        <f>HLOOKUP(CONCATENATE("M",Tableau2[[#This Row],[Screw diameter (mm)]]," - ",Tableau2[[#This Row],[Thread (mm)]]," - ",Tableau2[[#This Row],[Quality class]]),Table_Metier!$L$7:$CN$59,3,FALSE)</f>
        <v>42220</v>
      </c>
      <c r="H52" s="11">
        <f>HLOOKUP(CONCATENATE("M",Tableau2[[#This Row],[Screw diameter (mm)]]," - ",Tableau2[[#This Row],[Thread (mm)]]," - ",Tableau2[[#This Row],[Quality class]]),Table_Metier!$L$7:$CN$59,26,FALSE)</f>
        <v>53.676000773952254</v>
      </c>
      <c r="I52" s="99">
        <f>HLOOKUP(Tableau2[[#This Row],[Nominal (CONLO database)]],Table_Metier!$L$58:$CN$59,2,FALSE)</f>
        <v>65.753100948091515</v>
      </c>
      <c r="J52" s="11">
        <f>HLOOKUP(CONCATENATE("M",Tableau2[[#This Row],[Screw diameter (mm)]]," - ",Tableau2[[#This Row],[Thread (mm)]]," - ",Tableau2[[#This Row],[Quality class]]),Table_Metier!$L$7:$CN$59,19,FALSE)</f>
        <v>77.830201122230761</v>
      </c>
      <c r="K52" s="11">
        <f>HLOOKUP(CONCATENATE("M",Tableau2[[#This Row],[Screw diameter (mm)]]," - ",Tableau2[[#This Row],[Thread (mm)]]," - ",Tableau2[[#This Row],[Quality class]]),Table_Metier!$L$7:$CN$59,34,FALSE)</f>
        <v>10544.313041423136</v>
      </c>
      <c r="L52" s="99">
        <f>HLOOKUP(CONCATENATE("M",Tableau2[[#This Row],[Screw diameter (mm)]]," - ",Tableau2[[#This Row],[Thread (mm)]]," - ",Tableau2[[#This Row],[Quality class]]),Table_Metier!$L$7:$CN$59,36,FALSE)</f>
        <v>23000</v>
      </c>
      <c r="M52" s="155">
        <f>HLOOKUP(CONCATENATE("M",Tableau2[[#This Row],[Screw diameter (mm)]]," - ",Tableau2[[#This Row],[Thread (mm)]]," - ",Tableau2[[#This Row],[Quality class]]),Table_Metier!$L$7:$CN$59,28,FALSE)</f>
        <v>39984.22351318031</v>
      </c>
      <c r="N52" s="10">
        <f>HLOOKUP(CONCATENATE("M",Tableau2[[#This Row],[Screw diameter (mm)]]," - ",Tableau2[[#This Row],[Thread (mm)]]," - ",Tableau2[[#This Row],[Quality class]]),Table_Metier!$L$7:$CN$59,5,FALSE)</f>
        <v>0.32624113475177308</v>
      </c>
    </row>
    <row r="53" spans="1:14" x14ac:dyDescent="0.25">
      <c r="C53" s="170">
        <v>12</v>
      </c>
      <c r="D53" s="9">
        <v>1.75</v>
      </c>
      <c r="E53" s="89">
        <v>8.8000000000000007</v>
      </c>
      <c r="F53" s="152">
        <f>HLOOKUP(CONCATENATE("M",Tableau2[[#This Row],[Screw diameter (mm)]]," - ",Tableau2[[#This Row],[Thread (mm)]]," - ",Tableau2[[#This Row],[Quality class]]),Table_Metier!$L$7:$CN$59,2,FALSE)</f>
        <v>67410</v>
      </c>
      <c r="G53" s="152">
        <f>HLOOKUP(CONCATENATE("M",Tableau2[[#This Row],[Screw diameter (mm)]]," - ",Tableau2[[#This Row],[Thread (mm)]]," - ",Tableau2[[#This Row],[Quality class]]),Table_Metier!$L$7:$CN$59,3,FALSE)</f>
        <v>40370</v>
      </c>
      <c r="H53" s="11">
        <f>HLOOKUP(CONCATENATE("M",Tableau2[[#This Row],[Screw diameter (mm)]]," - ",Tableau2[[#This Row],[Thread (mm)]]," - ",Tableau2[[#This Row],[Quality class]]),Table_Metier!$L$7:$CN$59,26,FALSE)</f>
        <v>51.261054385186895</v>
      </c>
      <c r="I53" s="99">
        <f>HLOOKUP(Tableau2[[#This Row],[Nominal (CONLO database)]],Table_Metier!$L$58:$CN$59,2,FALSE)</f>
        <v>54.956020006499514</v>
      </c>
      <c r="J53" s="11">
        <f>HLOOKUP(CONCATENATE("M",Tableau2[[#This Row],[Screw diameter (mm)]]," - ",Tableau2[[#This Row],[Thread (mm)]]," - ",Tableau2[[#This Row],[Quality class]]),Table_Metier!$L$7:$CN$59,19,FALSE)</f>
        <v>74.328528858520997</v>
      </c>
      <c r="K53" s="11">
        <f>HLOOKUP(CONCATENATE("M",Tableau2[[#This Row],[Screw diameter (mm)]]," - ",Tableau2[[#This Row],[Thread (mm)]]," - ",Tableau2[[#This Row],[Quality class]]),Table_Metier!$L$7:$CN$59,34,FALSE)</f>
        <v>9988.0027512620709</v>
      </c>
      <c r="L53" s="99">
        <f>HLOOKUP(CONCATENATE("M",Tableau2[[#This Row],[Screw diameter (mm)]]," - ",Tableau2[[#This Row],[Thread (mm)]]," - ",Tableau2[[#This Row],[Quality class]]),Table_Metier!$L$7:$CN$59,36,FALSE)</f>
        <v>21700</v>
      </c>
      <c r="M53" s="156">
        <f>HLOOKUP(CONCATENATE("M",Tableau2[[#This Row],[Screw diameter (mm)]]," - ",Tableau2[[#This Row],[Thread (mm)]]," - ",Tableau2[[#This Row],[Quality class]]),Table_Metier!$L$7:$CN$59,28,FALSE)</f>
        <v>37631.59225756245</v>
      </c>
      <c r="N53" s="10">
        <f>HLOOKUP(CONCATENATE("M",Tableau2[[#This Row],[Screw diameter (mm)]]," - ",Tableau2[[#This Row],[Thread (mm)]]," - ",Tableau2[[#This Row],[Quality class]]),Table_Metier!$L$7:$CN$59,5,FALSE)</f>
        <v>0.32191069574247144</v>
      </c>
    </row>
    <row r="54" spans="1:14" x14ac:dyDescent="0.25">
      <c r="C54" s="170">
        <v>12</v>
      </c>
      <c r="D54" s="154">
        <v>1.25</v>
      </c>
      <c r="E54" s="90">
        <v>10.9</v>
      </c>
      <c r="F54" s="152">
        <f>HLOOKUP(CONCATENATE("M",Tableau2[[#This Row],[Screw diameter (mm)]]," - ",Tableau2[[#This Row],[Thread (mm)]]," - ",Tableau2[[#This Row],[Quality class]]),Table_Metier!$L$7:$CN$59,2,FALSE)</f>
        <v>95750</v>
      </c>
      <c r="G54" s="152">
        <f>HLOOKUP(CONCATENATE("M",Tableau2[[#This Row],[Screw diameter (mm)]]," - ",Tableau2[[#This Row],[Thread (mm)]]," - ",Tableau2[[#This Row],[Quality class]]),Table_Metier!$L$7:$CN$59,3,FALSE)</f>
        <v>57340</v>
      </c>
      <c r="H54" s="11">
        <f>HLOOKUP(CONCATENATE("M",Tableau2[[#This Row],[Screw diameter (mm)]]," - ",Tableau2[[#This Row],[Thread (mm)]]," - ",Tableau2[[#This Row],[Quality class]]),Table_Metier!$L$7:$CN$59,26,FALSE)</f>
        <v>82.370846968880642</v>
      </c>
      <c r="I54" s="99">
        <f>HLOOKUP(Tableau2[[#This Row],[Nominal (CONLO database)]],Table_Metier!$L$58:$CN$59,2,FALSE)</f>
        <v>100.90428753687878</v>
      </c>
      <c r="J54" s="11">
        <f>HLOOKUP(CONCATENATE("M",Tableau2[[#This Row],[Screw diameter (mm)]]," - ",Tableau2[[#This Row],[Thread (mm)]]," - ",Tableau2[[#This Row],[Quality class]]),Table_Metier!$L$7:$CN$59,19,FALSE)</f>
        <v>119.43772810487692</v>
      </c>
      <c r="K54" s="11">
        <f>HLOOKUP(CONCATENATE("M",Tableau2[[#This Row],[Screw diameter (mm)]]," - ",Tableau2[[#This Row],[Thread (mm)]]," - ",Tableau2[[#This Row],[Quality class]]),Table_Metier!$L$7:$CN$59,34,FALSE)</f>
        <v>16315.030962228622</v>
      </c>
      <c r="L54" s="99">
        <f>HLOOKUP(CONCATENATE("M",Tableau2[[#This Row],[Screw diameter (mm)]]," - ",Tableau2[[#This Row],[Thread (mm)]]," - ",Tableau2[[#This Row],[Quality class]]),Table_Metier!$L$7:$CN$59,36,FALSE)</f>
        <v>35800</v>
      </c>
      <c r="M54" s="155">
        <f>HLOOKUP(CONCATENATE("M",Tableau2[[#This Row],[Screw diameter (mm)]]," - ",Tableau2[[#This Row],[Thread (mm)]]," - ",Tableau2[[#This Row],[Quality class]]),Table_Metier!$L$7:$CN$59,28,FALSE)</f>
        <v>62275.831366442158</v>
      </c>
      <c r="N54" s="10">
        <f>HLOOKUP(CONCATENATE("M",Tableau2[[#This Row],[Screw diameter (mm)]]," - ",Tableau2[[#This Row],[Thread (mm)]]," - ",Tableau2[[#This Row],[Quality class]]),Table_Metier!$L$7:$CN$59,5,FALSE)</f>
        <v>0.37389033942558747</v>
      </c>
    </row>
    <row r="55" spans="1:14" x14ac:dyDescent="0.25">
      <c r="C55" s="170">
        <v>12</v>
      </c>
      <c r="D55" s="154">
        <v>1.5</v>
      </c>
      <c r="E55" s="90">
        <v>10.9</v>
      </c>
      <c r="F55" s="152">
        <f>HLOOKUP(CONCATENATE("M",Tableau2[[#This Row],[Screw diameter (mm)]]," - ",Tableau2[[#This Row],[Thread (mm)]]," - ",Tableau2[[#This Row],[Quality class]]),Table_Metier!$L$7:$CN$59,2,FALSE)</f>
        <v>91650</v>
      </c>
      <c r="G55" s="152">
        <f>HLOOKUP(CONCATENATE("M",Tableau2[[#This Row],[Screw diameter (mm)]]," - ",Tableau2[[#This Row],[Thread (mm)]]," - ",Tableau2[[#This Row],[Quality class]]),Table_Metier!$L$7:$CN$59,3,FALSE)</f>
        <v>54880</v>
      </c>
      <c r="H55" s="11">
        <f>HLOOKUP(CONCATENATE("M",Tableau2[[#This Row],[Screw diameter (mm)]]," - ",Tableau2[[#This Row],[Thread (mm)]]," - ",Tableau2[[#This Row],[Quality class]]),Table_Metier!$L$7:$CN$59,26,FALSE)</f>
        <v>78.836626136742368</v>
      </c>
      <c r="I55" s="99">
        <f>HLOOKUP(Tableau2[[#This Row],[Nominal (CONLO database)]],Table_Metier!$L$58:$CN$59,2,FALSE)</f>
        <v>96.574867017509405</v>
      </c>
      <c r="J55" s="11">
        <f>HLOOKUP(CONCATENATE("M",Tableau2[[#This Row],[Screw diameter (mm)]]," - ",Tableau2[[#This Row],[Thread (mm)]]," - ",Tableau2[[#This Row],[Quality class]]),Table_Metier!$L$7:$CN$59,19,FALSE)</f>
        <v>114.31310789827643</v>
      </c>
      <c r="K55" s="11">
        <f>HLOOKUP(CONCATENATE("M",Tableau2[[#This Row],[Screw diameter (mm)]]," - ",Tableau2[[#This Row],[Thread (mm)]]," - ",Tableau2[[#This Row],[Quality class]]),Table_Metier!$L$7:$CN$59,34,FALSE)</f>
        <v>15486.95977959023</v>
      </c>
      <c r="L55" s="99">
        <f>HLOOKUP(CONCATENATE("M",Tableau2[[#This Row],[Screw diameter (mm)]]," - ",Tableau2[[#This Row],[Thread (mm)]]," - ",Tableau2[[#This Row],[Quality class]]),Table_Metier!$L$7:$CN$59,36,FALSE)</f>
        <v>33800</v>
      </c>
      <c r="M55" s="155">
        <f>HLOOKUP(CONCATENATE("M",Tableau2[[#This Row],[Screw diameter (mm)]]," - ",Tableau2[[#This Row],[Thread (mm)]]," - ",Tableau2[[#This Row],[Quality class]]),Table_Metier!$L$7:$CN$59,28,FALSE)</f>
        <v>58726.828284983574</v>
      </c>
      <c r="N55" s="10">
        <f>HLOOKUP(CONCATENATE("M",Tableau2[[#This Row],[Screw diameter (mm)]]," - ",Tableau2[[#This Row],[Thread (mm)]]," - ",Tableau2[[#This Row],[Quality class]]),Table_Metier!$L$7:$CN$59,5,FALSE)</f>
        <v>0.36879432624113473</v>
      </c>
    </row>
    <row r="56" spans="1:14" x14ac:dyDescent="0.25">
      <c r="C56" s="170">
        <v>12</v>
      </c>
      <c r="D56" s="9">
        <v>1.75</v>
      </c>
      <c r="E56" s="90">
        <v>10.9</v>
      </c>
      <c r="F56" s="152">
        <f>HLOOKUP(CONCATENATE("M",Tableau2[[#This Row],[Screw diameter (mm)]]," - ",Tableau2[[#This Row],[Thread (mm)]]," - ",Tableau2[[#This Row],[Quality class]]),Table_Metier!$L$7:$CN$59,2,FALSE)</f>
        <v>87640</v>
      </c>
      <c r="G56" s="152">
        <f>HLOOKUP(CONCATENATE("M",Tableau2[[#This Row],[Screw diameter (mm)]]," - ",Tableau2[[#This Row],[Thread (mm)]]," - ",Tableau2[[#This Row],[Quality class]]),Table_Metier!$L$7:$CN$59,3,FALSE)</f>
        <v>52480</v>
      </c>
      <c r="H56" s="11">
        <f>HLOOKUP(CONCATENATE("M",Tableau2[[#This Row],[Screw diameter (mm)]]," - ",Tableau2[[#This Row],[Thread (mm)]]," - ",Tableau2[[#This Row],[Quality class]]),Table_Metier!$L$7:$CN$59,26,FALSE)</f>
        <v>75.28967362824325</v>
      </c>
      <c r="I56" s="99">
        <f>HLOOKUP(Tableau2[[#This Row],[Nominal (CONLO database)]],Table_Metier!$L$58:$CN$59,2,FALSE)</f>
        <v>92.229850194597987</v>
      </c>
      <c r="J56" s="11">
        <f>HLOOKUP(CONCATENATE("M",Tableau2[[#This Row],[Screw diameter (mm)]]," - ",Tableau2[[#This Row],[Thread (mm)]]," - ",Tableau2[[#This Row],[Quality class]]),Table_Metier!$L$7:$CN$59,19,FALSE)</f>
        <v>109.17002676095271</v>
      </c>
      <c r="K56" s="11">
        <f>HLOOKUP(CONCATENATE("M",Tableau2[[#This Row],[Screw diameter (mm)]]," - ",Tableau2[[#This Row],[Thread (mm)]]," - ",Tableau2[[#This Row],[Quality class]]),Table_Metier!$L$7:$CN$59,34,FALSE)</f>
        <v>14669.879040916167</v>
      </c>
      <c r="L56" s="99">
        <f>HLOOKUP(CONCATENATE("M",Tableau2[[#This Row],[Screw diameter (mm)]]," - ",Tableau2[[#This Row],[Thread (mm)]]," - ",Tableau2[[#This Row],[Quality class]]),Table_Metier!$L$7:$CN$59,36,FALSE)</f>
        <v>31900</v>
      </c>
      <c r="M56" s="156">
        <f>HLOOKUP(CONCATENATE("M",Tableau2[[#This Row],[Screw diameter (mm)]]," - ",Tableau2[[#This Row],[Thread (mm)]]," - ",Tableau2[[#This Row],[Quality class]]),Table_Metier!$L$7:$CN$59,28,FALSE)</f>
        <v>55271.401128294849</v>
      </c>
      <c r="N56" s="10">
        <f>HLOOKUP(CONCATENATE("M",Tableau2[[#This Row],[Screw diameter (mm)]]," - ",Tableau2[[#This Row],[Thread (mm)]]," - ",Tableau2[[#This Row],[Quality class]]),Table_Metier!$L$7:$CN$59,5,FALSE)</f>
        <v>0.3639890460976723</v>
      </c>
    </row>
    <row r="57" spans="1:14" x14ac:dyDescent="0.25">
      <c r="A57" s="1" t="s">
        <v>155</v>
      </c>
      <c r="C57" s="170">
        <v>12</v>
      </c>
      <c r="D57" s="9">
        <v>1.25</v>
      </c>
      <c r="E57" s="91">
        <v>11.9</v>
      </c>
      <c r="F57" s="152">
        <f>HLOOKUP(CONCATENATE("M",Tableau2[[#This Row],[Screw diameter (mm)]]," - ",Tableau2[[#This Row],[Thread (mm)]]," - ",Tableau2[[#This Row],[Quality class]]),Table_Metier!$L$7:$CN$59,2,FALSE)</f>
        <v>101280</v>
      </c>
      <c r="G57" s="152">
        <f>HLOOKUP(CONCATENATE("M",Tableau2[[#This Row],[Screw diameter (mm)]]," - ",Tableau2[[#This Row],[Thread (mm)]]," - ",Tableau2[[#This Row],[Quality class]]),Table_Metier!$L$7:$CN$59,3,FALSE)</f>
        <v>60650</v>
      </c>
      <c r="H57" s="11">
        <f>HLOOKUP(CONCATENATE("M",Tableau2[[#This Row],[Screw diameter (mm)]]," - ",Tableau2[[#This Row],[Thread (mm)]]," - ",Tableau2[[#This Row],[Quality class]]),Table_Metier!$L$7:$CN$59,26,FALSE)</f>
        <v>86.752274999140255</v>
      </c>
      <c r="I57" s="99">
        <f>HLOOKUP(Tableau2[[#This Row],[Nominal (CONLO database)]],Table_Metier!$L$58:$CN$59,2,FALSE)</f>
        <v>106.27153687394681</v>
      </c>
      <c r="J57" s="11">
        <f>HLOOKUP(CONCATENATE("M",Tableau2[[#This Row],[Screw diameter (mm)]]," - ",Tableau2[[#This Row],[Thread (mm)]]," - ",Tableau2[[#This Row],[Quality class]]),Table_Metier!$L$7:$CN$59,19,FALSE)</f>
        <v>125.79079874875336</v>
      </c>
      <c r="K57" s="11">
        <f>HLOOKUP(CONCATENATE("M",Tableau2[[#This Row],[Screw diameter (mm)]]," - ",Tableau2[[#This Row],[Thread (mm)]]," - ",Tableau2[[#This Row],[Quality class]]),Table_Metier!$L$7:$CN$59,34,FALSE)</f>
        <v>17182.851758091849</v>
      </c>
      <c r="L57" s="99">
        <f>HLOOKUP(CONCATENATE("M",Tableau2[[#This Row],[Screw diameter (mm)]]," - ",Tableau2[[#This Row],[Thread (mm)]]," - ",Tableau2[[#This Row],[Quality class]]),Table_Metier!$L$7:$CN$59,36,FALSE)</f>
        <v>37700</v>
      </c>
      <c r="M57" s="156">
        <f>HLOOKUP(CONCATENATE("M",Tableau2[[#This Row],[Screw diameter (mm)]]," - ",Tableau2[[#This Row],[Thread (mm)]]," - ",Tableau2[[#This Row],[Quality class]]),Table_Metier!$L$7:$CN$59,28,FALSE)</f>
        <v>65588.375588061419</v>
      </c>
      <c r="N57" s="10">
        <f>HLOOKUP(CONCATENATE("M",Tableau2[[#This Row],[Screw diameter (mm)]]," - ",Tableau2[[#This Row],[Thread (mm)]]," - ",Tableau2[[#This Row],[Quality class]]),Table_Metier!$L$7:$CN$59,5,FALSE)</f>
        <v>0.3722353870458136</v>
      </c>
    </row>
    <row r="58" spans="1:14" x14ac:dyDescent="0.25">
      <c r="A58" s="1" t="s">
        <v>156</v>
      </c>
      <c r="C58" s="170">
        <v>12</v>
      </c>
      <c r="D58" s="9">
        <v>1.5</v>
      </c>
      <c r="E58" s="91">
        <v>11.9</v>
      </c>
      <c r="F58" s="152">
        <f>HLOOKUP(CONCATENATE("M",Tableau2[[#This Row],[Screw diameter (mm)]]," - ",Tableau2[[#This Row],[Thread (mm)]]," - ",Tableau2[[#This Row],[Quality class]]),Table_Metier!$L$7:$CN$59,2,FALSE)</f>
        <v>96940</v>
      </c>
      <c r="G58" s="152">
        <f>HLOOKUP(CONCATENATE("M",Tableau2[[#This Row],[Screw diameter (mm)]]," - ",Tableau2[[#This Row],[Thread (mm)]]," - ",Tableau2[[#This Row],[Quality class]]),Table_Metier!$L$7:$CN$59,3,FALSE)</f>
        <v>58050</v>
      </c>
      <c r="H58" s="11">
        <f>HLOOKUP(CONCATENATE("M",Tableau2[[#This Row],[Screw diameter (mm)]]," - ",Tableau2[[#This Row],[Thread (mm)]]," - ",Tableau2[[#This Row],[Quality class]]),Table_Metier!$L$7:$CN$59,26,FALSE)</f>
        <v>83.030063697207382</v>
      </c>
      <c r="I58" s="99">
        <f>HLOOKUP(Tableau2[[#This Row],[Nominal (CONLO database)]],Table_Metier!$L$58:$CN$59,2,FALSE)</f>
        <v>101.71182802907904</v>
      </c>
      <c r="J58" s="11">
        <f>HLOOKUP(CONCATENATE("M",Tableau2[[#This Row],[Screw diameter (mm)]]," - ",Tableau2[[#This Row],[Thread (mm)]]," - ",Tableau2[[#This Row],[Quality class]]),Table_Metier!$L$7:$CN$59,19,FALSE)</f>
        <v>120.39359236095071</v>
      </c>
      <c r="K58" s="11">
        <f>HLOOKUP(CONCATENATE("M",Tableau2[[#This Row],[Screw diameter (mm)]]," - ",Tableau2[[#This Row],[Thread (mm)]]," - ",Tableau2[[#This Row],[Quality class]]),Table_Metier!$L$7:$CN$59,34,FALSE)</f>
        <v>16310.734235951413</v>
      </c>
      <c r="L58" s="99">
        <f>HLOOKUP(CONCATENATE("M",Tableau2[[#This Row],[Screw diameter (mm)]]," - ",Tableau2[[#This Row],[Thread (mm)]]," - ",Tableau2[[#This Row],[Quality class]]),Table_Metier!$L$7:$CN$59,36,FALSE)</f>
        <v>35600</v>
      </c>
      <c r="M58" s="156">
        <f>HLOOKUP(CONCATENATE("M",Tableau2[[#This Row],[Screw diameter (mm)]]," - ",Tableau2[[#This Row],[Thread (mm)]]," - ",Tableau2[[#This Row],[Quality class]]),Table_Metier!$L$7:$CN$59,28,FALSE)</f>
        <v>61850.595746950785</v>
      </c>
      <c r="N58" s="10">
        <f>HLOOKUP(CONCATENATE("M",Tableau2[[#This Row],[Screw diameter (mm)]]," - ",Tableau2[[#This Row],[Thread (mm)]]," - ",Tableau2[[#This Row],[Quality class]]),Table_Metier!$L$7:$CN$59,5,FALSE)</f>
        <v>0.36723746647410771</v>
      </c>
    </row>
    <row r="59" spans="1:14" x14ac:dyDescent="0.25">
      <c r="C59" s="170">
        <v>12</v>
      </c>
      <c r="D59" s="9">
        <v>1.75</v>
      </c>
      <c r="E59" s="91">
        <v>11.9</v>
      </c>
      <c r="F59" s="152">
        <f>HLOOKUP(CONCATENATE("M",Tableau2[[#This Row],[Screw diameter (mm)]]," - ",Tableau2[[#This Row],[Thread (mm)]]," - ",Tableau2[[#This Row],[Quality class]]),Table_Metier!$L$7:$CN$59,2,FALSE)</f>
        <v>92690</v>
      </c>
      <c r="G59" s="152">
        <f>HLOOKUP(CONCATENATE("M",Tableau2[[#This Row],[Screw diameter (mm)]]," - ",Tableau2[[#This Row],[Thread (mm)]]," - ",Tableau2[[#This Row],[Quality class]]),Table_Metier!$L$7:$CN$59,3,FALSE)</f>
        <v>55500</v>
      </c>
      <c r="H59" s="11">
        <f>HLOOKUP(CONCATENATE("M",Tableau2[[#This Row],[Screw diameter (mm)]]," - ",Tableau2[[#This Row],[Thread (mm)]]," - ",Tableau2[[#This Row],[Quality class]]),Table_Metier!$L$7:$CN$59,26,FALSE)</f>
        <v>79.294443502085983</v>
      </c>
      <c r="I59" s="99">
        <f>HLOOKUP(Tableau2[[#This Row],[Nominal (CONLO database)]],Table_Metier!$L$58:$CN$59,2,FALSE)</f>
        <v>97.135693290055315</v>
      </c>
      <c r="J59" s="11">
        <f>HLOOKUP(CONCATENATE("M",Tableau2[[#This Row],[Screw diameter (mm)]]," - ",Tableau2[[#This Row],[Thread (mm)]]," - ",Tableau2[[#This Row],[Quality class]]),Table_Metier!$L$7:$CN$59,19,FALSE)</f>
        <v>114.97694307802466</v>
      </c>
      <c r="K59" s="11">
        <f>HLOOKUP(CONCATENATE("M",Tableau2[[#This Row],[Screw diameter (mm)]]," - ",Tableau2[[#This Row],[Thread (mm)]]," - ",Tableau2[[#This Row],[Quality class]]),Table_Metier!$L$7:$CN$59,34,FALSE)</f>
        <v>15450.191755858514</v>
      </c>
      <c r="L59" s="99">
        <f>HLOOKUP(CONCATENATE("M",Tableau2[[#This Row],[Screw diameter (mm)]]," - ",Tableau2[[#This Row],[Thread (mm)]]," - ",Tableau2[[#This Row],[Quality class]]),Table_Metier!$L$7:$CN$59,36,FALSE)</f>
        <v>33600</v>
      </c>
      <c r="M59" s="156">
        <f>HLOOKUP(CONCATENATE("M",Tableau2[[#This Row],[Screw diameter (mm)]]," - ",Tableau2[[#This Row],[Thread (mm)]]," - ",Tableau2[[#This Row],[Quality class]]),Table_Metier!$L$7:$CN$59,28,FALSE)</f>
        <v>58211.369273416916</v>
      </c>
      <c r="N59" s="10">
        <f>HLOOKUP(CONCATENATE("M",Tableau2[[#This Row],[Screw diameter (mm)]]," - ",Tableau2[[#This Row],[Thread (mm)]]," - ",Tableau2[[#This Row],[Quality class]]),Table_Metier!$L$7:$CN$59,5,FALSE)</f>
        <v>0.36249865141870752</v>
      </c>
    </row>
    <row r="60" spans="1:14" x14ac:dyDescent="0.25">
      <c r="C60" s="171">
        <v>14</v>
      </c>
      <c r="D60" s="154">
        <v>1.5</v>
      </c>
      <c r="E60" s="88">
        <v>6.8</v>
      </c>
      <c r="F60" s="152">
        <f>HLOOKUP(CONCATENATE("M",Tableau2[[#This Row],[Screw diameter (mm)]]," - ",Tableau2[[#This Row],[Thread (mm)]]," - ",Tableau2[[#This Row],[Quality class]]),Table_Metier!$L$7:$CN$59,2,FALSE)</f>
        <v>74730</v>
      </c>
      <c r="G60" s="152">
        <f>HLOOKUP(CONCATENATE("M",Tableau2[[#This Row],[Screw diameter (mm)]]," - ",Tableau2[[#This Row],[Thread (mm)]]," - ",Tableau2[[#This Row],[Quality class]]),Table_Metier!$L$7:$CN$59,3,FALSE)</f>
        <v>44750</v>
      </c>
      <c r="H60" s="11">
        <f>HLOOKUP(CONCATENATE("M",Tableau2[[#This Row],[Screw diameter (mm)]]," - ",Tableau2[[#This Row],[Thread (mm)]]," - ",Tableau2[[#This Row],[Quality class]]),Table_Metier!$L$7:$CN$59,26,FALSE)</f>
        <v>66.166853967687075</v>
      </c>
      <c r="I60" s="99">
        <f>HLOOKUP(Tableau2[[#This Row],[Nominal (CONLO database)]],Table_Metier!$L$58:$CN$59,2,FALSE)</f>
        <v>81.054396110416661</v>
      </c>
      <c r="J60" s="11">
        <f>HLOOKUP(CONCATENATE("M",Tableau2[[#This Row],[Screw diameter (mm)]]," - ",Tableau2[[#This Row],[Thread (mm)]]," - ",Tableau2[[#This Row],[Quality class]]),Table_Metier!$L$7:$CN$59,19,FALSE)</f>
        <v>95.941938253146247</v>
      </c>
      <c r="K60" s="11">
        <f>HLOOKUP(CONCATENATE("M",Tableau2[[#This Row],[Screw diameter (mm)]]," - ",Tableau2[[#This Row],[Thread (mm)]]," - ",Tableau2[[#This Row],[Quality class]]),Table_Metier!$L$7:$CN$59,34,FALSE)</f>
        <v>11258.247448522678</v>
      </c>
      <c r="L60" s="99">
        <f>HLOOKUP(CONCATENATE("M",Tableau2[[#This Row],[Screw diameter (mm)]]," - ",Tableau2[[#This Row],[Thread (mm)]]," - ",Tableau2[[#This Row],[Quality class]]),Table_Metier!$L$7:$CN$59,36,FALSE)</f>
        <v>24700</v>
      </c>
      <c r="M60" s="155">
        <f>HLOOKUP(CONCATENATE("M",Tableau2[[#This Row],[Screw diameter (mm)]]," - ",Tableau2[[#This Row],[Thread (mm)]]," - ",Tableau2[[#This Row],[Quality class]]),Table_Metier!$L$7:$CN$59,28,FALSE)</f>
        <v>42927.627685465312</v>
      </c>
      <c r="N60" s="10">
        <f>HLOOKUP(CONCATENATE("M",Tableau2[[#This Row],[Screw diameter (mm)]]," - ",Tableau2[[#This Row],[Thread (mm)]]," - ",Tableau2[[#This Row],[Quality class]]),Table_Metier!$L$7:$CN$59,5,FALSE)</f>
        <v>0.33052321691422454</v>
      </c>
    </row>
    <row r="61" spans="1:14" x14ac:dyDescent="0.25">
      <c r="C61" s="171">
        <v>14</v>
      </c>
      <c r="D61" s="9">
        <v>2</v>
      </c>
      <c r="E61" s="88">
        <v>6.8</v>
      </c>
      <c r="F61" s="152">
        <f>HLOOKUP(CONCATENATE("M",Tableau2[[#This Row],[Screw diameter (mm)]]," - ",Tableau2[[#This Row],[Thread (mm)]]," - ",Tableau2[[#This Row],[Quality class]]),Table_Metier!$L$7:$CN$59,2,FALSE)</f>
        <v>69260</v>
      </c>
      <c r="G61" s="152">
        <f>HLOOKUP(CONCATENATE("M",Tableau2[[#This Row],[Screw diameter (mm)]]," - ",Tableau2[[#This Row],[Thread (mm)]]," - ",Tableau2[[#This Row],[Quality class]]),Table_Metier!$L$7:$CN$59,3,FALSE)</f>
        <v>41470</v>
      </c>
      <c r="H61" s="11">
        <f>HLOOKUP(CONCATENATE("M",Tableau2[[#This Row],[Screw diameter (mm)]]," - ",Tableau2[[#This Row],[Thread (mm)]]," - ",Tableau2[[#This Row],[Quality class]]),Table_Metier!$L$7:$CN$59,26,FALSE)</f>
        <v>61.265696359254143</v>
      </c>
      <c r="I61" s="99">
        <f>HLOOKUP(Tableau2[[#This Row],[Nominal (CONLO database)]],Table_Metier!$L$58:$CN$59,2,FALSE)</f>
        <v>75.050478040086318</v>
      </c>
      <c r="J61" s="11">
        <f>HLOOKUP(CONCATENATE("M",Tableau2[[#This Row],[Screw diameter (mm)]]," - ",Tableau2[[#This Row],[Thread (mm)]]," - ",Tableau2[[#This Row],[Quality class]]),Table_Metier!$L$7:$CN$59,19,FALSE)</f>
        <v>88.835259720918501</v>
      </c>
      <c r="K61" s="11">
        <f>HLOOKUP(CONCATENATE("M",Tableau2[[#This Row],[Screw diameter (mm)]]," - ",Tableau2[[#This Row],[Thread (mm)]]," - ",Tableau2[[#This Row],[Quality class]]),Table_Metier!$L$7:$CN$59,34,FALSE)</f>
        <v>10278.303510343854</v>
      </c>
      <c r="L61" s="99">
        <f>HLOOKUP(CONCATENATE("M",Tableau2[[#This Row],[Screw diameter (mm)]]," - ",Tableau2[[#This Row],[Thread (mm)]]," - ",Tableau2[[#This Row],[Quality class]]),Table_Metier!$L$7:$CN$59,36,FALSE)</f>
        <v>22400</v>
      </c>
      <c r="M61" s="156">
        <f>HLOOKUP(CONCATENATE("M",Tableau2[[#This Row],[Screw diameter (mm)]]," - ",Tableau2[[#This Row],[Thread (mm)]]," - ",Tableau2[[#This Row],[Quality class]]),Table_Metier!$L$7:$CN$59,28,FALSE)</f>
        <v>38754.612458279196</v>
      </c>
      <c r="N61" s="10">
        <f>HLOOKUP(CONCATENATE("M",Tableau2[[#This Row],[Screw diameter (mm)]]," - ",Tableau2[[#This Row],[Thread (mm)]]," - ",Tableau2[[#This Row],[Quality class]]),Table_Metier!$L$7:$CN$59,5,FALSE)</f>
        <v>0.32341900086630088</v>
      </c>
    </row>
    <row r="62" spans="1:14" x14ac:dyDescent="0.25">
      <c r="C62" s="171">
        <v>14</v>
      </c>
      <c r="D62" s="154">
        <v>1.5</v>
      </c>
      <c r="E62" s="89">
        <v>8.8000000000000007</v>
      </c>
      <c r="F62" s="152">
        <f>HLOOKUP(CONCATENATE("M",Tableau2[[#This Row],[Screw diameter (mm)]]," - ",Tableau2[[#This Row],[Thread (mm)]]," - ",Tableau2[[#This Row],[Quality class]]),Table_Metier!$L$7:$CN$59,2,FALSE)</f>
        <v>99640</v>
      </c>
      <c r="G62" s="152">
        <f>HLOOKUP(CONCATENATE("M",Tableau2[[#This Row],[Screw diameter (mm)]]," - ",Tableau2[[#This Row],[Thread (mm)]]," - ",Tableau2[[#This Row],[Quality class]]),Table_Metier!$L$7:$CN$59,3,FALSE)</f>
        <v>59660</v>
      </c>
      <c r="H62" s="11">
        <f>HLOOKUP(CONCATENATE("M",Tableau2[[#This Row],[Screw diameter (mm)]]," - ",Tableau2[[#This Row],[Thread (mm)]]," - ",Tableau2[[#This Row],[Quality class]]),Table_Metier!$L$7:$CN$59,26,FALSE)</f>
        <v>88.222471956916095</v>
      </c>
      <c r="I62" s="99">
        <f>HLOOKUP(Tableau2[[#This Row],[Nominal (CONLO database)]],Table_Metier!$L$58:$CN$59,2,FALSE)</f>
        <v>108.07252814722222</v>
      </c>
      <c r="J62" s="11">
        <f>HLOOKUP(CONCATENATE("M",Tableau2[[#This Row],[Screw diameter (mm)]]," - ",Tableau2[[#This Row],[Thread (mm)]]," - ",Tableau2[[#This Row],[Quality class]]),Table_Metier!$L$7:$CN$59,19,FALSE)</f>
        <v>127.92258433752833</v>
      </c>
      <c r="K62" s="11">
        <f>HLOOKUP(CONCATENATE("M",Tableau2[[#This Row],[Screw diameter (mm)]]," - ",Tableau2[[#This Row],[Thread (mm)]]," - ",Tableau2[[#This Row],[Quality class]]),Table_Metier!$L$7:$CN$59,34,FALSE)</f>
        <v>15010.996598030235</v>
      </c>
      <c r="L62" s="99">
        <f>HLOOKUP(CONCATENATE("M",Tableau2[[#This Row],[Screw diameter (mm)]]," - ",Tableau2[[#This Row],[Thread (mm)]]," - ",Tableau2[[#This Row],[Quality class]]),Table_Metier!$L$7:$CN$59,36,FALSE)</f>
        <v>32900</v>
      </c>
      <c r="M62" s="155">
        <f>HLOOKUP(CONCATENATE("M",Tableau2[[#This Row],[Screw diameter (mm)]]," - ",Tableau2[[#This Row],[Thread (mm)]]," - ",Tableau2[[#This Row],[Quality class]]),Table_Metier!$L$7:$CN$59,28,FALSE)</f>
        <v>57236.836913953754</v>
      </c>
      <c r="N62" s="10">
        <f>HLOOKUP(CONCATENATE("M",Tableau2[[#This Row],[Screw diameter (mm)]]," - ",Tableau2[[#This Row],[Thread (mm)]]," - ",Tableau2[[#This Row],[Quality class]]),Table_Metier!$L$7:$CN$59,5,FALSE)</f>
        <v>0.330188679245283</v>
      </c>
    </row>
    <row r="63" spans="1:14" x14ac:dyDescent="0.25">
      <c r="C63" s="171">
        <v>14</v>
      </c>
      <c r="D63" s="9">
        <v>2</v>
      </c>
      <c r="E63" s="89">
        <v>8.8000000000000007</v>
      </c>
      <c r="F63" s="152">
        <f>HLOOKUP(CONCATENATE("M",Tableau2[[#This Row],[Screw diameter (mm)]]," - ",Tableau2[[#This Row],[Thread (mm)]]," - ",Tableau2[[#This Row],[Quality class]]),Table_Metier!$L$7:$CN$59,2,FALSE)</f>
        <v>92350</v>
      </c>
      <c r="G63" s="152">
        <f>HLOOKUP(CONCATENATE("M",Tableau2[[#This Row],[Screw diameter (mm)]]," - ",Tableau2[[#This Row],[Thread (mm)]]," - ",Tableau2[[#This Row],[Quality class]]),Table_Metier!$L$7:$CN$59,3,FALSE)</f>
        <v>55300</v>
      </c>
      <c r="H63" s="11">
        <f>HLOOKUP(CONCATENATE("M",Tableau2[[#This Row],[Screw diameter (mm)]]," - ",Tableau2[[#This Row],[Thread (mm)]]," - ",Tableau2[[#This Row],[Quality class]]),Table_Metier!$L$7:$CN$59,26,FALSE)</f>
        <v>81.687595145672191</v>
      </c>
      <c r="I63" s="99">
        <f>HLOOKUP(Tableau2[[#This Row],[Nominal (CONLO database)]],Table_Metier!$L$58:$CN$59,2,FALSE)</f>
        <v>100.06730405344842</v>
      </c>
      <c r="J63" s="11">
        <f>HLOOKUP(CONCATENATE("M",Tableau2[[#This Row],[Screw diameter (mm)]]," - ",Tableau2[[#This Row],[Thread (mm)]]," - ",Tableau2[[#This Row],[Quality class]]),Table_Metier!$L$7:$CN$59,19,FALSE)</f>
        <v>118.44701296122467</v>
      </c>
      <c r="K63" s="11">
        <f>HLOOKUP(CONCATENATE("M",Tableau2[[#This Row],[Screw diameter (mm)]]," - ",Tableau2[[#This Row],[Thread (mm)]]," - ",Tableau2[[#This Row],[Quality class]]),Table_Metier!$L$7:$CN$59,34,FALSE)</f>
        <v>13704.404680458474</v>
      </c>
      <c r="L63" s="99">
        <f>HLOOKUP(CONCATENATE("M",Tableau2[[#This Row],[Screw diameter (mm)]]," - ",Tableau2[[#This Row],[Thread (mm)]]," - ",Tableau2[[#This Row],[Quality class]]),Table_Metier!$L$7:$CN$59,36,FALSE)</f>
        <v>29800</v>
      </c>
      <c r="M63" s="156">
        <f>HLOOKUP(CONCATENATE("M",Tableau2[[#This Row],[Screw diameter (mm)]]," - ",Tableau2[[#This Row],[Thread (mm)]]," - ",Tableau2[[#This Row],[Quality class]]),Table_Metier!$L$7:$CN$59,28,FALSE)</f>
        <v>51672.816611038928</v>
      </c>
      <c r="N63" s="10">
        <f>HLOOKUP(CONCATENATE("M",Tableau2[[#This Row],[Screw diameter (mm)]]," - ",Tableau2[[#This Row],[Thread (mm)]]," - ",Tableau2[[#This Row],[Quality class]]),Table_Metier!$L$7:$CN$59,5,FALSE)</f>
        <v>0.32268543584190579</v>
      </c>
    </row>
    <row r="64" spans="1:14" x14ac:dyDescent="0.25">
      <c r="C64" s="171">
        <v>14</v>
      </c>
      <c r="D64" s="154">
        <v>1.5</v>
      </c>
      <c r="E64" s="90">
        <v>10.9</v>
      </c>
      <c r="F64" s="152">
        <f>HLOOKUP(CONCATENATE("M",Tableau2[[#This Row],[Screw diameter (mm)]]," - ",Tableau2[[#This Row],[Thread (mm)]]," - ",Tableau2[[#This Row],[Quality class]]),Table_Metier!$L$7:$CN$59,2,FALSE)</f>
        <v>129530</v>
      </c>
      <c r="G64" s="152">
        <f>HLOOKUP(CONCATENATE("M",Tableau2[[#This Row],[Screw diameter (mm)]]," - ",Tableau2[[#This Row],[Thread (mm)]]," - ",Tableau2[[#This Row],[Quality class]]),Table_Metier!$L$7:$CN$59,3,FALSE)</f>
        <v>77560</v>
      </c>
      <c r="H64" s="11">
        <f>HLOOKUP(CONCATENATE("M",Tableau2[[#This Row],[Screw diameter (mm)]]," - ",Tableau2[[#This Row],[Thread (mm)]]," - ",Tableau2[[#This Row],[Quality class]]),Table_Metier!$L$7:$CN$59,26,FALSE)</f>
        <v>129.57675568672053</v>
      </c>
      <c r="I64" s="99">
        <f>HLOOKUP(Tableau2[[#This Row],[Nominal (CONLO database)]],Table_Metier!$L$58:$CN$59,2,FALSE)</f>
        <v>158.73152571623262</v>
      </c>
      <c r="J64" s="11">
        <f>HLOOKUP(CONCATENATE("M",Tableau2[[#This Row],[Screw diameter (mm)]]," - ",Tableau2[[#This Row],[Thread (mm)]]," - ",Tableau2[[#This Row],[Quality class]]),Table_Metier!$L$7:$CN$59,19,FALSE)</f>
        <v>187.88629574574475</v>
      </c>
      <c r="K64" s="11">
        <f>HLOOKUP(CONCATENATE("M",Tableau2[[#This Row],[Screw diameter (mm)]]," - ",Tableau2[[#This Row],[Thread (mm)]]," - ",Tableau2[[#This Row],[Quality class]]),Table_Metier!$L$7:$CN$59,34,FALSE)</f>
        <v>22047.401253356915</v>
      </c>
      <c r="L64" s="99">
        <f>HLOOKUP(CONCATENATE("M",Tableau2[[#This Row],[Screw diameter (mm)]]," - ",Tableau2[[#This Row],[Thread (mm)]]," - ",Tableau2[[#This Row],[Quality class]]),Table_Metier!$L$7:$CN$59,36,FALSE)</f>
        <v>48300</v>
      </c>
      <c r="M64" s="155">
        <f>HLOOKUP(CONCATENATE("M",Tableau2[[#This Row],[Screw diameter (mm)]]," - ",Tableau2[[#This Row],[Thread (mm)]]," - ",Tableau2[[#This Row],[Quality class]]),Table_Metier!$L$7:$CN$59,28,FALSE)</f>
        <v>84066.604217369575</v>
      </c>
      <c r="N64" s="10">
        <f>HLOOKUP(CONCATENATE("M",Tableau2[[#This Row],[Screw diameter (mm)]]," - ",Tableau2[[#This Row],[Thread (mm)]]," - ",Tableau2[[#This Row],[Quality class]]),Table_Metier!$L$7:$CN$59,5,FALSE)</f>
        <v>0.37288658997915541</v>
      </c>
    </row>
    <row r="65" spans="3:14" x14ac:dyDescent="0.25">
      <c r="C65" s="171">
        <v>14</v>
      </c>
      <c r="D65" s="9">
        <v>2</v>
      </c>
      <c r="E65" s="90">
        <v>10.9</v>
      </c>
      <c r="F65" s="152">
        <f>HLOOKUP(CONCATENATE("M",Tableau2[[#This Row],[Screw diameter (mm)]]," - ",Tableau2[[#This Row],[Thread (mm)]]," - ",Tableau2[[#This Row],[Quality class]]),Table_Metier!$L$7:$CN$59,2,FALSE)</f>
        <v>120060</v>
      </c>
      <c r="G65" s="152">
        <f>HLOOKUP(CONCATENATE("M",Tableau2[[#This Row],[Screw diameter (mm)]]," - ",Tableau2[[#This Row],[Thread (mm)]]," - ",Tableau2[[#This Row],[Quality class]]),Table_Metier!$L$7:$CN$59,3,FALSE)</f>
        <v>71890</v>
      </c>
      <c r="H65" s="11">
        <f>HLOOKUP(CONCATENATE("M",Tableau2[[#This Row],[Screw diameter (mm)]]," - ",Tableau2[[#This Row],[Thread (mm)]]," - ",Tableau2[[#This Row],[Quality class]]),Table_Metier!$L$7:$CN$59,26,FALSE)</f>
        <v>119.97865537020603</v>
      </c>
      <c r="I65" s="99">
        <f>HLOOKUP(Tableau2[[#This Row],[Nominal (CONLO database)]],Table_Metier!$L$58:$CN$59,2,FALSE)</f>
        <v>146.97385282850237</v>
      </c>
      <c r="J65" s="11">
        <f>HLOOKUP(CONCATENATE("M",Tableau2[[#This Row],[Screw diameter (mm)]]," - ",Tableau2[[#This Row],[Thread (mm)]]," - ",Tableau2[[#This Row],[Quality class]]),Table_Metier!$L$7:$CN$59,19,FALSE)</f>
        <v>173.96905028679873</v>
      </c>
      <c r="K65" s="11">
        <f>HLOOKUP(CONCATENATE("M",Tableau2[[#This Row],[Screw diameter (mm)]]," - ",Tableau2[[#This Row],[Thread (mm)]]," - ",Tableau2[[#This Row],[Quality class]]),Table_Metier!$L$7:$CN$59,34,FALSE)</f>
        <v>20128.344374423381</v>
      </c>
      <c r="L65" s="99">
        <f>HLOOKUP(CONCATENATE("M",Tableau2[[#This Row],[Screw diameter (mm)]]," - ",Tableau2[[#This Row],[Thread (mm)]]," - ",Tableau2[[#This Row],[Quality class]]),Table_Metier!$L$7:$CN$59,36,FALSE)</f>
        <v>43800</v>
      </c>
      <c r="M65" s="156">
        <f>HLOOKUP(CONCATENATE("M",Tableau2[[#This Row],[Screw diameter (mm)]]," - ",Tableau2[[#This Row],[Thread (mm)]]," - ",Tableau2[[#This Row],[Quality class]]),Table_Metier!$L$7:$CN$59,28,FALSE)</f>
        <v>75894.449397463424</v>
      </c>
      <c r="N65" s="10">
        <f>HLOOKUP(CONCATENATE("M",Tableau2[[#This Row],[Screw diameter (mm)]]," - ",Tableau2[[#This Row],[Thread (mm)]]," - ",Tableau2[[#This Row],[Quality class]]),Table_Metier!$L$7:$CN$59,5,FALSE)</f>
        <v>0.36481759120439783</v>
      </c>
    </row>
    <row r="66" spans="3:14" x14ac:dyDescent="0.25">
      <c r="C66" s="171">
        <v>14</v>
      </c>
      <c r="D66" s="9">
        <v>1.5</v>
      </c>
      <c r="E66" s="91">
        <v>11.9</v>
      </c>
      <c r="F66" s="152">
        <f>HLOOKUP(CONCATENATE("M",Tableau2[[#This Row],[Screw diameter (mm)]]," - ",Tableau2[[#This Row],[Thread (mm)]]," - ",Tableau2[[#This Row],[Quality class]]),Table_Metier!$L$7:$CN$59,2,FALSE)</f>
        <v>137000</v>
      </c>
      <c r="G66" s="152">
        <f>HLOOKUP(CONCATENATE("M",Tableau2[[#This Row],[Screw diameter (mm)]]," - ",Tableau2[[#This Row],[Thread (mm)]]," - ",Tableau2[[#This Row],[Quality class]]),Table_Metier!$L$7:$CN$59,3,FALSE)</f>
        <v>82040</v>
      </c>
      <c r="H66" s="11">
        <f>HLOOKUP(CONCATENATE("M",Tableau2[[#This Row],[Screw diameter (mm)]]," - ",Tableau2[[#This Row],[Thread (mm)]]," - ",Tableau2[[#This Row],[Quality class]]),Table_Metier!$L$7:$CN$59,26,FALSE)</f>
        <v>136.46913630835459</v>
      </c>
      <c r="I66" s="99">
        <f>HLOOKUP(Tableau2[[#This Row],[Nominal (CONLO database)]],Table_Metier!$L$58:$CN$59,2,FALSE)</f>
        <v>167.17469197773437</v>
      </c>
      <c r="J66" s="11">
        <f>HLOOKUP(CONCATENATE("M",Tableau2[[#This Row],[Screw diameter (mm)]]," - ",Tableau2[[#This Row],[Thread (mm)]]," - ",Tableau2[[#This Row],[Quality class]]),Table_Metier!$L$7:$CN$59,19,FALSE)</f>
        <v>197.88024764711415</v>
      </c>
      <c r="K66" s="11">
        <f>HLOOKUP(CONCATENATE("M",Tableau2[[#This Row],[Screw diameter (mm)]]," - ",Tableau2[[#This Row],[Thread (mm)]]," - ",Tableau2[[#This Row],[Quality class]]),Table_Metier!$L$7:$CN$59,34,FALSE)</f>
        <v>23220.135362578025</v>
      </c>
      <c r="L66" s="99">
        <f>HLOOKUP(CONCATENATE("M",Tableau2[[#This Row],[Screw diameter (mm)]]," - ",Tableau2[[#This Row],[Thread (mm)]]," - ",Tableau2[[#This Row],[Quality class]]),Table_Metier!$L$7:$CN$59,36,FALSE)</f>
        <v>50900</v>
      </c>
      <c r="M66" s="156">
        <f>HLOOKUP(CONCATENATE("M",Tableau2[[#This Row],[Screw diameter (mm)]]," - ",Tableau2[[#This Row],[Thread (mm)]]," - ",Tableau2[[#This Row],[Quality class]]),Table_Metier!$L$7:$CN$59,28,FALSE)</f>
        <v>88538.232101272224</v>
      </c>
      <c r="N66" s="10">
        <f>HLOOKUP(CONCATENATE("M",Tableau2[[#This Row],[Screw diameter (mm)]]," - ",Tableau2[[#This Row],[Thread (mm)]]," - ",Tableau2[[#This Row],[Quality class]]),Table_Metier!$L$7:$CN$59,5,FALSE)</f>
        <v>0.37153284671532849</v>
      </c>
    </row>
    <row r="67" spans="3:14" x14ac:dyDescent="0.25">
      <c r="C67" s="171">
        <v>14</v>
      </c>
      <c r="D67" s="9">
        <v>2</v>
      </c>
      <c r="E67" s="91">
        <v>11.9</v>
      </c>
      <c r="F67" s="152">
        <f>HLOOKUP(CONCATENATE("M",Tableau2[[#This Row],[Screw diameter (mm)]]," - ",Tableau2[[#This Row],[Thread (mm)]]," - ",Tableau2[[#This Row],[Quality class]]),Table_Metier!$L$7:$CN$59,2,FALSE)</f>
        <v>126980</v>
      </c>
      <c r="G67" s="152">
        <f>HLOOKUP(CONCATENATE("M",Tableau2[[#This Row],[Screw diameter (mm)]]," - ",Tableau2[[#This Row],[Thread (mm)]]," - ",Tableau2[[#This Row],[Quality class]]),Table_Metier!$L$7:$CN$59,3,FALSE)</f>
        <v>76040</v>
      </c>
      <c r="H67" s="11">
        <f>HLOOKUP(CONCATENATE("M",Tableau2[[#This Row],[Screw diameter (mm)]]," - ",Tableau2[[#This Row],[Thread (mm)]]," - ",Tableau2[[#This Row],[Quality class]]),Table_Metier!$L$7:$CN$59,26,FALSE)</f>
        <v>126.36049874096167</v>
      </c>
      <c r="I67" s="99">
        <f>HLOOKUP(Tableau2[[#This Row],[Nominal (CONLO database)]],Table_Metier!$L$58:$CN$59,2,FALSE)</f>
        <v>154.79161095767805</v>
      </c>
      <c r="J67" s="11">
        <f>HLOOKUP(CONCATENATE("M",Tableau2[[#This Row],[Screw diameter (mm)]]," - ",Tableau2[[#This Row],[Thread (mm)]]," - ",Tableau2[[#This Row],[Quality class]]),Table_Metier!$L$7:$CN$59,19,FALSE)</f>
        <v>183.22272317439442</v>
      </c>
      <c r="K67" s="11">
        <f>HLOOKUP(CONCATENATE("M",Tableau2[[#This Row],[Screw diameter (mm)]]," - ",Tableau2[[#This Row],[Thread (mm)]]," - ",Tableau2[[#This Row],[Quality class]]),Table_Metier!$L$7:$CN$59,34,FALSE)</f>
        <v>21199.000990084205</v>
      </c>
      <c r="L67" s="99">
        <f>HLOOKUP(CONCATENATE("M",Tableau2[[#This Row],[Screw diameter (mm)]]," - ",Tableau2[[#This Row],[Thread (mm)]]," - ",Tableau2[[#This Row],[Quality class]]),Table_Metier!$L$7:$CN$59,36,FALSE)</f>
        <v>46100</v>
      </c>
      <c r="M67" s="156">
        <f>HLOOKUP(CONCATENATE("M",Tableau2[[#This Row],[Screw diameter (mm)]]," - ",Tableau2[[#This Row],[Thread (mm)]]," - ",Tableau2[[#This Row],[Quality class]]),Table_Metier!$L$7:$CN$59,28,FALSE)</f>
        <v>79931.388195200852</v>
      </c>
      <c r="N67" s="10">
        <f>HLOOKUP(CONCATENATE("M",Tableau2[[#This Row],[Screw diameter (mm)]]," - ",Tableau2[[#This Row],[Thread (mm)]]," - ",Tableau2[[#This Row],[Quality class]]),Table_Metier!$L$7:$CN$59,5,FALSE)</f>
        <v>0.36304929910222083</v>
      </c>
    </row>
    <row r="68" spans="3:14" x14ac:dyDescent="0.25">
      <c r="C68" s="172">
        <v>16</v>
      </c>
      <c r="D68" s="154">
        <v>1.5</v>
      </c>
      <c r="E68" s="88">
        <v>6.8</v>
      </c>
      <c r="F68" s="152">
        <f>HLOOKUP(CONCATENATE("M",Tableau2[[#This Row],[Screw diameter (mm)]]," - ",Tableau2[[#This Row],[Thread (mm)]]," - ",Tableau2[[#This Row],[Quality class]]),Table_Metier!$L$7:$CN$59,2,FALSE)</f>
        <v>100350</v>
      </c>
      <c r="G68" s="152">
        <f>HLOOKUP(CONCATENATE("M",Tableau2[[#This Row],[Screw diameter (mm)]]," - ",Tableau2[[#This Row],[Thread (mm)]]," - ",Tableau2[[#This Row],[Quality class]]),Table_Metier!$L$7:$CN$59,3,FALSE)</f>
        <v>60090</v>
      </c>
      <c r="H68" s="11">
        <f>HLOOKUP(CONCATENATE("M",Tableau2[[#This Row],[Screw diameter (mm)]]," - ",Tableau2[[#This Row],[Thread (mm)]]," - ",Tableau2[[#This Row],[Quality class]]),Table_Metier!$L$7:$CN$59,26,FALSE)</f>
        <v>101.37511539216456</v>
      </c>
      <c r="I68" s="99">
        <f>HLOOKUP(Tableau2[[#This Row],[Nominal (CONLO database)]],Table_Metier!$L$58:$CN$59,2,FALSE)</f>
        <v>124.18451635540158</v>
      </c>
      <c r="J68" s="11">
        <f>HLOOKUP(CONCATENATE("M",Tableau2[[#This Row],[Screw diameter (mm)]]," - ",Tableau2[[#This Row],[Thread (mm)]]," - ",Tableau2[[#This Row],[Quality class]]),Table_Metier!$L$7:$CN$59,19,FALSE)</f>
        <v>146.99391731863861</v>
      </c>
      <c r="K68" s="11">
        <f>HLOOKUP(CONCATENATE("M",Tableau2[[#This Row],[Screw diameter (mm)]]," - ",Tableau2[[#This Row],[Thread (mm)]]," - ",Tableau2[[#This Row],[Quality class]]),Table_Metier!$L$7:$CN$59,34,FALSE)</f>
        <v>15192.171561805544</v>
      </c>
      <c r="L68" s="99">
        <f>HLOOKUP(CONCATENATE("M",Tableau2[[#This Row],[Screw diameter (mm)]]," - ",Tableau2[[#This Row],[Thread (mm)]]," - ",Tableau2[[#This Row],[Quality class]]),Table_Metier!$L$7:$CN$59,36,FALSE)</f>
        <v>33400</v>
      </c>
      <c r="M68" s="155">
        <f>HLOOKUP(CONCATENATE("M",Tableau2[[#This Row],[Screw diameter (mm)]]," - ",Tableau2[[#This Row],[Thread (mm)]]," - ",Tableau2[[#This Row],[Quality class]]),Table_Metier!$L$7:$CN$59,28,FALSE)</f>
        <v>58175.957463177088</v>
      </c>
      <c r="N68" s="10">
        <f>HLOOKUP(CONCATENATE("M",Tableau2[[#This Row],[Screw diameter (mm)]]," - ",Tableau2[[#This Row],[Thread (mm)]]," - ",Tableau2[[#This Row],[Quality class]]),Table_Metier!$L$7:$CN$59,5,FALSE)</f>
        <v>0.33283507722969607</v>
      </c>
    </row>
    <row r="69" spans="3:14" x14ac:dyDescent="0.25">
      <c r="C69" s="172">
        <v>16</v>
      </c>
      <c r="D69" s="9">
        <v>2</v>
      </c>
      <c r="E69" s="88">
        <v>6.8</v>
      </c>
      <c r="F69" s="152">
        <f>HLOOKUP(CONCATENATE("M",Tableau2[[#This Row],[Screw diameter (mm)]]," - ",Tableau2[[#This Row],[Thread (mm)]]," - ",Tableau2[[#This Row],[Quality class]]),Table_Metier!$L$7:$CN$59,2,FALSE)</f>
        <v>94000</v>
      </c>
      <c r="G69" s="152">
        <f>HLOOKUP(CONCATENATE("M",Tableau2[[#This Row],[Screw diameter (mm)]]," - ",Tableau2[[#This Row],[Thread (mm)]]," - ",Tableau2[[#This Row],[Quality class]]),Table_Metier!$L$7:$CN$59,3,FALSE)</f>
        <v>56290</v>
      </c>
      <c r="H69" s="11">
        <f>HLOOKUP(CONCATENATE("M",Tableau2[[#This Row],[Screw diameter (mm)]]," - ",Tableau2[[#This Row],[Thread (mm)]]," - ",Tableau2[[#This Row],[Quality class]]),Table_Metier!$L$7:$CN$59,26,FALSE)</f>
        <v>95.005933027020987</v>
      </c>
      <c r="I69" s="99">
        <f>HLOOKUP(Tableau2[[#This Row],[Nominal (CONLO database)]],Table_Metier!$L$58:$CN$59,2,FALSE)</f>
        <v>116.3822679581007</v>
      </c>
      <c r="J69" s="11">
        <f>HLOOKUP(CONCATENATE("M",Tableau2[[#This Row],[Screw diameter (mm)]]," - ",Tableau2[[#This Row],[Thread (mm)]]," - ",Tableau2[[#This Row],[Quality class]]),Table_Metier!$L$7:$CN$59,19,FALSE)</f>
        <v>137.75860288918042</v>
      </c>
      <c r="K69" s="11">
        <f>HLOOKUP(CONCATENATE("M",Tableau2[[#This Row],[Screw diameter (mm)]]," - ",Tableau2[[#This Row],[Thread (mm)]]," - ",Tableau2[[#This Row],[Quality class]]),Table_Metier!$L$7:$CN$59,34,FALSE)</f>
        <v>14061.7361693284</v>
      </c>
      <c r="L69" s="99">
        <f>HLOOKUP(CONCATENATE("M",Tableau2[[#This Row],[Screw diameter (mm)]]," - ",Tableau2[[#This Row],[Thread (mm)]]," - ",Tableau2[[#This Row],[Quality class]]),Table_Metier!$L$7:$CN$59,36,FALSE)</f>
        <v>30700</v>
      </c>
      <c r="M69" s="156">
        <f>HLOOKUP(CONCATENATE("M",Tableau2[[#This Row],[Screw diameter (mm)]]," - ",Tableau2[[#This Row],[Thread (mm)]]," - ",Tableau2[[#This Row],[Quality class]]),Table_Metier!$L$7:$CN$59,28,FALSE)</f>
        <v>53312.298017573747</v>
      </c>
      <c r="N69" s="10">
        <f>HLOOKUP(CONCATENATE("M",Tableau2[[#This Row],[Screw diameter (mm)]]," - ",Tableau2[[#This Row],[Thread (mm)]]," - ",Tableau2[[#This Row],[Quality class]]),Table_Metier!$L$7:$CN$59,5,FALSE)</f>
        <v>0.32659574468085106</v>
      </c>
    </row>
    <row r="70" spans="3:14" x14ac:dyDescent="0.25">
      <c r="C70" s="172">
        <v>16</v>
      </c>
      <c r="D70" s="154">
        <v>1.5</v>
      </c>
      <c r="E70" s="89">
        <v>8.8000000000000007</v>
      </c>
      <c r="F70" s="152">
        <f>HLOOKUP(CONCATENATE("M",Tableau2[[#This Row],[Screw diameter (mm)]]," - ",Tableau2[[#This Row],[Thread (mm)]]," - ",Tableau2[[#This Row],[Quality class]]),Table_Metier!$L$7:$CN$59,2,FALSE)</f>
        <v>133800</v>
      </c>
      <c r="G70" s="152">
        <f>HLOOKUP(CONCATENATE("M",Tableau2[[#This Row],[Screw diameter (mm)]]," - ",Tableau2[[#This Row],[Thread (mm)]]," - ",Tableau2[[#This Row],[Quality class]]),Table_Metier!$L$7:$CN$59,3,FALSE)</f>
        <v>80120</v>
      </c>
      <c r="H70" s="11">
        <f>HLOOKUP(CONCATENATE("M",Tableau2[[#This Row],[Screw diameter (mm)]]," - ",Tableau2[[#This Row],[Thread (mm)]]," - ",Tableau2[[#This Row],[Quality class]]),Table_Metier!$L$7:$CN$59,26,FALSE)</f>
        <v>135.1668205228861</v>
      </c>
      <c r="I70" s="99">
        <f>HLOOKUP(Tableau2[[#This Row],[Nominal (CONLO database)]],Table_Metier!$L$58:$CN$59,2,FALSE)</f>
        <v>165.57935514053545</v>
      </c>
      <c r="J70" s="11">
        <f>HLOOKUP(CONCATENATE("M",Tableau2[[#This Row],[Screw diameter (mm)]]," - ",Tableau2[[#This Row],[Thread (mm)]]," - ",Tableau2[[#This Row],[Quality class]]),Table_Metier!$L$7:$CN$59,19,FALSE)</f>
        <v>195.99188975818481</v>
      </c>
      <c r="K70" s="11">
        <f>HLOOKUP(CONCATENATE("M",Tableau2[[#This Row],[Screw diameter (mm)]]," - ",Tableau2[[#This Row],[Thread (mm)]]," - ",Tableau2[[#This Row],[Quality class]]),Table_Metier!$L$7:$CN$59,34,FALSE)</f>
        <v>20256.22874907406</v>
      </c>
      <c r="L70" s="99">
        <f>HLOOKUP(CONCATENATE("M",Tableau2[[#This Row],[Screw diameter (mm)]]," - ",Tableau2[[#This Row],[Thread (mm)]]," - ",Tableau2[[#This Row],[Quality class]]),Table_Metier!$L$7:$CN$59,36,FALSE)</f>
        <v>44500</v>
      </c>
      <c r="M70" s="155">
        <f>HLOOKUP(CONCATENATE("M",Tableau2[[#This Row],[Screw diameter (mm)]]," - ",Tableau2[[#This Row],[Thread (mm)]]," - ",Tableau2[[#This Row],[Quality class]]),Table_Metier!$L$7:$CN$59,28,FALSE)</f>
        <v>77567.943284236113</v>
      </c>
      <c r="N70" s="10">
        <f>HLOOKUP(CONCATENATE("M",Tableau2[[#This Row],[Screw diameter (mm)]]," - ",Tableau2[[#This Row],[Thread (mm)]]," - ",Tableau2[[#This Row],[Quality class]]),Table_Metier!$L$7:$CN$59,5,FALSE)</f>
        <v>0.33258594917787743</v>
      </c>
    </row>
    <row r="71" spans="3:14" x14ac:dyDescent="0.25">
      <c r="C71" s="172">
        <v>16</v>
      </c>
      <c r="D71" s="9">
        <v>2</v>
      </c>
      <c r="E71" s="89">
        <v>8.8000000000000007</v>
      </c>
      <c r="F71" s="152">
        <f>HLOOKUP(CONCATENATE("M",Tableau2[[#This Row],[Screw diameter (mm)]]," - ",Tableau2[[#This Row],[Thread (mm)]]," - ",Tableau2[[#This Row],[Quality class]]),Table_Metier!$L$7:$CN$59,2,FALSE)</f>
        <v>125330</v>
      </c>
      <c r="G71" s="152">
        <f>HLOOKUP(CONCATENATE("M",Tableau2[[#This Row],[Screw diameter (mm)]]," - ",Tableau2[[#This Row],[Thread (mm)]]," - ",Tableau2[[#This Row],[Quality class]]),Table_Metier!$L$7:$CN$59,3,FALSE)</f>
        <v>75050</v>
      </c>
      <c r="H71" s="11">
        <f>HLOOKUP(CONCATENATE("M",Tableau2[[#This Row],[Screw diameter (mm)]]," - ",Tableau2[[#This Row],[Thread (mm)]]," - ",Tableau2[[#This Row],[Quality class]]),Table_Metier!$L$7:$CN$59,26,FALSE)</f>
        <v>126.67457736936132</v>
      </c>
      <c r="I71" s="99">
        <f>HLOOKUP(Tableau2[[#This Row],[Nominal (CONLO database)]],Table_Metier!$L$58:$CN$59,2,FALSE)</f>
        <v>155.17635727746762</v>
      </c>
      <c r="J71" s="11">
        <f>HLOOKUP(CONCATENATE("M",Tableau2[[#This Row],[Screw diameter (mm)]]," - ",Tableau2[[#This Row],[Thread (mm)]]," - ",Tableau2[[#This Row],[Quality class]]),Table_Metier!$L$7:$CN$59,19,FALSE)</f>
        <v>183.67813718557389</v>
      </c>
      <c r="K71" s="11">
        <f>HLOOKUP(CONCATENATE("M",Tableau2[[#This Row],[Screw diameter (mm)]]," - ",Tableau2[[#This Row],[Thread (mm)]]," - ",Tableau2[[#This Row],[Quality class]]),Table_Metier!$L$7:$CN$59,34,FALSE)</f>
        <v>18748.981559104537</v>
      </c>
      <c r="L71" s="99">
        <f>HLOOKUP(CONCATENATE("M",Tableau2[[#This Row],[Screw diameter (mm)]]," - ",Tableau2[[#This Row],[Thread (mm)]]," - ",Tableau2[[#This Row],[Quality class]]),Table_Metier!$L$7:$CN$59,36,FALSE)</f>
        <v>40900</v>
      </c>
      <c r="M71" s="156">
        <f>HLOOKUP(CONCATENATE("M",Tableau2[[#This Row],[Screw diameter (mm)]]," - ",Tableau2[[#This Row],[Thread (mm)]]," - ",Tableau2[[#This Row],[Quality class]]),Table_Metier!$L$7:$CN$59,28,FALSE)</f>
        <v>71083.064023431667</v>
      </c>
      <c r="N71" s="10">
        <f>HLOOKUP(CONCATENATE("M",Tableau2[[#This Row],[Screw diameter (mm)]]," - ",Tableau2[[#This Row],[Thread (mm)]]," - ",Tableau2[[#This Row],[Quality class]]),Table_Metier!$L$7:$CN$59,5,FALSE)</f>
        <v>0.32633846644857578</v>
      </c>
    </row>
    <row r="72" spans="3:14" x14ac:dyDescent="0.25">
      <c r="C72" s="172">
        <v>16</v>
      </c>
      <c r="D72" s="154">
        <v>1.5</v>
      </c>
      <c r="E72" s="90">
        <v>10.9</v>
      </c>
      <c r="F72" s="152">
        <f>HLOOKUP(CONCATENATE("M",Tableau2[[#This Row],[Screw diameter (mm)]]," - ",Tableau2[[#This Row],[Thread (mm)]]," - ",Tableau2[[#This Row],[Quality class]]),Table_Metier!$L$7:$CN$59,2,FALSE)</f>
        <v>173940</v>
      </c>
      <c r="G72" s="152">
        <f>HLOOKUP(CONCATENATE("M",Tableau2[[#This Row],[Screw diameter (mm)]]," - ",Tableau2[[#This Row],[Thread (mm)]]," - ",Tableau2[[#This Row],[Quality class]]),Table_Metier!$L$7:$CN$59,3,FALSE)</f>
        <v>104160</v>
      </c>
      <c r="H72" s="11">
        <f>HLOOKUP(CONCATENATE("M",Tableau2[[#This Row],[Screw diameter (mm)]]," - ",Tableau2[[#This Row],[Thread (mm)]]," - ",Tableau2[[#This Row],[Quality class]]),Table_Metier!$L$7:$CN$59,26,FALSE)</f>
        <v>198.52626764298896</v>
      </c>
      <c r="I72" s="99">
        <f>HLOOKUP(Tableau2[[#This Row],[Nominal (CONLO database)]],Table_Metier!$L$58:$CN$59,2,FALSE)</f>
        <v>243.19467786266145</v>
      </c>
      <c r="J72" s="11">
        <f>HLOOKUP(CONCATENATE("M",Tableau2[[#This Row],[Screw diameter (mm)]]," - ",Tableau2[[#This Row],[Thread (mm)]]," - ",Tableau2[[#This Row],[Quality class]]),Table_Metier!$L$7:$CN$59,19,FALSE)</f>
        <v>287.86308808233395</v>
      </c>
      <c r="K72" s="11">
        <f>HLOOKUP(CONCATENATE("M",Tableau2[[#This Row],[Screw diameter (mm)]]," - ",Tableau2[[#This Row],[Thread (mm)]]," - ",Tableau2[[#This Row],[Quality class]]),Table_Metier!$L$7:$CN$59,34,FALSE)</f>
        <v>29751.335975202528</v>
      </c>
      <c r="L72" s="99">
        <f>HLOOKUP(CONCATENATE("M",Tableau2[[#This Row],[Screw diameter (mm)]]," - ",Tableau2[[#This Row],[Thread (mm)]]," - ",Tableau2[[#This Row],[Quality class]]),Table_Metier!$L$7:$CN$59,36,FALSE)</f>
        <v>65400</v>
      </c>
      <c r="M72" s="155">
        <f>HLOOKUP(CONCATENATE("M",Tableau2[[#This Row],[Screw diameter (mm)]]," - ",Tableau2[[#This Row],[Thread (mm)]]," - ",Tableau2[[#This Row],[Quality class]]),Table_Metier!$L$7:$CN$59,28,FALSE)</f>
        <v>113927.91669872179</v>
      </c>
      <c r="N72" s="10">
        <f>HLOOKUP(CONCATENATE("M",Tableau2[[#This Row],[Screw diameter (mm)]]," - ",Tableau2[[#This Row],[Thread (mm)]]," - ",Tableau2[[#This Row],[Quality class]]),Table_Metier!$L$7:$CN$59,5,FALSE)</f>
        <v>0.37599172128320113</v>
      </c>
    </row>
    <row r="73" spans="3:14" x14ac:dyDescent="0.25">
      <c r="C73" s="172">
        <v>16</v>
      </c>
      <c r="D73" s="9">
        <v>2</v>
      </c>
      <c r="E73" s="90">
        <v>10.9</v>
      </c>
      <c r="F73" s="152">
        <f>HLOOKUP(CONCATENATE("M",Tableau2[[#This Row],[Screw diameter (mm)]]," - ",Tableau2[[#This Row],[Thread (mm)]]," - ",Tableau2[[#This Row],[Quality class]]),Table_Metier!$L$7:$CN$59,2,FALSE)</f>
        <v>162930</v>
      </c>
      <c r="G73" s="152">
        <f>HLOOKUP(CONCATENATE("M",Tableau2[[#This Row],[Screw diameter (mm)]]," - ",Tableau2[[#This Row],[Thread (mm)]]," - ",Tableau2[[#This Row],[Quality class]]),Table_Metier!$L$7:$CN$59,3,FALSE)</f>
        <v>97560</v>
      </c>
      <c r="H73" s="11">
        <f>HLOOKUP(CONCATENATE("M",Tableau2[[#This Row],[Screw diameter (mm)]]," - ",Tableau2[[#This Row],[Thread (mm)]]," - ",Tableau2[[#This Row],[Quality class]]),Table_Metier!$L$7:$CN$59,26,FALSE)</f>
        <v>186.05328551124944</v>
      </c>
      <c r="I73" s="99">
        <f>HLOOKUP(Tableau2[[#This Row],[Nominal (CONLO database)]],Table_Metier!$L$58:$CN$59,2,FALSE)</f>
        <v>227.91527475128055</v>
      </c>
      <c r="J73" s="11">
        <f>HLOOKUP(CONCATENATE("M",Tableau2[[#This Row],[Screw diameter (mm)]]," - ",Tableau2[[#This Row],[Thread (mm)]]," - ",Tableau2[[#This Row],[Quality class]]),Table_Metier!$L$7:$CN$59,19,FALSE)</f>
        <v>269.77726399131166</v>
      </c>
      <c r="K73" s="11">
        <f>HLOOKUP(CONCATENATE("M",Tableau2[[#This Row],[Screw diameter (mm)]]," - ",Tableau2[[#This Row],[Thread (mm)]]," - ",Tableau2[[#This Row],[Quality class]]),Table_Metier!$L$7:$CN$59,34,FALSE)</f>
        <v>27537.566664934788</v>
      </c>
      <c r="L73" s="99">
        <f>HLOOKUP(CONCATENATE("M",Tableau2[[#This Row],[Screw diameter (mm)]]," - ",Tableau2[[#This Row],[Thread (mm)]]," - ",Tableau2[[#This Row],[Quality class]]),Table_Metier!$L$7:$CN$59,36,FALSE)</f>
        <v>60100</v>
      </c>
      <c r="M73" s="156">
        <f>HLOOKUP(CONCATENATE("M",Tableau2[[#This Row],[Screw diameter (mm)]]," - ",Tableau2[[#This Row],[Thread (mm)]]," - ",Tableau2[[#This Row],[Quality class]]),Table_Metier!$L$7:$CN$59,28,FALSE)</f>
        <v>104403.25028441525</v>
      </c>
      <c r="N73" s="10">
        <f>HLOOKUP(CONCATENATE("M",Tableau2[[#This Row],[Screw diameter (mm)]]," - ",Tableau2[[#This Row],[Thread (mm)]]," - ",Tableau2[[#This Row],[Quality class]]),Table_Metier!$L$7:$CN$59,5,FALSE)</f>
        <v>0.36887006689989565</v>
      </c>
    </row>
    <row r="74" spans="3:14" x14ac:dyDescent="0.25">
      <c r="C74" s="173">
        <v>18</v>
      </c>
      <c r="D74" s="154">
        <v>1.5</v>
      </c>
      <c r="E74" s="88">
        <v>6.8</v>
      </c>
      <c r="F74" s="152">
        <f>HLOOKUP(CONCATENATE("M",Tableau2[[#This Row],[Screw diameter (mm)]]," - ",Tableau2[[#This Row],[Thread (mm)]]," - ",Tableau2[[#This Row],[Quality class]]),Table_Metier!$L$7:$CN$59,2,FALSE)</f>
        <v>129740</v>
      </c>
      <c r="G74" s="152">
        <f>HLOOKUP(CONCATENATE("M",Tableau2[[#This Row],[Screw diameter (mm)]]," - ",Tableau2[[#This Row],[Thread (mm)]]," - ",Tableau2[[#This Row],[Quality class]]),Table_Metier!$L$7:$CN$59,3,FALSE)</f>
        <v>77690</v>
      </c>
      <c r="H74" s="11">
        <f>HLOOKUP(CONCATENATE("M",Tableau2[[#This Row],[Screw diameter (mm)]]," - ",Tableau2[[#This Row],[Thread (mm)]]," - ",Tableau2[[#This Row],[Quality class]]),Table_Metier!$L$7:$CN$59,26,FALSE)</f>
        <v>147.7406802331225</v>
      </c>
      <c r="I74" s="99">
        <f>HLOOKUP(Tableau2[[#This Row],[Nominal (CONLO database)]],Table_Metier!$L$58:$CN$59,2,FALSE)</f>
        <v>180.98233328557507</v>
      </c>
      <c r="J74" s="11">
        <f>HLOOKUP(CONCATENATE("M",Tableau2[[#This Row],[Screw diameter (mm)]]," - ",Tableau2[[#This Row],[Thread (mm)]]," - ",Tableau2[[#This Row],[Quality class]]),Table_Metier!$L$7:$CN$59,19,FALSE)</f>
        <v>214.22398633802763</v>
      </c>
      <c r="K74" s="11">
        <f>HLOOKUP(CONCATENATE("M",Tableau2[[#This Row],[Screw diameter (mm)]]," - ",Tableau2[[#This Row],[Thread (mm)]]," - ",Tableau2[[#This Row],[Quality class]]),Table_Metier!$L$7:$CN$59,34,FALSE)</f>
        <v>19708.118188711527</v>
      </c>
      <c r="L74" s="99">
        <f>HLOOKUP(CONCATENATE("M",Tableau2[[#This Row],[Screw diameter (mm)]]," - ",Tableau2[[#This Row],[Thread (mm)]]," - ",Tableau2[[#This Row],[Quality class]]),Table_Metier!$L$7:$CN$59,36,FALSE)</f>
        <v>43400</v>
      </c>
      <c r="M74" s="155">
        <f>HLOOKUP(CONCATENATE("M",Tableau2[[#This Row],[Screw diameter (mm)]]," - ",Tableau2[[#This Row],[Thread (mm)]]," - ",Tableau2[[#This Row],[Quality class]]),Table_Metier!$L$7:$CN$59,28,FALSE)</f>
        <v>75732.475711729028</v>
      </c>
      <c r="N74" s="10">
        <f>HLOOKUP(CONCATENATE("M",Tableau2[[#This Row],[Screw diameter (mm)]]," - ",Tableau2[[#This Row],[Thread (mm)]]," - ",Tableau2[[#This Row],[Quality class]]),Table_Metier!$L$7:$CN$59,5,FALSE)</f>
        <v>0.33451518421458304</v>
      </c>
    </row>
    <row r="75" spans="3:14" x14ac:dyDescent="0.25">
      <c r="C75" s="173">
        <v>18</v>
      </c>
      <c r="D75" s="9">
        <v>2.5</v>
      </c>
      <c r="E75" s="88">
        <v>6.8</v>
      </c>
      <c r="F75" s="152">
        <f>HLOOKUP(CONCATENATE("M",Tableau2[[#This Row],[Screw diameter (mm)]]," - ",Tableau2[[#This Row],[Thread (mm)]]," - ",Tableau2[[#This Row],[Quality class]]),Table_Metier!$L$7:$CN$59,2,FALSE)</f>
        <v>115480</v>
      </c>
      <c r="G75" s="152">
        <f>HLOOKUP(CONCATENATE("M",Tableau2[[#This Row],[Screw diameter (mm)]]," - ",Tableau2[[#This Row],[Thread (mm)]]," - ",Tableau2[[#This Row],[Quality class]]),Table_Metier!$L$7:$CN$59,3,FALSE)</f>
        <v>69150</v>
      </c>
      <c r="H75" s="11">
        <f>HLOOKUP(CONCATENATE("M",Tableau2[[#This Row],[Screw diameter (mm)]]," - ",Tableau2[[#This Row],[Thread (mm)]]," - ",Tableau2[[#This Row],[Quality class]]),Table_Metier!$L$7:$CN$59,26,FALSE)</f>
        <v>131.56247855950767</v>
      </c>
      <c r="I75" s="99">
        <f>HLOOKUP(Tableau2[[#This Row],[Nominal (CONLO database)]],Table_Metier!$L$58:$CN$59,2,FALSE)</f>
        <v>161.16403623539688</v>
      </c>
      <c r="J75" s="11">
        <f>HLOOKUP(CONCATENATE("M",Tableau2[[#This Row],[Screw diameter (mm)]]," - ",Tableau2[[#This Row],[Thread (mm)]]," - ",Tableau2[[#This Row],[Quality class]]),Table_Metier!$L$7:$CN$59,19,FALSE)</f>
        <v>190.76559391128609</v>
      </c>
      <c r="K75" s="11">
        <f>HLOOKUP(CONCATENATE("M",Tableau2[[#This Row],[Screw diameter (mm)]]," - ",Tableau2[[#This Row],[Thread (mm)]]," - ",Tableau2[[#This Row],[Quality class]]),Table_Metier!$L$7:$CN$59,34,FALSE)</f>
        <v>17167.588479524547</v>
      </c>
      <c r="L75" s="99">
        <f>HLOOKUP(CONCATENATE("M",Tableau2[[#This Row],[Screw diameter (mm)]]," - ",Tableau2[[#This Row],[Thread (mm)]]," - ",Tableau2[[#This Row],[Quality class]]),Table_Metier!$L$7:$CN$59,36,FALSE)</f>
        <v>37400</v>
      </c>
      <c r="M75" s="156">
        <f>HLOOKUP(CONCATENATE("M",Tableau2[[#This Row],[Screw diameter (mm)]]," - ",Tableau2[[#This Row],[Thread (mm)]]," - ",Tableau2[[#This Row],[Quality class]]),Table_Metier!$L$7:$CN$59,28,FALSE)</f>
        <v>64814.501835963812</v>
      </c>
      <c r="N75" s="10">
        <f>HLOOKUP(CONCATENATE("M",Tableau2[[#This Row],[Screw diameter (mm)]]," - ",Tableau2[[#This Row],[Thread (mm)]]," - ",Tableau2[[#This Row],[Quality class]]),Table_Metier!$L$7:$CN$59,5,FALSE)</f>
        <v>0.32386560443366819</v>
      </c>
    </row>
    <row r="76" spans="3:14" x14ac:dyDescent="0.25">
      <c r="C76" s="173">
        <v>18</v>
      </c>
      <c r="D76" s="154">
        <v>1.5</v>
      </c>
      <c r="E76" s="89">
        <v>8.8000000000000007</v>
      </c>
      <c r="F76" s="152">
        <f>HLOOKUP(CONCATENATE("M",Tableau2[[#This Row],[Screw diameter (mm)]]," - ",Tableau2[[#This Row],[Thread (mm)]]," - ",Tableau2[[#This Row],[Quality class]]),Table_Metier!$L$7:$CN$59,2,FALSE)</f>
        <v>172990</v>
      </c>
      <c r="G76" s="152">
        <f>HLOOKUP(CONCATENATE("M",Tableau2[[#This Row],[Screw diameter (mm)]]," - ",Tableau2[[#This Row],[Thread (mm)]]," - ",Tableau2[[#This Row],[Quality class]]),Table_Metier!$L$7:$CN$59,3,FALSE)</f>
        <v>103590</v>
      </c>
      <c r="H76" s="11">
        <f>HLOOKUP(CONCATENATE("M",Tableau2[[#This Row],[Screw diameter (mm)]]," - ",Tableau2[[#This Row],[Thread (mm)]]," - ",Tableau2[[#This Row],[Quality class]]),Table_Metier!$L$7:$CN$59,26,FALSE)</f>
        <v>196.98757364416335</v>
      </c>
      <c r="I76" s="99">
        <f>HLOOKUP(Tableau2[[#This Row],[Nominal (CONLO database)]],Table_Metier!$L$58:$CN$59,2,FALSE)</f>
        <v>241.30977771410011</v>
      </c>
      <c r="J76" s="11">
        <f>HLOOKUP(CONCATENATE("M",Tableau2[[#This Row],[Screw diameter (mm)]]," - ",Tableau2[[#This Row],[Thread (mm)]]," - ",Tableau2[[#This Row],[Quality class]]),Table_Metier!$L$7:$CN$59,19,FALSE)</f>
        <v>285.63198178403684</v>
      </c>
      <c r="K76" s="11">
        <f>HLOOKUP(CONCATENATE("M",Tableau2[[#This Row],[Screw diameter (mm)]]," - ",Tableau2[[#This Row],[Thread (mm)]]," - ",Tableau2[[#This Row],[Quality class]]),Table_Metier!$L$7:$CN$59,34,FALSE)</f>
        <v>26277.490918282048</v>
      </c>
      <c r="L76" s="99">
        <f>HLOOKUP(CONCATENATE("M",Tableau2[[#This Row],[Screw diameter (mm)]]," - ",Tableau2[[#This Row],[Thread (mm)]]," - ",Tableau2[[#This Row],[Quality class]]),Table_Metier!$L$7:$CN$59,36,FALSE)</f>
        <v>57800</v>
      </c>
      <c r="M76" s="155">
        <f>HLOOKUP(CONCATENATE("M",Tableau2[[#This Row],[Screw diameter (mm)]]," - ",Tableau2[[#This Row],[Thread (mm)]]," - ",Tableau2[[#This Row],[Quality class]]),Table_Metier!$L$7:$CN$59,28,FALSE)</f>
        <v>100976.63428230536</v>
      </c>
      <c r="N76" s="10">
        <f>HLOOKUP(CONCATENATE("M",Tableau2[[#This Row],[Screw diameter (mm)]]," - ",Tableau2[[#This Row],[Thread (mm)]]," - ",Tableau2[[#This Row],[Quality class]]),Table_Metier!$L$7:$CN$59,5,FALSE)</f>
        <v>0.33412335973177643</v>
      </c>
    </row>
    <row r="77" spans="3:14" x14ac:dyDescent="0.25">
      <c r="C77" s="173">
        <v>18</v>
      </c>
      <c r="D77" s="9">
        <v>2.5</v>
      </c>
      <c r="E77" s="89">
        <v>8.8000000000000007</v>
      </c>
      <c r="F77" s="152">
        <f>HLOOKUP(CONCATENATE("M",Tableau2[[#This Row],[Screw diameter (mm)]]," - ",Tableau2[[#This Row],[Thread (mm)]]," - ",Tableau2[[#This Row],[Quality class]]),Table_Metier!$L$7:$CN$59,2,FALSE)</f>
        <v>153980</v>
      </c>
      <c r="G77" s="152">
        <f>HLOOKUP(CONCATENATE("M",Tableau2[[#This Row],[Screw diameter (mm)]]," - ",Tableau2[[#This Row],[Thread (mm)]]," - ",Tableau2[[#This Row],[Quality class]]),Table_Metier!$L$7:$CN$59,3,FALSE)</f>
        <v>92200</v>
      </c>
      <c r="H77" s="11">
        <f>HLOOKUP(CONCATENATE("M",Tableau2[[#This Row],[Screw diameter (mm)]]," - ",Tableau2[[#This Row],[Thread (mm)]]," - ",Tableau2[[#This Row],[Quality class]]),Table_Metier!$L$7:$CN$59,26,FALSE)</f>
        <v>175.41663807934353</v>
      </c>
      <c r="I77" s="99">
        <f>HLOOKUP(Tableau2[[#This Row],[Nominal (CONLO database)]],Table_Metier!$L$58:$CN$59,2,FALSE)</f>
        <v>214.8853816471958</v>
      </c>
      <c r="J77" s="11">
        <f>HLOOKUP(CONCATENATE("M",Tableau2[[#This Row],[Screw diameter (mm)]]," - ",Tableau2[[#This Row],[Thread (mm)]]," - ",Tableau2[[#This Row],[Quality class]]),Table_Metier!$L$7:$CN$59,19,FALSE)</f>
        <v>254.3541252150481</v>
      </c>
      <c r="K77" s="11">
        <f>HLOOKUP(CONCATENATE("M",Tableau2[[#This Row],[Screw diameter (mm)]]," - ",Tableau2[[#This Row],[Thread (mm)]]," - ",Tableau2[[#This Row],[Quality class]]),Table_Metier!$L$7:$CN$59,34,FALSE)</f>
        <v>22890.117972699394</v>
      </c>
      <c r="L77" s="99">
        <f>HLOOKUP(CONCATENATE("M",Tableau2[[#This Row],[Screw diameter (mm)]]," - ",Tableau2[[#This Row],[Thread (mm)]]," - ",Tableau2[[#This Row],[Quality class]]),Table_Metier!$L$7:$CN$59,36,FALSE)</f>
        <v>49900</v>
      </c>
      <c r="M77" s="156">
        <f>HLOOKUP(CONCATENATE("M",Tableau2[[#This Row],[Screw diameter (mm)]]," - ",Tableau2[[#This Row],[Thread (mm)]]," - ",Tableau2[[#This Row],[Quality class]]),Table_Metier!$L$7:$CN$59,28,FALSE)</f>
        <v>86419.335781285074</v>
      </c>
      <c r="N77" s="10">
        <f>HLOOKUP(CONCATENATE("M",Tableau2[[#This Row],[Screw diameter (mm)]]," - ",Tableau2[[#This Row],[Thread (mm)]]," - ",Tableau2[[#This Row],[Quality class]]),Table_Metier!$L$7:$CN$59,5,FALSE)</f>
        <v>0.3240680607871152</v>
      </c>
    </row>
    <row r="78" spans="3:14" x14ac:dyDescent="0.25">
      <c r="C78" s="173">
        <v>18</v>
      </c>
      <c r="D78" s="154">
        <v>1.5</v>
      </c>
      <c r="E78" s="90">
        <v>10.9</v>
      </c>
      <c r="F78" s="152">
        <f>HLOOKUP(CONCATENATE("M",Tableau2[[#This Row],[Screw diameter (mm)]]," - ",Tableau2[[#This Row],[Thread (mm)]]," - ",Tableau2[[#This Row],[Quality class]]),Table_Metier!$L$7:$CN$59,2,FALSE)</f>
        <v>224880</v>
      </c>
      <c r="G78" s="152">
        <f>HLOOKUP(CONCATENATE("M",Tableau2[[#This Row],[Screw diameter (mm)]]," - ",Tableau2[[#This Row],[Thread (mm)]]," - ",Tableau2[[#This Row],[Quality class]]),Table_Metier!$L$7:$CN$59,3,FALSE)</f>
        <v>134660</v>
      </c>
      <c r="H78" s="11">
        <f>HLOOKUP(CONCATENATE("M",Tableau2[[#This Row],[Screw diameter (mm)]]," - ",Tableau2[[#This Row],[Thread (mm)]]," - ",Tableau2[[#This Row],[Quality class]]),Table_Metier!$L$7:$CN$59,26,FALSE)</f>
        <v>289.32549878986492</v>
      </c>
      <c r="I78" s="99">
        <f>HLOOKUP(Tableau2[[#This Row],[Nominal (CONLO database)]],Table_Metier!$L$58:$CN$59,2,FALSE)</f>
        <v>354.42373601758447</v>
      </c>
      <c r="J78" s="11">
        <f>HLOOKUP(CONCATENATE("M",Tableau2[[#This Row],[Screw diameter (mm)]]," - ",Tableau2[[#This Row],[Thread (mm)]]," - ",Tableau2[[#This Row],[Quality class]]),Table_Metier!$L$7:$CN$59,19,FALSE)</f>
        <v>419.52197324530408</v>
      </c>
      <c r="K78" s="11">
        <f>HLOOKUP(CONCATENATE("M",Tableau2[[#This Row],[Screw diameter (mm)]]," - ",Tableau2[[#This Row],[Thread (mm)]]," - ",Tableau2[[#This Row],[Quality class]]),Table_Metier!$L$7:$CN$59,34,FALSE)</f>
        <v>38595.064786226751</v>
      </c>
      <c r="L78" s="99">
        <f>HLOOKUP(CONCATENATE("M",Tableau2[[#This Row],[Screw diameter (mm)]]," - ",Tableau2[[#This Row],[Thread (mm)]]," - ",Tableau2[[#This Row],[Quality class]]),Table_Metier!$L$7:$CN$59,36,FALSE)</f>
        <v>85000</v>
      </c>
      <c r="M78" s="155">
        <f>HLOOKUP(CONCATENATE("M",Tableau2[[#This Row],[Screw diameter (mm)]]," - ",Tableau2[[#This Row],[Thread (mm)]]," - ",Tableau2[[#This Row],[Quality class]]),Table_Metier!$L$7:$CN$59,28,FALSE)</f>
        <v>148309.431602136</v>
      </c>
      <c r="N78" s="10">
        <f>HLOOKUP(CONCATENATE("M",Tableau2[[#This Row],[Screw diameter (mm)]]," - ",Tableau2[[#This Row],[Thread (mm)]]," - ",Tableau2[[#This Row],[Quality class]]),Table_Metier!$L$7:$CN$59,5,FALSE)</f>
        <v>0.37797936677339028</v>
      </c>
    </row>
    <row r="79" spans="3:14" x14ac:dyDescent="0.25">
      <c r="C79" s="173">
        <v>18</v>
      </c>
      <c r="D79" s="9">
        <v>2.5</v>
      </c>
      <c r="E79" s="90">
        <v>10.9</v>
      </c>
      <c r="F79" s="152">
        <f>HLOOKUP(CONCATENATE("M",Tableau2[[#This Row],[Screw diameter (mm)]]," - ",Tableau2[[#This Row],[Thread (mm)]]," - ",Tableau2[[#This Row],[Quality class]]),Table_Metier!$L$7:$CN$59,2,FALSE)</f>
        <v>200170</v>
      </c>
      <c r="G79" s="152">
        <f>HLOOKUP(CONCATENATE("M",Tableau2[[#This Row],[Screw diameter (mm)]]," - ",Tableau2[[#This Row],[Thread (mm)]]," - ",Tableau2[[#This Row],[Quality class]]),Table_Metier!$L$7:$CN$59,3,FALSE)</f>
        <v>119860</v>
      </c>
      <c r="H79" s="11">
        <f>HLOOKUP(CONCATENATE("M",Tableau2[[#This Row],[Screw diameter (mm)]]," - ",Tableau2[[#This Row],[Thread (mm)]]," - ",Tableau2[[#This Row],[Quality class]]),Table_Metier!$L$7:$CN$59,26,FALSE)</f>
        <v>257.64318717903581</v>
      </c>
      <c r="I79" s="99">
        <f>HLOOKUP(Tableau2[[#This Row],[Nominal (CONLO database)]],Table_Metier!$L$58:$CN$59,2,FALSE)</f>
        <v>315.61290429431881</v>
      </c>
      <c r="J79" s="11">
        <f>HLOOKUP(CONCATENATE("M",Tableau2[[#This Row],[Screw diameter (mm)]]," - ",Tableau2[[#This Row],[Thread (mm)]]," - ",Tableau2[[#This Row],[Quality class]]),Table_Metier!$L$7:$CN$59,19,FALSE)</f>
        <v>373.58262140960187</v>
      </c>
      <c r="K79" s="11">
        <f>HLOOKUP(CONCATENATE("M",Tableau2[[#This Row],[Screw diameter (mm)]]," - ",Tableau2[[#This Row],[Thread (mm)]]," - ",Tableau2[[#This Row],[Quality class]]),Table_Metier!$L$7:$CN$59,34,FALSE)</f>
        <v>33619.860772402237</v>
      </c>
      <c r="L79" s="99">
        <f>HLOOKUP(CONCATENATE("M",Tableau2[[#This Row],[Screw diameter (mm)]]," - ",Tableau2[[#This Row],[Thread (mm)]]," - ",Tableau2[[#This Row],[Quality class]]),Table_Metier!$L$7:$CN$59,36,FALSE)</f>
        <v>73200</v>
      </c>
      <c r="M79" s="156">
        <f>HLOOKUP(CONCATENATE("M",Tableau2[[#This Row],[Screw diameter (mm)]]," - ",Tableau2[[#This Row],[Thread (mm)]]," - ",Tableau2[[#This Row],[Quality class]]),Table_Metier!$L$7:$CN$59,28,FALSE)</f>
        <v>126928.39942876245</v>
      </c>
      <c r="N79" s="10">
        <f>HLOOKUP(CONCATENATE("M",Tableau2[[#This Row],[Screw diameter (mm)]]," - ",Tableau2[[#This Row],[Thread (mm)]]," - ",Tableau2[[#This Row],[Quality class]]),Table_Metier!$L$7:$CN$59,5,FALSE)</f>
        <v>0.36568916421042114</v>
      </c>
    </row>
    <row r="80" spans="3:14" x14ac:dyDescent="0.25">
      <c r="C80" s="174">
        <v>20</v>
      </c>
      <c r="D80" s="154">
        <v>1.5</v>
      </c>
      <c r="E80" s="88">
        <v>6.8</v>
      </c>
      <c r="F80" s="152">
        <f>HLOOKUP(CONCATENATE("M",Tableau2[[#This Row],[Screw diameter (mm)]]," - ",Tableau2[[#This Row],[Thread (mm)]]," - ",Tableau2[[#This Row],[Quality class]]),Table_Metier!$L$7:$CN$59,2,FALSE)</f>
        <v>162900</v>
      </c>
      <c r="G80" s="152">
        <f>HLOOKUP(CONCATENATE("M",Tableau2[[#This Row],[Screw diameter (mm)]]," - ",Tableau2[[#This Row],[Thread (mm)]]," - ",Tableau2[[#This Row],[Quality class]]),Table_Metier!$L$7:$CN$59,3,FALSE)</f>
        <v>97540</v>
      </c>
      <c r="H80" s="11">
        <f>HLOOKUP(CONCATENATE("M",Tableau2[[#This Row],[Screw diameter (mm)]]," - ",Tableau2[[#This Row],[Thread (mm)]]," - ",Tableau2[[#This Row],[Quality class]]),Table_Metier!$L$7:$CN$59,26,FALSE)</f>
        <v>205.51107608922916</v>
      </c>
      <c r="I80" s="99">
        <f>HLOOKUP(Tableau2[[#This Row],[Nominal (CONLO database)]],Table_Metier!$L$58:$CN$59,2,FALSE)</f>
        <v>251.75106820930571</v>
      </c>
      <c r="J80" s="11">
        <f>HLOOKUP(CONCATENATE("M",Tableau2[[#This Row],[Screw diameter (mm)]]," - ",Tableau2[[#This Row],[Thread (mm)]]," - ",Tableau2[[#This Row],[Quality class]]),Table_Metier!$L$7:$CN$59,19,FALSE)</f>
        <v>297.99106032938226</v>
      </c>
      <c r="K80" s="11">
        <f>HLOOKUP(CONCATENATE("M",Tableau2[[#This Row],[Screw diameter (mm)]]," - ",Tableau2[[#This Row],[Thread (mm)]]," - ",Tableau2[[#This Row],[Quality class]]),Table_Metier!$L$7:$CN$59,34,FALSE)</f>
        <v>24810.645704486975</v>
      </c>
      <c r="L80" s="99">
        <f>HLOOKUP(CONCATENATE("M",Tableau2[[#This Row],[Screw diameter (mm)]]," - ",Tableau2[[#This Row],[Thread (mm)]]," - ",Tableau2[[#This Row],[Quality class]]),Table_Metier!$L$7:$CN$59,36,FALSE)</f>
        <v>54700</v>
      </c>
      <c r="M80" s="155">
        <f>HLOOKUP(CONCATENATE("M",Tableau2[[#This Row],[Screw diameter (mm)]]," - ",Tableau2[[#This Row],[Thread (mm)]]," - ",Tableau2[[#This Row],[Quality class]]),Table_Metier!$L$7:$CN$59,28,FALSE)</f>
        <v>95596.774569881178</v>
      </c>
      <c r="N80" s="10">
        <f>HLOOKUP(CONCATENATE("M",Tableau2[[#This Row],[Screw diameter (mm)]]," - ",Tableau2[[#This Row],[Thread (mm)]]," - ",Tableau2[[#This Row],[Quality class]]),Table_Metier!$L$7:$CN$59,5,FALSE)</f>
        <v>0.33578882750153466</v>
      </c>
    </row>
    <row r="81" spans="3:14" x14ac:dyDescent="0.25">
      <c r="C81" s="174">
        <v>20</v>
      </c>
      <c r="D81" s="9">
        <v>2.5</v>
      </c>
      <c r="E81" s="88">
        <v>6.8</v>
      </c>
      <c r="F81" s="152">
        <f>HLOOKUP(CONCATENATE("M",Tableau2[[#This Row],[Screw diameter (mm)]]," - ",Tableau2[[#This Row],[Thread (mm)]]," - ",Tableau2[[#This Row],[Quality class]]),Table_Metier!$L$7:$CN$59,2,FALSE)</f>
        <v>146880</v>
      </c>
      <c r="G81" s="152">
        <f>HLOOKUP(CONCATENATE("M",Tableau2[[#This Row],[Screw diameter (mm)]]," - ",Tableau2[[#This Row],[Thread (mm)]]," - ",Tableau2[[#This Row],[Quality class]]),Table_Metier!$L$7:$CN$59,3,FALSE)</f>
        <v>87950</v>
      </c>
      <c r="H81" s="11">
        <f>HLOOKUP(CONCATENATE("M",Tableau2[[#This Row],[Screw diameter (mm)]]," - ",Tableau2[[#This Row],[Thread (mm)]]," - ",Tableau2[[#This Row],[Quality class]]),Table_Metier!$L$7:$CN$59,26,FALSE)</f>
        <v>185.6582078943681</v>
      </c>
      <c r="I81" s="99">
        <f>HLOOKUP(Tableau2[[#This Row],[Nominal (CONLO database)]],Table_Metier!$L$58:$CN$59,2,FALSE)</f>
        <v>227.43130467060092</v>
      </c>
      <c r="J81" s="11">
        <f>HLOOKUP(CONCATENATE("M",Tableau2[[#This Row],[Screw diameter (mm)]]," - ",Tableau2[[#This Row],[Thread (mm)]]," - ",Tableau2[[#This Row],[Quality class]]),Table_Metier!$L$7:$CN$59,19,FALSE)</f>
        <v>269.20440144683374</v>
      </c>
      <c r="K81" s="11">
        <f>HLOOKUP(CONCATENATE("M",Tableau2[[#This Row],[Screw diameter (mm)]]," - ",Tableau2[[#This Row],[Thread (mm)]]," - ",Tableau2[[#This Row],[Quality class]]),Table_Metier!$L$7:$CN$59,34,FALSE)</f>
        <v>21970.954521812575</v>
      </c>
      <c r="L81" s="99">
        <f>HLOOKUP(CONCATENATE("M",Tableau2[[#This Row],[Screw diameter (mm)]]," - ",Tableau2[[#This Row],[Thread (mm)]]," - ",Tableau2[[#This Row],[Quality class]]),Table_Metier!$L$7:$CN$59,36,FALSE)</f>
        <v>48000</v>
      </c>
      <c r="M81" s="156">
        <f>HLOOKUP(CONCATENATE("M",Tableau2[[#This Row],[Screw diameter (mm)]]," - ",Tableau2[[#This Row],[Thread (mm)]]," - ",Tableau2[[#This Row],[Quality class]]),Table_Metier!$L$7:$CN$59,28,FALSE)</f>
        <v>83300.465652458952</v>
      </c>
      <c r="N81" s="10">
        <f>HLOOKUP(CONCATENATE("M",Tableau2[[#This Row],[Screw diameter (mm)]]," - ",Tableau2[[#This Row],[Thread (mm)]]," - ",Tableau2[[#This Row],[Quality class]]),Table_Metier!$L$7:$CN$59,5,FALSE)</f>
        <v>0.32679738562091504</v>
      </c>
    </row>
    <row r="82" spans="3:14" x14ac:dyDescent="0.25">
      <c r="C82" s="174">
        <v>20</v>
      </c>
      <c r="D82" s="154">
        <v>1.5</v>
      </c>
      <c r="E82" s="89">
        <v>8.8000000000000007</v>
      </c>
      <c r="F82" s="152">
        <f>HLOOKUP(CONCATENATE("M",Tableau2[[#This Row],[Screw diameter (mm)]]," - ",Tableau2[[#This Row],[Thread (mm)]]," - ",Tableau2[[#This Row],[Quality class]]),Table_Metier!$L$7:$CN$59,2,FALSE)</f>
        <v>217200</v>
      </c>
      <c r="G82" s="152">
        <f>HLOOKUP(CONCATENATE("M",Tableau2[[#This Row],[Screw diameter (mm)]]," - ",Tableau2[[#This Row],[Thread (mm)]]," - ",Tableau2[[#This Row],[Quality class]]),Table_Metier!$L$7:$CN$59,3,FALSE)</f>
        <v>130060</v>
      </c>
      <c r="H82" s="11">
        <f>HLOOKUP(CONCATENATE("M",Tableau2[[#This Row],[Screw diameter (mm)]]," - ",Tableau2[[#This Row],[Thread (mm)]]," - ",Tableau2[[#This Row],[Quality class]]),Table_Metier!$L$7:$CN$59,26,FALSE)</f>
        <v>274.0147681189722</v>
      </c>
      <c r="I82" s="99">
        <f>HLOOKUP(Tableau2[[#This Row],[Nominal (CONLO database)]],Table_Metier!$L$58:$CN$59,2,FALSE)</f>
        <v>335.66809094574091</v>
      </c>
      <c r="J82" s="11">
        <f>HLOOKUP(CONCATENATE("M",Tableau2[[#This Row],[Screw diameter (mm)]]," - ",Tableau2[[#This Row],[Thread (mm)]]," - ",Tableau2[[#This Row],[Quality class]]),Table_Metier!$L$7:$CN$59,19,FALSE)</f>
        <v>397.32141377250969</v>
      </c>
      <c r="K82" s="11">
        <f>HLOOKUP(CONCATENATE("M",Tableau2[[#This Row],[Screw diameter (mm)]]," - ",Tableau2[[#This Row],[Thread (mm)]]," - ",Tableau2[[#This Row],[Quality class]]),Table_Metier!$L$7:$CN$59,34,FALSE)</f>
        <v>33080.860939315964</v>
      </c>
      <c r="L82" s="99">
        <f>HLOOKUP(CONCATENATE("M",Tableau2[[#This Row],[Screw diameter (mm)]]," - ",Tableau2[[#This Row],[Thread (mm)]]," - ",Tableau2[[#This Row],[Quality class]]),Table_Metier!$L$7:$CN$59,36,FALSE)</f>
        <v>72900</v>
      </c>
      <c r="M82" s="155">
        <f>HLOOKUP(CONCATENATE("M",Tableau2[[#This Row],[Screw diameter (mm)]]," - ",Tableau2[[#This Row],[Thread (mm)]]," - ",Tableau2[[#This Row],[Quality class]]),Table_Metier!$L$7:$CN$59,28,FALSE)</f>
        <v>127462.36609317489</v>
      </c>
      <c r="N82" s="10">
        <f>HLOOKUP(CONCATENATE("M",Tableau2[[#This Row],[Screw diameter (mm)]]," - ",Tableau2[[#This Row],[Thread (mm)]]," - ",Tableau2[[#This Row],[Quality class]]),Table_Metier!$L$7:$CN$59,5,FALSE)</f>
        <v>0.3356353591160221</v>
      </c>
    </row>
    <row r="83" spans="3:14" x14ac:dyDescent="0.25">
      <c r="C83" s="174">
        <v>20</v>
      </c>
      <c r="D83" s="9">
        <v>2.5</v>
      </c>
      <c r="E83" s="89">
        <v>8.8000000000000007</v>
      </c>
      <c r="F83" s="152">
        <f>HLOOKUP(CONCATENATE("M",Tableau2[[#This Row],[Screw diameter (mm)]]," - ",Tableau2[[#This Row],[Thread (mm)]]," - ",Tableau2[[#This Row],[Quality class]]),Table_Metier!$L$7:$CN$59,2,FALSE)</f>
        <v>195840</v>
      </c>
      <c r="G83" s="152">
        <f>HLOOKUP(CONCATENATE("M",Tableau2[[#This Row],[Screw diameter (mm)]]," - ",Tableau2[[#This Row],[Thread (mm)]]," - ",Tableau2[[#This Row],[Quality class]]),Table_Metier!$L$7:$CN$59,3,FALSE)</f>
        <v>117270</v>
      </c>
      <c r="H83" s="11">
        <f>HLOOKUP(CONCATENATE("M",Tableau2[[#This Row],[Screw diameter (mm)]]," - ",Tableau2[[#This Row],[Thread (mm)]]," - ",Tableau2[[#This Row],[Quality class]]),Table_Metier!$L$7:$CN$59,26,FALSE)</f>
        <v>247.54427719249082</v>
      </c>
      <c r="I83" s="99">
        <f>HLOOKUP(Tableau2[[#This Row],[Nominal (CONLO database)]],Table_Metier!$L$58:$CN$59,2,FALSE)</f>
        <v>303.24173956080125</v>
      </c>
      <c r="J83" s="11">
        <f>HLOOKUP(CONCATENATE("M",Tableau2[[#This Row],[Screw diameter (mm)]]," - ",Tableau2[[#This Row],[Thread (mm)]]," - ",Tableau2[[#This Row],[Quality class]]),Table_Metier!$L$7:$CN$59,19,FALSE)</f>
        <v>358.93920192911168</v>
      </c>
      <c r="K83" s="11">
        <f>HLOOKUP(CONCATENATE("M",Tableau2[[#This Row],[Screw diameter (mm)]]," - ",Tableau2[[#This Row],[Thread (mm)]]," - ",Tableau2[[#This Row],[Quality class]]),Table_Metier!$L$7:$CN$59,34,FALSE)</f>
        <v>29294.606029083443</v>
      </c>
      <c r="L83" s="99">
        <f>HLOOKUP(CONCATENATE("M",Tableau2[[#This Row],[Screw diameter (mm)]]," - ",Tableau2[[#This Row],[Thread (mm)]]," - ",Tableau2[[#This Row],[Quality class]]),Table_Metier!$L$7:$CN$59,36,FALSE)</f>
        <v>64000</v>
      </c>
      <c r="M83" s="156">
        <f>HLOOKUP(CONCATENATE("M",Tableau2[[#This Row],[Screw diameter (mm)]]," - ",Tableau2[[#This Row],[Thread (mm)]]," - ",Tableau2[[#This Row],[Quality class]]),Table_Metier!$L$7:$CN$59,28,FALSE)</f>
        <v>111067.28753661194</v>
      </c>
      <c r="N83" s="10">
        <f>HLOOKUP(CONCATENATE("M",Tableau2[[#This Row],[Screw diameter (mm)]]," - ",Tableau2[[#This Row],[Thread (mm)]]," - ",Tableau2[[#This Row],[Quality class]]),Table_Metier!$L$7:$CN$59,5,FALSE)</f>
        <v>0.32679738562091504</v>
      </c>
    </row>
    <row r="84" spans="3:14" x14ac:dyDescent="0.25">
      <c r="C84" s="174">
        <v>20</v>
      </c>
      <c r="D84" s="154">
        <v>1.5</v>
      </c>
      <c r="E84" s="90">
        <v>10.9</v>
      </c>
      <c r="F84" s="152">
        <f>HLOOKUP(CONCATENATE("M",Tableau2[[#This Row],[Screw diameter (mm)]]," - ",Tableau2[[#This Row],[Thread (mm)]]," - ",Tableau2[[#This Row],[Quality class]]),Table_Metier!$L$7:$CN$59,2,FALSE)</f>
        <v>282360</v>
      </c>
      <c r="G84" s="152">
        <f>HLOOKUP(CONCATENATE("M",Tableau2[[#This Row],[Screw diameter (mm)]]," - ",Tableau2[[#This Row],[Thread (mm)]]," - ",Tableau2[[#This Row],[Quality class]]),Table_Metier!$L$7:$CN$59,3,FALSE)</f>
        <v>169080</v>
      </c>
      <c r="H84" s="11">
        <f>HLOOKUP(CONCATENATE("M",Tableau2[[#This Row],[Screw diameter (mm)]]," - ",Tableau2[[#This Row],[Thread (mm)]]," - ",Tableau2[[#This Row],[Quality class]]),Table_Metier!$L$7:$CN$59,26,FALSE)</f>
        <v>402.4591906747404</v>
      </c>
      <c r="I84" s="99">
        <f>HLOOKUP(Tableau2[[#This Row],[Nominal (CONLO database)]],Table_Metier!$L$58:$CN$59,2,FALSE)</f>
        <v>493.01250857655697</v>
      </c>
      <c r="J84" s="11">
        <f>HLOOKUP(CONCATENATE("M",Tableau2[[#This Row],[Screw diameter (mm)]]," - ",Tableau2[[#This Row],[Thread (mm)]]," - ",Tableau2[[#This Row],[Quality class]]),Table_Metier!$L$7:$CN$59,19,FALSE)</f>
        <v>583.56582647837354</v>
      </c>
      <c r="K84" s="11">
        <f>HLOOKUP(CONCATENATE("M",Tableau2[[#This Row],[Screw diameter (mm)]]," - ",Tableau2[[#This Row],[Thread (mm)]]," - ",Tableau2[[#This Row],[Quality class]]),Table_Metier!$L$7:$CN$59,34,FALSE)</f>
        <v>48587.514504620311</v>
      </c>
      <c r="L84" s="99">
        <f>HLOOKUP(CONCATENATE("M",Tableau2[[#This Row],[Screw diameter (mm)]]," - ",Tableau2[[#This Row],[Thread (mm)]]," - ",Tableau2[[#This Row],[Quality class]]),Table_Metier!$L$7:$CN$59,36,FALSE)</f>
        <v>107100</v>
      </c>
      <c r="M84" s="155">
        <f>HLOOKUP(CONCATENATE("M",Tableau2[[#This Row],[Screw diameter (mm)]]," - ",Tableau2[[#This Row],[Thread (mm)]]," - ",Tableau2[[#This Row],[Quality class]]),Table_Metier!$L$7:$CN$59,28,FALSE)</f>
        <v>187210.35019935059</v>
      </c>
      <c r="N84" s="10">
        <f>HLOOKUP(CONCATENATE("M",Tableau2[[#This Row],[Screw diameter (mm)]]," - ",Tableau2[[#This Row],[Thread (mm)]]," - ",Tableau2[[#This Row],[Quality class]]),Table_Metier!$L$7:$CN$59,5,FALSE)</f>
        <v>0.3793030174245644</v>
      </c>
    </row>
    <row r="85" spans="3:14" x14ac:dyDescent="0.25">
      <c r="C85" s="174">
        <v>20</v>
      </c>
      <c r="D85" s="9">
        <v>2.5</v>
      </c>
      <c r="E85" s="90">
        <v>10.9</v>
      </c>
      <c r="F85" s="152">
        <f>HLOOKUP(CONCATENATE("M",Tableau2[[#This Row],[Screw diameter (mm)]]," - ",Tableau2[[#This Row],[Thread (mm)]]," - ",Tableau2[[#This Row],[Quality class]]),Table_Metier!$L$7:$CN$59,2,FALSE)</f>
        <v>254590</v>
      </c>
      <c r="G85" s="152">
        <f>HLOOKUP(CONCATENATE("M",Tableau2[[#This Row],[Screw diameter (mm)]]," - ",Tableau2[[#This Row],[Thread (mm)]]," - ",Tableau2[[#This Row],[Quality class]]),Table_Metier!$L$7:$CN$59,3,FALSE)</f>
        <v>152450</v>
      </c>
      <c r="H85" s="11">
        <f>HLOOKUP(CONCATENATE("M",Tableau2[[#This Row],[Screw diameter (mm)]]," - ",Tableau2[[#This Row],[Thread (mm)]]," - ",Tableau2[[#This Row],[Quality class]]),Table_Metier!$L$7:$CN$59,26,FALSE)</f>
        <v>363.5806571264709</v>
      </c>
      <c r="I85" s="99">
        <f>HLOOKUP(Tableau2[[#This Row],[Nominal (CONLO database)]],Table_Metier!$L$58:$CN$59,2,FALSE)</f>
        <v>445.38630497992682</v>
      </c>
      <c r="J85" s="11">
        <f>HLOOKUP(CONCATENATE("M",Tableau2[[#This Row],[Screw diameter (mm)]]," - ",Tableau2[[#This Row],[Thread (mm)]]," - ",Tableau2[[#This Row],[Quality class]]),Table_Metier!$L$7:$CN$59,19,FALSE)</f>
        <v>527.19195283338274</v>
      </c>
      <c r="K85" s="11">
        <f>HLOOKUP(CONCATENATE("M",Tableau2[[#This Row],[Screw diameter (mm)]]," - ",Tableau2[[#This Row],[Thread (mm)]]," - ",Tableau2[[#This Row],[Quality class]]),Table_Metier!$L$7:$CN$59,34,FALSE)</f>
        <v>43026.452605216298</v>
      </c>
      <c r="L85" s="99">
        <f>HLOOKUP(CONCATENATE("M",Tableau2[[#This Row],[Screw diameter (mm)]]," - ",Tableau2[[#This Row],[Thread (mm)]]," - ",Tableau2[[#This Row],[Quality class]]),Table_Metier!$L$7:$CN$59,36,FALSE)</f>
        <v>93900</v>
      </c>
      <c r="M85" s="156">
        <f>HLOOKUP(CONCATENATE("M",Tableau2[[#This Row],[Screw diameter (mm)]]," - ",Tableau2[[#This Row],[Thread (mm)]]," - ",Tableau2[[#This Row],[Quality class]]),Table_Metier!$L$7:$CN$59,28,FALSE)</f>
        <v>163130.07856939879</v>
      </c>
      <c r="N85" s="10">
        <f>HLOOKUP(CONCATENATE("M",Tableau2[[#This Row],[Screw diameter (mm)]]," - ",Tableau2[[#This Row],[Thread (mm)]]," - ",Tableau2[[#This Row],[Quality class]]),Table_Metier!$L$7:$CN$59,5,FALSE)</f>
        <v>0.36882831218822421</v>
      </c>
    </row>
    <row r="86" spans="3:14" x14ac:dyDescent="0.25">
      <c r="D86" s="154" t="s">
        <v>150</v>
      </c>
      <c r="N86" s="9">
        <v>0.3</v>
      </c>
    </row>
    <row r="87" spans="3:14" x14ac:dyDescent="0.25">
      <c r="N87" s="9">
        <v>0.5</v>
      </c>
    </row>
    <row r="89" spans="3:14" x14ac:dyDescent="0.25">
      <c r="C89" s="176" t="s">
        <v>152</v>
      </c>
      <c r="D89" s="177" t="s">
        <v>151</v>
      </c>
    </row>
    <row r="90" spans="3:14" x14ac:dyDescent="0.25">
      <c r="C90" s="176"/>
      <c r="D90" s="177"/>
    </row>
  </sheetData>
  <mergeCells count="7">
    <mergeCell ref="C89:C90"/>
    <mergeCell ref="D89:D90"/>
    <mergeCell ref="C2:E3"/>
    <mergeCell ref="F2:G3"/>
    <mergeCell ref="K3:M3"/>
    <mergeCell ref="H3:J3"/>
    <mergeCell ref="H2:N2"/>
  </mergeCells>
  <conditionalFormatting sqref="N5:N8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headerFooter>
    <oddFooter>&amp;R&amp;1#&amp;"Arial"&amp;10&amp;K000000Confidential C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F378-1177-4F05-BAB4-902348593F13}">
  <sheetPr codeName="Feuil3"/>
  <dimension ref="B1:R43"/>
  <sheetViews>
    <sheetView workbookViewId="0">
      <selection activeCell="C3" sqref="C3"/>
    </sheetView>
  </sheetViews>
  <sheetFormatPr baseColWidth="10" defaultColWidth="11.42578125" defaultRowHeight="15" x14ac:dyDescent="0.25"/>
  <cols>
    <col min="1" max="1" width="11.42578125" style="1"/>
    <col min="2" max="2" width="20.7109375" style="1" customWidth="1"/>
    <col min="3" max="3" width="12.7109375" style="8" customWidth="1"/>
    <col min="4" max="5" width="12.7109375" style="1" customWidth="1"/>
    <col min="6" max="6" width="20.7109375" style="1" customWidth="1"/>
    <col min="7" max="8" width="12.7109375" style="1" customWidth="1"/>
    <col min="9" max="9" width="11.42578125" style="1"/>
    <col min="10" max="10" width="12.7109375" style="1" customWidth="1"/>
    <col min="11" max="11" width="27.5703125" style="1" bestFit="1" customWidth="1"/>
    <col min="12" max="12" width="14.7109375" style="1" customWidth="1"/>
    <col min="13" max="16384" width="11.42578125" style="1"/>
  </cols>
  <sheetData>
    <row r="1" spans="2:18" ht="15.75" thickBot="1" x14ac:dyDescent="0.3"/>
    <row r="2" spans="2:18" ht="16.5" thickBot="1" x14ac:dyDescent="0.3">
      <c r="B2" s="234" t="s">
        <v>122</v>
      </c>
      <c r="C2" s="235"/>
      <c r="D2" s="236"/>
      <c r="F2" s="231" t="s">
        <v>123</v>
      </c>
      <c r="G2" s="232"/>
      <c r="H2" s="233"/>
    </row>
    <row r="3" spans="2:18" ht="16.5" thickBot="1" x14ac:dyDescent="0.3">
      <c r="B3" s="122" t="s">
        <v>66</v>
      </c>
      <c r="C3" s="123">
        <v>14</v>
      </c>
      <c r="D3" s="124" t="s">
        <v>84</v>
      </c>
      <c r="E3" s="60"/>
      <c r="F3" s="245" t="s">
        <v>124</v>
      </c>
      <c r="G3" s="246"/>
      <c r="H3" s="247"/>
    </row>
    <row r="4" spans="2:18" ht="15.75" thickBot="1" x14ac:dyDescent="0.3">
      <c r="B4" s="71" t="s">
        <v>64</v>
      </c>
      <c r="C4" s="4">
        <v>1.5</v>
      </c>
      <c r="D4" s="72" t="s">
        <v>84</v>
      </c>
      <c r="E4" s="60"/>
    </row>
    <row r="5" spans="2:18" ht="15.75" x14ac:dyDescent="0.25">
      <c r="B5" s="71" t="s">
        <v>65</v>
      </c>
      <c r="C5" s="4">
        <v>11.9</v>
      </c>
      <c r="D5" s="72" t="s">
        <v>0</v>
      </c>
      <c r="E5" s="60"/>
      <c r="F5" s="60"/>
      <c r="K5" s="211" t="s">
        <v>136</v>
      </c>
      <c r="L5" s="212"/>
      <c r="M5" s="213"/>
    </row>
    <row r="6" spans="2:18" ht="15.75" thickBot="1" x14ac:dyDescent="0.3">
      <c r="E6" s="60"/>
      <c r="F6" s="60"/>
      <c r="K6" s="217" t="s">
        <v>145</v>
      </c>
      <c r="L6" s="218"/>
      <c r="M6" s="219"/>
    </row>
    <row r="7" spans="2:18" ht="16.5" thickBot="1" x14ac:dyDescent="0.3">
      <c r="B7" s="237" t="s">
        <v>125</v>
      </c>
      <c r="C7" s="238"/>
      <c r="D7" s="239"/>
      <c r="E7" s="60"/>
      <c r="F7" s="60"/>
      <c r="K7" s="122" t="s">
        <v>137</v>
      </c>
      <c r="L7" s="129">
        <v>52768</v>
      </c>
      <c r="M7" s="124" t="s">
        <v>85</v>
      </c>
      <c r="N7" s="188" t="s">
        <v>143</v>
      </c>
      <c r="O7" s="188"/>
      <c r="P7" s="188"/>
    </row>
    <row r="8" spans="2:18" x14ac:dyDescent="0.25">
      <c r="B8" s="122" t="s">
        <v>77</v>
      </c>
      <c r="C8" s="125">
        <f>Table_Metier!I45</f>
        <v>137000</v>
      </c>
      <c r="D8" s="124" t="s">
        <v>85</v>
      </c>
      <c r="E8" s="60"/>
      <c r="F8" s="60"/>
      <c r="K8" s="71" t="s">
        <v>138</v>
      </c>
      <c r="L8" s="109">
        <v>18903</v>
      </c>
      <c r="M8" s="72" t="s">
        <v>85</v>
      </c>
      <c r="N8" s="188"/>
      <c r="O8" s="188"/>
      <c r="P8" s="188"/>
      <c r="Q8" s="132"/>
      <c r="R8" s="132"/>
    </row>
    <row r="9" spans="2:18" ht="15.75" thickBot="1" x14ac:dyDescent="0.3">
      <c r="B9" s="73" t="s">
        <v>78</v>
      </c>
      <c r="C9" s="61">
        <f>Table_Metier!I46</f>
        <v>82040</v>
      </c>
      <c r="D9" s="74" t="s">
        <v>85</v>
      </c>
      <c r="K9" s="71" t="s">
        <v>126</v>
      </c>
      <c r="L9" s="121">
        <f>((L7/$C$8)^2+(L8/$C$9)^2)^0.5</f>
        <v>0.44882511661623214</v>
      </c>
      <c r="M9" s="134" t="s">
        <v>0</v>
      </c>
      <c r="Q9" s="132"/>
      <c r="R9" s="132"/>
    </row>
    <row r="10" spans="2:18" ht="15.75" thickBot="1" x14ac:dyDescent="0.3">
      <c r="K10" s="135" t="s">
        <v>142</v>
      </c>
      <c r="L10" s="130">
        <f>$C$15</f>
        <v>0.37153284671532849</v>
      </c>
      <c r="M10" s="134" t="s">
        <v>0</v>
      </c>
      <c r="N10" s="131" t="str">
        <f>CONCATENATE("(default = nominal = ",ROUND($C$15,2),")")</f>
        <v>(default = nominal = 0.37)</v>
      </c>
      <c r="O10" s="132"/>
      <c r="P10" s="132"/>
      <c r="Q10" s="132"/>
      <c r="R10" s="132"/>
    </row>
    <row r="11" spans="2:18" ht="16.5" thickBot="1" x14ac:dyDescent="0.3">
      <c r="B11" s="237" t="s">
        <v>127</v>
      </c>
      <c r="C11" s="238"/>
      <c r="D11" s="239"/>
      <c r="F11" s="199" t="s">
        <v>133</v>
      </c>
      <c r="G11" s="200"/>
      <c r="H11" s="201"/>
      <c r="K11" s="190" t="s">
        <v>146</v>
      </c>
      <c r="L11" s="191"/>
      <c r="M11" s="192"/>
      <c r="O11" s="132"/>
      <c r="P11" s="132"/>
      <c r="Q11" s="132"/>
      <c r="R11" s="132"/>
    </row>
    <row r="12" spans="2:18" x14ac:dyDescent="0.25">
      <c r="B12" s="122" t="s">
        <v>82</v>
      </c>
      <c r="C12" s="240" t="s">
        <v>99</v>
      </c>
      <c r="D12" s="241"/>
      <c r="E12" s="244" t="s">
        <v>87</v>
      </c>
      <c r="F12" s="122" t="s">
        <v>82</v>
      </c>
      <c r="G12" s="123">
        <v>43</v>
      </c>
      <c r="H12" s="124" t="s">
        <v>81</v>
      </c>
      <c r="K12" s="224" t="s">
        <v>139</v>
      </c>
      <c r="L12" s="225"/>
      <c r="M12" s="226"/>
      <c r="N12" s="133" t="s">
        <v>140</v>
      </c>
      <c r="O12" s="132"/>
      <c r="P12" s="132"/>
      <c r="Q12" s="132"/>
      <c r="R12" s="132"/>
    </row>
    <row r="13" spans="2:18" x14ac:dyDescent="0.25">
      <c r="B13" s="71" t="s">
        <v>83</v>
      </c>
      <c r="C13" s="242"/>
      <c r="D13" s="243"/>
      <c r="E13" s="244"/>
      <c r="F13" s="71" t="s">
        <v>83</v>
      </c>
      <c r="G13" s="4" t="s">
        <v>11</v>
      </c>
      <c r="H13" s="72" t="s">
        <v>0</v>
      </c>
      <c r="K13" s="135" t="s">
        <v>142</v>
      </c>
      <c r="L13" s="130">
        <v>0.27</v>
      </c>
      <c r="M13" s="134" t="s">
        <v>0</v>
      </c>
      <c r="N13" s="132"/>
      <c r="O13" s="133"/>
      <c r="P13" s="133"/>
      <c r="Q13" s="132"/>
      <c r="R13" s="132"/>
    </row>
    <row r="14" spans="2:18" ht="15" customHeight="1" thickBot="1" x14ac:dyDescent="0.3">
      <c r="B14" s="71" t="s">
        <v>76</v>
      </c>
      <c r="C14" s="75">
        <f>Table_Metier!I58</f>
        <v>50900</v>
      </c>
      <c r="D14" s="72" t="s">
        <v>85</v>
      </c>
      <c r="E14" s="244"/>
      <c r="F14" s="92" t="s">
        <v>88</v>
      </c>
      <c r="G14" s="77">
        <f>Table_Metier!I64</f>
        <v>11300</v>
      </c>
      <c r="H14" s="78" t="s">
        <v>85</v>
      </c>
      <c r="K14" s="73" t="s">
        <v>141</v>
      </c>
      <c r="L14" s="137">
        <f>(((L7/HLOOKUP(K12,Table_Metier!$L$7:$CN9,2,FALSE))^2+(L8/HLOOKUP(K12,Table_Metier!$L$7:$CN9,3,FALSE))^2)^0.5)+(L13-L10)</f>
        <v>0.86239299083824827</v>
      </c>
      <c r="M14" s="136" t="s">
        <v>0</v>
      </c>
      <c r="O14" s="132"/>
      <c r="P14" s="132"/>
      <c r="Q14" s="132"/>
      <c r="R14" s="132"/>
    </row>
    <row r="15" spans="2:18" ht="15.75" customHeight="1" thickBot="1" x14ac:dyDescent="0.3">
      <c r="B15" s="73" t="s">
        <v>79</v>
      </c>
      <c r="C15" s="76">
        <f>Table_Metier!I47</f>
        <v>0.37153284671532849</v>
      </c>
      <c r="D15" s="74" t="s">
        <v>0</v>
      </c>
      <c r="E15" s="244"/>
      <c r="F15" s="93" t="s">
        <v>79</v>
      </c>
      <c r="G15" s="79">
        <f>Table_Metier!I65</f>
        <v>8.2481751824817512E-2</v>
      </c>
      <c r="H15" s="80" t="s">
        <v>0</v>
      </c>
      <c r="K15" s="189" t="s">
        <v>144</v>
      </c>
      <c r="L15" s="189"/>
      <c r="M15" s="189"/>
    </row>
    <row r="16" spans="2:18" x14ac:dyDescent="0.25">
      <c r="F16" s="206" t="str">
        <f>IF(G12&lt;D28,"Warning! Torque value is below Norm value -&gt; Risk of sheet tearing or screw escape",IF(G12&gt;D23,"Warning! Torque value is above Norm value -&gt; Risk of screw failure",""))</f>
        <v>Warning! Torque value is below Norm value -&gt; Risk of sheet tearing or screw escape</v>
      </c>
      <c r="G16" s="206"/>
      <c r="H16" s="206"/>
      <c r="K16" s="189"/>
      <c r="L16" s="189"/>
      <c r="M16" s="189"/>
    </row>
    <row r="17" spans="2:8" x14ac:dyDescent="0.25">
      <c r="F17" s="207"/>
      <c r="G17" s="207"/>
      <c r="H17" s="207"/>
    </row>
    <row r="19" spans="2:8" ht="15.75" thickBot="1" x14ac:dyDescent="0.3"/>
    <row r="20" spans="2:8" ht="16.5" thickBot="1" x14ac:dyDescent="0.3">
      <c r="B20" s="214" t="s">
        <v>134</v>
      </c>
      <c r="C20" s="215"/>
      <c r="D20" s="215"/>
      <c r="E20" s="215"/>
      <c r="F20" s="216"/>
    </row>
    <row r="21" spans="2:8" ht="15.75" customHeight="1" thickBot="1" x14ac:dyDescent="0.3">
      <c r="B21" s="202" t="s">
        <v>68</v>
      </c>
      <c r="C21" s="204" t="s">
        <v>69</v>
      </c>
      <c r="D21" s="208" t="str">
        <f>CONCATENATE("Class quality ",C5)</f>
        <v>Class quality 11.9</v>
      </c>
      <c r="E21" s="209"/>
      <c r="F21" s="210"/>
    </row>
    <row r="22" spans="2:8" ht="30" customHeight="1" thickBot="1" x14ac:dyDescent="0.3">
      <c r="B22" s="203"/>
      <c r="C22" s="205"/>
      <c r="D22" s="83" t="s">
        <v>20</v>
      </c>
      <c r="E22" s="84" t="s">
        <v>19</v>
      </c>
      <c r="F22" s="82" t="s">
        <v>135</v>
      </c>
    </row>
    <row r="23" spans="2:8" x14ac:dyDescent="0.25">
      <c r="B23" s="193" t="str">
        <f>CONCATENATE(C3," x ",C4)</f>
        <v>14 x 1.5</v>
      </c>
      <c r="C23" s="126" t="s">
        <v>70</v>
      </c>
      <c r="D23" s="85">
        <f>Table_Metier!I27</f>
        <v>188.45737871153727</v>
      </c>
      <c r="E23" s="86">
        <f>Table_Metier!I35</f>
        <v>55386.556644071374</v>
      </c>
      <c r="F23" s="196" t="str">
        <f>CONCATENATE(ROUND(Table_Metier!I34,0)," N for ",ROUND(Table_Metier!I25,1)," N.m")</f>
        <v>88538 N for 197.9 N.m</v>
      </c>
    </row>
    <row r="24" spans="2:8" x14ac:dyDescent="0.25">
      <c r="B24" s="194"/>
      <c r="C24" s="127" t="s">
        <v>71</v>
      </c>
      <c r="D24" s="85">
        <f>Table_Metier!I28</f>
        <v>179.89113422464922</v>
      </c>
      <c r="E24" s="86">
        <f>Table_Metier!I36</f>
        <v>50086.407682916222</v>
      </c>
      <c r="F24" s="197"/>
    </row>
    <row r="25" spans="2:8" x14ac:dyDescent="0.25">
      <c r="B25" s="194"/>
      <c r="C25" s="127" t="s">
        <v>72</v>
      </c>
      <c r="D25" s="85">
        <f>Table_Metier!I29</f>
        <v>172.06978056270796</v>
      </c>
      <c r="E25" s="86">
        <f>Table_Metier!I37</f>
        <v>45247.141240122386</v>
      </c>
      <c r="F25" s="197"/>
    </row>
    <row r="26" spans="2:8" x14ac:dyDescent="0.25">
      <c r="B26" s="194"/>
      <c r="C26" s="127" t="s">
        <v>73</v>
      </c>
      <c r="D26" s="85">
        <f>Table_Metier!I30</f>
        <v>164.90020637259514</v>
      </c>
      <c r="E26" s="86">
        <f>Table_Metier!I38</f>
        <v>40811.147000894714</v>
      </c>
      <c r="F26" s="197"/>
    </row>
    <row r="27" spans="2:8" x14ac:dyDescent="0.25">
      <c r="B27" s="194"/>
      <c r="C27" s="127" t="s">
        <v>74</v>
      </c>
      <c r="D27" s="85">
        <f>Table_Metier!I31</f>
        <v>146.57796122008455</v>
      </c>
      <c r="E27" s="86">
        <f>Table_Metier!I39</f>
        <v>29474.717278423952</v>
      </c>
      <c r="F27" s="197"/>
    </row>
    <row r="28" spans="2:8" ht="15.75" thickBot="1" x14ac:dyDescent="0.3">
      <c r="B28" s="195"/>
      <c r="C28" s="128" t="s">
        <v>75</v>
      </c>
      <c r="D28" s="85">
        <f>Table_Metier!I32</f>
        <v>136.46913630835459</v>
      </c>
      <c r="E28" s="86">
        <f>Table_Metier!I40</f>
        <v>23220.135362578025</v>
      </c>
      <c r="F28" s="198"/>
    </row>
    <row r="29" spans="2:8" ht="15.75" thickBot="1" x14ac:dyDescent="0.3">
      <c r="B29" s="81"/>
      <c r="C29" s="81"/>
      <c r="D29" s="87" t="s">
        <v>67</v>
      </c>
      <c r="E29" s="227">
        <f>Table_Metier!I58</f>
        <v>50900</v>
      </c>
      <c r="F29" s="228"/>
    </row>
    <row r="34" spans="8:13" ht="15.75" thickBot="1" x14ac:dyDescent="0.3"/>
    <row r="35" spans="8:13" ht="15.75" thickBot="1" x14ac:dyDescent="0.3">
      <c r="H35" s="229" t="s">
        <v>128</v>
      </c>
      <c r="I35" s="230"/>
      <c r="J35" s="220" t="s">
        <v>129</v>
      </c>
      <c r="K35" s="221"/>
      <c r="L35" s="222" t="s">
        <v>130</v>
      </c>
      <c r="M35" s="223"/>
    </row>
    <row r="36" spans="8:13" x14ac:dyDescent="0.25">
      <c r="H36" s="110" t="s">
        <v>131</v>
      </c>
      <c r="I36" s="111" t="s">
        <v>132</v>
      </c>
      <c r="J36" s="110" t="s">
        <v>131</v>
      </c>
      <c r="K36" s="111" t="s">
        <v>132</v>
      </c>
      <c r="L36" s="112" t="s">
        <v>131</v>
      </c>
      <c r="M36" s="113" t="s">
        <v>132</v>
      </c>
    </row>
    <row r="37" spans="8:13" ht="15.75" thickBot="1" x14ac:dyDescent="0.3">
      <c r="H37" s="114">
        <f>E28</f>
        <v>23220.135362578025</v>
      </c>
      <c r="I37" s="115">
        <f>D28</f>
        <v>136.46913630835459</v>
      </c>
      <c r="J37" s="114">
        <f>Table_Metier!I52</f>
        <v>33583.46734875843</v>
      </c>
      <c r="K37" s="115">
        <f>D28</f>
        <v>136.46913630835459</v>
      </c>
      <c r="L37" s="116">
        <f>Table_Metier!I58</f>
        <v>50900</v>
      </c>
      <c r="M37" s="117">
        <f>Table_Metier!I59</f>
        <v>167.17469197773437</v>
      </c>
    </row>
    <row r="38" spans="8:13" x14ac:dyDescent="0.25">
      <c r="H38" s="114">
        <f>E27</f>
        <v>29474.717278423952</v>
      </c>
      <c r="I38" s="115">
        <f>D27</f>
        <v>146.57796122008455</v>
      </c>
      <c r="J38" s="114"/>
      <c r="K38" s="115"/>
    </row>
    <row r="39" spans="8:13" x14ac:dyDescent="0.25">
      <c r="H39" s="114">
        <f>E26</f>
        <v>40811.147000894714</v>
      </c>
      <c r="I39" s="115">
        <f>D26</f>
        <v>164.90020637259514</v>
      </c>
      <c r="J39" s="114"/>
      <c r="K39" s="115"/>
    </row>
    <row r="40" spans="8:13" x14ac:dyDescent="0.25">
      <c r="H40" s="114">
        <f>E25</f>
        <v>45247.141240122386</v>
      </c>
      <c r="I40" s="115">
        <f>D25</f>
        <v>172.06978056270796</v>
      </c>
      <c r="J40" s="114"/>
      <c r="K40" s="115"/>
    </row>
    <row r="41" spans="8:13" x14ac:dyDescent="0.25">
      <c r="H41" s="114">
        <f>E24</f>
        <v>50086.407682916222</v>
      </c>
      <c r="I41" s="115">
        <f>D24</f>
        <v>179.89113422464922</v>
      </c>
      <c r="J41" s="114"/>
      <c r="K41" s="115"/>
    </row>
    <row r="42" spans="8:13" x14ac:dyDescent="0.25">
      <c r="H42" s="114">
        <f>E23</f>
        <v>55386.556644071374</v>
      </c>
      <c r="I42" s="115">
        <f>D23</f>
        <v>188.45737871153727</v>
      </c>
      <c r="J42" s="118"/>
      <c r="K42" s="119"/>
    </row>
    <row r="43" spans="8:13" ht="15.75" thickBot="1" x14ac:dyDescent="0.3">
      <c r="H43" s="120">
        <f>Table_Metier!H54</f>
        <v>61216.720501342053</v>
      </c>
      <c r="I43" s="117">
        <f>K43</f>
        <v>197.88024764711415</v>
      </c>
      <c r="J43" s="120">
        <f>Table_Metier!I56</f>
        <v>88538.232101272224</v>
      </c>
      <c r="K43" s="117">
        <f>Table_Metier!I57</f>
        <v>197.88024764711415</v>
      </c>
    </row>
  </sheetData>
  <sheetProtection formatCells="0"/>
  <mergeCells count="25">
    <mergeCell ref="F2:H2"/>
    <mergeCell ref="B2:D2"/>
    <mergeCell ref="B7:D7"/>
    <mergeCell ref="B11:D11"/>
    <mergeCell ref="C12:D13"/>
    <mergeCell ref="E12:E15"/>
    <mergeCell ref="F3:H3"/>
    <mergeCell ref="K5:M5"/>
    <mergeCell ref="B20:F20"/>
    <mergeCell ref="K6:M6"/>
    <mergeCell ref="J35:K35"/>
    <mergeCell ref="L35:M35"/>
    <mergeCell ref="K12:M12"/>
    <mergeCell ref="E29:F29"/>
    <mergeCell ref="H35:I35"/>
    <mergeCell ref="N7:P8"/>
    <mergeCell ref="K15:M16"/>
    <mergeCell ref="K11:M11"/>
    <mergeCell ref="B23:B28"/>
    <mergeCell ref="F23:F28"/>
    <mergeCell ref="F11:H11"/>
    <mergeCell ref="B21:B22"/>
    <mergeCell ref="C21:C22"/>
    <mergeCell ref="F16:H17"/>
    <mergeCell ref="D21:F21"/>
  </mergeCells>
  <conditionalFormatting sqref="L9">
    <cfRule type="cellIs" dxfId="1" priority="2" operator="greaterThan">
      <formula>0.9</formula>
    </cfRule>
  </conditionalFormatting>
  <conditionalFormatting sqref="L14">
    <cfRule type="cellIs" dxfId="0" priority="1" operator="greaterThan">
      <formula>0.9</formula>
    </cfRule>
  </conditionalFormatting>
  <pageMargins left="0.7" right="0.7" top="0.75" bottom="0.75" header="0.3" footer="0.3"/>
  <pageSetup paperSize="9" orientation="portrait" r:id="rId1"/>
  <headerFooter>
    <oddFooter>&amp;R&amp;1#&amp;"Arial"&amp;10&amp;K000000Confidential C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1868A24-0A64-4E9B-A963-7C7C8EA698A7}">
          <x14:formula1>
            <xm:f>Table_Abaque!$C$16:$G$16</xm:f>
          </x14:formula1>
          <xm:sqref>C5</xm:sqref>
        </x14:dataValidation>
        <x14:dataValidation type="list" allowBlank="1" showInputMessage="1" showErrorMessage="1" xr:uid="{5F3B93C5-86B8-41EE-B95C-DF97BA699EDF}">
          <x14:formula1>
            <xm:f>Table_Abaque!$B$22:$B$27</xm:f>
          </x14:formula1>
          <xm:sqref>G13</xm:sqref>
        </x14:dataValidation>
        <x14:dataValidation type="list" allowBlank="1" showInputMessage="1" showErrorMessage="1" xr:uid="{026E7A9B-BFA3-44D4-B49B-09566ED2B6F0}">
          <x14:formula1>
            <xm:f>Table_Metier!$L$7:$CN$7</xm:f>
          </x14:formula1>
          <xm:sqref>K12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B1:CR364"/>
  <sheetViews>
    <sheetView topLeftCell="H1" zoomScale="70" zoomScaleNormal="70" workbookViewId="0">
      <selection activeCell="I2" sqref="I2"/>
    </sheetView>
  </sheetViews>
  <sheetFormatPr baseColWidth="10" defaultColWidth="13.7109375" defaultRowHeight="15" x14ac:dyDescent="0.25"/>
  <cols>
    <col min="1" max="1" width="5.7109375" style="2" customWidth="1"/>
    <col min="2" max="5" width="13.7109375" style="8"/>
    <col min="6" max="6" width="18.140625" style="8" bestFit="1" customWidth="1"/>
    <col min="7" max="7" width="13.7109375" style="8"/>
    <col min="8" max="8" width="14.85546875" style="8" bestFit="1" customWidth="1"/>
    <col min="9" max="9" width="20.28515625" style="8" bestFit="1" customWidth="1"/>
    <col min="10" max="10" width="44.42578125" style="8" bestFit="1" customWidth="1"/>
    <col min="11" max="11" width="20.85546875" style="2" bestFit="1" customWidth="1"/>
    <col min="12" max="21" width="13.7109375" style="2"/>
    <col min="22" max="22" width="18.85546875" style="2" bestFit="1" customWidth="1"/>
    <col min="23" max="23" width="20.140625" style="2" bestFit="1" customWidth="1"/>
    <col min="24" max="24" width="18.85546875" style="2" bestFit="1" customWidth="1"/>
    <col min="25" max="26" width="13.7109375" style="2"/>
    <col min="27" max="45" width="13.7109375" style="8"/>
    <col min="46" max="46" width="18.85546875" style="8" bestFit="1" customWidth="1"/>
    <col min="47" max="47" width="20.140625" style="8" bestFit="1" customWidth="1"/>
    <col min="48" max="48" width="18.85546875" style="8" bestFit="1" customWidth="1"/>
    <col min="49" max="69" width="13.7109375" style="8"/>
    <col min="70" max="70" width="18.85546875" style="8" bestFit="1" customWidth="1"/>
    <col min="71" max="71" width="21" style="8" bestFit="1" customWidth="1"/>
    <col min="72" max="72" width="19.5703125" style="8" bestFit="1" customWidth="1"/>
    <col min="73" max="86" width="13.7109375" style="8"/>
    <col min="87" max="87" width="18.5703125" style="8" bestFit="1" customWidth="1"/>
    <col min="88" max="88" width="15.5703125" style="8" bestFit="1" customWidth="1"/>
    <col min="89" max="89" width="15.5703125" style="8" customWidth="1"/>
    <col min="90" max="90" width="15.5703125" style="8" bestFit="1" customWidth="1"/>
    <col min="91" max="91" width="14.85546875" style="8" bestFit="1" customWidth="1"/>
    <col min="92" max="96" width="13.7109375" style="8"/>
    <col min="97" max="16384" width="13.7109375" style="2"/>
  </cols>
  <sheetData>
    <row r="1" spans="3:94" s="8" customFormat="1" ht="15.75" thickBot="1" x14ac:dyDescent="0.3"/>
    <row r="2" spans="3:94" s="8" customFormat="1" x14ac:dyDescent="0.25">
      <c r="I2" s="69" t="s">
        <v>101</v>
      </c>
    </row>
    <row r="3" spans="3:94" s="8" customFormat="1" ht="15.75" thickBot="1" x14ac:dyDescent="0.3">
      <c r="I3" s="44"/>
      <c r="L3" s="138" t="s">
        <v>147</v>
      </c>
      <c r="M3" s="138" t="s">
        <v>147</v>
      </c>
      <c r="N3" s="138" t="s">
        <v>147</v>
      </c>
      <c r="O3" s="138" t="s">
        <v>147</v>
      </c>
      <c r="P3" s="138" t="s">
        <v>147</v>
      </c>
      <c r="Q3" s="153" t="s">
        <v>148</v>
      </c>
      <c r="R3" s="138" t="s">
        <v>147</v>
      </c>
      <c r="S3" s="153" t="s">
        <v>148</v>
      </c>
      <c r="T3" s="153" t="s">
        <v>148</v>
      </c>
      <c r="U3" s="138" t="s">
        <v>147</v>
      </c>
      <c r="V3" s="138" t="s">
        <v>153</v>
      </c>
      <c r="W3" s="138" t="s">
        <v>153</v>
      </c>
      <c r="X3" s="138" t="s">
        <v>153</v>
      </c>
      <c r="Y3" s="153" t="s">
        <v>148</v>
      </c>
      <c r="Z3" s="153" t="s">
        <v>148</v>
      </c>
      <c r="AA3" s="138" t="s">
        <v>147</v>
      </c>
      <c r="AB3" s="153" t="s">
        <v>148</v>
      </c>
      <c r="AC3" s="138" t="s">
        <v>147</v>
      </c>
      <c r="AD3" s="153" t="s">
        <v>148</v>
      </c>
      <c r="AE3" s="138" t="s">
        <v>147</v>
      </c>
      <c r="AF3" s="153" t="s">
        <v>148</v>
      </c>
      <c r="AG3" s="138" t="s">
        <v>147</v>
      </c>
      <c r="AH3" s="153" t="s">
        <v>148</v>
      </c>
      <c r="AI3" s="138" t="s">
        <v>147</v>
      </c>
      <c r="AJ3" s="138" t="s">
        <v>147</v>
      </c>
      <c r="AK3" s="138" t="s">
        <v>147</v>
      </c>
      <c r="AL3" s="138" t="s">
        <v>147</v>
      </c>
      <c r="AM3" s="138" t="s">
        <v>147</v>
      </c>
      <c r="AN3" s="138" t="s">
        <v>147</v>
      </c>
      <c r="AO3" s="153" t="s">
        <v>148</v>
      </c>
      <c r="AP3" s="138" t="s">
        <v>147</v>
      </c>
      <c r="AQ3" s="153" t="s">
        <v>148</v>
      </c>
      <c r="AR3" s="153" t="s">
        <v>148</v>
      </c>
      <c r="AS3" s="138" t="s">
        <v>147</v>
      </c>
      <c r="AT3" s="138" t="s">
        <v>153</v>
      </c>
      <c r="AU3" s="138" t="s">
        <v>153</v>
      </c>
      <c r="AV3" s="138" t="s">
        <v>153</v>
      </c>
      <c r="AW3" s="153" t="s">
        <v>148</v>
      </c>
      <c r="AX3" s="153" t="s">
        <v>148</v>
      </c>
      <c r="AY3" s="138" t="s">
        <v>147</v>
      </c>
      <c r="AZ3" s="153" t="s">
        <v>148</v>
      </c>
      <c r="BA3" s="138" t="s">
        <v>147</v>
      </c>
      <c r="BB3" s="153" t="s">
        <v>148</v>
      </c>
      <c r="BC3" s="138" t="s">
        <v>147</v>
      </c>
      <c r="BD3" s="153" t="s">
        <v>148</v>
      </c>
      <c r="BE3" s="138" t="s">
        <v>147</v>
      </c>
      <c r="BF3" s="153" t="s">
        <v>148</v>
      </c>
      <c r="BG3" s="138" t="s">
        <v>147</v>
      </c>
      <c r="BH3" s="138" t="s">
        <v>147</v>
      </c>
      <c r="BI3" s="138" t="s">
        <v>147</v>
      </c>
      <c r="BJ3" s="138" t="s">
        <v>147</v>
      </c>
      <c r="BK3" s="138" t="s">
        <v>147</v>
      </c>
      <c r="BL3" s="138" t="s">
        <v>147</v>
      </c>
      <c r="BM3" s="153" t="s">
        <v>148</v>
      </c>
      <c r="BN3" s="138" t="s">
        <v>147</v>
      </c>
      <c r="BO3" s="153" t="s">
        <v>148</v>
      </c>
      <c r="BP3" s="153" t="s">
        <v>148</v>
      </c>
      <c r="BQ3" s="138" t="s">
        <v>147</v>
      </c>
      <c r="BR3" s="138" t="s">
        <v>153</v>
      </c>
      <c r="BS3" s="138" t="s">
        <v>153</v>
      </c>
      <c r="BT3" s="138" t="s">
        <v>153</v>
      </c>
      <c r="BU3" s="153" t="s">
        <v>148</v>
      </c>
      <c r="BV3" s="153" t="s">
        <v>148</v>
      </c>
      <c r="BW3" s="138" t="s">
        <v>147</v>
      </c>
      <c r="BX3" s="153" t="s">
        <v>148</v>
      </c>
      <c r="BY3" s="138" t="s">
        <v>147</v>
      </c>
      <c r="BZ3" s="153" t="s">
        <v>148</v>
      </c>
      <c r="CA3" s="138" t="s">
        <v>147</v>
      </c>
      <c r="CB3" s="153" t="s">
        <v>148</v>
      </c>
      <c r="CC3" s="138" t="s">
        <v>147</v>
      </c>
      <c r="CD3" s="153" t="s">
        <v>148</v>
      </c>
      <c r="CE3" s="138" t="s">
        <v>147</v>
      </c>
      <c r="CF3" s="153" t="s">
        <v>148</v>
      </c>
      <c r="CG3" s="153" t="s">
        <v>148</v>
      </c>
      <c r="CH3" s="138" t="s">
        <v>149</v>
      </c>
      <c r="CI3" s="138" t="s">
        <v>153</v>
      </c>
      <c r="CJ3" s="138" t="s">
        <v>149</v>
      </c>
      <c r="CK3" s="153" t="s">
        <v>148</v>
      </c>
      <c r="CL3" s="138" t="s">
        <v>149</v>
      </c>
      <c r="CM3" s="138" t="s">
        <v>149</v>
      </c>
      <c r="CN3" s="138" t="s">
        <v>149</v>
      </c>
    </row>
    <row r="4" spans="3:94" s="8" customFormat="1" x14ac:dyDescent="0.25">
      <c r="I4" s="70">
        <f>User_Screw_Compute!C3</f>
        <v>14</v>
      </c>
      <c r="J4" s="22" t="s">
        <v>27</v>
      </c>
      <c r="K4" s="139" t="s">
        <v>21</v>
      </c>
      <c r="L4" s="141">
        <v>3</v>
      </c>
      <c r="M4" s="142">
        <v>4</v>
      </c>
      <c r="N4" s="142">
        <v>5</v>
      </c>
      <c r="O4" s="142">
        <v>6</v>
      </c>
      <c r="P4" s="142">
        <v>7</v>
      </c>
      <c r="Q4" s="142">
        <v>8</v>
      </c>
      <c r="R4" s="142">
        <v>8</v>
      </c>
      <c r="S4" s="142">
        <v>10</v>
      </c>
      <c r="T4" s="142">
        <v>10</v>
      </c>
      <c r="U4" s="142">
        <v>10</v>
      </c>
      <c r="V4" s="142">
        <v>11.112500000000001</v>
      </c>
      <c r="W4" s="142">
        <v>11.112500000000001</v>
      </c>
      <c r="X4" s="142">
        <v>11.112500000000001</v>
      </c>
      <c r="Y4" s="142">
        <v>12</v>
      </c>
      <c r="Z4" s="142">
        <v>12</v>
      </c>
      <c r="AA4" s="142">
        <v>12</v>
      </c>
      <c r="AB4" s="142">
        <v>14</v>
      </c>
      <c r="AC4" s="142">
        <v>14</v>
      </c>
      <c r="AD4" s="142">
        <v>16</v>
      </c>
      <c r="AE4" s="142">
        <v>16</v>
      </c>
      <c r="AF4" s="142">
        <v>18</v>
      </c>
      <c r="AG4" s="142">
        <v>18</v>
      </c>
      <c r="AH4" s="142">
        <v>20</v>
      </c>
      <c r="AI4" s="143">
        <v>20</v>
      </c>
      <c r="AJ4" s="141">
        <v>3</v>
      </c>
      <c r="AK4" s="142">
        <v>4</v>
      </c>
      <c r="AL4" s="142">
        <v>5</v>
      </c>
      <c r="AM4" s="142">
        <v>6</v>
      </c>
      <c r="AN4" s="142">
        <v>7</v>
      </c>
      <c r="AO4" s="142">
        <v>8</v>
      </c>
      <c r="AP4" s="142">
        <v>8</v>
      </c>
      <c r="AQ4" s="142">
        <v>10</v>
      </c>
      <c r="AR4" s="142">
        <v>10</v>
      </c>
      <c r="AS4" s="142">
        <v>10</v>
      </c>
      <c r="AT4" s="142">
        <v>11.112500000000001</v>
      </c>
      <c r="AU4" s="142">
        <v>11.112500000000001</v>
      </c>
      <c r="AV4" s="142">
        <v>11.112500000000001</v>
      </c>
      <c r="AW4" s="142">
        <v>12</v>
      </c>
      <c r="AX4" s="142">
        <v>12</v>
      </c>
      <c r="AY4" s="142">
        <v>12</v>
      </c>
      <c r="AZ4" s="142">
        <v>14</v>
      </c>
      <c r="BA4" s="142">
        <v>14</v>
      </c>
      <c r="BB4" s="142">
        <v>16</v>
      </c>
      <c r="BC4" s="142">
        <v>16</v>
      </c>
      <c r="BD4" s="142">
        <v>18</v>
      </c>
      <c r="BE4" s="142">
        <v>18</v>
      </c>
      <c r="BF4" s="142">
        <v>20</v>
      </c>
      <c r="BG4" s="143">
        <v>20</v>
      </c>
      <c r="BH4" s="141">
        <v>3</v>
      </c>
      <c r="BI4" s="142">
        <v>4</v>
      </c>
      <c r="BJ4" s="142">
        <v>5</v>
      </c>
      <c r="BK4" s="142">
        <v>6</v>
      </c>
      <c r="BL4" s="142">
        <v>7</v>
      </c>
      <c r="BM4" s="142">
        <v>8</v>
      </c>
      <c r="BN4" s="142">
        <v>8</v>
      </c>
      <c r="BO4" s="142">
        <v>10</v>
      </c>
      <c r="BP4" s="142">
        <v>10</v>
      </c>
      <c r="BQ4" s="142">
        <v>10</v>
      </c>
      <c r="BR4" s="142">
        <v>11.112500000000001</v>
      </c>
      <c r="BS4" s="142">
        <v>11.112500000000001</v>
      </c>
      <c r="BT4" s="142">
        <v>11.112500000000001</v>
      </c>
      <c r="BU4" s="142">
        <v>12</v>
      </c>
      <c r="BV4" s="142">
        <v>12</v>
      </c>
      <c r="BW4" s="142">
        <v>12</v>
      </c>
      <c r="BX4" s="142">
        <v>14</v>
      </c>
      <c r="BY4" s="142">
        <v>14</v>
      </c>
      <c r="BZ4" s="142">
        <v>16</v>
      </c>
      <c r="CA4" s="142">
        <v>16</v>
      </c>
      <c r="CB4" s="142">
        <v>18</v>
      </c>
      <c r="CC4" s="142">
        <v>18</v>
      </c>
      <c r="CD4" s="142">
        <v>20</v>
      </c>
      <c r="CE4" s="143">
        <v>20</v>
      </c>
      <c r="CF4" s="110">
        <v>10</v>
      </c>
      <c r="CG4" s="110">
        <v>10</v>
      </c>
      <c r="CH4" s="110">
        <v>10</v>
      </c>
      <c r="CI4" s="160">
        <v>11.112500000000001</v>
      </c>
      <c r="CJ4" s="149">
        <v>12</v>
      </c>
      <c r="CK4" s="149">
        <v>12</v>
      </c>
      <c r="CL4" s="149">
        <v>12</v>
      </c>
      <c r="CM4" s="111">
        <v>14</v>
      </c>
      <c r="CN4" s="111">
        <v>14</v>
      </c>
    </row>
    <row r="5" spans="3:94" s="8" customFormat="1" x14ac:dyDescent="0.25">
      <c r="I5" s="70">
        <f>User_Screw_Compute!C4</f>
        <v>1.5</v>
      </c>
      <c r="J5" s="22" t="s">
        <v>24</v>
      </c>
      <c r="K5" s="139" t="s">
        <v>22</v>
      </c>
      <c r="L5" s="144">
        <v>0.5</v>
      </c>
      <c r="M5" s="56">
        <v>0.7</v>
      </c>
      <c r="N5" s="56">
        <v>0.8</v>
      </c>
      <c r="O5" s="56">
        <v>1</v>
      </c>
      <c r="P5" s="56">
        <v>1</v>
      </c>
      <c r="Q5" s="56">
        <v>1</v>
      </c>
      <c r="R5" s="56">
        <v>1.25</v>
      </c>
      <c r="S5" s="56">
        <v>1</v>
      </c>
      <c r="T5" s="56">
        <v>1.25</v>
      </c>
      <c r="U5" s="56">
        <v>1.5</v>
      </c>
      <c r="V5" s="56">
        <v>1</v>
      </c>
      <c r="W5" s="56">
        <v>1.25</v>
      </c>
      <c r="X5" s="56">
        <v>1.5</v>
      </c>
      <c r="Y5" s="56">
        <v>1.25</v>
      </c>
      <c r="Z5" s="56">
        <v>1.5</v>
      </c>
      <c r="AA5" s="56">
        <v>1.75</v>
      </c>
      <c r="AB5" s="56">
        <v>1.5</v>
      </c>
      <c r="AC5" s="56">
        <v>2</v>
      </c>
      <c r="AD5" s="56">
        <v>1.5</v>
      </c>
      <c r="AE5" s="56">
        <v>2</v>
      </c>
      <c r="AF5" s="56">
        <v>1.5</v>
      </c>
      <c r="AG5" s="56">
        <v>2.5</v>
      </c>
      <c r="AH5" s="56">
        <v>1.5</v>
      </c>
      <c r="AI5" s="145">
        <v>2.5</v>
      </c>
      <c r="AJ5" s="144">
        <v>0.5</v>
      </c>
      <c r="AK5" s="56">
        <v>0.7</v>
      </c>
      <c r="AL5" s="56">
        <v>0.8</v>
      </c>
      <c r="AM5" s="56">
        <v>1</v>
      </c>
      <c r="AN5" s="56">
        <v>1</v>
      </c>
      <c r="AO5" s="56">
        <v>1</v>
      </c>
      <c r="AP5" s="56">
        <v>1.25</v>
      </c>
      <c r="AQ5" s="56">
        <v>1</v>
      </c>
      <c r="AR5" s="56">
        <v>1.25</v>
      </c>
      <c r="AS5" s="56">
        <v>1.5</v>
      </c>
      <c r="AT5" s="56">
        <v>1</v>
      </c>
      <c r="AU5" s="56">
        <v>1.25</v>
      </c>
      <c r="AV5" s="56">
        <v>1.5</v>
      </c>
      <c r="AW5" s="56">
        <v>1.25</v>
      </c>
      <c r="AX5" s="56">
        <v>1.5</v>
      </c>
      <c r="AY5" s="56">
        <v>1.75</v>
      </c>
      <c r="AZ5" s="56">
        <v>1.5</v>
      </c>
      <c r="BA5" s="56">
        <v>2</v>
      </c>
      <c r="BB5" s="56">
        <v>1.5</v>
      </c>
      <c r="BC5" s="56">
        <v>2</v>
      </c>
      <c r="BD5" s="56">
        <v>1.5</v>
      </c>
      <c r="BE5" s="56">
        <v>2.5</v>
      </c>
      <c r="BF5" s="56">
        <v>1.5</v>
      </c>
      <c r="BG5" s="145">
        <v>2.5</v>
      </c>
      <c r="BH5" s="144">
        <v>0.5</v>
      </c>
      <c r="BI5" s="56">
        <v>0.7</v>
      </c>
      <c r="BJ5" s="56">
        <v>0.8</v>
      </c>
      <c r="BK5" s="56">
        <v>1</v>
      </c>
      <c r="BL5" s="56">
        <v>1</v>
      </c>
      <c r="BM5" s="56">
        <v>1</v>
      </c>
      <c r="BN5" s="56">
        <v>1.25</v>
      </c>
      <c r="BO5" s="56">
        <v>1</v>
      </c>
      <c r="BP5" s="56">
        <v>1.25</v>
      </c>
      <c r="BQ5" s="56">
        <v>1.5</v>
      </c>
      <c r="BR5" s="56">
        <v>1</v>
      </c>
      <c r="BS5" s="56">
        <v>1.25</v>
      </c>
      <c r="BT5" s="56">
        <v>1.5</v>
      </c>
      <c r="BU5" s="56">
        <v>1.25</v>
      </c>
      <c r="BV5" s="56">
        <v>1.5</v>
      </c>
      <c r="BW5" s="56">
        <v>1.75</v>
      </c>
      <c r="BX5" s="56">
        <v>1.5</v>
      </c>
      <c r="BY5" s="56">
        <v>2</v>
      </c>
      <c r="BZ5" s="56">
        <v>1.5</v>
      </c>
      <c r="CA5" s="56">
        <v>2</v>
      </c>
      <c r="CB5" s="56">
        <v>1.5</v>
      </c>
      <c r="CC5" s="56">
        <v>2.5</v>
      </c>
      <c r="CD5" s="56">
        <v>1.5</v>
      </c>
      <c r="CE5" s="145">
        <v>2.5</v>
      </c>
      <c r="CF5" s="144">
        <v>1</v>
      </c>
      <c r="CG5" s="144">
        <v>1.25</v>
      </c>
      <c r="CH5" s="144">
        <v>1.5</v>
      </c>
      <c r="CI5" s="144">
        <v>1.5</v>
      </c>
      <c r="CJ5" s="56">
        <v>1.25</v>
      </c>
      <c r="CK5" s="56">
        <v>1.5</v>
      </c>
      <c r="CL5" s="56">
        <v>1.75</v>
      </c>
      <c r="CM5" s="145">
        <v>1.5</v>
      </c>
      <c r="CN5" s="145">
        <v>2</v>
      </c>
    </row>
    <row r="6" spans="3:94" s="8" customFormat="1" ht="15.75" thickBot="1" x14ac:dyDescent="0.3">
      <c r="I6" s="70">
        <f>User_Screw_Compute!C5</f>
        <v>11.9</v>
      </c>
      <c r="J6" s="22" t="s">
        <v>29</v>
      </c>
      <c r="K6" s="139" t="s">
        <v>30</v>
      </c>
      <c r="L6" s="146">
        <v>6.8</v>
      </c>
      <c r="M6" s="147">
        <v>6.8</v>
      </c>
      <c r="N6" s="147">
        <v>6.8</v>
      </c>
      <c r="O6" s="147">
        <v>6.8</v>
      </c>
      <c r="P6" s="147">
        <v>6.8</v>
      </c>
      <c r="Q6" s="147">
        <v>6.8</v>
      </c>
      <c r="R6" s="147">
        <v>6.8</v>
      </c>
      <c r="S6" s="147">
        <v>6.8</v>
      </c>
      <c r="T6" s="147">
        <v>6.8</v>
      </c>
      <c r="U6" s="147">
        <v>6.8</v>
      </c>
      <c r="V6" s="147">
        <v>6.8</v>
      </c>
      <c r="W6" s="147">
        <v>6.8</v>
      </c>
      <c r="X6" s="147">
        <v>6.8</v>
      </c>
      <c r="Y6" s="147">
        <v>6.8</v>
      </c>
      <c r="Z6" s="147">
        <v>6.8</v>
      </c>
      <c r="AA6" s="147">
        <v>6.8</v>
      </c>
      <c r="AB6" s="147">
        <v>6.8</v>
      </c>
      <c r="AC6" s="147">
        <v>6.8</v>
      </c>
      <c r="AD6" s="147">
        <v>6.8</v>
      </c>
      <c r="AE6" s="147">
        <v>6.8</v>
      </c>
      <c r="AF6" s="147">
        <v>6.8</v>
      </c>
      <c r="AG6" s="147">
        <v>6.8</v>
      </c>
      <c r="AH6" s="147">
        <v>6.8</v>
      </c>
      <c r="AI6" s="148">
        <v>6.8</v>
      </c>
      <c r="AJ6" s="146">
        <v>8.8000000000000007</v>
      </c>
      <c r="AK6" s="147">
        <v>8.8000000000000007</v>
      </c>
      <c r="AL6" s="147">
        <v>8.8000000000000007</v>
      </c>
      <c r="AM6" s="147">
        <v>8.8000000000000007</v>
      </c>
      <c r="AN6" s="147">
        <v>8.8000000000000007</v>
      </c>
      <c r="AO6" s="147">
        <v>8.8000000000000007</v>
      </c>
      <c r="AP6" s="147">
        <v>8.8000000000000007</v>
      </c>
      <c r="AQ6" s="147">
        <v>8.8000000000000007</v>
      </c>
      <c r="AR6" s="147">
        <v>8.8000000000000007</v>
      </c>
      <c r="AS6" s="147">
        <v>8.8000000000000007</v>
      </c>
      <c r="AT6" s="147">
        <v>8.8000000000000007</v>
      </c>
      <c r="AU6" s="147">
        <v>8.8000000000000007</v>
      </c>
      <c r="AV6" s="147">
        <v>8.8000000000000007</v>
      </c>
      <c r="AW6" s="147">
        <v>8.8000000000000007</v>
      </c>
      <c r="AX6" s="147">
        <v>8.8000000000000007</v>
      </c>
      <c r="AY6" s="147">
        <v>8.8000000000000007</v>
      </c>
      <c r="AZ6" s="147">
        <v>8.8000000000000007</v>
      </c>
      <c r="BA6" s="147">
        <v>8.8000000000000007</v>
      </c>
      <c r="BB6" s="147">
        <v>8.8000000000000007</v>
      </c>
      <c r="BC6" s="147">
        <v>8.8000000000000007</v>
      </c>
      <c r="BD6" s="147">
        <v>8.8000000000000007</v>
      </c>
      <c r="BE6" s="147">
        <v>8.8000000000000007</v>
      </c>
      <c r="BF6" s="147">
        <v>8.8000000000000007</v>
      </c>
      <c r="BG6" s="148">
        <v>8.8000000000000007</v>
      </c>
      <c r="BH6" s="146">
        <v>10.9</v>
      </c>
      <c r="BI6" s="147">
        <v>10.9</v>
      </c>
      <c r="BJ6" s="147">
        <v>10.9</v>
      </c>
      <c r="BK6" s="147">
        <v>10.9</v>
      </c>
      <c r="BL6" s="147">
        <v>10.9</v>
      </c>
      <c r="BM6" s="147">
        <v>10.9</v>
      </c>
      <c r="BN6" s="147">
        <v>10.9</v>
      </c>
      <c r="BO6" s="147">
        <v>10.9</v>
      </c>
      <c r="BP6" s="147">
        <v>10.9</v>
      </c>
      <c r="BQ6" s="147">
        <v>10.9</v>
      </c>
      <c r="BR6" s="147">
        <v>10.9</v>
      </c>
      <c r="BS6" s="147">
        <v>10.9</v>
      </c>
      <c r="BT6" s="147">
        <v>10.9</v>
      </c>
      <c r="BU6" s="147">
        <v>10.9</v>
      </c>
      <c r="BV6" s="147">
        <v>10.9</v>
      </c>
      <c r="BW6" s="147">
        <v>10.9</v>
      </c>
      <c r="BX6" s="147">
        <v>10.9</v>
      </c>
      <c r="BY6" s="147">
        <v>10.9</v>
      </c>
      <c r="BZ6" s="147">
        <v>10.9</v>
      </c>
      <c r="CA6" s="147">
        <v>10.9</v>
      </c>
      <c r="CB6" s="147">
        <v>10.9</v>
      </c>
      <c r="CC6" s="147">
        <v>10.9</v>
      </c>
      <c r="CD6" s="147">
        <v>10.9</v>
      </c>
      <c r="CE6" s="148">
        <v>10.9</v>
      </c>
      <c r="CF6" s="150">
        <v>11.9</v>
      </c>
      <c r="CG6" s="150">
        <v>11.9</v>
      </c>
      <c r="CH6" s="150">
        <v>11.9</v>
      </c>
      <c r="CI6" s="150">
        <v>11.9</v>
      </c>
      <c r="CJ6" s="151">
        <v>11.9</v>
      </c>
      <c r="CK6" s="151">
        <v>11.9</v>
      </c>
      <c r="CL6" s="151">
        <v>11.9</v>
      </c>
      <c r="CM6" s="136">
        <v>11.9</v>
      </c>
      <c r="CN6" s="136">
        <v>11.9</v>
      </c>
    </row>
    <row r="7" spans="3:94" s="8" customFormat="1" x14ac:dyDescent="0.25">
      <c r="I7" s="70"/>
      <c r="J7" s="22"/>
      <c r="K7" s="55" t="s">
        <v>109</v>
      </c>
      <c r="L7" s="140" t="str">
        <f>CONCATENATE("M",L4," - ",L5," - ",L6)</f>
        <v>M3 - 0.5 - 6.8</v>
      </c>
      <c r="M7" s="140" t="str">
        <f t="shared" ref="M7:CN7" si="0">CONCATENATE("M",M4," - ",M5," - ",M6)</f>
        <v>M4 - 0.7 - 6.8</v>
      </c>
      <c r="N7" s="140" t="str">
        <f t="shared" si="0"/>
        <v>M5 - 0.8 - 6.8</v>
      </c>
      <c r="O7" s="140" t="str">
        <f t="shared" si="0"/>
        <v>M6 - 1 - 6.8</v>
      </c>
      <c r="P7" s="140" t="str">
        <f t="shared" si="0"/>
        <v>M7 - 1 - 6.8</v>
      </c>
      <c r="Q7" s="140" t="str">
        <f t="shared" si="0"/>
        <v>M8 - 1 - 6.8</v>
      </c>
      <c r="R7" s="140" t="str">
        <f t="shared" si="0"/>
        <v>M8 - 1.25 - 6.8</v>
      </c>
      <c r="S7" s="140" t="str">
        <f t="shared" si="0"/>
        <v>M10 - 1 - 6.8</v>
      </c>
      <c r="T7" s="140" t="str">
        <f t="shared" si="0"/>
        <v>M10 - 1.25 - 6.8</v>
      </c>
      <c r="U7" s="140" t="str">
        <f t="shared" si="0"/>
        <v>M10 - 1.5 - 6.8</v>
      </c>
      <c r="V7" s="140" t="str">
        <f t="shared" ref="V7:X7" si="1">CONCATENATE("M",V4," - ",V5," - ",V6)</f>
        <v>M11.1125 - 1 - 6.8</v>
      </c>
      <c r="W7" s="140" t="str">
        <f t="shared" si="1"/>
        <v>M11.1125 - 1.25 - 6.8</v>
      </c>
      <c r="X7" s="140" t="str">
        <f t="shared" si="1"/>
        <v>M11.1125 - 1.5 - 6.8</v>
      </c>
      <c r="Y7" s="140" t="str">
        <f t="shared" si="0"/>
        <v>M12 - 1.25 - 6.8</v>
      </c>
      <c r="Z7" s="140" t="str">
        <f t="shared" si="0"/>
        <v>M12 - 1.5 - 6.8</v>
      </c>
      <c r="AA7" s="140" t="str">
        <f t="shared" si="0"/>
        <v>M12 - 1.75 - 6.8</v>
      </c>
      <c r="AB7" s="140" t="str">
        <f t="shared" ref="AB7" si="2">CONCATENATE("M",AB4," - ",AB5," - ",AB6)</f>
        <v>M14 - 1.5 - 6.8</v>
      </c>
      <c r="AC7" s="140" t="str">
        <f t="shared" si="0"/>
        <v>M14 - 2 - 6.8</v>
      </c>
      <c r="AD7" s="140" t="str">
        <f t="shared" si="0"/>
        <v>M16 - 1.5 - 6.8</v>
      </c>
      <c r="AE7" s="140" t="str">
        <f t="shared" si="0"/>
        <v>M16 - 2 - 6.8</v>
      </c>
      <c r="AF7" s="140" t="str">
        <f t="shared" si="0"/>
        <v>M18 - 1.5 - 6.8</v>
      </c>
      <c r="AG7" s="140" t="str">
        <f t="shared" si="0"/>
        <v>M18 - 2.5 - 6.8</v>
      </c>
      <c r="AH7" s="140" t="str">
        <f t="shared" si="0"/>
        <v>M20 - 1.5 - 6.8</v>
      </c>
      <c r="AI7" s="140" t="str">
        <f t="shared" si="0"/>
        <v>M20 - 2.5 - 6.8</v>
      </c>
      <c r="AJ7" s="140" t="str">
        <f t="shared" si="0"/>
        <v>M3 - 0.5 - 8.8</v>
      </c>
      <c r="AK7" s="140" t="str">
        <f t="shared" si="0"/>
        <v>M4 - 0.7 - 8.8</v>
      </c>
      <c r="AL7" s="140" t="str">
        <f t="shared" si="0"/>
        <v>M5 - 0.8 - 8.8</v>
      </c>
      <c r="AM7" s="140" t="str">
        <f t="shared" si="0"/>
        <v>M6 - 1 - 8.8</v>
      </c>
      <c r="AN7" s="140" t="str">
        <f t="shared" si="0"/>
        <v>M7 - 1 - 8.8</v>
      </c>
      <c r="AO7" s="140" t="str">
        <f t="shared" si="0"/>
        <v>M8 - 1 - 8.8</v>
      </c>
      <c r="AP7" s="140" t="str">
        <f t="shared" si="0"/>
        <v>M8 - 1.25 - 8.8</v>
      </c>
      <c r="AQ7" s="140" t="str">
        <f t="shared" si="0"/>
        <v>M10 - 1 - 8.8</v>
      </c>
      <c r="AR7" s="140" t="str">
        <f t="shared" si="0"/>
        <v>M10 - 1.25 - 8.8</v>
      </c>
      <c r="AS7" s="140" t="str">
        <f t="shared" si="0"/>
        <v>M10 - 1.5 - 8.8</v>
      </c>
      <c r="AT7" s="140" t="str">
        <f t="shared" ref="AT7:AV7" si="3">CONCATENATE("M",AT4," - ",AT5," - ",AT6)</f>
        <v>M11.1125 - 1 - 8.8</v>
      </c>
      <c r="AU7" s="140" t="str">
        <f t="shared" si="3"/>
        <v>M11.1125 - 1.25 - 8.8</v>
      </c>
      <c r="AV7" s="140" t="str">
        <f t="shared" si="3"/>
        <v>M11.1125 - 1.5 - 8.8</v>
      </c>
      <c r="AW7" s="140" t="str">
        <f t="shared" si="0"/>
        <v>M12 - 1.25 - 8.8</v>
      </c>
      <c r="AX7" s="140" t="str">
        <f t="shared" si="0"/>
        <v>M12 - 1.5 - 8.8</v>
      </c>
      <c r="AY7" s="140" t="str">
        <f t="shared" si="0"/>
        <v>M12 - 1.75 - 8.8</v>
      </c>
      <c r="AZ7" s="140" t="str">
        <f t="shared" si="0"/>
        <v>M14 - 1.5 - 8.8</v>
      </c>
      <c r="BA7" s="140" t="str">
        <f t="shared" si="0"/>
        <v>M14 - 2 - 8.8</v>
      </c>
      <c r="BB7" s="140" t="str">
        <f t="shared" si="0"/>
        <v>M16 - 1.5 - 8.8</v>
      </c>
      <c r="BC7" s="140" t="str">
        <f t="shared" si="0"/>
        <v>M16 - 2 - 8.8</v>
      </c>
      <c r="BD7" s="140" t="str">
        <f t="shared" si="0"/>
        <v>M18 - 1.5 - 8.8</v>
      </c>
      <c r="BE7" s="140" t="str">
        <f t="shared" si="0"/>
        <v>M18 - 2.5 - 8.8</v>
      </c>
      <c r="BF7" s="140" t="str">
        <f t="shared" si="0"/>
        <v>M20 - 1.5 - 8.8</v>
      </c>
      <c r="BG7" s="140" t="str">
        <f t="shared" si="0"/>
        <v>M20 - 2.5 - 8.8</v>
      </c>
      <c r="BH7" s="140" t="str">
        <f t="shared" si="0"/>
        <v>M3 - 0.5 - 10.9</v>
      </c>
      <c r="BI7" s="140" t="str">
        <f t="shared" si="0"/>
        <v>M4 - 0.7 - 10.9</v>
      </c>
      <c r="BJ7" s="140" t="str">
        <f t="shared" si="0"/>
        <v>M5 - 0.8 - 10.9</v>
      </c>
      <c r="BK7" s="140" t="str">
        <f t="shared" si="0"/>
        <v>M6 - 1 - 10.9</v>
      </c>
      <c r="BL7" s="140" t="str">
        <f t="shared" si="0"/>
        <v>M7 - 1 - 10.9</v>
      </c>
      <c r="BM7" s="140" t="str">
        <f t="shared" si="0"/>
        <v>M8 - 1 - 10.9</v>
      </c>
      <c r="BN7" s="140" t="str">
        <f t="shared" si="0"/>
        <v>M8 - 1.25 - 10.9</v>
      </c>
      <c r="BO7" s="140" t="str">
        <f t="shared" si="0"/>
        <v>M10 - 1 - 10.9</v>
      </c>
      <c r="BP7" s="140" t="str">
        <f t="shared" si="0"/>
        <v>M10 - 1.25 - 10.9</v>
      </c>
      <c r="BQ7" s="140" t="str">
        <f t="shared" si="0"/>
        <v>M10 - 1.5 - 10.9</v>
      </c>
      <c r="BR7" s="140" t="str">
        <f t="shared" ref="BR7:BT7" si="4">CONCATENATE("M",BR4," - ",BR5," - ",BR6)</f>
        <v>M11.1125 - 1 - 10.9</v>
      </c>
      <c r="BS7" s="140" t="str">
        <f t="shared" si="4"/>
        <v>M11.1125 - 1.25 - 10.9</v>
      </c>
      <c r="BT7" s="140" t="str">
        <f t="shared" si="4"/>
        <v>M11.1125 - 1.5 - 10.9</v>
      </c>
      <c r="BU7" s="140" t="str">
        <f t="shared" si="0"/>
        <v>M12 - 1.25 - 10.9</v>
      </c>
      <c r="BV7" s="140" t="str">
        <f t="shared" si="0"/>
        <v>M12 - 1.5 - 10.9</v>
      </c>
      <c r="BW7" s="140" t="str">
        <f t="shared" si="0"/>
        <v>M12 - 1.75 - 10.9</v>
      </c>
      <c r="BX7" s="140" t="str">
        <f t="shared" si="0"/>
        <v>M14 - 1.5 - 10.9</v>
      </c>
      <c r="BY7" s="140" t="str">
        <f t="shared" si="0"/>
        <v>M14 - 2 - 10.9</v>
      </c>
      <c r="BZ7" s="140" t="str">
        <f t="shared" si="0"/>
        <v>M16 - 1.5 - 10.9</v>
      </c>
      <c r="CA7" s="140" t="str">
        <f t="shared" si="0"/>
        <v>M16 - 2 - 10.9</v>
      </c>
      <c r="CB7" s="140" t="str">
        <f t="shared" si="0"/>
        <v>M18 - 1.5 - 10.9</v>
      </c>
      <c r="CC7" s="140" t="str">
        <f t="shared" si="0"/>
        <v>M18 - 2.5 - 10.9</v>
      </c>
      <c r="CD7" s="140" t="str">
        <f t="shared" si="0"/>
        <v>M20 - 1.5 - 10.9</v>
      </c>
      <c r="CE7" s="140" t="str">
        <f t="shared" si="0"/>
        <v>M20 - 2.5 - 10.9</v>
      </c>
      <c r="CF7" s="140" t="str">
        <f t="shared" ref="CF7:CG7" si="5">CONCATENATE("M",CF4," - ",CF5," - ",CF6)</f>
        <v>M10 - 1 - 11.9</v>
      </c>
      <c r="CG7" s="140" t="str">
        <f t="shared" si="5"/>
        <v>M10 - 1.25 - 11.9</v>
      </c>
      <c r="CH7" s="140" t="str">
        <f t="shared" si="0"/>
        <v>M10 - 1.5 - 11.9</v>
      </c>
      <c r="CI7" s="140" t="str">
        <f t="shared" ref="CI7:CJ7" si="6">CONCATENATE("M",CI4," - ",CI5," - ",CI6)</f>
        <v>M11.1125 - 1.5 - 11.9</v>
      </c>
      <c r="CJ7" s="140" t="str">
        <f t="shared" si="6"/>
        <v>M12 - 1.25 - 11.9</v>
      </c>
      <c r="CK7" s="140" t="str">
        <f t="shared" ref="CK7" si="7">CONCATENATE("M",CK4," - ",CK5," - ",CK6)</f>
        <v>M12 - 1.5 - 11.9</v>
      </c>
      <c r="CL7" s="140" t="str">
        <f t="shared" si="0"/>
        <v>M12 - 1.75 - 11.9</v>
      </c>
      <c r="CM7" s="140" t="str">
        <f t="shared" ref="CM7" si="8">CONCATENATE("M",CM4," - ",CM5," - ",CM6)</f>
        <v>M14 - 1.5 - 11.9</v>
      </c>
      <c r="CN7" s="140" t="str">
        <f t="shared" si="0"/>
        <v>M14 - 2 - 11.9</v>
      </c>
    </row>
    <row r="8" spans="3:94" ht="14.25" customHeight="1" x14ac:dyDescent="0.25">
      <c r="I8" s="63">
        <f t="shared" ref="I8" si="9">I45</f>
        <v>137000</v>
      </c>
      <c r="K8" s="30" t="s">
        <v>38</v>
      </c>
      <c r="L8" s="54">
        <f>L45</f>
        <v>3020</v>
      </c>
      <c r="M8" s="54">
        <f t="shared" ref="M8:AA8" si="10">M45</f>
        <v>5270</v>
      </c>
      <c r="N8" s="54">
        <f t="shared" si="10"/>
        <v>8510</v>
      </c>
      <c r="O8" s="54">
        <f t="shared" si="10"/>
        <v>12070</v>
      </c>
      <c r="P8" s="54">
        <f t="shared" si="10"/>
        <v>17320</v>
      </c>
      <c r="Q8" s="54">
        <f t="shared" si="10"/>
        <v>23500</v>
      </c>
      <c r="R8" s="54">
        <f t="shared" si="10"/>
        <v>21970</v>
      </c>
      <c r="S8" s="54">
        <f t="shared" si="10"/>
        <v>38700</v>
      </c>
      <c r="T8" s="54">
        <f t="shared" si="10"/>
        <v>36720</v>
      </c>
      <c r="U8" s="54">
        <f t="shared" si="10"/>
        <v>34790</v>
      </c>
      <c r="V8" s="54">
        <f t="shared" ref="V8:X8" si="11">V45</f>
        <v>48780</v>
      </c>
      <c r="W8" s="54">
        <f t="shared" si="11"/>
        <v>46560</v>
      </c>
      <c r="X8" s="54">
        <f t="shared" si="11"/>
        <v>44390</v>
      </c>
      <c r="Y8" s="54">
        <f t="shared" si="10"/>
        <v>55240</v>
      </c>
      <c r="Z8" s="54">
        <f t="shared" si="10"/>
        <v>52880</v>
      </c>
      <c r="AA8" s="54">
        <f t="shared" si="10"/>
        <v>50560</v>
      </c>
      <c r="AB8" s="54">
        <f t="shared" ref="AB8:AD8" si="12">AB45</f>
        <v>74730</v>
      </c>
      <c r="AC8" s="54">
        <f t="shared" si="12"/>
        <v>69260</v>
      </c>
      <c r="AD8" s="54">
        <f t="shared" si="12"/>
        <v>100350</v>
      </c>
      <c r="AE8" s="54">
        <f t="shared" ref="AE8:AM8" si="13">AE45</f>
        <v>94000</v>
      </c>
      <c r="AF8" s="54">
        <f t="shared" si="13"/>
        <v>129740</v>
      </c>
      <c r="AG8" s="54">
        <f t="shared" si="13"/>
        <v>115480</v>
      </c>
      <c r="AH8" s="54">
        <f t="shared" si="13"/>
        <v>162900</v>
      </c>
      <c r="AI8" s="54">
        <f t="shared" si="13"/>
        <v>146880</v>
      </c>
      <c r="AJ8" s="54">
        <f t="shared" si="13"/>
        <v>4020</v>
      </c>
      <c r="AK8" s="54">
        <f t="shared" si="13"/>
        <v>7020</v>
      </c>
      <c r="AL8" s="54">
        <f t="shared" si="13"/>
        <v>11350</v>
      </c>
      <c r="AM8" s="54">
        <f t="shared" si="13"/>
        <v>16100</v>
      </c>
      <c r="AN8" s="54">
        <f t="shared" ref="AN8:BD8" si="14">AN45</f>
        <v>23090</v>
      </c>
      <c r="AO8" s="54">
        <f t="shared" si="14"/>
        <v>31330</v>
      </c>
      <c r="AP8" s="54">
        <f t="shared" si="14"/>
        <v>29290</v>
      </c>
      <c r="AQ8" s="54">
        <f t="shared" si="14"/>
        <v>51600</v>
      </c>
      <c r="AR8" s="54">
        <f t="shared" si="14"/>
        <v>48960</v>
      </c>
      <c r="AS8" s="54">
        <f t="shared" si="14"/>
        <v>46390</v>
      </c>
      <c r="AT8" s="54">
        <f t="shared" ref="AT8:AV8" si="15">AT45</f>
        <v>65040</v>
      </c>
      <c r="AU8" s="54">
        <f t="shared" si="15"/>
        <v>62080</v>
      </c>
      <c r="AV8" s="54">
        <f t="shared" si="15"/>
        <v>59180</v>
      </c>
      <c r="AW8" s="54">
        <f t="shared" si="14"/>
        <v>73660</v>
      </c>
      <c r="AX8" s="54">
        <f t="shared" si="14"/>
        <v>70500</v>
      </c>
      <c r="AY8" s="54">
        <f t="shared" si="14"/>
        <v>67410</v>
      </c>
      <c r="AZ8" s="54">
        <f t="shared" si="14"/>
        <v>99640</v>
      </c>
      <c r="BA8" s="54">
        <f t="shared" si="14"/>
        <v>92350</v>
      </c>
      <c r="BB8" s="54">
        <f t="shared" si="14"/>
        <v>133800</v>
      </c>
      <c r="BC8" s="54">
        <f t="shared" si="14"/>
        <v>125330</v>
      </c>
      <c r="BD8" s="54">
        <f t="shared" si="14"/>
        <v>172990</v>
      </c>
      <c r="BE8" s="54">
        <f t="shared" ref="BE8:CN8" si="16">BE45</f>
        <v>153980</v>
      </c>
      <c r="BF8" s="54">
        <f t="shared" si="16"/>
        <v>217200</v>
      </c>
      <c r="BG8" s="54">
        <f t="shared" si="16"/>
        <v>195840</v>
      </c>
      <c r="BH8" s="54">
        <f t="shared" si="16"/>
        <v>5230</v>
      </c>
      <c r="BI8" s="54">
        <f t="shared" si="16"/>
        <v>9130</v>
      </c>
      <c r="BJ8" s="54">
        <f t="shared" si="16"/>
        <v>14750</v>
      </c>
      <c r="BK8" s="54">
        <f t="shared" si="16"/>
        <v>20930</v>
      </c>
      <c r="BL8" s="54">
        <f t="shared" si="16"/>
        <v>30010</v>
      </c>
      <c r="BM8" s="54">
        <f t="shared" si="16"/>
        <v>40730</v>
      </c>
      <c r="BN8" s="54">
        <f t="shared" si="16"/>
        <v>38070</v>
      </c>
      <c r="BO8" s="54">
        <f t="shared" si="16"/>
        <v>67070</v>
      </c>
      <c r="BP8" s="54">
        <f t="shared" si="16"/>
        <v>63650</v>
      </c>
      <c r="BQ8" s="54">
        <f t="shared" si="16"/>
        <v>60310</v>
      </c>
      <c r="BR8" s="54">
        <f t="shared" ref="BR8:BS8" si="17">BR45</f>
        <v>84550</v>
      </c>
      <c r="BS8" s="54">
        <f t="shared" si="17"/>
        <v>80700</v>
      </c>
      <c r="BT8" s="54">
        <f>BT45</f>
        <v>76940</v>
      </c>
      <c r="BU8" s="54">
        <f t="shared" si="16"/>
        <v>95750</v>
      </c>
      <c r="BV8" s="54">
        <f t="shared" si="16"/>
        <v>91650</v>
      </c>
      <c r="BW8" s="54">
        <f t="shared" si="16"/>
        <v>87640</v>
      </c>
      <c r="BX8" s="54">
        <f t="shared" si="16"/>
        <v>129530</v>
      </c>
      <c r="BY8" s="54">
        <f t="shared" si="16"/>
        <v>120060</v>
      </c>
      <c r="BZ8" s="54">
        <f t="shared" si="16"/>
        <v>173940</v>
      </c>
      <c r="CA8" s="54">
        <f t="shared" si="16"/>
        <v>162930</v>
      </c>
      <c r="CB8" s="54">
        <f t="shared" si="16"/>
        <v>224880</v>
      </c>
      <c r="CC8" s="54">
        <f t="shared" si="16"/>
        <v>200170</v>
      </c>
      <c r="CD8" s="54">
        <f t="shared" si="16"/>
        <v>282360</v>
      </c>
      <c r="CE8" s="54">
        <f t="shared" si="16"/>
        <v>254590</v>
      </c>
      <c r="CF8" s="54">
        <f t="shared" ref="CF8:CG8" si="18">CF45</f>
        <v>70940</v>
      </c>
      <c r="CG8" s="54">
        <f t="shared" si="18"/>
        <v>67320</v>
      </c>
      <c r="CH8" s="54">
        <f t="shared" si="16"/>
        <v>63790</v>
      </c>
      <c r="CI8" s="54">
        <f t="shared" ref="CI8:CJ8" si="19">CI45</f>
        <v>81380</v>
      </c>
      <c r="CJ8" s="54">
        <f t="shared" si="19"/>
        <v>101280</v>
      </c>
      <c r="CK8" s="54">
        <f t="shared" ref="CK8" si="20">CK45</f>
        <v>96940</v>
      </c>
      <c r="CL8" s="54">
        <f t="shared" si="16"/>
        <v>92690</v>
      </c>
      <c r="CM8" s="54">
        <f t="shared" ref="CM8" si="21">CM45</f>
        <v>137000</v>
      </c>
      <c r="CN8" s="54">
        <f t="shared" si="16"/>
        <v>126980</v>
      </c>
    </row>
    <row r="9" spans="3:94" s="8" customFormat="1" x14ac:dyDescent="0.25">
      <c r="I9" s="63">
        <f t="shared" ref="I9" si="22">I46</f>
        <v>82040</v>
      </c>
      <c r="K9" s="30" t="s">
        <v>39</v>
      </c>
      <c r="L9" s="54">
        <f>L46</f>
        <v>1810</v>
      </c>
      <c r="M9" s="54">
        <f t="shared" ref="M9:R9" si="23">M46</f>
        <v>3160</v>
      </c>
      <c r="N9" s="54">
        <f t="shared" si="23"/>
        <v>5100</v>
      </c>
      <c r="O9" s="54">
        <f t="shared" si="23"/>
        <v>7230</v>
      </c>
      <c r="P9" s="54">
        <f t="shared" si="23"/>
        <v>10370</v>
      </c>
      <c r="Q9" s="54">
        <f t="shared" si="23"/>
        <v>14070</v>
      </c>
      <c r="R9" s="54">
        <f t="shared" si="23"/>
        <v>13160</v>
      </c>
      <c r="S9" s="54">
        <f t="shared" ref="S9:Y9" si="24">S46</f>
        <v>23170</v>
      </c>
      <c r="T9" s="54">
        <f t="shared" si="24"/>
        <v>21990</v>
      </c>
      <c r="U9" s="54">
        <f t="shared" si="24"/>
        <v>20830</v>
      </c>
      <c r="V9" s="54">
        <f t="shared" ref="V9:X9" si="25">V46</f>
        <v>29210</v>
      </c>
      <c r="W9" s="54">
        <f t="shared" si="25"/>
        <v>27880</v>
      </c>
      <c r="X9" s="54">
        <f t="shared" si="25"/>
        <v>26580</v>
      </c>
      <c r="Y9" s="54">
        <f t="shared" si="24"/>
        <v>33080</v>
      </c>
      <c r="Z9" s="54">
        <f t="shared" ref="Z9:AA9" si="26">Z46</f>
        <v>31660</v>
      </c>
      <c r="AA9" s="54">
        <f t="shared" si="26"/>
        <v>30280</v>
      </c>
      <c r="AB9" s="54">
        <f t="shared" ref="AB9:AD9" si="27">AB46</f>
        <v>44750</v>
      </c>
      <c r="AC9" s="54">
        <f t="shared" si="27"/>
        <v>41470</v>
      </c>
      <c r="AD9" s="54">
        <f t="shared" si="27"/>
        <v>60090</v>
      </c>
      <c r="AE9" s="54">
        <f t="shared" ref="AE9:AM9" si="28">AE46</f>
        <v>56290</v>
      </c>
      <c r="AF9" s="54">
        <f t="shared" si="28"/>
        <v>77690</v>
      </c>
      <c r="AG9" s="54">
        <f t="shared" si="28"/>
        <v>69150</v>
      </c>
      <c r="AH9" s="54">
        <f t="shared" si="28"/>
        <v>97540</v>
      </c>
      <c r="AI9" s="54">
        <f t="shared" si="28"/>
        <v>87950</v>
      </c>
      <c r="AJ9" s="54">
        <f t="shared" si="28"/>
        <v>2410</v>
      </c>
      <c r="AK9" s="54">
        <f t="shared" si="28"/>
        <v>4200</v>
      </c>
      <c r="AL9" s="54">
        <f t="shared" si="28"/>
        <v>6800</v>
      </c>
      <c r="AM9" s="54">
        <f t="shared" si="28"/>
        <v>9640</v>
      </c>
      <c r="AN9" s="54">
        <f t="shared" ref="AN9:BD9" si="29">AN46</f>
        <v>13830</v>
      </c>
      <c r="AO9" s="54">
        <f t="shared" si="29"/>
        <v>18760</v>
      </c>
      <c r="AP9" s="54">
        <f t="shared" si="29"/>
        <v>17540</v>
      </c>
      <c r="AQ9" s="54">
        <f t="shared" si="29"/>
        <v>30900</v>
      </c>
      <c r="AR9" s="54">
        <f t="shared" si="29"/>
        <v>29320</v>
      </c>
      <c r="AS9" s="54">
        <f t="shared" si="29"/>
        <v>27780</v>
      </c>
      <c r="AT9" s="54">
        <f t="shared" ref="AT9:AV9" si="30">AT46</f>
        <v>38950</v>
      </c>
      <c r="AU9" s="54">
        <f t="shared" si="30"/>
        <v>37170</v>
      </c>
      <c r="AV9" s="54">
        <f t="shared" si="30"/>
        <v>35440</v>
      </c>
      <c r="AW9" s="54">
        <f t="shared" si="29"/>
        <v>44110</v>
      </c>
      <c r="AX9" s="54">
        <f t="shared" si="29"/>
        <v>42220</v>
      </c>
      <c r="AY9" s="54">
        <f t="shared" si="29"/>
        <v>40370</v>
      </c>
      <c r="AZ9" s="54">
        <f t="shared" si="29"/>
        <v>59660</v>
      </c>
      <c r="BA9" s="54">
        <f t="shared" si="29"/>
        <v>55300</v>
      </c>
      <c r="BB9" s="54">
        <f t="shared" si="29"/>
        <v>80120</v>
      </c>
      <c r="BC9" s="54">
        <f t="shared" si="29"/>
        <v>75050</v>
      </c>
      <c r="BD9" s="54">
        <f t="shared" si="29"/>
        <v>103590</v>
      </c>
      <c r="BE9" s="54">
        <f t="shared" ref="BE9:CN9" si="31">BE46</f>
        <v>92200</v>
      </c>
      <c r="BF9" s="54">
        <f t="shared" si="31"/>
        <v>130060</v>
      </c>
      <c r="BG9" s="54">
        <f t="shared" si="31"/>
        <v>117270</v>
      </c>
      <c r="BH9" s="54">
        <f t="shared" si="31"/>
        <v>3130</v>
      </c>
      <c r="BI9" s="54">
        <f t="shared" si="31"/>
        <v>5470</v>
      </c>
      <c r="BJ9" s="54">
        <f t="shared" si="31"/>
        <v>8830</v>
      </c>
      <c r="BK9" s="54">
        <f t="shared" si="31"/>
        <v>12530</v>
      </c>
      <c r="BL9" s="54">
        <f t="shared" si="31"/>
        <v>17970</v>
      </c>
      <c r="BM9" s="54">
        <f t="shared" si="31"/>
        <v>24390</v>
      </c>
      <c r="BN9" s="54">
        <f t="shared" si="31"/>
        <v>22800</v>
      </c>
      <c r="BO9" s="54">
        <f t="shared" si="31"/>
        <v>40160</v>
      </c>
      <c r="BP9" s="54">
        <f t="shared" si="31"/>
        <v>38110</v>
      </c>
      <c r="BQ9" s="54">
        <f t="shared" si="31"/>
        <v>36110</v>
      </c>
      <c r="BR9" s="54">
        <f t="shared" ref="BR9:BT9" si="32">BR46</f>
        <v>50630</v>
      </c>
      <c r="BS9" s="54">
        <f t="shared" si="32"/>
        <v>48320</v>
      </c>
      <c r="BT9" s="54">
        <f t="shared" si="32"/>
        <v>46070</v>
      </c>
      <c r="BU9" s="54">
        <f t="shared" si="31"/>
        <v>57340</v>
      </c>
      <c r="BV9" s="54">
        <f t="shared" si="31"/>
        <v>54880</v>
      </c>
      <c r="BW9" s="54">
        <f t="shared" si="31"/>
        <v>52480</v>
      </c>
      <c r="BX9" s="54">
        <f t="shared" si="31"/>
        <v>77560</v>
      </c>
      <c r="BY9" s="54">
        <f t="shared" si="31"/>
        <v>71890</v>
      </c>
      <c r="BZ9" s="54">
        <f t="shared" si="31"/>
        <v>104160</v>
      </c>
      <c r="CA9" s="54">
        <f t="shared" si="31"/>
        <v>97560</v>
      </c>
      <c r="CB9" s="54">
        <f t="shared" si="31"/>
        <v>134660</v>
      </c>
      <c r="CC9" s="54">
        <f t="shared" si="31"/>
        <v>119860</v>
      </c>
      <c r="CD9" s="54">
        <f t="shared" si="31"/>
        <v>169080</v>
      </c>
      <c r="CE9" s="54">
        <f t="shared" si="31"/>
        <v>152450</v>
      </c>
      <c r="CF9" s="54">
        <f t="shared" ref="CF9:CG9" si="33">CF46</f>
        <v>42480</v>
      </c>
      <c r="CG9" s="54">
        <f t="shared" si="33"/>
        <v>40310</v>
      </c>
      <c r="CH9" s="54">
        <f t="shared" si="31"/>
        <v>38200</v>
      </c>
      <c r="CI9" s="54">
        <f t="shared" ref="CI9:CJ9" si="34">CI46</f>
        <v>48730</v>
      </c>
      <c r="CJ9" s="54">
        <f t="shared" si="34"/>
        <v>60650</v>
      </c>
      <c r="CK9" s="54">
        <f t="shared" ref="CK9" si="35">CK46</f>
        <v>58050</v>
      </c>
      <c r="CL9" s="54">
        <f t="shared" si="31"/>
        <v>55500</v>
      </c>
      <c r="CM9" s="54">
        <f t="shared" ref="CM9" si="36">CM46</f>
        <v>82040</v>
      </c>
      <c r="CN9" s="54">
        <f t="shared" si="31"/>
        <v>76040</v>
      </c>
    </row>
    <row r="10" spans="3:94" s="8" customFormat="1" x14ac:dyDescent="0.25">
      <c r="G10" s="18"/>
      <c r="I10" s="62">
        <f t="shared" ref="I10" si="37">I42</f>
        <v>50900</v>
      </c>
      <c r="K10" s="31" t="s">
        <v>46</v>
      </c>
      <c r="L10" s="31">
        <f>L42</f>
        <v>1000</v>
      </c>
      <c r="M10" s="31">
        <f t="shared" ref="M10:R10" si="38">M42</f>
        <v>1700</v>
      </c>
      <c r="N10" s="31">
        <f t="shared" si="38"/>
        <v>2700</v>
      </c>
      <c r="O10" s="31">
        <f t="shared" si="38"/>
        <v>3800</v>
      </c>
      <c r="P10" s="31">
        <f t="shared" si="38"/>
        <v>5600</v>
      </c>
      <c r="Q10" s="31">
        <f t="shared" si="38"/>
        <v>7700</v>
      </c>
      <c r="R10" s="31">
        <f t="shared" si="38"/>
        <v>7000</v>
      </c>
      <c r="S10" s="31">
        <f t="shared" ref="S10:Y10" si="39">S42</f>
        <v>12800</v>
      </c>
      <c r="T10" s="31">
        <f t="shared" si="39"/>
        <v>12000</v>
      </c>
      <c r="U10" s="31">
        <f t="shared" si="39"/>
        <v>11200</v>
      </c>
      <c r="V10" s="31">
        <f t="shared" ref="V10:X10" si="40">V42</f>
        <v>16300</v>
      </c>
      <c r="W10" s="31">
        <f t="shared" si="40"/>
        <v>15300</v>
      </c>
      <c r="X10" s="31">
        <f t="shared" si="40"/>
        <v>14400</v>
      </c>
      <c r="Y10" s="31">
        <f t="shared" si="39"/>
        <v>18300</v>
      </c>
      <c r="Z10" s="31">
        <f t="shared" ref="Z10:AA10" si="41">Z42</f>
        <v>17300</v>
      </c>
      <c r="AA10" s="31">
        <f t="shared" si="41"/>
        <v>16300</v>
      </c>
      <c r="AB10" s="31">
        <f t="shared" ref="AB10:AD10" si="42">AB42</f>
        <v>24700</v>
      </c>
      <c r="AC10" s="31">
        <f t="shared" si="42"/>
        <v>22400</v>
      </c>
      <c r="AD10" s="31">
        <f t="shared" si="42"/>
        <v>33400</v>
      </c>
      <c r="AE10" s="31">
        <f t="shared" ref="AE10:AM10" si="43">AE42</f>
        <v>30700</v>
      </c>
      <c r="AF10" s="31">
        <f t="shared" si="43"/>
        <v>43400</v>
      </c>
      <c r="AG10" s="31">
        <f t="shared" si="43"/>
        <v>37400</v>
      </c>
      <c r="AH10" s="31">
        <f t="shared" si="43"/>
        <v>54700</v>
      </c>
      <c r="AI10" s="31">
        <f t="shared" si="43"/>
        <v>48000</v>
      </c>
      <c r="AJ10" s="31">
        <f t="shared" si="43"/>
        <v>1300</v>
      </c>
      <c r="AK10" s="31">
        <f t="shared" si="43"/>
        <v>2200</v>
      </c>
      <c r="AL10" s="31">
        <f t="shared" si="43"/>
        <v>3600</v>
      </c>
      <c r="AM10" s="31">
        <f t="shared" si="43"/>
        <v>5100</v>
      </c>
      <c r="AN10" s="31">
        <f t="shared" ref="AN10:BD10" si="44">AN42</f>
        <v>7500</v>
      </c>
      <c r="AO10" s="31">
        <f t="shared" si="44"/>
        <v>10200</v>
      </c>
      <c r="AP10" s="31">
        <f t="shared" si="44"/>
        <v>9400</v>
      </c>
      <c r="AQ10" s="31">
        <f t="shared" si="44"/>
        <v>17100</v>
      </c>
      <c r="AR10" s="31">
        <f t="shared" si="44"/>
        <v>16000</v>
      </c>
      <c r="AS10" s="31">
        <f t="shared" si="44"/>
        <v>14900</v>
      </c>
      <c r="AT10" s="31">
        <f t="shared" ref="AT10:AV10" si="45">AT42</f>
        <v>21700</v>
      </c>
      <c r="AU10" s="31">
        <f t="shared" si="45"/>
        <v>20400</v>
      </c>
      <c r="AV10" s="31">
        <f t="shared" si="45"/>
        <v>19200</v>
      </c>
      <c r="AW10" s="31">
        <f t="shared" si="44"/>
        <v>24400</v>
      </c>
      <c r="AX10" s="31">
        <f t="shared" si="44"/>
        <v>23000</v>
      </c>
      <c r="AY10" s="31">
        <f t="shared" si="44"/>
        <v>21700</v>
      </c>
      <c r="AZ10" s="31">
        <f t="shared" si="44"/>
        <v>32900</v>
      </c>
      <c r="BA10" s="31">
        <f t="shared" si="44"/>
        <v>29800</v>
      </c>
      <c r="BB10" s="31">
        <f t="shared" si="44"/>
        <v>44500</v>
      </c>
      <c r="BC10" s="31">
        <f t="shared" si="44"/>
        <v>40900</v>
      </c>
      <c r="BD10" s="31">
        <f t="shared" si="44"/>
        <v>57800</v>
      </c>
      <c r="BE10" s="31">
        <f t="shared" ref="BE10:CN10" si="46">BE42</f>
        <v>49900</v>
      </c>
      <c r="BF10" s="31">
        <f t="shared" si="46"/>
        <v>72900</v>
      </c>
      <c r="BG10" s="31">
        <f t="shared" si="46"/>
        <v>64000</v>
      </c>
      <c r="BH10" s="31">
        <f t="shared" si="46"/>
        <v>1900</v>
      </c>
      <c r="BI10" s="31">
        <f t="shared" si="46"/>
        <v>3300</v>
      </c>
      <c r="BJ10" s="31">
        <f t="shared" si="46"/>
        <v>5300</v>
      </c>
      <c r="BK10" s="31">
        <f t="shared" si="46"/>
        <v>7500</v>
      </c>
      <c r="BL10" s="31">
        <f t="shared" si="46"/>
        <v>11000</v>
      </c>
      <c r="BM10" s="31">
        <f t="shared" si="46"/>
        <v>15000</v>
      </c>
      <c r="BN10" s="31">
        <f t="shared" si="46"/>
        <v>13800</v>
      </c>
      <c r="BO10" s="31">
        <f t="shared" si="46"/>
        <v>25100</v>
      </c>
      <c r="BP10" s="31">
        <f t="shared" si="46"/>
        <v>23500</v>
      </c>
      <c r="BQ10" s="31">
        <f t="shared" si="46"/>
        <v>21900</v>
      </c>
      <c r="BR10" s="31">
        <f t="shared" ref="BR10:BT10" si="47">BR42</f>
        <v>31800</v>
      </c>
      <c r="BS10" s="31">
        <f t="shared" si="47"/>
        <v>30000</v>
      </c>
      <c r="BT10" s="31">
        <f t="shared" si="47"/>
        <v>28200</v>
      </c>
      <c r="BU10" s="31">
        <f t="shared" si="46"/>
        <v>35800</v>
      </c>
      <c r="BV10" s="31">
        <f t="shared" si="46"/>
        <v>33800</v>
      </c>
      <c r="BW10" s="31">
        <f t="shared" si="46"/>
        <v>31900</v>
      </c>
      <c r="BX10" s="31">
        <f t="shared" si="46"/>
        <v>48300</v>
      </c>
      <c r="BY10" s="31">
        <f t="shared" si="46"/>
        <v>43800</v>
      </c>
      <c r="BZ10" s="31">
        <f t="shared" si="46"/>
        <v>65400</v>
      </c>
      <c r="CA10" s="31">
        <f t="shared" si="46"/>
        <v>60100</v>
      </c>
      <c r="CB10" s="31">
        <f t="shared" si="46"/>
        <v>85000</v>
      </c>
      <c r="CC10" s="31">
        <f t="shared" si="46"/>
        <v>73200</v>
      </c>
      <c r="CD10" s="31">
        <f t="shared" si="46"/>
        <v>107100</v>
      </c>
      <c r="CE10" s="31">
        <f t="shared" si="46"/>
        <v>93900</v>
      </c>
      <c r="CF10" s="31">
        <f t="shared" ref="CF10:CG10" si="48">CF42</f>
        <v>26500</v>
      </c>
      <c r="CG10" s="31">
        <f t="shared" si="48"/>
        <v>24700</v>
      </c>
      <c r="CH10" s="31">
        <f t="shared" si="46"/>
        <v>23100</v>
      </c>
      <c r="CI10" s="31">
        <f t="shared" ref="CI10:CJ10" si="49">CI42</f>
        <v>29700</v>
      </c>
      <c r="CJ10" s="31">
        <f t="shared" si="49"/>
        <v>37700</v>
      </c>
      <c r="CK10" s="31">
        <f t="shared" ref="CK10" si="50">CK42</f>
        <v>35600</v>
      </c>
      <c r="CL10" s="31">
        <f t="shared" si="46"/>
        <v>33600</v>
      </c>
      <c r="CM10" s="31">
        <f t="shared" ref="CM10" si="51">CM42</f>
        <v>50900</v>
      </c>
      <c r="CN10" s="31">
        <f t="shared" si="46"/>
        <v>46100</v>
      </c>
    </row>
    <row r="11" spans="3:94" s="8" customFormat="1" x14ac:dyDescent="0.25">
      <c r="G11" s="18"/>
      <c r="I11" s="64">
        <f t="shared" ref="I11" si="52">I47</f>
        <v>0.37153284671532849</v>
      </c>
      <c r="K11" s="31" t="s">
        <v>45</v>
      </c>
      <c r="L11" s="56">
        <f>L47</f>
        <v>0.33112582781456956</v>
      </c>
      <c r="M11" s="56">
        <f t="shared" ref="M11:R11" si="53">M47</f>
        <v>0.32258064516129031</v>
      </c>
      <c r="N11" s="56">
        <f t="shared" si="53"/>
        <v>0.31727379553466512</v>
      </c>
      <c r="O11" s="56">
        <f t="shared" si="53"/>
        <v>0.31483015741507869</v>
      </c>
      <c r="P11" s="56">
        <f t="shared" si="53"/>
        <v>0.32332563510392609</v>
      </c>
      <c r="Q11" s="56">
        <f t="shared" si="53"/>
        <v>0.32765957446808508</v>
      </c>
      <c r="R11" s="56">
        <f t="shared" si="53"/>
        <v>0.31861629494765592</v>
      </c>
      <c r="S11" s="56">
        <f t="shared" ref="S11:Y11" si="54">S47</f>
        <v>0.33074935400516797</v>
      </c>
      <c r="T11" s="56">
        <f t="shared" si="54"/>
        <v>0.32679738562091504</v>
      </c>
      <c r="U11" s="56">
        <f t="shared" si="54"/>
        <v>0.32193158953722334</v>
      </c>
      <c r="V11" s="56">
        <f t="shared" ref="V11:X11" si="55">V47</f>
        <v>0.33415334153341536</v>
      </c>
      <c r="W11" s="56">
        <f t="shared" si="55"/>
        <v>0.32860824742268041</v>
      </c>
      <c r="X11" s="56">
        <f t="shared" si="55"/>
        <v>0.32439738679882857</v>
      </c>
      <c r="Y11" s="56">
        <f t="shared" si="54"/>
        <v>0.33128167994207097</v>
      </c>
      <c r="Z11" s="56">
        <f t="shared" ref="Z11:AA11" si="56">Z47</f>
        <v>0.3271558245083207</v>
      </c>
      <c r="AA11" s="56">
        <f t="shared" si="56"/>
        <v>0.32238924050632911</v>
      </c>
      <c r="AB11" s="56">
        <f t="shared" ref="AB11:AD11" si="57">AB47</f>
        <v>0.33052321691422454</v>
      </c>
      <c r="AC11" s="56">
        <f t="shared" si="57"/>
        <v>0.32341900086630088</v>
      </c>
      <c r="AD11" s="56">
        <f t="shared" si="57"/>
        <v>0.33283507722969607</v>
      </c>
      <c r="AE11" s="56">
        <f t="shared" ref="AE11:AM11" si="58">AE47</f>
        <v>0.32659574468085106</v>
      </c>
      <c r="AF11" s="56">
        <f t="shared" si="58"/>
        <v>0.33451518421458304</v>
      </c>
      <c r="AG11" s="56">
        <f t="shared" si="58"/>
        <v>0.32386560443366819</v>
      </c>
      <c r="AH11" s="56">
        <f t="shared" si="58"/>
        <v>0.33578882750153466</v>
      </c>
      <c r="AI11" s="56">
        <f t="shared" si="58"/>
        <v>0.32679738562091504</v>
      </c>
      <c r="AJ11" s="56">
        <f t="shared" si="58"/>
        <v>0.32338308457711445</v>
      </c>
      <c r="AK11" s="56">
        <f t="shared" si="58"/>
        <v>0.31339031339031337</v>
      </c>
      <c r="AL11" s="56">
        <f t="shared" si="58"/>
        <v>0.31718061674008813</v>
      </c>
      <c r="AM11" s="56">
        <f t="shared" si="58"/>
        <v>0.31677018633540371</v>
      </c>
      <c r="AN11" s="56">
        <f t="shared" ref="AN11:BD11" si="59">AN47</f>
        <v>0.32481593763533995</v>
      </c>
      <c r="AO11" s="56">
        <f t="shared" si="59"/>
        <v>0.32556654963293968</v>
      </c>
      <c r="AP11" s="56">
        <f t="shared" si="59"/>
        <v>0.32092864458859677</v>
      </c>
      <c r="AQ11" s="56">
        <f t="shared" si="59"/>
        <v>0.33139534883720928</v>
      </c>
      <c r="AR11" s="56">
        <f t="shared" si="59"/>
        <v>0.32679738562091504</v>
      </c>
      <c r="AS11" s="56">
        <f t="shared" si="59"/>
        <v>0.32118991161888338</v>
      </c>
      <c r="AT11" s="56">
        <f t="shared" ref="AT11:AV11" si="60">AT47</f>
        <v>0.33364083640836406</v>
      </c>
      <c r="AU11" s="56">
        <f t="shared" si="60"/>
        <v>0.32860824742268041</v>
      </c>
      <c r="AV11" s="56">
        <f t="shared" si="60"/>
        <v>0.32443393038188578</v>
      </c>
      <c r="AW11" s="56">
        <f t="shared" si="59"/>
        <v>0.33125169698615259</v>
      </c>
      <c r="AX11" s="56">
        <f t="shared" si="59"/>
        <v>0.32624113475177308</v>
      </c>
      <c r="AY11" s="56">
        <f t="shared" si="59"/>
        <v>0.32191069574247144</v>
      </c>
      <c r="AZ11" s="56">
        <f t="shared" si="59"/>
        <v>0.330188679245283</v>
      </c>
      <c r="BA11" s="56">
        <f t="shared" si="59"/>
        <v>0.32268543584190579</v>
      </c>
      <c r="BB11" s="56">
        <f t="shared" si="59"/>
        <v>0.33258594917787743</v>
      </c>
      <c r="BC11" s="56">
        <f t="shared" si="59"/>
        <v>0.32633846644857578</v>
      </c>
      <c r="BD11" s="56">
        <f t="shared" si="59"/>
        <v>0.33412335973177643</v>
      </c>
      <c r="BE11" s="56">
        <f t="shared" ref="BE11:CN11" si="61">BE47</f>
        <v>0.3240680607871152</v>
      </c>
      <c r="BF11" s="56">
        <f t="shared" si="61"/>
        <v>0.3356353591160221</v>
      </c>
      <c r="BG11" s="56">
        <f t="shared" si="61"/>
        <v>0.32679738562091504</v>
      </c>
      <c r="BH11" s="56">
        <f t="shared" si="61"/>
        <v>0.3632887189292543</v>
      </c>
      <c r="BI11" s="56">
        <f t="shared" si="61"/>
        <v>0.36144578313253012</v>
      </c>
      <c r="BJ11" s="56">
        <f t="shared" si="61"/>
        <v>0.35932203389830508</v>
      </c>
      <c r="BK11" s="56">
        <f t="shared" si="61"/>
        <v>0.35833731485905401</v>
      </c>
      <c r="BL11" s="56">
        <f t="shared" si="61"/>
        <v>0.36654448517160948</v>
      </c>
      <c r="BM11" s="56">
        <f t="shared" si="61"/>
        <v>0.36827890989442669</v>
      </c>
      <c r="BN11" s="56">
        <f t="shared" si="61"/>
        <v>0.3624901497241923</v>
      </c>
      <c r="BO11" s="56">
        <f t="shared" si="61"/>
        <v>0.37423587296854033</v>
      </c>
      <c r="BP11" s="56">
        <f t="shared" si="61"/>
        <v>0.36920659858601729</v>
      </c>
      <c r="BQ11" s="56">
        <f t="shared" si="61"/>
        <v>0.36312386005637537</v>
      </c>
      <c r="BR11" s="56">
        <f t="shared" ref="BR11:BT11" si="62">BR47</f>
        <v>0.37610881135422825</v>
      </c>
      <c r="BS11" s="56">
        <f t="shared" si="62"/>
        <v>0.37174721189591076</v>
      </c>
      <c r="BT11" s="56">
        <f t="shared" si="62"/>
        <v>0.36651936573953731</v>
      </c>
      <c r="BU11" s="56">
        <f t="shared" si="61"/>
        <v>0.37389033942558747</v>
      </c>
      <c r="BV11" s="56">
        <f t="shared" si="61"/>
        <v>0.36879432624113473</v>
      </c>
      <c r="BW11" s="56">
        <f t="shared" si="61"/>
        <v>0.3639890460976723</v>
      </c>
      <c r="BX11" s="56">
        <f t="shared" si="61"/>
        <v>0.37288658997915541</v>
      </c>
      <c r="BY11" s="56">
        <f t="shared" si="61"/>
        <v>0.36481759120439783</v>
      </c>
      <c r="BZ11" s="56">
        <f t="shared" si="61"/>
        <v>0.37599172128320113</v>
      </c>
      <c r="CA11" s="56">
        <f t="shared" si="61"/>
        <v>0.36887006689989565</v>
      </c>
      <c r="CB11" s="56">
        <f t="shared" si="61"/>
        <v>0.37797936677339028</v>
      </c>
      <c r="CC11" s="56">
        <f t="shared" si="61"/>
        <v>0.36568916421042114</v>
      </c>
      <c r="CD11" s="56">
        <f t="shared" si="61"/>
        <v>0.3793030174245644</v>
      </c>
      <c r="CE11" s="56">
        <f t="shared" si="61"/>
        <v>0.36882831218822421</v>
      </c>
      <c r="CF11" s="56">
        <f t="shared" ref="CF11:CG11" si="63">CF47</f>
        <v>0.37355511700028193</v>
      </c>
      <c r="CG11" s="56">
        <f t="shared" si="63"/>
        <v>0.36690433749257279</v>
      </c>
      <c r="CH11" s="56">
        <f t="shared" si="61"/>
        <v>0.36212572503527196</v>
      </c>
      <c r="CI11" s="56">
        <f t="shared" ref="CI11:CJ11" si="64">CI47</f>
        <v>0.36495453428360775</v>
      </c>
      <c r="CJ11" s="56">
        <f t="shared" si="64"/>
        <v>0.3722353870458136</v>
      </c>
      <c r="CK11" s="56">
        <f t="shared" ref="CK11" si="65">CK47</f>
        <v>0.36723746647410771</v>
      </c>
      <c r="CL11" s="56">
        <f t="shared" si="61"/>
        <v>0.36249865141870752</v>
      </c>
      <c r="CM11" s="56">
        <f t="shared" ref="CM11" si="66">CM47</f>
        <v>0.37153284671532849</v>
      </c>
      <c r="CN11" s="56">
        <f t="shared" si="61"/>
        <v>0.36304929910222083</v>
      </c>
      <c r="CO11" s="9">
        <v>0</v>
      </c>
      <c r="CP11" s="9">
        <v>1</v>
      </c>
    </row>
    <row r="12" spans="3:94" s="8" customFormat="1" x14ac:dyDescent="0.25">
      <c r="C12" s="18"/>
      <c r="D12" s="18"/>
      <c r="E12" s="18"/>
      <c r="F12" s="18"/>
      <c r="G12" s="18"/>
      <c r="I12" s="44"/>
    </row>
    <row r="13" spans="3:94" s="8" customFormat="1" x14ac:dyDescent="0.25">
      <c r="H13" s="22"/>
      <c r="I13" s="44"/>
      <c r="J13" s="22"/>
      <c r="K13" s="22"/>
      <c r="L13" s="22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3:94" s="8" customFormat="1" x14ac:dyDescent="0.25">
      <c r="G14" s="59" t="s">
        <v>30</v>
      </c>
      <c r="H14" s="22"/>
      <c r="I14" s="45">
        <f>HLOOKUP(I6,Table_Abaque!$C$16:$G$18,2,FALSE)</f>
        <v>990</v>
      </c>
      <c r="J14" s="22"/>
      <c r="K14" s="13" t="s">
        <v>2</v>
      </c>
      <c r="L14" s="27">
        <f>HLOOKUP(L6,Table_Abaque!$C$16:$G$18,2,FALSE)</f>
        <v>480</v>
      </c>
      <c r="M14" s="27">
        <f>HLOOKUP(M6,Table_Abaque!$C$16:$G$18,2,FALSE)</f>
        <v>480</v>
      </c>
      <c r="N14" s="27">
        <f>HLOOKUP(N6,Table_Abaque!$C$16:$G$18,2,FALSE)</f>
        <v>480</v>
      </c>
      <c r="O14" s="27">
        <f>HLOOKUP(O6,Table_Abaque!$C$16:$G$18,2,FALSE)</f>
        <v>480</v>
      </c>
      <c r="P14" s="27">
        <f>HLOOKUP(P6,Table_Abaque!$C$16:$G$18,2,FALSE)</f>
        <v>480</v>
      </c>
      <c r="Q14" s="27">
        <f>HLOOKUP(Q6,Table_Abaque!$C$16:$G$18,2,FALSE)</f>
        <v>480</v>
      </c>
      <c r="R14" s="27">
        <f>HLOOKUP(R6,Table_Abaque!$C$16:$G$18,2,FALSE)</f>
        <v>480</v>
      </c>
      <c r="S14" s="27">
        <f>HLOOKUP(S6,Table_Abaque!$C$16:$G$18,2,FALSE)</f>
        <v>480</v>
      </c>
      <c r="T14" s="27">
        <f>HLOOKUP(T6,Table_Abaque!$C$16:$G$18,2,FALSE)</f>
        <v>480</v>
      </c>
      <c r="U14" s="27">
        <f>HLOOKUP(U6,Table_Abaque!$C$16:$G$18,2,FALSE)</f>
        <v>480</v>
      </c>
      <c r="V14" s="27">
        <f>HLOOKUP(V6,Table_Abaque!$C$16:$G$18,2,FALSE)</f>
        <v>480</v>
      </c>
      <c r="W14" s="27">
        <f>HLOOKUP(W6,Table_Abaque!$C$16:$G$18,2,FALSE)</f>
        <v>480</v>
      </c>
      <c r="X14" s="27">
        <f>HLOOKUP(X6,Table_Abaque!$C$16:$G$18,2,FALSE)</f>
        <v>480</v>
      </c>
      <c r="Y14" s="27">
        <f>HLOOKUP(Y6,Table_Abaque!$C$16:$G$18,2,FALSE)</f>
        <v>480</v>
      </c>
      <c r="Z14" s="27">
        <f>HLOOKUP(Z6,Table_Abaque!$C$16:$G$18,2,FALSE)</f>
        <v>480</v>
      </c>
      <c r="AA14" s="27">
        <f>HLOOKUP(AA6,Table_Abaque!$C$16:$G$18,2,FALSE)</f>
        <v>480</v>
      </c>
      <c r="AB14" s="27">
        <f>HLOOKUP(AB6,Table_Abaque!$C$16:$G$18,2,FALSE)</f>
        <v>480</v>
      </c>
      <c r="AC14" s="27">
        <f>HLOOKUP(AC6,Table_Abaque!$C$16:$G$18,2,FALSE)</f>
        <v>480</v>
      </c>
      <c r="AD14" s="27">
        <f>HLOOKUP(AD6,Table_Abaque!$C$16:$G$18,2,FALSE)</f>
        <v>480</v>
      </c>
      <c r="AE14" s="27">
        <f>HLOOKUP(AE6,Table_Abaque!$C$16:$G$18,2,FALSE)</f>
        <v>480</v>
      </c>
      <c r="AF14" s="27">
        <f>HLOOKUP(AF6,Table_Abaque!$C$16:$G$18,2,FALSE)</f>
        <v>480</v>
      </c>
      <c r="AG14" s="27">
        <f>HLOOKUP(AG6,Table_Abaque!$C$16:$G$18,2,FALSE)</f>
        <v>480</v>
      </c>
      <c r="AH14" s="27">
        <f>HLOOKUP(AH6,Table_Abaque!$C$16:$G$18,2,FALSE)</f>
        <v>480</v>
      </c>
      <c r="AI14" s="27">
        <f>HLOOKUP(AI6,Table_Abaque!$C$16:$G$18,2,FALSE)</f>
        <v>480</v>
      </c>
      <c r="AJ14" s="27">
        <f>HLOOKUP(AJ6,Table_Abaque!$C$16:$G$18,2,FALSE)</f>
        <v>640</v>
      </c>
      <c r="AK14" s="27">
        <f>HLOOKUP(AK6,Table_Abaque!$C$16:$G$18,2,FALSE)</f>
        <v>640</v>
      </c>
      <c r="AL14" s="27">
        <f>HLOOKUP(AL6,Table_Abaque!$C$16:$G$18,2,FALSE)</f>
        <v>640</v>
      </c>
      <c r="AM14" s="27">
        <f>HLOOKUP(AM6,Table_Abaque!$C$16:$G$18,2,FALSE)</f>
        <v>640</v>
      </c>
      <c r="AN14" s="27">
        <f>HLOOKUP(AN6,Table_Abaque!$C$16:$G$18,2,FALSE)</f>
        <v>640</v>
      </c>
      <c r="AO14" s="27">
        <f>HLOOKUP(AO6,Table_Abaque!$C$16:$G$18,2,FALSE)</f>
        <v>640</v>
      </c>
      <c r="AP14" s="27">
        <f>HLOOKUP(AP6,Table_Abaque!$C$16:$G$18,2,FALSE)</f>
        <v>640</v>
      </c>
      <c r="AQ14" s="27">
        <f>HLOOKUP(AQ6,Table_Abaque!$C$16:$G$18,2,FALSE)</f>
        <v>640</v>
      </c>
      <c r="AR14" s="27">
        <f>HLOOKUP(AR6,Table_Abaque!$C$16:$G$18,2,FALSE)</f>
        <v>640</v>
      </c>
      <c r="AS14" s="27">
        <f>HLOOKUP(AS6,Table_Abaque!$C$16:$G$18,2,FALSE)</f>
        <v>640</v>
      </c>
      <c r="AT14" s="27">
        <f>HLOOKUP(AT6,Table_Abaque!$C$16:$G$18,2,FALSE)</f>
        <v>640</v>
      </c>
      <c r="AU14" s="27">
        <f>HLOOKUP(AU6,Table_Abaque!$C$16:$G$18,2,FALSE)</f>
        <v>640</v>
      </c>
      <c r="AV14" s="27">
        <f>HLOOKUP(AV6,Table_Abaque!$C$16:$G$18,2,FALSE)</f>
        <v>640</v>
      </c>
      <c r="AW14" s="27">
        <f>HLOOKUP(AW6,Table_Abaque!$C$16:$G$18,2,FALSE)</f>
        <v>640</v>
      </c>
      <c r="AX14" s="27">
        <f>HLOOKUP(AX6,Table_Abaque!$C$16:$G$18,2,FALSE)</f>
        <v>640</v>
      </c>
      <c r="AY14" s="27">
        <f>HLOOKUP(AY6,Table_Abaque!$C$16:$G$18,2,FALSE)</f>
        <v>640</v>
      </c>
      <c r="AZ14" s="27">
        <f>HLOOKUP(AZ6,Table_Abaque!$C$16:$G$18,2,FALSE)</f>
        <v>640</v>
      </c>
      <c r="BA14" s="27">
        <f>HLOOKUP(BA6,Table_Abaque!$C$16:$G$18,2,FALSE)</f>
        <v>640</v>
      </c>
      <c r="BB14" s="27">
        <f>HLOOKUP(BB6,Table_Abaque!$C$16:$G$18,2,FALSE)</f>
        <v>640</v>
      </c>
      <c r="BC14" s="27">
        <f>HLOOKUP(BC6,Table_Abaque!$C$16:$G$18,2,FALSE)</f>
        <v>640</v>
      </c>
      <c r="BD14" s="27">
        <f>HLOOKUP(BD6,Table_Abaque!$C$16:$G$18,2,FALSE)</f>
        <v>640</v>
      </c>
      <c r="BE14" s="27">
        <f>HLOOKUP(BE6,Table_Abaque!$C$16:$G$18,2,FALSE)</f>
        <v>640</v>
      </c>
      <c r="BF14" s="27">
        <f>HLOOKUP(BF6,Table_Abaque!$C$16:$G$18,2,FALSE)</f>
        <v>640</v>
      </c>
      <c r="BG14" s="27">
        <f>HLOOKUP(BG6,Table_Abaque!$C$16:$G$18,2,FALSE)</f>
        <v>640</v>
      </c>
      <c r="BH14" s="27">
        <f>HLOOKUP(BH6,Table_Abaque!$C$16:$G$18,2,FALSE)</f>
        <v>940</v>
      </c>
      <c r="BI14" s="27">
        <f>HLOOKUP(BI6,Table_Abaque!$C$16:$G$18,2,FALSE)</f>
        <v>940</v>
      </c>
      <c r="BJ14" s="27">
        <f>HLOOKUP(BJ6,Table_Abaque!$C$16:$G$18,2,FALSE)</f>
        <v>940</v>
      </c>
      <c r="BK14" s="27">
        <f>HLOOKUP(BK6,Table_Abaque!$C$16:$G$18,2,FALSE)</f>
        <v>940</v>
      </c>
      <c r="BL14" s="27">
        <f>HLOOKUP(BL6,Table_Abaque!$C$16:$G$18,2,FALSE)</f>
        <v>940</v>
      </c>
      <c r="BM14" s="27">
        <f>HLOOKUP(BM6,Table_Abaque!$C$16:$G$18,2,FALSE)</f>
        <v>940</v>
      </c>
      <c r="BN14" s="27">
        <f>HLOOKUP(BN6,Table_Abaque!$C$16:$G$18,2,FALSE)</f>
        <v>940</v>
      </c>
      <c r="BO14" s="27">
        <f>HLOOKUP(BO6,Table_Abaque!$C$16:$G$18,2,FALSE)</f>
        <v>940</v>
      </c>
      <c r="BP14" s="27">
        <f>HLOOKUP(BP6,Table_Abaque!$C$16:$G$18,2,FALSE)</f>
        <v>940</v>
      </c>
      <c r="BQ14" s="27">
        <f>HLOOKUP(BQ6,Table_Abaque!$C$16:$G$18,2,FALSE)</f>
        <v>940</v>
      </c>
      <c r="BR14" s="27">
        <f>HLOOKUP(BR6,Table_Abaque!$C$16:$G$18,2,FALSE)</f>
        <v>940</v>
      </c>
      <c r="BS14" s="27">
        <f>HLOOKUP(BS6,Table_Abaque!$C$16:$G$18,2,FALSE)</f>
        <v>940</v>
      </c>
      <c r="BT14" s="27">
        <f>HLOOKUP(BT6,Table_Abaque!$C$16:$G$18,2,FALSE)</f>
        <v>940</v>
      </c>
      <c r="BU14" s="27">
        <f>HLOOKUP(BU6,Table_Abaque!$C$16:$G$18,2,FALSE)</f>
        <v>940</v>
      </c>
      <c r="BV14" s="27">
        <f>HLOOKUP(BV6,Table_Abaque!$C$16:$G$18,2,FALSE)</f>
        <v>940</v>
      </c>
      <c r="BW14" s="27">
        <f>HLOOKUP(BW6,Table_Abaque!$C$16:$G$18,2,FALSE)</f>
        <v>940</v>
      </c>
      <c r="BX14" s="27">
        <f>HLOOKUP(BX6,Table_Abaque!$C$16:$G$18,2,FALSE)</f>
        <v>940</v>
      </c>
      <c r="BY14" s="27">
        <f>HLOOKUP(BY6,Table_Abaque!$C$16:$G$18,2,FALSE)</f>
        <v>940</v>
      </c>
      <c r="BZ14" s="27">
        <f>HLOOKUP(BZ6,Table_Abaque!$C$16:$G$18,2,FALSE)</f>
        <v>940</v>
      </c>
      <c r="CA14" s="27">
        <f>HLOOKUP(CA6,Table_Abaque!$C$16:$G$18,2,FALSE)</f>
        <v>940</v>
      </c>
      <c r="CB14" s="27">
        <f>HLOOKUP(CB6,Table_Abaque!$C$16:$G$18,2,FALSE)</f>
        <v>940</v>
      </c>
      <c r="CC14" s="27">
        <f>HLOOKUP(CC6,Table_Abaque!$C$16:$G$18,2,FALSE)</f>
        <v>940</v>
      </c>
      <c r="CD14" s="27">
        <f>HLOOKUP(CD6,Table_Abaque!$C$16:$G$18,2,FALSE)</f>
        <v>940</v>
      </c>
      <c r="CE14" s="27">
        <f>HLOOKUP(CE6,Table_Abaque!$C$16:$G$18,2,FALSE)</f>
        <v>940</v>
      </c>
      <c r="CF14" s="27">
        <f>HLOOKUP(CF6,Table_Abaque!$C$16:$G$18,2,FALSE)</f>
        <v>990</v>
      </c>
      <c r="CG14" s="27">
        <f>HLOOKUP(CG6,Table_Abaque!$C$16:$G$18,2,FALSE)</f>
        <v>990</v>
      </c>
      <c r="CH14" s="27">
        <f>HLOOKUP(CH6,Table_Abaque!$C$16:$G$18,2,FALSE)</f>
        <v>990</v>
      </c>
      <c r="CI14" s="27">
        <f>HLOOKUP(CI6,Table_Abaque!$C$16:$G$18,2,FALSE)</f>
        <v>990</v>
      </c>
      <c r="CJ14" s="27">
        <f>HLOOKUP(CJ6,Table_Abaque!$C$16:$G$18,2,FALSE)</f>
        <v>990</v>
      </c>
      <c r="CK14" s="27">
        <f>HLOOKUP(CK6,Table_Abaque!$C$16:$G$18,2,FALSE)</f>
        <v>990</v>
      </c>
      <c r="CL14" s="27">
        <f>HLOOKUP(CL6,Table_Abaque!$C$16:$G$18,2,FALSE)</f>
        <v>990</v>
      </c>
      <c r="CM14" s="27">
        <f>HLOOKUP(CM6,Table_Abaque!$C$16:$G$18,2,FALSE)</f>
        <v>990</v>
      </c>
      <c r="CN14" s="27">
        <f>HLOOKUP(CN6,Table_Abaque!$C$16:$G$18,2,FALSE)</f>
        <v>990</v>
      </c>
    </row>
    <row r="15" spans="3:94" s="8" customFormat="1" x14ac:dyDescent="0.25">
      <c r="C15" s="18"/>
      <c r="D15" s="18"/>
      <c r="E15" s="18"/>
      <c r="F15" s="18"/>
      <c r="G15" s="15" t="s">
        <v>21</v>
      </c>
      <c r="I15" s="46">
        <f>HLOOKUP(I$4,Table_Abaque!$D$5:$P$9,5,FALSE)</f>
        <v>20.399999999999999</v>
      </c>
      <c r="J15" s="22" t="s">
        <v>23</v>
      </c>
      <c r="K15" s="13" t="s">
        <v>7</v>
      </c>
      <c r="L15" s="5">
        <f>HLOOKUP(L$4,Table_Abaque!$D$5:$P$9,5,FALSE)</f>
        <v>4.4000000000000004</v>
      </c>
      <c r="M15" s="5">
        <f>HLOOKUP(M$4,Table_Abaque!$D$5:$P$9,5,FALSE)</f>
        <v>5.8</v>
      </c>
      <c r="N15" s="5">
        <f>HLOOKUP(N$4,Table_Abaque!$D$5:$P$9,5,FALSE)</f>
        <v>7.3</v>
      </c>
      <c r="O15" s="5">
        <f>HLOOKUP(O$4,Table_Abaque!$D$5:$P$9,5,FALSE)</f>
        <v>8.8000000000000007</v>
      </c>
      <c r="P15" s="5">
        <f>HLOOKUP(P$4,Table_Abaque!$D$5:$P$9,5,FALSE)</f>
        <v>10.199999999999999</v>
      </c>
      <c r="Q15" s="5">
        <f>HLOOKUP(Q$4,Table_Abaque!$D$5:$P$9,5,FALSE)</f>
        <v>11.7</v>
      </c>
      <c r="R15" s="5">
        <f>HLOOKUP(R$4,Table_Abaque!$D$5:$P$9,5,FALSE)</f>
        <v>11.7</v>
      </c>
      <c r="S15" s="5">
        <f>HLOOKUP(S$4,Table_Abaque!$D$5:$P$9,5,FALSE)</f>
        <v>14.6</v>
      </c>
      <c r="T15" s="5">
        <f>HLOOKUP(T$4,Table_Abaque!$D$5:$P$9,5,FALSE)</f>
        <v>14.6</v>
      </c>
      <c r="U15" s="5">
        <f>HLOOKUP(U$4,Table_Abaque!$D$5:$P$9,5,FALSE)</f>
        <v>14.6</v>
      </c>
      <c r="V15" s="5">
        <f>HLOOKUP(V$4,Table_Abaque!$D$5:$P$9,5,FALSE)</f>
        <v>16.2</v>
      </c>
      <c r="W15" s="5">
        <f>HLOOKUP(W$4,Table_Abaque!$D$5:$P$9,5,FALSE)</f>
        <v>16.2</v>
      </c>
      <c r="X15" s="5">
        <f>HLOOKUP(X$4,Table_Abaque!$D$5:$P$9,5,FALSE)</f>
        <v>16.2</v>
      </c>
      <c r="Y15" s="5">
        <f>HLOOKUP(Y$4,Table_Abaque!$D$5:$P$9,5,FALSE)</f>
        <v>17.5</v>
      </c>
      <c r="Z15" s="5">
        <f>HLOOKUP(Z$4,Table_Abaque!$D$5:$P$9,5,FALSE)</f>
        <v>17.5</v>
      </c>
      <c r="AA15" s="5">
        <f>HLOOKUP(AA$4,Table_Abaque!$D$5:$P$9,5,FALSE)</f>
        <v>17.5</v>
      </c>
      <c r="AB15" s="5">
        <f>HLOOKUP(AB$4,Table_Abaque!$D$5:$P$9,5,FALSE)</f>
        <v>20.399999999999999</v>
      </c>
      <c r="AC15" s="5">
        <f>HLOOKUP(AC$4,Table_Abaque!$D$5:$P$9,5,FALSE)</f>
        <v>20.399999999999999</v>
      </c>
      <c r="AD15" s="5">
        <f>HLOOKUP(AD$4,Table_Abaque!$D$5:$P$9,5,FALSE)</f>
        <v>23.4</v>
      </c>
      <c r="AE15" s="5">
        <f>HLOOKUP(AE$4,Table_Abaque!$D$5:$P$9,5,FALSE)</f>
        <v>23.4</v>
      </c>
      <c r="AF15" s="5">
        <f>HLOOKUP(AF$4,Table_Abaque!$D$5:$P$9,5,FALSE)</f>
        <v>26.3</v>
      </c>
      <c r="AG15" s="5">
        <f>HLOOKUP(AG$4,Table_Abaque!$D$5:$P$9,5,FALSE)</f>
        <v>26.3</v>
      </c>
      <c r="AH15" s="5">
        <f>HLOOKUP(AH$4,Table_Abaque!$D$5:$P$9,5,FALSE)</f>
        <v>29.2</v>
      </c>
      <c r="AI15" s="5">
        <f>HLOOKUP(AI$4,Table_Abaque!$D$5:$P$9,5,FALSE)</f>
        <v>29.2</v>
      </c>
      <c r="AJ15" s="5">
        <f>HLOOKUP(AJ$4,Table_Abaque!$D$5:$P$9,5,FALSE)</f>
        <v>4.4000000000000004</v>
      </c>
      <c r="AK15" s="5">
        <f>HLOOKUP(AK$4,Table_Abaque!$D$5:$P$9,5,FALSE)</f>
        <v>5.8</v>
      </c>
      <c r="AL15" s="5">
        <f>HLOOKUP(AL$4,Table_Abaque!$D$5:$P$9,5,FALSE)</f>
        <v>7.3</v>
      </c>
      <c r="AM15" s="5">
        <f>HLOOKUP(AM$4,Table_Abaque!$D$5:$P$9,5,FALSE)</f>
        <v>8.8000000000000007</v>
      </c>
      <c r="AN15" s="5">
        <f>HLOOKUP(AN$4,Table_Abaque!$D$5:$P$9,5,FALSE)</f>
        <v>10.199999999999999</v>
      </c>
      <c r="AO15" s="5">
        <f>HLOOKUP(AO$4,Table_Abaque!$D$5:$P$9,5,FALSE)</f>
        <v>11.7</v>
      </c>
      <c r="AP15" s="5">
        <f>HLOOKUP(AP$4,Table_Abaque!$D$5:$P$9,5,FALSE)</f>
        <v>11.7</v>
      </c>
      <c r="AQ15" s="5">
        <f>HLOOKUP(AQ$4,Table_Abaque!$D$5:$P$9,5,FALSE)</f>
        <v>14.6</v>
      </c>
      <c r="AR15" s="5">
        <f>HLOOKUP(AR$4,Table_Abaque!$D$5:$P$9,5,FALSE)</f>
        <v>14.6</v>
      </c>
      <c r="AS15" s="5">
        <f>HLOOKUP(AS$4,Table_Abaque!$D$5:$P$9,5,FALSE)</f>
        <v>14.6</v>
      </c>
      <c r="AT15" s="5">
        <f>HLOOKUP(AT$4,Table_Abaque!$D$5:$P$9,5,FALSE)</f>
        <v>16.2</v>
      </c>
      <c r="AU15" s="5">
        <f>HLOOKUP(AU$4,Table_Abaque!$D$5:$P$9,5,FALSE)</f>
        <v>16.2</v>
      </c>
      <c r="AV15" s="5">
        <f>HLOOKUP(AV$4,Table_Abaque!$D$5:$P$9,5,FALSE)</f>
        <v>16.2</v>
      </c>
      <c r="AW15" s="5">
        <f>HLOOKUP(AW$4,Table_Abaque!$D$5:$P$9,5,FALSE)</f>
        <v>17.5</v>
      </c>
      <c r="AX15" s="5">
        <f>HLOOKUP(AX$4,Table_Abaque!$D$5:$P$9,5,FALSE)</f>
        <v>17.5</v>
      </c>
      <c r="AY15" s="5">
        <f>HLOOKUP(AY$4,Table_Abaque!$D$5:$P$9,5,FALSE)</f>
        <v>17.5</v>
      </c>
      <c r="AZ15" s="5">
        <f>HLOOKUP(AZ$4,Table_Abaque!$D$5:$P$9,5,FALSE)</f>
        <v>20.399999999999999</v>
      </c>
      <c r="BA15" s="5">
        <f>HLOOKUP(BA$4,Table_Abaque!$D$5:$P$9,5,FALSE)</f>
        <v>20.399999999999999</v>
      </c>
      <c r="BB15" s="5">
        <f>HLOOKUP(BB$4,Table_Abaque!$D$5:$P$9,5,FALSE)</f>
        <v>23.4</v>
      </c>
      <c r="BC15" s="5">
        <f>HLOOKUP(BC$4,Table_Abaque!$D$5:$P$9,5,FALSE)</f>
        <v>23.4</v>
      </c>
      <c r="BD15" s="5">
        <f>HLOOKUP(BD$4,Table_Abaque!$D$5:$P$9,5,FALSE)</f>
        <v>26.3</v>
      </c>
      <c r="BE15" s="5">
        <f>HLOOKUP(BE$4,Table_Abaque!$D$5:$P$9,5,FALSE)</f>
        <v>26.3</v>
      </c>
      <c r="BF15" s="5">
        <f>HLOOKUP(BF$4,Table_Abaque!$D$5:$P$9,5,FALSE)</f>
        <v>29.2</v>
      </c>
      <c r="BG15" s="5">
        <f>HLOOKUP(BG$4,Table_Abaque!$D$5:$P$9,5,FALSE)</f>
        <v>29.2</v>
      </c>
      <c r="BH15" s="5">
        <f>HLOOKUP(BH$4,Table_Abaque!$D$5:$P$9,5,FALSE)</f>
        <v>4.4000000000000004</v>
      </c>
      <c r="BI15" s="5">
        <f>HLOOKUP(BI$4,Table_Abaque!$D$5:$P$9,5,FALSE)</f>
        <v>5.8</v>
      </c>
      <c r="BJ15" s="5">
        <f>HLOOKUP(BJ$4,Table_Abaque!$D$5:$P$9,5,FALSE)</f>
        <v>7.3</v>
      </c>
      <c r="BK15" s="5">
        <f>HLOOKUP(BK$4,Table_Abaque!$D$5:$P$9,5,FALSE)</f>
        <v>8.8000000000000007</v>
      </c>
      <c r="BL15" s="5">
        <f>HLOOKUP(BL$4,Table_Abaque!$D$5:$P$9,5,FALSE)</f>
        <v>10.199999999999999</v>
      </c>
      <c r="BM15" s="5">
        <f>HLOOKUP(BM$4,Table_Abaque!$D$5:$P$9,5,FALSE)</f>
        <v>11.7</v>
      </c>
      <c r="BN15" s="5">
        <f>HLOOKUP(BN$4,Table_Abaque!$D$5:$P$9,5,FALSE)</f>
        <v>11.7</v>
      </c>
      <c r="BO15" s="5">
        <f>HLOOKUP(BO$4,Table_Abaque!$D$5:$P$9,5,FALSE)</f>
        <v>14.6</v>
      </c>
      <c r="BP15" s="5">
        <f>HLOOKUP(BP$4,Table_Abaque!$D$5:$P$9,5,FALSE)</f>
        <v>14.6</v>
      </c>
      <c r="BQ15" s="5">
        <f>HLOOKUP(BQ$4,Table_Abaque!$D$5:$P$9,5,FALSE)</f>
        <v>14.6</v>
      </c>
      <c r="BR15" s="5">
        <f>HLOOKUP(BR$4,Table_Abaque!$D$5:$P$9,5,FALSE)</f>
        <v>16.2</v>
      </c>
      <c r="BS15" s="5">
        <f>HLOOKUP(BS$4,Table_Abaque!$D$5:$P$9,5,FALSE)</f>
        <v>16.2</v>
      </c>
      <c r="BT15" s="5">
        <f>HLOOKUP(BT$4,Table_Abaque!$D$5:$P$9,5,FALSE)</f>
        <v>16.2</v>
      </c>
      <c r="BU15" s="5">
        <f>HLOOKUP(BU$4,Table_Abaque!$D$5:$P$9,5,FALSE)</f>
        <v>17.5</v>
      </c>
      <c r="BV15" s="5">
        <f>HLOOKUP(BV$4,Table_Abaque!$D$5:$P$9,5,FALSE)</f>
        <v>17.5</v>
      </c>
      <c r="BW15" s="5">
        <f>HLOOKUP(BW$4,Table_Abaque!$D$5:$P$9,5,FALSE)</f>
        <v>17.5</v>
      </c>
      <c r="BX15" s="5">
        <f>HLOOKUP(BX$4,Table_Abaque!$D$5:$P$9,5,FALSE)</f>
        <v>20.399999999999999</v>
      </c>
      <c r="BY15" s="5">
        <f>HLOOKUP(BY$4,Table_Abaque!$D$5:$P$9,5,FALSE)</f>
        <v>20.399999999999999</v>
      </c>
      <c r="BZ15" s="5">
        <f>HLOOKUP(BZ$4,Table_Abaque!$D$5:$P$9,5,FALSE)</f>
        <v>23.4</v>
      </c>
      <c r="CA15" s="5">
        <f>HLOOKUP(CA$4,Table_Abaque!$D$5:$P$9,5,FALSE)</f>
        <v>23.4</v>
      </c>
      <c r="CB15" s="5">
        <f>HLOOKUP(CB$4,Table_Abaque!$D$5:$P$9,5,FALSE)</f>
        <v>26.3</v>
      </c>
      <c r="CC15" s="5">
        <f>HLOOKUP(CC$4,Table_Abaque!$D$5:$P$9,5,FALSE)</f>
        <v>26.3</v>
      </c>
      <c r="CD15" s="5">
        <f>HLOOKUP(CD$4,Table_Abaque!$D$5:$P$9,5,FALSE)</f>
        <v>29.2</v>
      </c>
      <c r="CE15" s="5">
        <f>HLOOKUP(CE$4,Table_Abaque!$D$5:$P$9,5,FALSE)</f>
        <v>29.2</v>
      </c>
      <c r="CF15" s="5">
        <f>HLOOKUP(CF$4,Table_Abaque!$D$5:$P$9,5,FALSE)</f>
        <v>14.6</v>
      </c>
      <c r="CG15" s="5">
        <f>HLOOKUP(CG$4,Table_Abaque!$D$5:$P$9,5,FALSE)</f>
        <v>14.6</v>
      </c>
      <c r="CH15" s="5">
        <f>HLOOKUP(CH$4,Table_Abaque!$D$5:$P$9,5,FALSE)</f>
        <v>14.6</v>
      </c>
      <c r="CI15" s="5">
        <f>HLOOKUP(CI$4,Table_Abaque!$D$5:$P$9,5,FALSE)</f>
        <v>16.2</v>
      </c>
      <c r="CJ15" s="5">
        <f>HLOOKUP(CJ$4,Table_Abaque!$D$5:$P$9,5,FALSE)</f>
        <v>17.5</v>
      </c>
      <c r="CK15" s="5">
        <f>HLOOKUP(CK$4,Table_Abaque!$D$5:$P$9,5,FALSE)</f>
        <v>17.5</v>
      </c>
      <c r="CL15" s="5">
        <f>HLOOKUP(CL$4,Table_Abaque!$D$5:$P$9,5,FALSE)</f>
        <v>17.5</v>
      </c>
      <c r="CM15" s="5">
        <f>HLOOKUP(CM$4,Table_Abaque!$D$5:$P$9,5,FALSE)</f>
        <v>20.399999999999999</v>
      </c>
      <c r="CN15" s="5">
        <f>HLOOKUP(CN$4,Table_Abaque!$D$5:$P$9,5,FALSE)</f>
        <v>20.399999999999999</v>
      </c>
    </row>
    <row r="16" spans="3:94" s="8" customFormat="1" x14ac:dyDescent="0.25">
      <c r="C16" s="18"/>
      <c r="D16" s="18"/>
      <c r="E16" s="18"/>
      <c r="F16" s="18"/>
      <c r="G16" s="15" t="s">
        <v>21</v>
      </c>
      <c r="I16" s="46">
        <f>HLOOKUP(I$4,Table_Abaque!$D$5:$P$9,3,FALSE)</f>
        <v>15.5</v>
      </c>
      <c r="J16" s="22" t="s">
        <v>25</v>
      </c>
      <c r="K16" s="13" t="s">
        <v>8</v>
      </c>
      <c r="L16" s="5">
        <f>HLOOKUP(L$4,Table_Abaque!$D$5:$P$9,3,FALSE)</f>
        <v>3.4</v>
      </c>
      <c r="M16" s="5">
        <f>HLOOKUP(M$4,Table_Abaque!$D$5:$P$9,3,FALSE)</f>
        <v>4.5</v>
      </c>
      <c r="N16" s="5">
        <f>HLOOKUP(N$4,Table_Abaque!$D$5:$P$9,3,FALSE)</f>
        <v>5.5</v>
      </c>
      <c r="O16" s="5">
        <f>HLOOKUP(O$4,Table_Abaque!$D$5:$P$9,3,FALSE)</f>
        <v>6.6</v>
      </c>
      <c r="P16" s="5">
        <f>HLOOKUP(P$4,Table_Abaque!$D$5:$P$9,3,FALSE)</f>
        <v>7.6</v>
      </c>
      <c r="Q16" s="5">
        <f>HLOOKUP(Q$4,Table_Abaque!$D$5:$P$9,3,FALSE)</f>
        <v>9</v>
      </c>
      <c r="R16" s="5">
        <f>HLOOKUP(R$4,Table_Abaque!$D$5:$P$9,3,FALSE)</f>
        <v>9</v>
      </c>
      <c r="S16" s="5">
        <f>HLOOKUP(S$4,Table_Abaque!$D$5:$P$9,3,FALSE)</f>
        <v>11</v>
      </c>
      <c r="T16" s="5">
        <f>HLOOKUP(T$4,Table_Abaque!$D$5:$P$9,3,FALSE)</f>
        <v>11</v>
      </c>
      <c r="U16" s="5">
        <f>HLOOKUP(U$4,Table_Abaque!$D$5:$P$9,3,FALSE)</f>
        <v>11</v>
      </c>
      <c r="V16" s="5">
        <f>HLOOKUP(V$4,Table_Abaque!$D$5:$P$9,3,FALSE)</f>
        <v>11.112500000000001</v>
      </c>
      <c r="W16" s="5">
        <f>HLOOKUP(W$4,Table_Abaque!$D$5:$P$9,3,FALSE)</f>
        <v>11.112500000000001</v>
      </c>
      <c r="X16" s="5">
        <f>HLOOKUP(X$4,Table_Abaque!$D$5:$P$9,3,FALSE)</f>
        <v>11.112500000000001</v>
      </c>
      <c r="Y16" s="5">
        <f>HLOOKUP(Y$4,Table_Abaque!$D$5:$P$9,3,FALSE)</f>
        <v>13.5</v>
      </c>
      <c r="Z16" s="5">
        <f>HLOOKUP(Z$4,Table_Abaque!$D$5:$P$9,3,FALSE)</f>
        <v>13.5</v>
      </c>
      <c r="AA16" s="5">
        <f>HLOOKUP(AA$4,Table_Abaque!$D$5:$P$9,3,FALSE)</f>
        <v>13.5</v>
      </c>
      <c r="AB16" s="5">
        <f>HLOOKUP(AB$4,Table_Abaque!$D$5:$P$9,3,FALSE)</f>
        <v>15.5</v>
      </c>
      <c r="AC16" s="5">
        <f>HLOOKUP(AC$4,Table_Abaque!$D$5:$P$9,3,FALSE)</f>
        <v>15.5</v>
      </c>
      <c r="AD16" s="5">
        <f>HLOOKUP(AD$4,Table_Abaque!$D$5:$P$9,3,FALSE)</f>
        <v>17.5</v>
      </c>
      <c r="AE16" s="5">
        <f>HLOOKUP(AE$4,Table_Abaque!$D$5:$P$9,3,FALSE)</f>
        <v>17.5</v>
      </c>
      <c r="AF16" s="5">
        <f>HLOOKUP(AF$4,Table_Abaque!$D$5:$P$9,3,FALSE)</f>
        <v>20</v>
      </c>
      <c r="AG16" s="5">
        <f>HLOOKUP(AG$4,Table_Abaque!$D$5:$P$9,3,FALSE)</f>
        <v>20</v>
      </c>
      <c r="AH16" s="5">
        <f>HLOOKUP(AH$4,Table_Abaque!$D$5:$P$9,3,FALSE)</f>
        <v>22</v>
      </c>
      <c r="AI16" s="5">
        <f>HLOOKUP(AI$4,Table_Abaque!$D$5:$P$9,3,FALSE)</f>
        <v>22</v>
      </c>
      <c r="AJ16" s="5">
        <f>HLOOKUP(AJ$4,Table_Abaque!$D$5:$P$9,3,FALSE)</f>
        <v>3.4</v>
      </c>
      <c r="AK16" s="5">
        <f>HLOOKUP(AK$4,Table_Abaque!$D$5:$P$9,3,FALSE)</f>
        <v>4.5</v>
      </c>
      <c r="AL16" s="5">
        <f>HLOOKUP(AL$4,Table_Abaque!$D$5:$P$9,3,FALSE)</f>
        <v>5.5</v>
      </c>
      <c r="AM16" s="5">
        <f>HLOOKUP(AM$4,Table_Abaque!$D$5:$P$9,3,FALSE)</f>
        <v>6.6</v>
      </c>
      <c r="AN16" s="5">
        <f>HLOOKUP(AN$4,Table_Abaque!$D$5:$P$9,3,FALSE)</f>
        <v>7.6</v>
      </c>
      <c r="AO16" s="5">
        <f>HLOOKUP(AO$4,Table_Abaque!$D$5:$P$9,3,FALSE)</f>
        <v>9</v>
      </c>
      <c r="AP16" s="5">
        <f>HLOOKUP(AP$4,Table_Abaque!$D$5:$P$9,3,FALSE)</f>
        <v>9</v>
      </c>
      <c r="AQ16" s="5">
        <f>HLOOKUP(AQ$4,Table_Abaque!$D$5:$P$9,3,FALSE)</f>
        <v>11</v>
      </c>
      <c r="AR16" s="5">
        <f>HLOOKUP(AR$4,Table_Abaque!$D$5:$P$9,3,FALSE)</f>
        <v>11</v>
      </c>
      <c r="AS16" s="5">
        <f>HLOOKUP(AS$4,Table_Abaque!$D$5:$P$9,3,FALSE)</f>
        <v>11</v>
      </c>
      <c r="AT16" s="5">
        <f>HLOOKUP(AT$4,Table_Abaque!$D$5:$P$9,3,FALSE)</f>
        <v>11.112500000000001</v>
      </c>
      <c r="AU16" s="5">
        <f>HLOOKUP(AU$4,Table_Abaque!$D$5:$P$9,3,FALSE)</f>
        <v>11.112500000000001</v>
      </c>
      <c r="AV16" s="5">
        <f>HLOOKUP(AV$4,Table_Abaque!$D$5:$P$9,3,FALSE)</f>
        <v>11.112500000000001</v>
      </c>
      <c r="AW16" s="5">
        <f>HLOOKUP(AW$4,Table_Abaque!$D$5:$P$9,3,FALSE)</f>
        <v>13.5</v>
      </c>
      <c r="AX16" s="5">
        <f>HLOOKUP(AX$4,Table_Abaque!$D$5:$P$9,3,FALSE)</f>
        <v>13.5</v>
      </c>
      <c r="AY16" s="5">
        <f>HLOOKUP(AY$4,Table_Abaque!$D$5:$P$9,3,FALSE)</f>
        <v>13.5</v>
      </c>
      <c r="AZ16" s="5">
        <f>HLOOKUP(AZ$4,Table_Abaque!$D$5:$P$9,3,FALSE)</f>
        <v>15.5</v>
      </c>
      <c r="BA16" s="5">
        <f>HLOOKUP(BA$4,Table_Abaque!$D$5:$P$9,3,FALSE)</f>
        <v>15.5</v>
      </c>
      <c r="BB16" s="5">
        <f>HLOOKUP(BB$4,Table_Abaque!$D$5:$P$9,3,FALSE)</f>
        <v>17.5</v>
      </c>
      <c r="BC16" s="5">
        <f>HLOOKUP(BC$4,Table_Abaque!$D$5:$P$9,3,FALSE)</f>
        <v>17.5</v>
      </c>
      <c r="BD16" s="5">
        <f>HLOOKUP(BD$4,Table_Abaque!$D$5:$P$9,3,FALSE)</f>
        <v>20</v>
      </c>
      <c r="BE16" s="5">
        <f>HLOOKUP(BE$4,Table_Abaque!$D$5:$P$9,3,FALSE)</f>
        <v>20</v>
      </c>
      <c r="BF16" s="5">
        <f>HLOOKUP(BF$4,Table_Abaque!$D$5:$P$9,3,FALSE)</f>
        <v>22</v>
      </c>
      <c r="BG16" s="5">
        <f>HLOOKUP(BG$4,Table_Abaque!$D$5:$P$9,3,FALSE)</f>
        <v>22</v>
      </c>
      <c r="BH16" s="5">
        <f>HLOOKUP(BH$4,Table_Abaque!$D$5:$P$9,3,FALSE)</f>
        <v>3.4</v>
      </c>
      <c r="BI16" s="5">
        <f>HLOOKUP(BI$4,Table_Abaque!$D$5:$P$9,3,FALSE)</f>
        <v>4.5</v>
      </c>
      <c r="BJ16" s="5">
        <f>HLOOKUP(BJ$4,Table_Abaque!$D$5:$P$9,3,FALSE)</f>
        <v>5.5</v>
      </c>
      <c r="BK16" s="5">
        <f>HLOOKUP(BK$4,Table_Abaque!$D$5:$P$9,3,FALSE)</f>
        <v>6.6</v>
      </c>
      <c r="BL16" s="5">
        <f>HLOOKUP(BL$4,Table_Abaque!$D$5:$P$9,3,FALSE)</f>
        <v>7.6</v>
      </c>
      <c r="BM16" s="5">
        <f>HLOOKUP(BM$4,Table_Abaque!$D$5:$P$9,3,FALSE)</f>
        <v>9</v>
      </c>
      <c r="BN16" s="5">
        <f>HLOOKUP(BN$4,Table_Abaque!$D$5:$P$9,3,FALSE)</f>
        <v>9</v>
      </c>
      <c r="BO16" s="5">
        <f>HLOOKUP(BO$4,Table_Abaque!$D$5:$P$9,3,FALSE)</f>
        <v>11</v>
      </c>
      <c r="BP16" s="5">
        <f>HLOOKUP(BP$4,Table_Abaque!$D$5:$P$9,3,FALSE)</f>
        <v>11</v>
      </c>
      <c r="BQ16" s="5">
        <f>HLOOKUP(BQ$4,Table_Abaque!$D$5:$P$9,3,FALSE)</f>
        <v>11</v>
      </c>
      <c r="BR16" s="5">
        <f>HLOOKUP(BR$4,Table_Abaque!$D$5:$P$9,3,FALSE)</f>
        <v>11.112500000000001</v>
      </c>
      <c r="BS16" s="5">
        <f>HLOOKUP(BS$4,Table_Abaque!$D$5:$P$9,3,FALSE)</f>
        <v>11.112500000000001</v>
      </c>
      <c r="BT16" s="5">
        <f>HLOOKUP(BT$4,Table_Abaque!$D$5:$P$9,3,FALSE)</f>
        <v>11.112500000000001</v>
      </c>
      <c r="BU16" s="5">
        <f>HLOOKUP(BU$4,Table_Abaque!$D$5:$P$9,3,FALSE)</f>
        <v>13.5</v>
      </c>
      <c r="BV16" s="5">
        <f>HLOOKUP(BV$4,Table_Abaque!$D$5:$P$9,3,FALSE)</f>
        <v>13.5</v>
      </c>
      <c r="BW16" s="5">
        <f>HLOOKUP(BW$4,Table_Abaque!$D$5:$P$9,3,FALSE)</f>
        <v>13.5</v>
      </c>
      <c r="BX16" s="5">
        <f>HLOOKUP(BX$4,Table_Abaque!$D$5:$P$9,3,FALSE)</f>
        <v>15.5</v>
      </c>
      <c r="BY16" s="5">
        <f>HLOOKUP(BY$4,Table_Abaque!$D$5:$P$9,3,FALSE)</f>
        <v>15.5</v>
      </c>
      <c r="BZ16" s="5">
        <f>HLOOKUP(BZ$4,Table_Abaque!$D$5:$P$9,3,FALSE)</f>
        <v>17.5</v>
      </c>
      <c r="CA16" s="5">
        <f>HLOOKUP(CA$4,Table_Abaque!$D$5:$P$9,3,FALSE)</f>
        <v>17.5</v>
      </c>
      <c r="CB16" s="5">
        <f>HLOOKUP(CB$4,Table_Abaque!$D$5:$P$9,3,FALSE)</f>
        <v>20</v>
      </c>
      <c r="CC16" s="5">
        <f>HLOOKUP(CC$4,Table_Abaque!$D$5:$P$9,3,FALSE)</f>
        <v>20</v>
      </c>
      <c r="CD16" s="5">
        <f>HLOOKUP(CD$4,Table_Abaque!$D$5:$P$9,3,FALSE)</f>
        <v>22</v>
      </c>
      <c r="CE16" s="5">
        <f>HLOOKUP(CE$4,Table_Abaque!$D$5:$P$9,3,FALSE)</f>
        <v>22</v>
      </c>
      <c r="CF16" s="5">
        <f>HLOOKUP(CF$4,Table_Abaque!$D$5:$P$9,3,FALSE)</f>
        <v>11</v>
      </c>
      <c r="CG16" s="5">
        <f>HLOOKUP(CG$4,Table_Abaque!$D$5:$P$9,3,FALSE)</f>
        <v>11</v>
      </c>
      <c r="CH16" s="5">
        <f>HLOOKUP(CH$4,Table_Abaque!$D$5:$P$9,3,FALSE)</f>
        <v>11</v>
      </c>
      <c r="CI16" s="5">
        <f>HLOOKUP(CI$4,Table_Abaque!$D$5:$P$9,3,FALSE)</f>
        <v>11.112500000000001</v>
      </c>
      <c r="CJ16" s="5">
        <f>HLOOKUP(CJ$4,Table_Abaque!$D$5:$P$9,3,FALSE)</f>
        <v>13.5</v>
      </c>
      <c r="CK16" s="5">
        <f>HLOOKUP(CK$4,Table_Abaque!$D$5:$P$9,3,FALSE)</f>
        <v>13.5</v>
      </c>
      <c r="CL16" s="5">
        <f>HLOOKUP(CL$4,Table_Abaque!$D$5:$P$9,3,FALSE)</f>
        <v>13.5</v>
      </c>
      <c r="CM16" s="5">
        <f>HLOOKUP(CM$4,Table_Abaque!$D$5:$P$9,3,FALSE)</f>
        <v>15.5</v>
      </c>
      <c r="CN16" s="5">
        <f>HLOOKUP(CN$4,Table_Abaque!$D$5:$P$9,3,FALSE)</f>
        <v>15.5</v>
      </c>
    </row>
    <row r="17" spans="2:92" s="8" customFormat="1" x14ac:dyDescent="0.25">
      <c r="C17" s="18"/>
      <c r="D17" s="18"/>
      <c r="E17" s="18"/>
      <c r="F17" s="18"/>
      <c r="G17" s="18"/>
      <c r="I17" s="47">
        <v>0.12</v>
      </c>
      <c r="J17" s="22"/>
      <c r="K17" s="13" t="s">
        <v>16</v>
      </c>
      <c r="L17" s="16">
        <v>0.12</v>
      </c>
      <c r="M17" s="16">
        <v>0.12</v>
      </c>
      <c r="N17" s="16">
        <v>0.12</v>
      </c>
      <c r="O17" s="16">
        <v>0.12</v>
      </c>
      <c r="P17" s="16">
        <v>0.12</v>
      </c>
      <c r="Q17" s="16">
        <v>0.12</v>
      </c>
      <c r="R17" s="16">
        <v>0.12</v>
      </c>
      <c r="S17" s="16">
        <v>0.12</v>
      </c>
      <c r="T17" s="16">
        <v>0.12</v>
      </c>
      <c r="U17" s="16">
        <v>0.12</v>
      </c>
      <c r="V17" s="16">
        <v>0.12</v>
      </c>
      <c r="W17" s="16">
        <v>0.12</v>
      </c>
      <c r="X17" s="16">
        <v>0.12</v>
      </c>
      <c r="Y17" s="16">
        <v>0.12</v>
      </c>
      <c r="Z17" s="16">
        <v>0.12</v>
      </c>
      <c r="AA17" s="16">
        <v>0.12</v>
      </c>
      <c r="AB17" s="16">
        <v>0.12</v>
      </c>
      <c r="AC17" s="16">
        <v>0.12</v>
      </c>
      <c r="AD17" s="16">
        <v>0.12</v>
      </c>
      <c r="AE17" s="16">
        <v>0.12</v>
      </c>
      <c r="AF17" s="16">
        <v>0.12</v>
      </c>
      <c r="AG17" s="16">
        <v>0.12</v>
      </c>
      <c r="AH17" s="16">
        <v>0.12</v>
      </c>
      <c r="AI17" s="16">
        <v>0.12</v>
      </c>
      <c r="AJ17" s="16">
        <v>0.12</v>
      </c>
      <c r="AK17" s="16">
        <v>0.12</v>
      </c>
      <c r="AL17" s="16">
        <v>0.12</v>
      </c>
      <c r="AM17" s="16">
        <v>0.12</v>
      </c>
      <c r="AN17" s="16">
        <v>0.12</v>
      </c>
      <c r="AO17" s="16">
        <v>0.12</v>
      </c>
      <c r="AP17" s="16">
        <v>0.12</v>
      </c>
      <c r="AQ17" s="16">
        <v>0.12</v>
      </c>
      <c r="AR17" s="16">
        <v>0.12</v>
      </c>
      <c r="AS17" s="16">
        <v>0.12</v>
      </c>
      <c r="AT17" s="16">
        <v>0.12</v>
      </c>
      <c r="AU17" s="16">
        <v>0.12</v>
      </c>
      <c r="AV17" s="16">
        <v>0.12</v>
      </c>
      <c r="AW17" s="16">
        <v>0.12</v>
      </c>
      <c r="AX17" s="16">
        <v>0.12</v>
      </c>
      <c r="AY17" s="16">
        <v>0.12</v>
      </c>
      <c r="AZ17" s="16">
        <v>0.12</v>
      </c>
      <c r="BA17" s="16">
        <v>0.12</v>
      </c>
      <c r="BB17" s="16">
        <v>0.12</v>
      </c>
      <c r="BC17" s="16">
        <v>0.12</v>
      </c>
      <c r="BD17" s="16">
        <v>0.12</v>
      </c>
      <c r="BE17" s="16">
        <v>0.12</v>
      </c>
      <c r="BF17" s="16">
        <v>0.12</v>
      </c>
      <c r="BG17" s="16">
        <v>0.12</v>
      </c>
      <c r="BH17" s="16">
        <v>0.12</v>
      </c>
      <c r="BI17" s="16">
        <v>0.12</v>
      </c>
      <c r="BJ17" s="16">
        <v>0.12</v>
      </c>
      <c r="BK17" s="16">
        <v>0.12</v>
      </c>
      <c r="BL17" s="16">
        <v>0.12</v>
      </c>
      <c r="BM17" s="16">
        <v>0.12</v>
      </c>
      <c r="BN17" s="16">
        <v>0.12</v>
      </c>
      <c r="BO17" s="16">
        <v>0.12</v>
      </c>
      <c r="BP17" s="16">
        <v>0.12</v>
      </c>
      <c r="BQ17" s="16">
        <v>0.12</v>
      </c>
      <c r="BR17" s="16">
        <v>0.12</v>
      </c>
      <c r="BS17" s="16">
        <v>0.12</v>
      </c>
      <c r="BT17" s="16">
        <v>0.12</v>
      </c>
      <c r="BU17" s="16">
        <v>0.12</v>
      </c>
      <c r="BV17" s="16">
        <v>0.12</v>
      </c>
      <c r="BW17" s="16">
        <v>0.12</v>
      </c>
      <c r="BX17" s="16">
        <v>0.12</v>
      </c>
      <c r="BY17" s="16">
        <v>0.12</v>
      </c>
      <c r="BZ17" s="16">
        <v>0.12</v>
      </c>
      <c r="CA17" s="16">
        <v>0.12</v>
      </c>
      <c r="CB17" s="16">
        <v>0.12</v>
      </c>
      <c r="CC17" s="16">
        <v>0.12</v>
      </c>
      <c r="CD17" s="16">
        <v>0.12</v>
      </c>
      <c r="CE17" s="16">
        <v>0.12</v>
      </c>
      <c r="CF17" s="16">
        <v>0.12</v>
      </c>
      <c r="CG17" s="16">
        <v>0.12</v>
      </c>
      <c r="CH17" s="16">
        <v>0.12</v>
      </c>
      <c r="CI17" s="16">
        <v>0.12</v>
      </c>
      <c r="CJ17" s="16">
        <v>0.12</v>
      </c>
      <c r="CK17" s="16">
        <v>0.12</v>
      </c>
      <c r="CL17" s="16">
        <v>0.12</v>
      </c>
      <c r="CM17" s="16">
        <v>0.12</v>
      </c>
      <c r="CN17" s="16">
        <v>0.12</v>
      </c>
    </row>
    <row r="18" spans="2:92" s="8" customFormat="1" x14ac:dyDescent="0.25">
      <c r="C18" s="18"/>
      <c r="D18" s="18"/>
      <c r="E18" s="18"/>
      <c r="F18" s="18"/>
      <c r="G18" s="18"/>
      <c r="I18" s="47">
        <v>0.18</v>
      </c>
      <c r="J18" s="22"/>
      <c r="K18" s="13" t="s">
        <v>17</v>
      </c>
      <c r="L18" s="16">
        <v>0.18</v>
      </c>
      <c r="M18" s="16">
        <v>0.18</v>
      </c>
      <c r="N18" s="16">
        <v>0.18</v>
      </c>
      <c r="O18" s="16">
        <v>0.18</v>
      </c>
      <c r="P18" s="16">
        <v>0.18</v>
      </c>
      <c r="Q18" s="16">
        <v>0.18</v>
      </c>
      <c r="R18" s="16">
        <v>0.18</v>
      </c>
      <c r="S18" s="16">
        <v>0.18</v>
      </c>
      <c r="T18" s="16">
        <v>0.18</v>
      </c>
      <c r="U18" s="16">
        <v>0.18</v>
      </c>
      <c r="V18" s="16">
        <v>0.18</v>
      </c>
      <c r="W18" s="16">
        <v>0.18</v>
      </c>
      <c r="X18" s="16">
        <v>0.18</v>
      </c>
      <c r="Y18" s="16">
        <v>0.18</v>
      </c>
      <c r="Z18" s="16">
        <v>0.18</v>
      </c>
      <c r="AA18" s="16">
        <v>0.18</v>
      </c>
      <c r="AB18" s="16">
        <v>0.18</v>
      </c>
      <c r="AC18" s="16">
        <v>0.18</v>
      </c>
      <c r="AD18" s="16">
        <v>0.18</v>
      </c>
      <c r="AE18" s="16">
        <v>0.18</v>
      </c>
      <c r="AF18" s="16">
        <v>0.18</v>
      </c>
      <c r="AG18" s="16">
        <v>0.18</v>
      </c>
      <c r="AH18" s="16">
        <v>0.18</v>
      </c>
      <c r="AI18" s="16">
        <v>0.18</v>
      </c>
      <c r="AJ18" s="16">
        <v>0.18</v>
      </c>
      <c r="AK18" s="16">
        <v>0.18</v>
      </c>
      <c r="AL18" s="16">
        <v>0.18</v>
      </c>
      <c r="AM18" s="16">
        <v>0.18</v>
      </c>
      <c r="AN18" s="16">
        <v>0.18</v>
      </c>
      <c r="AO18" s="16">
        <v>0.18</v>
      </c>
      <c r="AP18" s="16">
        <v>0.18</v>
      </c>
      <c r="AQ18" s="16">
        <v>0.18</v>
      </c>
      <c r="AR18" s="16">
        <v>0.18</v>
      </c>
      <c r="AS18" s="16">
        <v>0.18</v>
      </c>
      <c r="AT18" s="16">
        <v>0.18</v>
      </c>
      <c r="AU18" s="16">
        <v>0.18</v>
      </c>
      <c r="AV18" s="16">
        <v>0.18</v>
      </c>
      <c r="AW18" s="16">
        <v>0.18</v>
      </c>
      <c r="AX18" s="16">
        <v>0.18</v>
      </c>
      <c r="AY18" s="16">
        <v>0.18</v>
      </c>
      <c r="AZ18" s="16">
        <v>0.18</v>
      </c>
      <c r="BA18" s="16">
        <v>0.18</v>
      </c>
      <c r="BB18" s="16">
        <v>0.18</v>
      </c>
      <c r="BC18" s="16">
        <v>0.18</v>
      </c>
      <c r="BD18" s="16">
        <v>0.18</v>
      </c>
      <c r="BE18" s="16">
        <v>0.18</v>
      </c>
      <c r="BF18" s="16">
        <v>0.18</v>
      </c>
      <c r="BG18" s="16">
        <v>0.18</v>
      </c>
      <c r="BH18" s="16">
        <v>0.18</v>
      </c>
      <c r="BI18" s="16">
        <v>0.18</v>
      </c>
      <c r="BJ18" s="16">
        <v>0.18</v>
      </c>
      <c r="BK18" s="16">
        <v>0.18</v>
      </c>
      <c r="BL18" s="16">
        <v>0.18</v>
      </c>
      <c r="BM18" s="16">
        <v>0.18</v>
      </c>
      <c r="BN18" s="16">
        <v>0.18</v>
      </c>
      <c r="BO18" s="16">
        <v>0.18</v>
      </c>
      <c r="BP18" s="16">
        <v>0.18</v>
      </c>
      <c r="BQ18" s="16">
        <v>0.18</v>
      </c>
      <c r="BR18" s="16">
        <v>0.18</v>
      </c>
      <c r="BS18" s="16">
        <v>0.18</v>
      </c>
      <c r="BT18" s="16">
        <v>0.18</v>
      </c>
      <c r="BU18" s="16">
        <v>0.18</v>
      </c>
      <c r="BV18" s="16">
        <v>0.18</v>
      </c>
      <c r="BW18" s="16">
        <v>0.18</v>
      </c>
      <c r="BX18" s="16">
        <v>0.18</v>
      </c>
      <c r="BY18" s="16">
        <v>0.18</v>
      </c>
      <c r="BZ18" s="16">
        <v>0.18</v>
      </c>
      <c r="CA18" s="16">
        <v>0.18</v>
      </c>
      <c r="CB18" s="16">
        <v>0.18</v>
      </c>
      <c r="CC18" s="16">
        <v>0.18</v>
      </c>
      <c r="CD18" s="16">
        <v>0.18</v>
      </c>
      <c r="CE18" s="16">
        <v>0.18</v>
      </c>
      <c r="CF18" s="16">
        <v>0.18</v>
      </c>
      <c r="CG18" s="16">
        <v>0.18</v>
      </c>
      <c r="CH18" s="16">
        <v>0.18</v>
      </c>
      <c r="CI18" s="16">
        <v>0.18</v>
      </c>
      <c r="CJ18" s="16">
        <v>0.18</v>
      </c>
      <c r="CK18" s="16">
        <v>0.18</v>
      </c>
      <c r="CL18" s="16">
        <v>0.18</v>
      </c>
      <c r="CM18" s="16">
        <v>0.18</v>
      </c>
      <c r="CN18" s="16">
        <v>0.18</v>
      </c>
    </row>
    <row r="19" spans="2:92" s="8" customFormat="1" x14ac:dyDescent="0.25">
      <c r="D19" s="18"/>
      <c r="E19" s="18"/>
      <c r="F19" s="15" t="s">
        <v>22</v>
      </c>
      <c r="G19" s="15" t="s">
        <v>21</v>
      </c>
      <c r="I19" s="48">
        <f>I4-0.9382*I5</f>
        <v>12.592700000000001</v>
      </c>
      <c r="J19" s="22" t="s">
        <v>28</v>
      </c>
      <c r="K19" s="13" t="s">
        <v>5</v>
      </c>
      <c r="L19" s="3">
        <f t="shared" ref="L19:R19" si="67">L4-0.9382*L5</f>
        <v>2.5308999999999999</v>
      </c>
      <c r="M19" s="3">
        <f t="shared" si="67"/>
        <v>3.3432599999999999</v>
      </c>
      <c r="N19" s="3">
        <f t="shared" si="67"/>
        <v>4.2494399999999999</v>
      </c>
      <c r="O19" s="3">
        <f t="shared" si="67"/>
        <v>5.0617999999999999</v>
      </c>
      <c r="P19" s="3">
        <f t="shared" si="67"/>
        <v>6.0617999999999999</v>
      </c>
      <c r="Q19" s="3">
        <f t="shared" si="67"/>
        <v>7.0617999999999999</v>
      </c>
      <c r="R19" s="3">
        <f t="shared" si="67"/>
        <v>6.8272500000000003</v>
      </c>
      <c r="S19" s="3">
        <f t="shared" ref="S19:Y19" si="68">S4-0.9382*S5</f>
        <v>9.0617999999999999</v>
      </c>
      <c r="T19" s="3">
        <f t="shared" si="68"/>
        <v>8.8272499999999994</v>
      </c>
      <c r="U19" s="3">
        <f t="shared" si="68"/>
        <v>8.5927000000000007</v>
      </c>
      <c r="V19" s="3">
        <f>V4-0.9382*V5</f>
        <v>10.174300000000001</v>
      </c>
      <c r="W19" s="3">
        <f t="shared" ref="W19:X19" si="69">W4-0.9382*W5</f>
        <v>9.9397500000000001</v>
      </c>
      <c r="X19" s="3">
        <f t="shared" si="69"/>
        <v>9.7052000000000014</v>
      </c>
      <c r="Y19" s="3">
        <f t="shared" si="68"/>
        <v>10.827249999999999</v>
      </c>
      <c r="Z19" s="3">
        <f t="shared" ref="Z19:CN19" si="70">Z4-0.9382*Z5</f>
        <v>10.592700000000001</v>
      </c>
      <c r="AA19" s="3">
        <f t="shared" si="70"/>
        <v>10.35815</v>
      </c>
      <c r="AB19" s="3">
        <f t="shared" si="70"/>
        <v>12.592700000000001</v>
      </c>
      <c r="AC19" s="3">
        <f t="shared" si="70"/>
        <v>12.1236</v>
      </c>
      <c r="AD19" s="3">
        <f t="shared" si="70"/>
        <v>14.592700000000001</v>
      </c>
      <c r="AE19" s="3">
        <f t="shared" si="70"/>
        <v>14.1236</v>
      </c>
      <c r="AF19" s="3">
        <f t="shared" si="70"/>
        <v>16.592700000000001</v>
      </c>
      <c r="AG19" s="3">
        <f t="shared" si="70"/>
        <v>15.654500000000001</v>
      </c>
      <c r="AH19" s="3">
        <f t="shared" si="70"/>
        <v>18.592700000000001</v>
      </c>
      <c r="AI19" s="3">
        <f t="shared" si="70"/>
        <v>17.654499999999999</v>
      </c>
      <c r="AJ19" s="3">
        <f t="shared" si="70"/>
        <v>2.5308999999999999</v>
      </c>
      <c r="AK19" s="3">
        <f t="shared" si="70"/>
        <v>3.3432599999999999</v>
      </c>
      <c r="AL19" s="3">
        <f t="shared" si="70"/>
        <v>4.2494399999999999</v>
      </c>
      <c r="AM19" s="3">
        <f t="shared" si="70"/>
        <v>5.0617999999999999</v>
      </c>
      <c r="AN19" s="3">
        <f t="shared" si="70"/>
        <v>6.0617999999999999</v>
      </c>
      <c r="AO19" s="3">
        <f t="shared" si="70"/>
        <v>7.0617999999999999</v>
      </c>
      <c r="AP19" s="3">
        <f t="shared" si="70"/>
        <v>6.8272500000000003</v>
      </c>
      <c r="AQ19" s="3">
        <f t="shared" si="70"/>
        <v>9.0617999999999999</v>
      </c>
      <c r="AR19" s="3">
        <f t="shared" si="70"/>
        <v>8.8272499999999994</v>
      </c>
      <c r="AS19" s="3">
        <f t="shared" si="70"/>
        <v>8.5927000000000007</v>
      </c>
      <c r="AT19" s="3">
        <f t="shared" ref="AT19:AV19" si="71">AT4-0.9382*AT5</f>
        <v>10.174300000000001</v>
      </c>
      <c r="AU19" s="3">
        <f t="shared" si="71"/>
        <v>9.9397500000000001</v>
      </c>
      <c r="AV19" s="3">
        <f t="shared" si="71"/>
        <v>9.7052000000000014</v>
      </c>
      <c r="AW19" s="3">
        <f t="shared" si="70"/>
        <v>10.827249999999999</v>
      </c>
      <c r="AX19" s="3">
        <f t="shared" si="70"/>
        <v>10.592700000000001</v>
      </c>
      <c r="AY19" s="3">
        <f t="shared" si="70"/>
        <v>10.35815</v>
      </c>
      <c r="AZ19" s="3">
        <f t="shared" si="70"/>
        <v>12.592700000000001</v>
      </c>
      <c r="BA19" s="3">
        <f t="shared" si="70"/>
        <v>12.1236</v>
      </c>
      <c r="BB19" s="3">
        <f t="shared" si="70"/>
        <v>14.592700000000001</v>
      </c>
      <c r="BC19" s="3">
        <f t="shared" si="70"/>
        <v>14.1236</v>
      </c>
      <c r="BD19" s="3">
        <f t="shared" si="70"/>
        <v>16.592700000000001</v>
      </c>
      <c r="BE19" s="3">
        <f t="shared" si="70"/>
        <v>15.654500000000001</v>
      </c>
      <c r="BF19" s="3">
        <f t="shared" si="70"/>
        <v>18.592700000000001</v>
      </c>
      <c r="BG19" s="3">
        <f t="shared" si="70"/>
        <v>17.654499999999999</v>
      </c>
      <c r="BH19" s="3">
        <f t="shared" si="70"/>
        <v>2.5308999999999999</v>
      </c>
      <c r="BI19" s="3">
        <f t="shared" si="70"/>
        <v>3.3432599999999999</v>
      </c>
      <c r="BJ19" s="3">
        <f t="shared" si="70"/>
        <v>4.2494399999999999</v>
      </c>
      <c r="BK19" s="3">
        <f t="shared" si="70"/>
        <v>5.0617999999999999</v>
      </c>
      <c r="BL19" s="3">
        <f t="shared" si="70"/>
        <v>6.0617999999999999</v>
      </c>
      <c r="BM19" s="3">
        <f t="shared" si="70"/>
        <v>7.0617999999999999</v>
      </c>
      <c r="BN19" s="3">
        <f t="shared" si="70"/>
        <v>6.8272500000000003</v>
      </c>
      <c r="BO19" s="3">
        <f t="shared" si="70"/>
        <v>9.0617999999999999</v>
      </c>
      <c r="BP19" s="3">
        <f t="shared" si="70"/>
        <v>8.8272499999999994</v>
      </c>
      <c r="BQ19" s="3">
        <f t="shared" si="70"/>
        <v>8.5927000000000007</v>
      </c>
      <c r="BR19" s="3">
        <f t="shared" ref="BR19:BT19" si="72">BR4-0.9382*BR5</f>
        <v>10.174300000000001</v>
      </c>
      <c r="BS19" s="3">
        <f t="shared" si="72"/>
        <v>9.9397500000000001</v>
      </c>
      <c r="BT19" s="3">
        <f t="shared" si="72"/>
        <v>9.7052000000000014</v>
      </c>
      <c r="BU19" s="3">
        <f t="shared" si="70"/>
        <v>10.827249999999999</v>
      </c>
      <c r="BV19" s="3">
        <f t="shared" si="70"/>
        <v>10.592700000000001</v>
      </c>
      <c r="BW19" s="3">
        <f t="shared" si="70"/>
        <v>10.35815</v>
      </c>
      <c r="BX19" s="3">
        <f t="shared" si="70"/>
        <v>12.592700000000001</v>
      </c>
      <c r="BY19" s="3">
        <f t="shared" si="70"/>
        <v>12.1236</v>
      </c>
      <c r="BZ19" s="3">
        <f t="shared" si="70"/>
        <v>14.592700000000001</v>
      </c>
      <c r="CA19" s="3">
        <f t="shared" si="70"/>
        <v>14.1236</v>
      </c>
      <c r="CB19" s="3">
        <f t="shared" si="70"/>
        <v>16.592700000000001</v>
      </c>
      <c r="CC19" s="3">
        <f t="shared" si="70"/>
        <v>15.654500000000001</v>
      </c>
      <c r="CD19" s="3">
        <f t="shared" si="70"/>
        <v>18.592700000000001</v>
      </c>
      <c r="CE19" s="3">
        <f t="shared" si="70"/>
        <v>17.654499999999999</v>
      </c>
      <c r="CF19" s="3">
        <f t="shared" ref="CF19:CG19" si="73">CF4-0.9382*CF5</f>
        <v>9.0617999999999999</v>
      </c>
      <c r="CG19" s="3">
        <f t="shared" si="73"/>
        <v>8.8272499999999994</v>
      </c>
      <c r="CH19" s="3">
        <f t="shared" si="70"/>
        <v>8.5927000000000007</v>
      </c>
      <c r="CI19" s="3">
        <f t="shared" ref="CI19:CJ19" si="74">CI4-0.9382*CI5</f>
        <v>9.7052000000000014</v>
      </c>
      <c r="CJ19" s="3">
        <f t="shared" si="74"/>
        <v>10.827249999999999</v>
      </c>
      <c r="CK19" s="3">
        <f t="shared" ref="CK19" si="75">CK4-0.9382*CK5</f>
        <v>10.592700000000001</v>
      </c>
      <c r="CL19" s="3">
        <f t="shared" si="70"/>
        <v>10.35815</v>
      </c>
      <c r="CM19" s="3">
        <f t="shared" ref="CM19" si="76">CM4-0.9382*CM5</f>
        <v>12.592700000000001</v>
      </c>
      <c r="CN19" s="3">
        <f t="shared" si="70"/>
        <v>12.1236</v>
      </c>
    </row>
    <row r="20" spans="2:92" s="8" customFormat="1" x14ac:dyDescent="0.25">
      <c r="D20" s="18"/>
      <c r="E20" s="18"/>
      <c r="F20" s="15" t="s">
        <v>22</v>
      </c>
      <c r="G20" s="15" t="s">
        <v>21</v>
      </c>
      <c r="I20" s="48">
        <f>I4-0.6495*I5</f>
        <v>13.02575</v>
      </c>
      <c r="J20" s="22"/>
      <c r="K20" s="13" t="s">
        <v>6</v>
      </c>
      <c r="L20" s="3">
        <f t="shared" ref="L20:R20" si="77">L4-0.6495*L5</f>
        <v>2.6752500000000001</v>
      </c>
      <c r="M20" s="3">
        <f t="shared" si="77"/>
        <v>3.54535</v>
      </c>
      <c r="N20" s="3">
        <f t="shared" si="77"/>
        <v>4.4804000000000004</v>
      </c>
      <c r="O20" s="3">
        <f t="shared" si="77"/>
        <v>5.3505000000000003</v>
      </c>
      <c r="P20" s="3">
        <f t="shared" si="77"/>
        <v>6.3505000000000003</v>
      </c>
      <c r="Q20" s="3">
        <f t="shared" si="77"/>
        <v>7.3505000000000003</v>
      </c>
      <c r="R20" s="3">
        <f t="shared" si="77"/>
        <v>7.1881250000000003</v>
      </c>
      <c r="S20" s="3">
        <f t="shared" ref="S20:Y20" si="78">S4-0.6495*S5</f>
        <v>9.3505000000000003</v>
      </c>
      <c r="T20" s="3">
        <f t="shared" si="78"/>
        <v>9.1881249999999994</v>
      </c>
      <c r="U20" s="3">
        <f t="shared" si="78"/>
        <v>9.0257500000000004</v>
      </c>
      <c r="V20" s="3">
        <f t="shared" ref="V20:X20" si="79">V4-0.6495*V5</f>
        <v>10.463000000000001</v>
      </c>
      <c r="W20" s="3">
        <f t="shared" si="79"/>
        <v>10.300625</v>
      </c>
      <c r="X20" s="3">
        <f t="shared" si="79"/>
        <v>10.138250000000001</v>
      </c>
      <c r="Y20" s="3">
        <f t="shared" si="78"/>
        <v>11.188124999999999</v>
      </c>
      <c r="Z20" s="3">
        <f t="shared" ref="Z20:CN20" si="80">Z4-0.6495*Z5</f>
        <v>11.02575</v>
      </c>
      <c r="AA20" s="3">
        <f t="shared" si="80"/>
        <v>10.863375</v>
      </c>
      <c r="AB20" s="3">
        <f t="shared" si="80"/>
        <v>13.02575</v>
      </c>
      <c r="AC20" s="3">
        <f t="shared" si="80"/>
        <v>12.701000000000001</v>
      </c>
      <c r="AD20" s="3">
        <f t="shared" si="80"/>
        <v>15.02575</v>
      </c>
      <c r="AE20" s="3">
        <f t="shared" si="80"/>
        <v>14.701000000000001</v>
      </c>
      <c r="AF20" s="3">
        <f t="shared" si="80"/>
        <v>17.025749999999999</v>
      </c>
      <c r="AG20" s="3">
        <f t="shared" si="80"/>
        <v>16.376249999999999</v>
      </c>
      <c r="AH20" s="3">
        <f t="shared" si="80"/>
        <v>19.025749999999999</v>
      </c>
      <c r="AI20" s="3">
        <f t="shared" si="80"/>
        <v>18.376249999999999</v>
      </c>
      <c r="AJ20" s="3">
        <f t="shared" si="80"/>
        <v>2.6752500000000001</v>
      </c>
      <c r="AK20" s="3">
        <f t="shared" si="80"/>
        <v>3.54535</v>
      </c>
      <c r="AL20" s="3">
        <f t="shared" si="80"/>
        <v>4.4804000000000004</v>
      </c>
      <c r="AM20" s="3">
        <f t="shared" si="80"/>
        <v>5.3505000000000003</v>
      </c>
      <c r="AN20" s="3">
        <f t="shared" si="80"/>
        <v>6.3505000000000003</v>
      </c>
      <c r="AO20" s="3">
        <f t="shared" si="80"/>
        <v>7.3505000000000003</v>
      </c>
      <c r="AP20" s="3">
        <f t="shared" si="80"/>
        <v>7.1881250000000003</v>
      </c>
      <c r="AQ20" s="3">
        <f t="shared" si="80"/>
        <v>9.3505000000000003</v>
      </c>
      <c r="AR20" s="3">
        <f t="shared" si="80"/>
        <v>9.1881249999999994</v>
      </c>
      <c r="AS20" s="3">
        <f t="shared" si="80"/>
        <v>9.0257500000000004</v>
      </c>
      <c r="AT20" s="3">
        <f t="shared" ref="AT20:AV20" si="81">AT4-0.6495*AT5</f>
        <v>10.463000000000001</v>
      </c>
      <c r="AU20" s="3">
        <f t="shared" si="81"/>
        <v>10.300625</v>
      </c>
      <c r="AV20" s="3">
        <f t="shared" si="81"/>
        <v>10.138250000000001</v>
      </c>
      <c r="AW20" s="3">
        <f t="shared" si="80"/>
        <v>11.188124999999999</v>
      </c>
      <c r="AX20" s="3">
        <f t="shared" si="80"/>
        <v>11.02575</v>
      </c>
      <c r="AY20" s="3">
        <f t="shared" si="80"/>
        <v>10.863375</v>
      </c>
      <c r="AZ20" s="3">
        <f t="shared" si="80"/>
        <v>13.02575</v>
      </c>
      <c r="BA20" s="3">
        <f t="shared" si="80"/>
        <v>12.701000000000001</v>
      </c>
      <c r="BB20" s="3">
        <f t="shared" si="80"/>
        <v>15.02575</v>
      </c>
      <c r="BC20" s="3">
        <f t="shared" si="80"/>
        <v>14.701000000000001</v>
      </c>
      <c r="BD20" s="3">
        <f t="shared" si="80"/>
        <v>17.025749999999999</v>
      </c>
      <c r="BE20" s="3">
        <f t="shared" si="80"/>
        <v>16.376249999999999</v>
      </c>
      <c r="BF20" s="3">
        <f t="shared" si="80"/>
        <v>19.025749999999999</v>
      </c>
      <c r="BG20" s="3">
        <f t="shared" si="80"/>
        <v>18.376249999999999</v>
      </c>
      <c r="BH20" s="3">
        <f t="shared" si="80"/>
        <v>2.6752500000000001</v>
      </c>
      <c r="BI20" s="3">
        <f t="shared" si="80"/>
        <v>3.54535</v>
      </c>
      <c r="BJ20" s="3">
        <f t="shared" si="80"/>
        <v>4.4804000000000004</v>
      </c>
      <c r="BK20" s="3">
        <f t="shared" si="80"/>
        <v>5.3505000000000003</v>
      </c>
      <c r="BL20" s="3">
        <f t="shared" si="80"/>
        <v>6.3505000000000003</v>
      </c>
      <c r="BM20" s="3">
        <f t="shared" si="80"/>
        <v>7.3505000000000003</v>
      </c>
      <c r="BN20" s="3">
        <f t="shared" si="80"/>
        <v>7.1881250000000003</v>
      </c>
      <c r="BO20" s="3">
        <f t="shared" si="80"/>
        <v>9.3505000000000003</v>
      </c>
      <c r="BP20" s="3">
        <f t="shared" si="80"/>
        <v>9.1881249999999994</v>
      </c>
      <c r="BQ20" s="3">
        <f t="shared" si="80"/>
        <v>9.0257500000000004</v>
      </c>
      <c r="BR20" s="3">
        <f t="shared" ref="BR20:BT20" si="82">BR4-0.6495*BR5</f>
        <v>10.463000000000001</v>
      </c>
      <c r="BS20" s="3">
        <f t="shared" si="82"/>
        <v>10.300625</v>
      </c>
      <c r="BT20" s="3">
        <f t="shared" si="82"/>
        <v>10.138250000000001</v>
      </c>
      <c r="BU20" s="3">
        <f t="shared" si="80"/>
        <v>11.188124999999999</v>
      </c>
      <c r="BV20" s="3">
        <f t="shared" si="80"/>
        <v>11.02575</v>
      </c>
      <c r="BW20" s="3">
        <f t="shared" si="80"/>
        <v>10.863375</v>
      </c>
      <c r="BX20" s="3">
        <f t="shared" si="80"/>
        <v>13.02575</v>
      </c>
      <c r="BY20" s="3">
        <f t="shared" si="80"/>
        <v>12.701000000000001</v>
      </c>
      <c r="BZ20" s="3">
        <f t="shared" si="80"/>
        <v>15.02575</v>
      </c>
      <c r="CA20" s="3">
        <f t="shared" si="80"/>
        <v>14.701000000000001</v>
      </c>
      <c r="CB20" s="3">
        <f t="shared" si="80"/>
        <v>17.025749999999999</v>
      </c>
      <c r="CC20" s="3">
        <f t="shared" si="80"/>
        <v>16.376249999999999</v>
      </c>
      <c r="CD20" s="3">
        <f t="shared" si="80"/>
        <v>19.025749999999999</v>
      </c>
      <c r="CE20" s="3">
        <f t="shared" si="80"/>
        <v>18.376249999999999</v>
      </c>
      <c r="CF20" s="3">
        <f t="shared" ref="CF20:CG20" si="83">CF4-0.6495*CF5</f>
        <v>9.3505000000000003</v>
      </c>
      <c r="CG20" s="3">
        <f t="shared" si="83"/>
        <v>9.1881249999999994</v>
      </c>
      <c r="CH20" s="3">
        <f t="shared" si="80"/>
        <v>9.0257500000000004</v>
      </c>
      <c r="CI20" s="3">
        <f t="shared" ref="CI20:CJ20" si="84">CI4-0.6495*CI5</f>
        <v>10.138250000000001</v>
      </c>
      <c r="CJ20" s="3">
        <f t="shared" si="84"/>
        <v>11.188124999999999</v>
      </c>
      <c r="CK20" s="3">
        <f t="shared" ref="CK20" si="85">CK4-0.6495*CK5</f>
        <v>11.02575</v>
      </c>
      <c r="CL20" s="3">
        <f t="shared" si="80"/>
        <v>10.863375</v>
      </c>
      <c r="CM20" s="3">
        <f t="shared" ref="CM20" si="86">CM4-0.6495*CM5</f>
        <v>13.02575</v>
      </c>
      <c r="CN20" s="3">
        <f t="shared" si="80"/>
        <v>12.701000000000001</v>
      </c>
    </row>
    <row r="21" spans="2:92" s="8" customFormat="1" x14ac:dyDescent="0.25">
      <c r="D21" s="18"/>
      <c r="E21" s="18"/>
      <c r="F21" s="15" t="s">
        <v>8</v>
      </c>
      <c r="G21" s="15" t="s">
        <v>7</v>
      </c>
      <c r="I21" s="48">
        <f t="shared" ref="I21" si="87">(1/3)*((I15^3-I16^3)/(I15^2-I16^2))</f>
        <v>9.030733519034353</v>
      </c>
      <c r="J21" s="22"/>
      <c r="K21" s="13" t="s">
        <v>4</v>
      </c>
      <c r="L21" s="3">
        <f t="shared" ref="L21:M21" si="88">(1/3)*((L15^3-L16^3)/(L15^2-L16^2))</f>
        <v>1.9606837606837608</v>
      </c>
      <c r="M21" s="3">
        <f t="shared" si="88"/>
        <v>2.5886731391585758</v>
      </c>
      <c r="N21" s="3">
        <f t="shared" ref="N21:R21" si="89">(1/3)*((N15^3-N16^3)/(N15^2-N16^2))</f>
        <v>3.2210937500000001</v>
      </c>
      <c r="O21" s="3">
        <f t="shared" si="89"/>
        <v>3.8761904761904766</v>
      </c>
      <c r="P21" s="3">
        <f t="shared" si="89"/>
        <v>4.4816479400749065</v>
      </c>
      <c r="Q21" s="3">
        <f t="shared" si="89"/>
        <v>5.2043478260869565</v>
      </c>
      <c r="R21" s="3">
        <f t="shared" si="89"/>
        <v>5.2043478260869565</v>
      </c>
      <c r="S21" s="3">
        <f t="shared" ref="S21:Y21" si="90">(1/3)*((S15^3-S16^3)/(S15^2-S16^2))</f>
        <v>6.4421875000000002</v>
      </c>
      <c r="T21" s="3">
        <f t="shared" si="90"/>
        <v>6.4421875000000002</v>
      </c>
      <c r="U21" s="3">
        <f t="shared" si="90"/>
        <v>6.4421875000000002</v>
      </c>
      <c r="V21" s="3">
        <f t="shared" ref="V21:X21" si="91">(1/3)*((V15^3-V16^3)/(V15^2-V16^2))</f>
        <v>6.9070957284515622</v>
      </c>
      <c r="W21" s="3">
        <f t="shared" si="91"/>
        <v>6.9070957284515622</v>
      </c>
      <c r="X21" s="3">
        <f t="shared" si="91"/>
        <v>6.9070957284515622</v>
      </c>
      <c r="Y21" s="3">
        <f t="shared" si="90"/>
        <v>7.793010752688172</v>
      </c>
      <c r="Z21" s="3">
        <f t="shared" ref="Z21:CN21" si="92">(1/3)*((Z15^3-Z16^3)/(Z15^2-Z16^2))</f>
        <v>7.793010752688172</v>
      </c>
      <c r="AA21" s="3">
        <f t="shared" si="92"/>
        <v>7.793010752688172</v>
      </c>
      <c r="AB21" s="3">
        <f t="shared" si="92"/>
        <v>9.030733519034353</v>
      </c>
      <c r="AC21" s="3">
        <f t="shared" si="92"/>
        <v>9.030733519034353</v>
      </c>
      <c r="AD21" s="3">
        <f t="shared" si="92"/>
        <v>10.295925020374899</v>
      </c>
      <c r="AE21" s="3">
        <f t="shared" si="92"/>
        <v>10.295925020374899</v>
      </c>
      <c r="AF21" s="3">
        <f t="shared" si="92"/>
        <v>11.64643628509719</v>
      </c>
      <c r="AG21" s="3">
        <f t="shared" si="92"/>
        <v>11.64643628509719</v>
      </c>
      <c r="AH21" s="3">
        <f t="shared" si="92"/>
        <v>12.884375</v>
      </c>
      <c r="AI21" s="3">
        <f t="shared" si="92"/>
        <v>12.884375</v>
      </c>
      <c r="AJ21" s="3">
        <f t="shared" si="92"/>
        <v>1.9606837606837608</v>
      </c>
      <c r="AK21" s="3">
        <f t="shared" si="92"/>
        <v>2.5886731391585758</v>
      </c>
      <c r="AL21" s="3">
        <f t="shared" si="92"/>
        <v>3.2210937500000001</v>
      </c>
      <c r="AM21" s="3">
        <f t="shared" si="92"/>
        <v>3.8761904761904766</v>
      </c>
      <c r="AN21" s="3">
        <f t="shared" si="92"/>
        <v>4.4816479400749065</v>
      </c>
      <c r="AO21" s="3">
        <f t="shared" si="92"/>
        <v>5.2043478260869565</v>
      </c>
      <c r="AP21" s="3">
        <f t="shared" si="92"/>
        <v>5.2043478260869565</v>
      </c>
      <c r="AQ21" s="3">
        <f t="shared" si="92"/>
        <v>6.4421875000000002</v>
      </c>
      <c r="AR21" s="3">
        <f t="shared" si="92"/>
        <v>6.4421875000000002</v>
      </c>
      <c r="AS21" s="3">
        <f t="shared" si="92"/>
        <v>6.4421875000000002</v>
      </c>
      <c r="AT21" s="3">
        <f t="shared" ref="AT21:AV21" si="93">(1/3)*((AT15^3-AT16^3)/(AT15^2-AT16^2))</f>
        <v>6.9070957284515622</v>
      </c>
      <c r="AU21" s="3">
        <f t="shared" si="93"/>
        <v>6.9070957284515622</v>
      </c>
      <c r="AV21" s="3">
        <f t="shared" si="93"/>
        <v>6.9070957284515622</v>
      </c>
      <c r="AW21" s="3">
        <f t="shared" si="92"/>
        <v>7.793010752688172</v>
      </c>
      <c r="AX21" s="3">
        <f t="shared" si="92"/>
        <v>7.793010752688172</v>
      </c>
      <c r="AY21" s="3">
        <f t="shared" si="92"/>
        <v>7.793010752688172</v>
      </c>
      <c r="AZ21" s="3">
        <f t="shared" si="92"/>
        <v>9.030733519034353</v>
      </c>
      <c r="BA21" s="3">
        <f t="shared" si="92"/>
        <v>9.030733519034353</v>
      </c>
      <c r="BB21" s="3">
        <f t="shared" si="92"/>
        <v>10.295925020374899</v>
      </c>
      <c r="BC21" s="3">
        <f t="shared" si="92"/>
        <v>10.295925020374899</v>
      </c>
      <c r="BD21" s="3">
        <f t="shared" si="92"/>
        <v>11.64643628509719</v>
      </c>
      <c r="BE21" s="3">
        <f t="shared" si="92"/>
        <v>11.64643628509719</v>
      </c>
      <c r="BF21" s="3">
        <f t="shared" si="92"/>
        <v>12.884375</v>
      </c>
      <c r="BG21" s="3">
        <f t="shared" si="92"/>
        <v>12.884375</v>
      </c>
      <c r="BH21" s="3">
        <f t="shared" si="92"/>
        <v>1.9606837606837608</v>
      </c>
      <c r="BI21" s="3">
        <f t="shared" si="92"/>
        <v>2.5886731391585758</v>
      </c>
      <c r="BJ21" s="3">
        <f t="shared" si="92"/>
        <v>3.2210937500000001</v>
      </c>
      <c r="BK21" s="3">
        <f t="shared" si="92"/>
        <v>3.8761904761904766</v>
      </c>
      <c r="BL21" s="3">
        <f t="shared" si="92"/>
        <v>4.4816479400749065</v>
      </c>
      <c r="BM21" s="3">
        <f t="shared" si="92"/>
        <v>5.2043478260869565</v>
      </c>
      <c r="BN21" s="3">
        <f t="shared" si="92"/>
        <v>5.2043478260869565</v>
      </c>
      <c r="BO21" s="3">
        <f t="shared" si="92"/>
        <v>6.4421875000000002</v>
      </c>
      <c r="BP21" s="3">
        <f t="shared" si="92"/>
        <v>6.4421875000000002</v>
      </c>
      <c r="BQ21" s="3">
        <f t="shared" si="92"/>
        <v>6.4421875000000002</v>
      </c>
      <c r="BR21" s="3">
        <f t="shared" ref="BR21:BT21" si="94">(1/3)*((BR15^3-BR16^3)/(BR15^2-BR16^2))</f>
        <v>6.9070957284515622</v>
      </c>
      <c r="BS21" s="3">
        <f t="shared" si="94"/>
        <v>6.9070957284515622</v>
      </c>
      <c r="BT21" s="3">
        <f t="shared" si="94"/>
        <v>6.9070957284515622</v>
      </c>
      <c r="BU21" s="3">
        <f t="shared" si="92"/>
        <v>7.793010752688172</v>
      </c>
      <c r="BV21" s="3">
        <f t="shared" si="92"/>
        <v>7.793010752688172</v>
      </c>
      <c r="BW21" s="3">
        <f t="shared" si="92"/>
        <v>7.793010752688172</v>
      </c>
      <c r="BX21" s="3">
        <f t="shared" si="92"/>
        <v>9.030733519034353</v>
      </c>
      <c r="BY21" s="3">
        <f t="shared" si="92"/>
        <v>9.030733519034353</v>
      </c>
      <c r="BZ21" s="3">
        <f t="shared" si="92"/>
        <v>10.295925020374899</v>
      </c>
      <c r="CA21" s="3">
        <f t="shared" si="92"/>
        <v>10.295925020374899</v>
      </c>
      <c r="CB21" s="3">
        <f t="shared" si="92"/>
        <v>11.64643628509719</v>
      </c>
      <c r="CC21" s="3">
        <f t="shared" si="92"/>
        <v>11.64643628509719</v>
      </c>
      <c r="CD21" s="3">
        <f t="shared" si="92"/>
        <v>12.884375</v>
      </c>
      <c r="CE21" s="3">
        <f t="shared" si="92"/>
        <v>12.884375</v>
      </c>
      <c r="CF21" s="3">
        <f t="shared" ref="CF21:CG21" si="95">(1/3)*((CF15^3-CF16^3)/(CF15^2-CF16^2))</f>
        <v>6.4421875000000002</v>
      </c>
      <c r="CG21" s="3">
        <f t="shared" si="95"/>
        <v>6.4421875000000002</v>
      </c>
      <c r="CH21" s="3">
        <f t="shared" si="92"/>
        <v>6.4421875000000002</v>
      </c>
      <c r="CI21" s="3">
        <f t="shared" ref="CI21:CJ21" si="96">(1/3)*((CI15^3-CI16^3)/(CI15^2-CI16^2))</f>
        <v>6.9070957284515622</v>
      </c>
      <c r="CJ21" s="3">
        <f t="shared" si="96"/>
        <v>7.793010752688172</v>
      </c>
      <c r="CK21" s="3">
        <f t="shared" ref="CK21" si="97">(1/3)*((CK15^3-CK16^3)/(CK15^2-CK16^2))</f>
        <v>7.793010752688172</v>
      </c>
      <c r="CL21" s="3">
        <f t="shared" si="92"/>
        <v>7.793010752688172</v>
      </c>
      <c r="CM21" s="3">
        <f t="shared" ref="CM21" si="98">(1/3)*((CM15^3-CM16^3)/(CM15^2-CM16^2))</f>
        <v>9.030733519034353</v>
      </c>
      <c r="CN21" s="3">
        <f t="shared" si="92"/>
        <v>9.030733519034353</v>
      </c>
    </row>
    <row r="22" spans="2:92" s="8" customFormat="1" x14ac:dyDescent="0.25">
      <c r="D22" s="18"/>
      <c r="E22" s="18"/>
      <c r="F22" s="13"/>
      <c r="G22" s="4" t="s">
        <v>5</v>
      </c>
      <c r="I22" s="49">
        <f t="shared" ref="I22" si="99">PI()*I19^2/4</f>
        <v>124.54537242870843</v>
      </c>
      <c r="J22" s="22" t="s">
        <v>26</v>
      </c>
      <c r="K22" s="13" t="s">
        <v>3</v>
      </c>
      <c r="L22" s="17">
        <f t="shared" ref="L22:M22" si="100">PI()*L19^2/4</f>
        <v>5.0308324434993503</v>
      </c>
      <c r="M22" s="17">
        <f t="shared" si="100"/>
        <v>8.7786995572187685</v>
      </c>
      <c r="N22" s="17">
        <f t="shared" ref="N22:R22" si="101">PI()*N19^2/4</f>
        <v>14.182516077409502</v>
      </c>
      <c r="O22" s="17">
        <f t="shared" si="101"/>
        <v>20.123329773997401</v>
      </c>
      <c r="P22" s="17">
        <f t="shared" si="101"/>
        <v>28.859784784365257</v>
      </c>
      <c r="Q22" s="17">
        <f t="shared" si="101"/>
        <v>39.167036121528014</v>
      </c>
      <c r="R22" s="17">
        <f t="shared" si="101"/>
        <v>36.608462842076818</v>
      </c>
      <c r="S22" s="17">
        <f t="shared" ref="S22:Y22" si="102">PI()*S19^2/4</f>
        <v>64.493927776238195</v>
      </c>
      <c r="T22" s="17">
        <f t="shared" si="102"/>
        <v>61.198493939887506</v>
      </c>
      <c r="U22" s="17">
        <f t="shared" si="102"/>
        <v>57.98947542534723</v>
      </c>
      <c r="V22" s="17">
        <f t="shared" ref="V22:X22" si="103">PI()*V19^2/4</f>
        <v>81.301575118397466</v>
      </c>
      <c r="W22" s="17">
        <f t="shared" si="103"/>
        <v>77.596262597271419</v>
      </c>
      <c r="X22" s="17">
        <f t="shared" si="103"/>
        <v>73.977365397955808</v>
      </c>
      <c r="Y22" s="17">
        <f t="shared" si="102"/>
        <v>92.0717103448778</v>
      </c>
      <c r="Z22" s="17">
        <f t="shared" ref="Z22:CN22" si="104">PI()*Z19^2/4</f>
        <v>88.125831273438038</v>
      </c>
      <c r="AA22" s="17">
        <f t="shared" si="104"/>
        <v>84.266367523808626</v>
      </c>
      <c r="AB22" s="17">
        <f t="shared" si="104"/>
        <v>124.54537242870843</v>
      </c>
      <c r="AC22" s="17">
        <f t="shared" si="104"/>
        <v>115.43913913746103</v>
      </c>
      <c r="AD22" s="17">
        <f t="shared" si="104"/>
        <v>167.24809889115841</v>
      </c>
      <c r="AE22" s="17">
        <f t="shared" si="104"/>
        <v>156.66814448611206</v>
      </c>
      <c r="AF22" s="17">
        <f t="shared" si="104"/>
        <v>216.23401066078799</v>
      </c>
      <c r="AG22" s="17">
        <f t="shared" si="104"/>
        <v>192.47232091033888</v>
      </c>
      <c r="AH22" s="17">
        <f t="shared" si="104"/>
        <v>271.50310773759713</v>
      </c>
      <c r="AI22" s="17">
        <f t="shared" si="104"/>
        <v>244.79397575955002</v>
      </c>
      <c r="AJ22" s="17">
        <f t="shared" si="104"/>
        <v>5.0308324434993503</v>
      </c>
      <c r="AK22" s="17">
        <f t="shared" si="104"/>
        <v>8.7786995572187685</v>
      </c>
      <c r="AL22" s="17">
        <f t="shared" si="104"/>
        <v>14.182516077409502</v>
      </c>
      <c r="AM22" s="17">
        <f t="shared" si="104"/>
        <v>20.123329773997401</v>
      </c>
      <c r="AN22" s="17">
        <f t="shared" si="104"/>
        <v>28.859784784365257</v>
      </c>
      <c r="AO22" s="17">
        <f t="shared" si="104"/>
        <v>39.167036121528014</v>
      </c>
      <c r="AP22" s="17">
        <f t="shared" si="104"/>
        <v>36.608462842076818</v>
      </c>
      <c r="AQ22" s="17">
        <f t="shared" si="104"/>
        <v>64.493927776238195</v>
      </c>
      <c r="AR22" s="17">
        <f t="shared" si="104"/>
        <v>61.198493939887506</v>
      </c>
      <c r="AS22" s="17">
        <f t="shared" si="104"/>
        <v>57.98947542534723</v>
      </c>
      <c r="AT22" s="17">
        <f t="shared" ref="AT22:AV22" si="105">PI()*AT19^2/4</f>
        <v>81.301575118397466</v>
      </c>
      <c r="AU22" s="17">
        <f t="shared" si="105"/>
        <v>77.596262597271419</v>
      </c>
      <c r="AV22" s="17">
        <f t="shared" si="105"/>
        <v>73.977365397955808</v>
      </c>
      <c r="AW22" s="17">
        <f t="shared" si="104"/>
        <v>92.0717103448778</v>
      </c>
      <c r="AX22" s="17">
        <f t="shared" si="104"/>
        <v>88.125831273438038</v>
      </c>
      <c r="AY22" s="17">
        <f t="shared" si="104"/>
        <v>84.266367523808626</v>
      </c>
      <c r="AZ22" s="17">
        <f t="shared" si="104"/>
        <v>124.54537242870843</v>
      </c>
      <c r="BA22" s="17">
        <f t="shared" si="104"/>
        <v>115.43913913746103</v>
      </c>
      <c r="BB22" s="17">
        <f t="shared" si="104"/>
        <v>167.24809889115841</v>
      </c>
      <c r="BC22" s="17">
        <f t="shared" si="104"/>
        <v>156.66814448611206</v>
      </c>
      <c r="BD22" s="17">
        <f t="shared" si="104"/>
        <v>216.23401066078799</v>
      </c>
      <c r="BE22" s="17">
        <f t="shared" si="104"/>
        <v>192.47232091033888</v>
      </c>
      <c r="BF22" s="17">
        <f t="shared" si="104"/>
        <v>271.50310773759713</v>
      </c>
      <c r="BG22" s="17">
        <f t="shared" si="104"/>
        <v>244.79397575955002</v>
      </c>
      <c r="BH22" s="17">
        <f t="shared" si="104"/>
        <v>5.0308324434993503</v>
      </c>
      <c r="BI22" s="17">
        <f t="shared" si="104"/>
        <v>8.7786995572187685</v>
      </c>
      <c r="BJ22" s="17">
        <f t="shared" si="104"/>
        <v>14.182516077409502</v>
      </c>
      <c r="BK22" s="17">
        <f t="shared" si="104"/>
        <v>20.123329773997401</v>
      </c>
      <c r="BL22" s="17">
        <f t="shared" si="104"/>
        <v>28.859784784365257</v>
      </c>
      <c r="BM22" s="17">
        <f t="shared" si="104"/>
        <v>39.167036121528014</v>
      </c>
      <c r="BN22" s="17">
        <f t="shared" si="104"/>
        <v>36.608462842076818</v>
      </c>
      <c r="BO22" s="17">
        <f t="shared" si="104"/>
        <v>64.493927776238195</v>
      </c>
      <c r="BP22" s="17">
        <f t="shared" si="104"/>
        <v>61.198493939887506</v>
      </c>
      <c r="BQ22" s="17">
        <f t="shared" si="104"/>
        <v>57.98947542534723</v>
      </c>
      <c r="BR22" s="17">
        <f t="shared" ref="BR22:BT22" si="106">PI()*BR19^2/4</f>
        <v>81.301575118397466</v>
      </c>
      <c r="BS22" s="17">
        <f t="shared" si="106"/>
        <v>77.596262597271419</v>
      </c>
      <c r="BT22" s="17">
        <f t="shared" si="106"/>
        <v>73.977365397955808</v>
      </c>
      <c r="BU22" s="17">
        <f t="shared" si="104"/>
        <v>92.0717103448778</v>
      </c>
      <c r="BV22" s="17">
        <f t="shared" si="104"/>
        <v>88.125831273438038</v>
      </c>
      <c r="BW22" s="17">
        <f t="shared" si="104"/>
        <v>84.266367523808626</v>
      </c>
      <c r="BX22" s="17">
        <f t="shared" si="104"/>
        <v>124.54537242870843</v>
      </c>
      <c r="BY22" s="17">
        <f t="shared" si="104"/>
        <v>115.43913913746103</v>
      </c>
      <c r="BZ22" s="17">
        <f t="shared" si="104"/>
        <v>167.24809889115841</v>
      </c>
      <c r="CA22" s="17">
        <f t="shared" si="104"/>
        <v>156.66814448611206</v>
      </c>
      <c r="CB22" s="17">
        <f t="shared" si="104"/>
        <v>216.23401066078799</v>
      </c>
      <c r="CC22" s="17">
        <f t="shared" si="104"/>
        <v>192.47232091033888</v>
      </c>
      <c r="CD22" s="17">
        <f t="shared" si="104"/>
        <v>271.50310773759713</v>
      </c>
      <c r="CE22" s="17">
        <f t="shared" si="104"/>
        <v>244.79397575955002</v>
      </c>
      <c r="CF22" s="17">
        <f t="shared" ref="CF22:CG22" si="107">PI()*CF19^2/4</f>
        <v>64.493927776238195</v>
      </c>
      <c r="CG22" s="17">
        <f t="shared" si="107"/>
        <v>61.198493939887506</v>
      </c>
      <c r="CH22" s="17">
        <f t="shared" si="104"/>
        <v>57.98947542534723</v>
      </c>
      <c r="CI22" s="17">
        <f t="shared" ref="CI22:CJ22" si="108">PI()*CI19^2/4</f>
        <v>73.977365397955808</v>
      </c>
      <c r="CJ22" s="17">
        <f t="shared" si="108"/>
        <v>92.0717103448778</v>
      </c>
      <c r="CK22" s="17">
        <f t="shared" ref="CK22" si="109">PI()*CK19^2/4</f>
        <v>88.125831273438038</v>
      </c>
      <c r="CL22" s="17">
        <f t="shared" si="104"/>
        <v>84.266367523808626</v>
      </c>
      <c r="CM22" s="17">
        <f t="shared" ref="CM22" si="110">PI()*CM19^2/4</f>
        <v>124.54537242870843</v>
      </c>
      <c r="CN22" s="17">
        <f t="shared" si="104"/>
        <v>115.43913913746103</v>
      </c>
    </row>
    <row r="23" spans="2:92" s="8" customFormat="1" x14ac:dyDescent="0.25">
      <c r="C23" s="18"/>
      <c r="D23" s="4" t="s">
        <v>6</v>
      </c>
      <c r="E23" s="4" t="s">
        <v>4</v>
      </c>
      <c r="F23" s="19" t="s">
        <v>16</v>
      </c>
      <c r="G23" s="15" t="s">
        <v>22</v>
      </c>
      <c r="H23" s="18"/>
      <c r="I23" s="49">
        <f>0.16*I$5+I$17*(0.583*I$20+I$21)</f>
        <v>2.2349694922841223</v>
      </c>
      <c r="J23" s="18"/>
      <c r="K23" s="13" t="s">
        <v>15</v>
      </c>
      <c r="L23" s="17">
        <f t="shared" ref="L23:CN23" si="111">0.16*L$5+L$17*(0.583*L$20+L$21)</f>
        <v>0.50244254128205124</v>
      </c>
      <c r="M23" s="17">
        <f t="shared" si="111"/>
        <v>0.67067346269902905</v>
      </c>
      <c r="N23" s="17">
        <f t="shared" si="111"/>
        <v>0.82798003400000009</v>
      </c>
      <c r="O23" s="17">
        <f t="shared" si="111"/>
        <v>0.99946383714285725</v>
      </c>
      <c r="P23" s="17">
        <f t="shared" si="111"/>
        <v>1.1420787328089888</v>
      </c>
      <c r="Q23" s="17">
        <f t="shared" si="111"/>
        <v>1.2987627191304347</v>
      </c>
      <c r="R23" s="17">
        <f t="shared" si="111"/>
        <v>1.3274029641304348</v>
      </c>
      <c r="S23" s="17">
        <f t="shared" si="111"/>
        <v>1.58722348</v>
      </c>
      <c r="T23" s="17">
        <f t="shared" si="111"/>
        <v>1.6158637249999999</v>
      </c>
      <c r="U23" s="17">
        <f t="shared" si="111"/>
        <v>1.6445039699999999</v>
      </c>
      <c r="V23" s="17">
        <f t="shared" si="111"/>
        <v>1.7208429674141872</v>
      </c>
      <c r="W23" s="17">
        <f t="shared" si="111"/>
        <v>1.7494832124141872</v>
      </c>
      <c r="X23" s="17">
        <f t="shared" si="111"/>
        <v>1.7781234574141873</v>
      </c>
      <c r="Y23" s="17">
        <f t="shared" si="111"/>
        <v>1.9178825153225803</v>
      </c>
      <c r="Z23" s="17">
        <f t="shared" si="111"/>
        <v>1.9465227603225805</v>
      </c>
      <c r="AA23" s="17">
        <f t="shared" si="111"/>
        <v>1.9751630053225804</v>
      </c>
      <c r="AB23" s="17">
        <f t="shared" si="111"/>
        <v>2.2349694922841223</v>
      </c>
      <c r="AC23" s="17">
        <f t="shared" si="111"/>
        <v>2.292249982284122</v>
      </c>
      <c r="AD23" s="17">
        <f t="shared" si="111"/>
        <v>2.5267124724449879</v>
      </c>
      <c r="AE23" s="17">
        <f t="shared" si="111"/>
        <v>2.5839929624449876</v>
      </c>
      <c r="AF23" s="17">
        <f t="shared" si="111"/>
        <v>2.8286938242116628</v>
      </c>
      <c r="AG23" s="17">
        <f t="shared" si="111"/>
        <v>2.9432548042116622</v>
      </c>
      <c r="AH23" s="17">
        <f t="shared" si="111"/>
        <v>3.1171664699999999</v>
      </c>
      <c r="AI23" s="17">
        <f t="shared" si="111"/>
        <v>3.2317274499999997</v>
      </c>
      <c r="AJ23" s="17">
        <f t="shared" si="111"/>
        <v>0.50244254128205124</v>
      </c>
      <c r="AK23" s="17">
        <f t="shared" si="111"/>
        <v>0.67067346269902905</v>
      </c>
      <c r="AL23" s="17">
        <f t="shared" si="111"/>
        <v>0.82798003400000009</v>
      </c>
      <c r="AM23" s="17">
        <f t="shared" si="111"/>
        <v>0.99946383714285725</v>
      </c>
      <c r="AN23" s="17">
        <f t="shared" si="111"/>
        <v>1.1420787328089888</v>
      </c>
      <c r="AO23" s="17">
        <f t="shared" si="111"/>
        <v>1.2987627191304347</v>
      </c>
      <c r="AP23" s="17">
        <f t="shared" si="111"/>
        <v>1.3274029641304348</v>
      </c>
      <c r="AQ23" s="17">
        <f t="shared" si="111"/>
        <v>1.58722348</v>
      </c>
      <c r="AR23" s="17">
        <f t="shared" si="111"/>
        <v>1.6158637249999999</v>
      </c>
      <c r="AS23" s="17">
        <f t="shared" si="111"/>
        <v>1.6445039699999999</v>
      </c>
      <c r="AT23" s="17">
        <f t="shared" si="111"/>
        <v>1.7208429674141872</v>
      </c>
      <c r="AU23" s="17">
        <f t="shared" si="111"/>
        <v>1.7494832124141872</v>
      </c>
      <c r="AV23" s="17">
        <f t="shared" si="111"/>
        <v>1.7781234574141873</v>
      </c>
      <c r="AW23" s="17">
        <f t="shared" si="111"/>
        <v>1.9178825153225803</v>
      </c>
      <c r="AX23" s="17">
        <f t="shared" si="111"/>
        <v>1.9465227603225805</v>
      </c>
      <c r="AY23" s="17">
        <f t="shared" si="111"/>
        <v>1.9751630053225804</v>
      </c>
      <c r="AZ23" s="17">
        <f t="shared" si="111"/>
        <v>2.2349694922841223</v>
      </c>
      <c r="BA23" s="17">
        <f t="shared" si="111"/>
        <v>2.292249982284122</v>
      </c>
      <c r="BB23" s="17">
        <f t="shared" si="111"/>
        <v>2.5267124724449879</v>
      </c>
      <c r="BC23" s="17">
        <f t="shared" si="111"/>
        <v>2.5839929624449876</v>
      </c>
      <c r="BD23" s="17">
        <f t="shared" si="111"/>
        <v>2.8286938242116628</v>
      </c>
      <c r="BE23" s="17">
        <f t="shared" si="111"/>
        <v>2.9432548042116622</v>
      </c>
      <c r="BF23" s="17">
        <f t="shared" si="111"/>
        <v>3.1171664699999999</v>
      </c>
      <c r="BG23" s="17">
        <f t="shared" si="111"/>
        <v>3.2317274499999997</v>
      </c>
      <c r="BH23" s="17">
        <f t="shared" si="111"/>
        <v>0.50244254128205124</v>
      </c>
      <c r="BI23" s="17">
        <f t="shared" si="111"/>
        <v>0.67067346269902905</v>
      </c>
      <c r="BJ23" s="17">
        <f t="shared" si="111"/>
        <v>0.82798003400000009</v>
      </c>
      <c r="BK23" s="17">
        <f t="shared" si="111"/>
        <v>0.99946383714285725</v>
      </c>
      <c r="BL23" s="17">
        <f t="shared" si="111"/>
        <v>1.1420787328089888</v>
      </c>
      <c r="BM23" s="17">
        <f t="shared" si="111"/>
        <v>1.2987627191304347</v>
      </c>
      <c r="BN23" s="17">
        <f t="shared" si="111"/>
        <v>1.3274029641304348</v>
      </c>
      <c r="BO23" s="17">
        <f t="shared" si="111"/>
        <v>1.58722348</v>
      </c>
      <c r="BP23" s="17">
        <f t="shared" si="111"/>
        <v>1.6158637249999999</v>
      </c>
      <c r="BQ23" s="17">
        <f t="shared" si="111"/>
        <v>1.6445039699999999</v>
      </c>
      <c r="BR23" s="17">
        <f t="shared" si="111"/>
        <v>1.7208429674141872</v>
      </c>
      <c r="BS23" s="17">
        <f t="shared" si="111"/>
        <v>1.7494832124141872</v>
      </c>
      <c r="BT23" s="17">
        <f t="shared" si="111"/>
        <v>1.7781234574141873</v>
      </c>
      <c r="BU23" s="17">
        <f t="shared" si="111"/>
        <v>1.9178825153225803</v>
      </c>
      <c r="BV23" s="17">
        <f t="shared" si="111"/>
        <v>1.9465227603225805</v>
      </c>
      <c r="BW23" s="17">
        <f t="shared" si="111"/>
        <v>1.9751630053225804</v>
      </c>
      <c r="BX23" s="17">
        <f t="shared" si="111"/>
        <v>2.2349694922841223</v>
      </c>
      <c r="BY23" s="17">
        <f t="shared" si="111"/>
        <v>2.292249982284122</v>
      </c>
      <c r="BZ23" s="17">
        <f t="shared" si="111"/>
        <v>2.5267124724449879</v>
      </c>
      <c r="CA23" s="17">
        <f t="shared" si="111"/>
        <v>2.5839929624449876</v>
      </c>
      <c r="CB23" s="17">
        <f t="shared" si="111"/>
        <v>2.8286938242116628</v>
      </c>
      <c r="CC23" s="17">
        <f t="shared" si="111"/>
        <v>2.9432548042116622</v>
      </c>
      <c r="CD23" s="17">
        <f t="shared" si="111"/>
        <v>3.1171664699999999</v>
      </c>
      <c r="CE23" s="17">
        <f t="shared" si="111"/>
        <v>3.2317274499999997</v>
      </c>
      <c r="CF23" s="17">
        <f t="shared" si="111"/>
        <v>1.58722348</v>
      </c>
      <c r="CG23" s="17">
        <f t="shared" si="111"/>
        <v>1.6158637249999999</v>
      </c>
      <c r="CH23" s="17">
        <f t="shared" si="111"/>
        <v>1.6445039699999999</v>
      </c>
      <c r="CI23" s="17">
        <f t="shared" si="111"/>
        <v>1.7781234574141873</v>
      </c>
      <c r="CJ23" s="17">
        <f t="shared" si="111"/>
        <v>1.9178825153225803</v>
      </c>
      <c r="CK23" s="17">
        <f t="shared" si="111"/>
        <v>1.9465227603225805</v>
      </c>
      <c r="CL23" s="17">
        <f t="shared" si="111"/>
        <v>1.9751630053225804</v>
      </c>
      <c r="CM23" s="17">
        <f t="shared" si="111"/>
        <v>2.2349694922841223</v>
      </c>
      <c r="CN23" s="17">
        <f t="shared" si="111"/>
        <v>2.292249982284122</v>
      </c>
    </row>
    <row r="24" spans="2:92" s="8" customFormat="1" x14ac:dyDescent="0.25">
      <c r="C24" s="18"/>
      <c r="D24" s="4" t="s">
        <v>6</v>
      </c>
      <c r="E24" s="4" t="s">
        <v>4</v>
      </c>
      <c r="F24" s="19" t="s">
        <v>17</v>
      </c>
      <c r="G24" s="15" t="s">
        <v>22</v>
      </c>
      <c r="H24" s="18"/>
      <c r="I24" s="49">
        <f>0.16*I$5+I$18*(0.583*I$20+I$21)</f>
        <v>3.2324542384261834</v>
      </c>
      <c r="J24" s="18"/>
      <c r="K24" s="13" t="s">
        <v>18</v>
      </c>
      <c r="L24" s="17">
        <f t="shared" ref="L24:CN24" si="112">0.16*L$5+L$18*(0.583*L$20+L$21)</f>
        <v>0.71366381192307693</v>
      </c>
      <c r="M24" s="17">
        <f t="shared" si="112"/>
        <v>0.95001019404854359</v>
      </c>
      <c r="N24" s="17">
        <f t="shared" si="112"/>
        <v>1.177970051</v>
      </c>
      <c r="O24" s="17">
        <f t="shared" si="112"/>
        <v>1.4191957557142856</v>
      </c>
      <c r="P24" s="17">
        <f t="shared" si="112"/>
        <v>1.6331180992134831</v>
      </c>
      <c r="Q24" s="17">
        <f t="shared" si="112"/>
        <v>1.868144078695652</v>
      </c>
      <c r="R24" s="17">
        <f t="shared" si="112"/>
        <v>1.8911044461956521</v>
      </c>
      <c r="S24" s="17">
        <f t="shared" si="112"/>
        <v>2.3008352200000002</v>
      </c>
      <c r="T24" s="17">
        <f t="shared" si="112"/>
        <v>2.3237955874999998</v>
      </c>
      <c r="U24" s="17">
        <f t="shared" si="112"/>
        <v>2.3467559549999999</v>
      </c>
      <c r="V24" s="17">
        <f t="shared" si="112"/>
        <v>2.5012644511212812</v>
      </c>
      <c r="W24" s="17">
        <f t="shared" si="112"/>
        <v>2.5242248186212812</v>
      </c>
      <c r="X24" s="17">
        <f t="shared" si="112"/>
        <v>2.5471851861212809</v>
      </c>
      <c r="Y24" s="17">
        <f t="shared" si="112"/>
        <v>2.776823772983871</v>
      </c>
      <c r="Z24" s="17">
        <f t="shared" si="112"/>
        <v>2.7997841404838706</v>
      </c>
      <c r="AA24" s="17">
        <f t="shared" si="112"/>
        <v>2.8227445079838702</v>
      </c>
      <c r="AB24" s="17">
        <f t="shared" si="112"/>
        <v>3.2324542384261834</v>
      </c>
      <c r="AC24" s="17">
        <f t="shared" si="112"/>
        <v>3.2783749734261831</v>
      </c>
      <c r="AD24" s="17">
        <f t="shared" si="112"/>
        <v>3.6700687086674817</v>
      </c>
      <c r="AE24" s="17">
        <f t="shared" si="112"/>
        <v>3.7159894436674814</v>
      </c>
      <c r="AF24" s="17">
        <f t="shared" si="112"/>
        <v>4.1230407363174937</v>
      </c>
      <c r="AG24" s="17">
        <f t="shared" si="112"/>
        <v>4.214882206317494</v>
      </c>
      <c r="AH24" s="17">
        <f t="shared" si="112"/>
        <v>4.5557497050000002</v>
      </c>
      <c r="AI24" s="17">
        <f t="shared" si="112"/>
        <v>4.6475911749999996</v>
      </c>
      <c r="AJ24" s="17">
        <f t="shared" si="112"/>
        <v>0.71366381192307693</v>
      </c>
      <c r="AK24" s="17">
        <f t="shared" si="112"/>
        <v>0.95001019404854359</v>
      </c>
      <c r="AL24" s="17">
        <f t="shared" si="112"/>
        <v>1.177970051</v>
      </c>
      <c r="AM24" s="17">
        <f t="shared" si="112"/>
        <v>1.4191957557142856</v>
      </c>
      <c r="AN24" s="17">
        <f t="shared" si="112"/>
        <v>1.6331180992134831</v>
      </c>
      <c r="AO24" s="17">
        <f t="shared" si="112"/>
        <v>1.868144078695652</v>
      </c>
      <c r="AP24" s="17">
        <f t="shared" si="112"/>
        <v>1.8911044461956521</v>
      </c>
      <c r="AQ24" s="17">
        <f t="shared" si="112"/>
        <v>2.3008352200000002</v>
      </c>
      <c r="AR24" s="17">
        <f t="shared" si="112"/>
        <v>2.3237955874999998</v>
      </c>
      <c r="AS24" s="17">
        <f t="shared" si="112"/>
        <v>2.3467559549999999</v>
      </c>
      <c r="AT24" s="17">
        <f t="shared" si="112"/>
        <v>2.5012644511212812</v>
      </c>
      <c r="AU24" s="17">
        <f t="shared" si="112"/>
        <v>2.5242248186212812</v>
      </c>
      <c r="AV24" s="17">
        <f t="shared" si="112"/>
        <v>2.5471851861212809</v>
      </c>
      <c r="AW24" s="17">
        <f t="shared" si="112"/>
        <v>2.776823772983871</v>
      </c>
      <c r="AX24" s="17">
        <f t="shared" si="112"/>
        <v>2.7997841404838706</v>
      </c>
      <c r="AY24" s="17">
        <f t="shared" si="112"/>
        <v>2.8227445079838702</v>
      </c>
      <c r="AZ24" s="17">
        <f t="shared" si="112"/>
        <v>3.2324542384261834</v>
      </c>
      <c r="BA24" s="17">
        <f t="shared" si="112"/>
        <v>3.2783749734261831</v>
      </c>
      <c r="BB24" s="17">
        <f t="shared" si="112"/>
        <v>3.6700687086674817</v>
      </c>
      <c r="BC24" s="17">
        <f t="shared" si="112"/>
        <v>3.7159894436674814</v>
      </c>
      <c r="BD24" s="17">
        <f t="shared" si="112"/>
        <v>4.1230407363174937</v>
      </c>
      <c r="BE24" s="17">
        <f t="shared" si="112"/>
        <v>4.214882206317494</v>
      </c>
      <c r="BF24" s="17">
        <f t="shared" si="112"/>
        <v>4.5557497050000002</v>
      </c>
      <c r="BG24" s="17">
        <f t="shared" si="112"/>
        <v>4.6475911749999996</v>
      </c>
      <c r="BH24" s="17">
        <f t="shared" si="112"/>
        <v>0.71366381192307693</v>
      </c>
      <c r="BI24" s="17">
        <f t="shared" si="112"/>
        <v>0.95001019404854359</v>
      </c>
      <c r="BJ24" s="17">
        <f t="shared" si="112"/>
        <v>1.177970051</v>
      </c>
      <c r="BK24" s="17">
        <f t="shared" si="112"/>
        <v>1.4191957557142856</v>
      </c>
      <c r="BL24" s="17">
        <f t="shared" si="112"/>
        <v>1.6331180992134831</v>
      </c>
      <c r="BM24" s="17">
        <f t="shared" si="112"/>
        <v>1.868144078695652</v>
      </c>
      <c r="BN24" s="17">
        <f t="shared" si="112"/>
        <v>1.8911044461956521</v>
      </c>
      <c r="BO24" s="17">
        <f t="shared" si="112"/>
        <v>2.3008352200000002</v>
      </c>
      <c r="BP24" s="17">
        <f t="shared" si="112"/>
        <v>2.3237955874999998</v>
      </c>
      <c r="BQ24" s="17">
        <f t="shared" si="112"/>
        <v>2.3467559549999999</v>
      </c>
      <c r="BR24" s="17">
        <f t="shared" si="112"/>
        <v>2.5012644511212812</v>
      </c>
      <c r="BS24" s="17">
        <f t="shared" si="112"/>
        <v>2.5242248186212812</v>
      </c>
      <c r="BT24" s="17">
        <f t="shared" si="112"/>
        <v>2.5471851861212809</v>
      </c>
      <c r="BU24" s="17">
        <f t="shared" si="112"/>
        <v>2.776823772983871</v>
      </c>
      <c r="BV24" s="17">
        <f t="shared" si="112"/>
        <v>2.7997841404838706</v>
      </c>
      <c r="BW24" s="17">
        <f t="shared" si="112"/>
        <v>2.8227445079838702</v>
      </c>
      <c r="BX24" s="17">
        <f t="shared" si="112"/>
        <v>3.2324542384261834</v>
      </c>
      <c r="BY24" s="17">
        <f t="shared" si="112"/>
        <v>3.2783749734261831</v>
      </c>
      <c r="BZ24" s="17">
        <f t="shared" si="112"/>
        <v>3.6700687086674817</v>
      </c>
      <c r="CA24" s="17">
        <f t="shared" si="112"/>
        <v>3.7159894436674814</v>
      </c>
      <c r="CB24" s="17">
        <f t="shared" si="112"/>
        <v>4.1230407363174937</v>
      </c>
      <c r="CC24" s="17">
        <f t="shared" si="112"/>
        <v>4.214882206317494</v>
      </c>
      <c r="CD24" s="17">
        <f t="shared" si="112"/>
        <v>4.5557497050000002</v>
      </c>
      <c r="CE24" s="17">
        <f t="shared" si="112"/>
        <v>4.6475911749999996</v>
      </c>
      <c r="CF24" s="17">
        <f t="shared" si="112"/>
        <v>2.3008352200000002</v>
      </c>
      <c r="CG24" s="17">
        <f t="shared" si="112"/>
        <v>2.3237955874999998</v>
      </c>
      <c r="CH24" s="17">
        <f t="shared" si="112"/>
        <v>2.3467559549999999</v>
      </c>
      <c r="CI24" s="17">
        <f t="shared" si="112"/>
        <v>2.5471851861212809</v>
      </c>
      <c r="CJ24" s="17">
        <f t="shared" si="112"/>
        <v>2.776823772983871</v>
      </c>
      <c r="CK24" s="17">
        <f t="shared" si="112"/>
        <v>2.7997841404838706</v>
      </c>
      <c r="CL24" s="17">
        <f t="shared" si="112"/>
        <v>2.8227445079838702</v>
      </c>
      <c r="CM24" s="17">
        <f t="shared" si="112"/>
        <v>3.2324542384261834</v>
      </c>
      <c r="CN24" s="17">
        <f t="shared" si="112"/>
        <v>3.2783749734261831</v>
      </c>
    </row>
    <row r="25" spans="2:92" s="8" customFormat="1" x14ac:dyDescent="0.25">
      <c r="B25" s="20" t="s">
        <v>15</v>
      </c>
      <c r="C25" s="20" t="s">
        <v>3</v>
      </c>
      <c r="D25" s="4" t="s">
        <v>5</v>
      </c>
      <c r="E25" s="4" t="s">
        <v>4</v>
      </c>
      <c r="F25" s="19" t="s">
        <v>16</v>
      </c>
      <c r="G25" s="15" t="s">
        <v>2</v>
      </c>
      <c r="H25" s="18"/>
      <c r="I25" s="50">
        <f t="shared" ref="I25" si="113">(0.85*I14*10^-3)/(((1/(I23*I22))^2+3*(16*((1-((I17*I21)/I23))/(PI()*I19^3)))^2)^0.5)</f>
        <v>197.88024764711415</v>
      </c>
      <c r="J25" s="18"/>
      <c r="K25" s="13" t="s">
        <v>1</v>
      </c>
      <c r="L25" s="14">
        <f t="shared" ref="L25:M25" si="114">(0.85*L14*10^-3)/(((1/(L23*L22))^2+3*(16*((1-((L17*L21)/L23))/(PI()*L19^3)))^2)^0.5)</f>
        <v>0.83243973204823796</v>
      </c>
      <c r="M25" s="14">
        <f t="shared" si="114"/>
        <v>1.9253315258990653</v>
      </c>
      <c r="N25" s="14">
        <f t="shared" ref="N25:R25" si="115">(0.85*N14*10^-3)/(((1/(N23*N22))^2+3*(16*((1-((N17*N21)/N23))/(PI()*N19^3)))^2)^0.5)</f>
        <v>3.8886238691668411</v>
      </c>
      <c r="O25" s="14">
        <f t="shared" si="115"/>
        <v>6.6235904838802711</v>
      </c>
      <c r="P25" s="14">
        <f t="shared" si="115"/>
        <v>11.065204671713738</v>
      </c>
      <c r="Q25" s="14">
        <f t="shared" si="115"/>
        <v>17.310006284099043</v>
      </c>
      <c r="R25" s="14">
        <f t="shared" si="115"/>
        <v>16.141142286996924</v>
      </c>
      <c r="S25" s="14">
        <f t="shared" ref="S25:Y25" si="116">(0.85*S14*10^-3)/(((1/(S23*S22))^2+3*(16*((1-((S17*S21)/S23))/(PI()*S19^3)))^2)^0.5)</f>
        <v>35.457327430927144</v>
      </c>
      <c r="T25" s="14">
        <f t="shared" si="116"/>
        <v>33.650550180854218</v>
      </c>
      <c r="U25" s="14">
        <f t="shared" si="116"/>
        <v>31.83562369990106</v>
      </c>
      <c r="V25" s="14">
        <f t="shared" ref="V25:X25" si="117">(0.85*V14*10^-3)/(((1/(V23*V22))^2+3*(16*((1-((V17*V21)/V23))/(PI()*V19^3)))^2)^0.5)</f>
        <v>48.787487148627115</v>
      </c>
      <c r="W25" s="14">
        <f t="shared" si="117"/>
        <v>46.615213807767013</v>
      </c>
      <c r="X25" s="14">
        <f t="shared" si="117"/>
        <v>44.428503441011678</v>
      </c>
      <c r="Y25" s="14">
        <f t="shared" si="116"/>
        <v>60.989478181213748</v>
      </c>
      <c r="Z25" s="14">
        <f t="shared" ref="Z25:CN25" si="118">(0.85*Z14*10^-3)/(((1/(Z23*Z22))^2+3*(16*((1-((Z17*Z21)/Z23))/(PI()*Z19^3)))^2)^0.5)</f>
        <v>58.372650841673071</v>
      </c>
      <c r="AA25" s="14">
        <f t="shared" si="118"/>
        <v>55.746396643890748</v>
      </c>
      <c r="AB25" s="14">
        <f t="shared" si="118"/>
        <v>95.941938253146247</v>
      </c>
      <c r="AC25" s="14">
        <f t="shared" si="118"/>
        <v>88.835259720918501</v>
      </c>
      <c r="AD25" s="14">
        <f t="shared" si="118"/>
        <v>146.99391731863861</v>
      </c>
      <c r="AE25" s="14">
        <f t="shared" si="118"/>
        <v>137.75860288918042</v>
      </c>
      <c r="AF25" s="14">
        <f t="shared" si="118"/>
        <v>214.22398633802763</v>
      </c>
      <c r="AG25" s="14">
        <f t="shared" si="118"/>
        <v>190.76559391128609</v>
      </c>
      <c r="AH25" s="14">
        <f t="shared" si="118"/>
        <v>297.99106032938226</v>
      </c>
      <c r="AI25" s="14">
        <f t="shared" si="118"/>
        <v>269.20440144683374</v>
      </c>
      <c r="AJ25" s="14">
        <f t="shared" si="118"/>
        <v>1.1099196427309839</v>
      </c>
      <c r="AK25" s="14">
        <f t="shared" si="118"/>
        <v>2.5671087011987539</v>
      </c>
      <c r="AL25" s="14">
        <f t="shared" si="118"/>
        <v>5.1848318255557881</v>
      </c>
      <c r="AM25" s="14">
        <f t="shared" si="118"/>
        <v>8.8314539785070281</v>
      </c>
      <c r="AN25" s="14">
        <f t="shared" si="118"/>
        <v>14.75360622895165</v>
      </c>
      <c r="AO25" s="14">
        <f t="shared" si="118"/>
        <v>23.080008378798723</v>
      </c>
      <c r="AP25" s="14">
        <f t="shared" si="118"/>
        <v>21.521523049329232</v>
      </c>
      <c r="AQ25" s="14">
        <f t="shared" si="118"/>
        <v>47.276436574569523</v>
      </c>
      <c r="AR25" s="14">
        <f t="shared" si="118"/>
        <v>44.867400241138959</v>
      </c>
      <c r="AS25" s="14">
        <f t="shared" si="118"/>
        <v>42.447498266534751</v>
      </c>
      <c r="AT25" s="14">
        <f t="shared" ref="AT25:AV25" si="119">(0.85*AT14*10^-3)/(((1/(AT23*AT22))^2+3*(16*((1-((AT17*AT21)/AT23))/(PI()*AT19^3)))^2)^0.5)</f>
        <v>65.049982864836153</v>
      </c>
      <c r="AU25" s="14">
        <f t="shared" si="119"/>
        <v>62.153618410356017</v>
      </c>
      <c r="AV25" s="14">
        <f t="shared" si="119"/>
        <v>59.238004588015578</v>
      </c>
      <c r="AW25" s="14">
        <f t="shared" si="118"/>
        <v>81.31930424161834</v>
      </c>
      <c r="AX25" s="14">
        <f t="shared" si="118"/>
        <v>77.830201122230761</v>
      </c>
      <c r="AY25" s="14">
        <f t="shared" si="118"/>
        <v>74.328528858520997</v>
      </c>
      <c r="AZ25" s="14">
        <f t="shared" si="118"/>
        <v>127.92258433752833</v>
      </c>
      <c r="BA25" s="14">
        <f t="shared" si="118"/>
        <v>118.44701296122467</v>
      </c>
      <c r="BB25" s="14">
        <f t="shared" si="118"/>
        <v>195.99188975818481</v>
      </c>
      <c r="BC25" s="14">
        <f t="shared" si="118"/>
        <v>183.67813718557389</v>
      </c>
      <c r="BD25" s="14">
        <f t="shared" si="118"/>
        <v>285.63198178403684</v>
      </c>
      <c r="BE25" s="14">
        <f t="shared" si="118"/>
        <v>254.3541252150481</v>
      </c>
      <c r="BF25" s="14">
        <f t="shared" si="118"/>
        <v>397.32141377250969</v>
      </c>
      <c r="BG25" s="14">
        <f t="shared" si="118"/>
        <v>358.93920192911168</v>
      </c>
      <c r="BH25" s="14">
        <f t="shared" si="118"/>
        <v>1.6301944752611326</v>
      </c>
      <c r="BI25" s="14">
        <f t="shared" si="118"/>
        <v>3.7704409048856693</v>
      </c>
      <c r="BJ25" s="14">
        <f t="shared" si="118"/>
        <v>7.6152217437850629</v>
      </c>
      <c r="BK25" s="14">
        <f t="shared" si="118"/>
        <v>12.971198030932197</v>
      </c>
      <c r="BL25" s="14">
        <f t="shared" si="118"/>
        <v>21.669359148772738</v>
      </c>
      <c r="BM25" s="14">
        <f t="shared" si="118"/>
        <v>33.898762306360624</v>
      </c>
      <c r="BN25" s="14">
        <f t="shared" si="118"/>
        <v>31.609736978702312</v>
      </c>
      <c r="BO25" s="14">
        <f t="shared" si="118"/>
        <v>69.437266218898984</v>
      </c>
      <c r="BP25" s="14">
        <f t="shared" si="118"/>
        <v>65.898994104172843</v>
      </c>
      <c r="BQ25" s="14">
        <f t="shared" si="118"/>
        <v>62.34476307897291</v>
      </c>
      <c r="BR25" s="14">
        <f t="shared" ref="BR25:BT25" si="120">(0.85*BR14*10^-3)/(((1/(BR23*BR22))^2+3*(16*((1-((BR17*BR21)/BR23))/(PI()*BR19^3)))^2)^0.5)</f>
        <v>95.542162332728097</v>
      </c>
      <c r="BS25" s="14">
        <f t="shared" si="120"/>
        <v>91.288127040210398</v>
      </c>
      <c r="BT25" s="14">
        <f t="shared" si="120"/>
        <v>87.005819238647874</v>
      </c>
      <c r="BU25" s="14">
        <f t="shared" si="118"/>
        <v>119.43772810487692</v>
      </c>
      <c r="BV25" s="14">
        <f t="shared" si="118"/>
        <v>114.31310789827643</v>
      </c>
      <c r="BW25" s="14">
        <f t="shared" si="118"/>
        <v>109.17002676095271</v>
      </c>
      <c r="BX25" s="14">
        <f t="shared" si="118"/>
        <v>187.88629574574475</v>
      </c>
      <c r="BY25" s="14">
        <f t="shared" si="118"/>
        <v>173.96905028679873</v>
      </c>
      <c r="BZ25" s="14">
        <f t="shared" si="118"/>
        <v>287.86308808233395</v>
      </c>
      <c r="CA25" s="14">
        <f t="shared" si="118"/>
        <v>269.77726399131166</v>
      </c>
      <c r="CB25" s="14">
        <f t="shared" si="118"/>
        <v>419.52197324530408</v>
      </c>
      <c r="CC25" s="14">
        <f t="shared" si="118"/>
        <v>373.58262140960187</v>
      </c>
      <c r="CD25" s="14">
        <f t="shared" si="118"/>
        <v>583.56582647837354</v>
      </c>
      <c r="CE25" s="14">
        <f t="shared" si="118"/>
        <v>527.19195283338274</v>
      </c>
      <c r="CF25" s="14">
        <f t="shared" ref="CF25:CG25" si="121">(0.85*CF14*10^-3)/(((1/(CF23*CF22))^2+3*(16*((1-((CF17*CF21)/CF23))/(PI()*CF19^3)))^2)^0.5)</f>
        <v>73.130737826287231</v>
      </c>
      <c r="CG25" s="14">
        <f t="shared" si="121"/>
        <v>69.404259748011825</v>
      </c>
      <c r="CH25" s="14">
        <f t="shared" si="118"/>
        <v>65.660973881045933</v>
      </c>
      <c r="CI25" s="14">
        <f t="shared" ref="CI25:CJ25" si="122">(0.85*CI14*10^-3)/(((1/(CI23*CI22))^2+3*(16*((1-((CI17*CI21)/CI23))/(PI()*CI19^3)))^2)^0.5)</f>
        <v>91.633788347086593</v>
      </c>
      <c r="CJ25" s="14">
        <f t="shared" si="122"/>
        <v>125.79079874875336</v>
      </c>
      <c r="CK25" s="14">
        <f t="shared" ref="CK25" si="123">(0.85*CK14*10^-3)/(((1/(CK23*CK22))^2+3*(16*((1-((CK17*CK21)/CK23))/(PI()*CK19^3)))^2)^0.5)</f>
        <v>120.39359236095071</v>
      </c>
      <c r="CL25" s="14">
        <f t="shared" si="118"/>
        <v>114.97694307802466</v>
      </c>
      <c r="CM25" s="14">
        <f t="shared" ref="CM25" si="124">(0.85*CM14*10^-3)/(((1/(CM23*CM22))^2+3*(16*((1-((CM17*CM21)/CM23))/(PI()*CM19^3)))^2)^0.5)</f>
        <v>197.88024764711415</v>
      </c>
      <c r="CN25" s="14">
        <f t="shared" si="118"/>
        <v>183.22272317439442</v>
      </c>
    </row>
    <row r="26" spans="2:92" s="8" customFormat="1" x14ac:dyDescent="0.25">
      <c r="B26" s="18"/>
      <c r="C26" s="18"/>
      <c r="D26" s="18"/>
      <c r="E26" s="18"/>
      <c r="F26" s="18"/>
      <c r="G26" s="18"/>
      <c r="H26" s="18"/>
      <c r="I26" s="44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2:92" s="8" customFormat="1" x14ac:dyDescent="0.25">
      <c r="C27" s="21"/>
      <c r="D27" s="21"/>
      <c r="E27" s="21"/>
      <c r="F27" s="21"/>
      <c r="G27" s="29" t="s">
        <v>1</v>
      </c>
      <c r="H27" s="21"/>
      <c r="I27" s="51">
        <f>Table_Abaque!$E22*I$25</f>
        <v>188.45737871153727</v>
      </c>
      <c r="J27" s="41"/>
      <c r="K27" s="29" t="s">
        <v>31</v>
      </c>
      <c r="L27" s="7">
        <f>Table_Abaque!$E22*L$25</f>
        <v>0.79279974480784565</v>
      </c>
      <c r="M27" s="7">
        <f>Table_Abaque!$E22*M$25</f>
        <v>1.833649072284824</v>
      </c>
      <c r="N27" s="7">
        <f>Table_Abaque!$E22*N$25</f>
        <v>3.70345130396842</v>
      </c>
      <c r="O27" s="7">
        <f>Table_Abaque!$E22*O$25</f>
        <v>6.3081814132193053</v>
      </c>
      <c r="P27" s="7">
        <f>Table_Abaque!$E22*P$25</f>
        <v>10.538290163536892</v>
      </c>
      <c r="Q27" s="7">
        <f>Table_Abaque!$E22*Q$25</f>
        <v>16.485720270570514</v>
      </c>
      <c r="R27" s="7">
        <f>Table_Abaque!$E22*R$25</f>
        <v>15.372516463806594</v>
      </c>
      <c r="S27" s="7">
        <f>Table_Abaque!$E22*S$25</f>
        <v>33.768883267549661</v>
      </c>
      <c r="T27" s="7">
        <f>Table_Abaque!$E22*T$25</f>
        <v>32.048143029384967</v>
      </c>
      <c r="U27" s="7">
        <f>Table_Abaque!$E22*U$25</f>
        <v>30.319641618953387</v>
      </c>
      <c r="V27" s="7">
        <f>Table_Abaque!$E22*V$25</f>
        <v>46.464273474882965</v>
      </c>
      <c r="W27" s="7">
        <f>Table_Abaque!$E22*W$25</f>
        <v>44.395441721682865</v>
      </c>
      <c r="X27" s="7">
        <f>Table_Abaque!$E22*X$25</f>
        <v>42.31286042001112</v>
      </c>
      <c r="Y27" s="7">
        <f>Table_Abaque!$E22*Y$25</f>
        <v>58.08521731544166</v>
      </c>
      <c r="Z27" s="7">
        <f>Table_Abaque!$E22*Z$25</f>
        <v>55.593000801593398</v>
      </c>
      <c r="AA27" s="7">
        <f>Table_Abaque!$E22*AA$25</f>
        <v>53.091806327514995</v>
      </c>
      <c r="AB27" s="7">
        <f>Table_Abaque!$E22*AB$25</f>
        <v>91.373274526805943</v>
      </c>
      <c r="AC27" s="7">
        <f>Table_Abaque!$E22*AC$25</f>
        <v>84.605009258017617</v>
      </c>
      <c r="AD27" s="7">
        <f>Table_Abaque!$E22*AD$25</f>
        <v>139.99420697013201</v>
      </c>
      <c r="AE27" s="7">
        <f>Table_Abaque!$E22*AE$25</f>
        <v>131.19866941826706</v>
      </c>
      <c r="AF27" s="7">
        <f>Table_Abaque!$E22*AF$25</f>
        <v>204.02284413145486</v>
      </c>
      <c r="AG27" s="7">
        <f>Table_Abaque!$E22*AG$25</f>
        <v>181.68151801074865</v>
      </c>
      <c r="AH27" s="7">
        <f>Table_Abaque!$E22*AH$25</f>
        <v>283.80100983750691</v>
      </c>
      <c r="AI27" s="7">
        <f>Table_Abaque!$E22*AI$25</f>
        <v>256.38514423507974</v>
      </c>
      <c r="AJ27" s="7">
        <f>Table_Abaque!$E22*AJ$25</f>
        <v>1.0570663264104607</v>
      </c>
      <c r="AK27" s="7">
        <f>Table_Abaque!$E22*AK$25</f>
        <v>2.4448654297130989</v>
      </c>
      <c r="AL27" s="7">
        <f>Table_Abaque!$E22*AL$25</f>
        <v>4.9379350719578934</v>
      </c>
      <c r="AM27" s="7">
        <f>Table_Abaque!$E22*AM$25</f>
        <v>8.4109085509590731</v>
      </c>
      <c r="AN27" s="7">
        <f>Table_Abaque!$E22*AN$25</f>
        <v>14.051053551382523</v>
      </c>
      <c r="AO27" s="7">
        <f>Table_Abaque!$E22*AO$25</f>
        <v>21.980960360760687</v>
      </c>
      <c r="AP27" s="7">
        <f>Table_Abaque!$E22*AP$25</f>
        <v>20.496688618408793</v>
      </c>
      <c r="AQ27" s="7">
        <f>Table_Abaque!$E22*AQ$25</f>
        <v>45.025177690066208</v>
      </c>
      <c r="AR27" s="7">
        <f>Table_Abaque!$E22*AR$25</f>
        <v>42.730857372513292</v>
      </c>
      <c r="AS27" s="7">
        <f>Table_Abaque!$E22*AS$25</f>
        <v>40.42618882527119</v>
      </c>
      <c r="AT27" s="7">
        <f>Table_Abaque!$E22*AT$25</f>
        <v>61.952364633177282</v>
      </c>
      <c r="AU27" s="7">
        <f>Table_Abaque!$E22*AU$25</f>
        <v>59.193922295577153</v>
      </c>
      <c r="AV27" s="7">
        <f>Table_Abaque!$E22*AV$25</f>
        <v>56.4171472266815</v>
      </c>
      <c r="AW27" s="7">
        <f>Table_Abaque!$E22*AW$25</f>
        <v>77.44695642058889</v>
      </c>
      <c r="AX27" s="7">
        <f>Table_Abaque!$E22*AX$25</f>
        <v>74.124001068791202</v>
      </c>
      <c r="AY27" s="7">
        <f>Table_Abaque!$E22*AY$25</f>
        <v>70.789075103353326</v>
      </c>
      <c r="AZ27" s="7">
        <f>Table_Abaque!$E22*AZ$25</f>
        <v>121.83103270240792</v>
      </c>
      <c r="BA27" s="7">
        <f>Table_Abaque!$E22*BA$25</f>
        <v>112.80667901069016</v>
      </c>
      <c r="BB27" s="7">
        <f>Table_Abaque!$E22*BB$25</f>
        <v>186.65894262684267</v>
      </c>
      <c r="BC27" s="7">
        <f>Table_Abaque!$E22*BC$25</f>
        <v>174.93155922435608</v>
      </c>
      <c r="BD27" s="7">
        <f>Table_Abaque!$E22*BD$25</f>
        <v>272.03045884193983</v>
      </c>
      <c r="BE27" s="7">
        <f>Table_Abaque!$E22*BE$25</f>
        <v>242.24202401433152</v>
      </c>
      <c r="BF27" s="7">
        <f>Table_Abaque!$E22*BF$25</f>
        <v>378.40134645000921</v>
      </c>
      <c r="BG27" s="7">
        <f>Table_Abaque!$E22*BG$25</f>
        <v>341.84685898010633</v>
      </c>
      <c r="BH27" s="7">
        <f>Table_Abaque!$E22*BH$25</f>
        <v>1.5525661669153643</v>
      </c>
      <c r="BI27" s="7">
        <f>Table_Abaque!$E22*BI$25</f>
        <v>3.5908960998911135</v>
      </c>
      <c r="BJ27" s="7">
        <f>Table_Abaque!$E22*BJ$25</f>
        <v>7.252592136938155</v>
      </c>
      <c r="BK27" s="7">
        <f>Table_Abaque!$E22*BK$25</f>
        <v>12.353521934221138</v>
      </c>
      <c r="BL27" s="7">
        <f>Table_Abaque!$E22*BL$25</f>
        <v>20.637484903593084</v>
      </c>
      <c r="BM27" s="7">
        <f>Table_Abaque!$E22*BM$25</f>
        <v>32.284535529867256</v>
      </c>
      <c r="BN27" s="7">
        <f>Table_Abaque!$E22*BN$25</f>
        <v>30.104511408287916</v>
      </c>
      <c r="BO27" s="7">
        <f>Table_Abaque!$E22*BO$25</f>
        <v>66.130729732284749</v>
      </c>
      <c r="BP27" s="7">
        <f>Table_Abaque!$E22*BP$25</f>
        <v>62.760946765878892</v>
      </c>
      <c r="BQ27" s="7">
        <f>Table_Abaque!$E22*BQ$25</f>
        <v>59.375964837117053</v>
      </c>
      <c r="BR27" s="7">
        <f>Table_Abaque!$E22*BR$25</f>
        <v>90.992535554979142</v>
      </c>
      <c r="BS27" s="7">
        <f>Table_Abaque!$E22*BS$25</f>
        <v>86.941073371628946</v>
      </c>
      <c r="BT27" s="7">
        <f>Table_Abaque!$E22*BT$25</f>
        <v>82.862684989188452</v>
      </c>
      <c r="BU27" s="7">
        <f>Table_Abaque!$E22*BU$25</f>
        <v>113.75021724273992</v>
      </c>
      <c r="BV27" s="7">
        <f>Table_Abaque!$E22*BV$25</f>
        <v>108.86962656978707</v>
      </c>
      <c r="BW27" s="7">
        <f>Table_Abaque!$E22*BW$25</f>
        <v>103.9714540580502</v>
      </c>
      <c r="BX27" s="7">
        <f>Table_Abaque!$E22*BX$25</f>
        <v>178.93932928166166</v>
      </c>
      <c r="BY27" s="7">
        <f>Table_Abaque!$E22*BY$25</f>
        <v>165.68480979695116</v>
      </c>
      <c r="BZ27" s="7">
        <f>Table_Abaque!$E22*BZ$25</f>
        <v>274.15532198317516</v>
      </c>
      <c r="CA27" s="7">
        <f>Table_Abaque!$E22*CA$25</f>
        <v>256.93072761077298</v>
      </c>
      <c r="CB27" s="7">
        <f>Table_Abaque!$E22*CB$25</f>
        <v>399.54473642409909</v>
      </c>
      <c r="CC27" s="7">
        <f>Table_Abaque!$E22*CC$25</f>
        <v>355.79297277104939</v>
      </c>
      <c r="CD27" s="7">
        <f>Table_Abaque!$E22*CD$25</f>
        <v>555.77697759845091</v>
      </c>
      <c r="CE27" s="7">
        <f>Table_Abaque!$E22*CE$25</f>
        <v>502.08757412703113</v>
      </c>
      <c r="CF27" s="7">
        <f>Table_Abaque!$E22*CF$25</f>
        <v>69.648321739321162</v>
      </c>
      <c r="CG27" s="7">
        <f>Table_Abaque!$E22*CG$25</f>
        <v>66.099294998106501</v>
      </c>
      <c r="CH27" s="7">
        <f>Table_Abaque!$E22*CH$25</f>
        <v>62.53426083909136</v>
      </c>
      <c r="CI27" s="7">
        <f>Table_Abaque!$E22*CI$25</f>
        <v>87.270274616272943</v>
      </c>
      <c r="CJ27" s="7">
        <f>Table_Abaque!$E22*CJ$25</f>
        <v>119.80076071309843</v>
      </c>
      <c r="CK27" s="7">
        <f>Table_Abaque!$E22*CK$25</f>
        <v>114.66056415328639</v>
      </c>
      <c r="CL27" s="7">
        <f>Table_Abaque!$E22*CL$25</f>
        <v>109.50185055049967</v>
      </c>
      <c r="CM27" s="7">
        <f>Table_Abaque!$E22*CM$25</f>
        <v>188.45737871153727</v>
      </c>
      <c r="CN27" s="7">
        <f>Table_Abaque!$E22*CN$25</f>
        <v>174.49783159466133</v>
      </c>
    </row>
    <row r="28" spans="2:92" s="8" customFormat="1" x14ac:dyDescent="0.25">
      <c r="C28" s="21"/>
      <c r="D28" s="21"/>
      <c r="E28" s="21"/>
      <c r="F28" s="21"/>
      <c r="G28" s="29" t="s">
        <v>1</v>
      </c>
      <c r="H28" s="21"/>
      <c r="I28" s="51">
        <f>Table_Abaque!$E23*I$25</f>
        <v>179.89113422464922</v>
      </c>
      <c r="J28" s="42"/>
      <c r="K28" s="29" t="s">
        <v>32</v>
      </c>
      <c r="L28" s="7">
        <f>Table_Abaque!$E23*L$25</f>
        <v>0.75676339277112536</v>
      </c>
      <c r="M28" s="7">
        <f>Table_Abaque!$E23*M$25</f>
        <v>1.7503013871809685</v>
      </c>
      <c r="N28" s="7">
        <f>Table_Abaque!$E23*N$25</f>
        <v>3.5351126083334918</v>
      </c>
      <c r="O28" s="7">
        <f>Table_Abaque!$E23*O$25</f>
        <v>6.02144589443661</v>
      </c>
      <c r="P28" s="7">
        <f>Table_Abaque!$E23*P$25</f>
        <v>10.059276974285217</v>
      </c>
      <c r="Q28" s="7">
        <f>Table_Abaque!$E23*Q$25</f>
        <v>15.736369349180947</v>
      </c>
      <c r="R28" s="7">
        <f>Table_Abaque!$E23*R$25</f>
        <v>14.673765715451749</v>
      </c>
      <c r="S28" s="7">
        <f>Table_Abaque!$E23*S$25</f>
        <v>32.233934028115584</v>
      </c>
      <c r="T28" s="7">
        <f>Table_Abaque!$E23*T$25</f>
        <v>30.591409255322016</v>
      </c>
      <c r="U28" s="7">
        <f>Table_Abaque!$E23*U$25</f>
        <v>28.941476090819144</v>
      </c>
      <c r="V28" s="7">
        <f>Table_Abaque!$E23*V$25</f>
        <v>44.352261044206465</v>
      </c>
      <c r="W28" s="7">
        <f>Table_Abaque!$E23*W$25</f>
        <v>42.377467097970012</v>
      </c>
      <c r="X28" s="7">
        <f>Table_Abaque!$E23*X$25</f>
        <v>40.389548582737888</v>
      </c>
      <c r="Y28" s="7">
        <f>Table_Abaque!$E23*Y$25</f>
        <v>55.444980164739768</v>
      </c>
      <c r="Z28" s="7">
        <f>Table_Abaque!$E23*Z$25</f>
        <v>53.066046219702791</v>
      </c>
      <c r="AA28" s="7">
        <f>Table_Abaque!$E23*AA$25</f>
        <v>50.678542403537044</v>
      </c>
      <c r="AB28" s="7">
        <f>Table_Abaque!$E23*AB$25</f>
        <v>87.219943866496592</v>
      </c>
      <c r="AC28" s="7">
        <f>Table_Abaque!$E23*AC$25</f>
        <v>80.759327019016823</v>
      </c>
      <c r="AD28" s="7">
        <f>Table_Abaque!$E23*AD$25</f>
        <v>133.63083392603508</v>
      </c>
      <c r="AE28" s="7">
        <f>Table_Abaque!$E23*AE$25</f>
        <v>125.23509353561856</v>
      </c>
      <c r="AF28" s="7">
        <f>Table_Abaque!$E23*AF$25</f>
        <v>194.74907848911602</v>
      </c>
      <c r="AG28" s="7">
        <f>Table_Abaque!$E23*AG$25</f>
        <v>173.42326719207827</v>
      </c>
      <c r="AH28" s="7">
        <f>Table_Abaque!$E23*AH$25</f>
        <v>270.90096393580205</v>
      </c>
      <c r="AI28" s="7">
        <f>Table_Abaque!$E23*AI$25</f>
        <v>244.73127404257613</v>
      </c>
      <c r="AJ28" s="7">
        <f>Table_Abaque!$E23*AJ$25</f>
        <v>1.0090178570281672</v>
      </c>
      <c r="AK28" s="7">
        <f>Table_Abaque!$E23*AK$25</f>
        <v>2.333735182907958</v>
      </c>
      <c r="AL28" s="7">
        <f>Table_Abaque!$E23*AL$25</f>
        <v>4.7134834777779888</v>
      </c>
      <c r="AM28" s="7">
        <f>Table_Abaque!$E23*AM$25</f>
        <v>8.0285945259154801</v>
      </c>
      <c r="AN28" s="7">
        <f>Table_Abaque!$E23*AN$25</f>
        <v>13.412369299046954</v>
      </c>
      <c r="AO28" s="7">
        <f>Table_Abaque!$E23*AO$25</f>
        <v>20.981825798907931</v>
      </c>
      <c r="AP28" s="7">
        <f>Table_Abaque!$E23*AP$25</f>
        <v>19.565020953935665</v>
      </c>
      <c r="AQ28" s="7">
        <f>Table_Abaque!$E23*AQ$25</f>
        <v>42.97857870415411</v>
      </c>
      <c r="AR28" s="7">
        <f>Table_Abaque!$E23*AR$25</f>
        <v>40.788545673762691</v>
      </c>
      <c r="AS28" s="7">
        <f>Table_Abaque!$E23*AS$25</f>
        <v>38.588634787758863</v>
      </c>
      <c r="AT28" s="7">
        <f>Table_Abaque!$E23*AT$25</f>
        <v>59.136348058941955</v>
      </c>
      <c r="AU28" s="7">
        <f>Table_Abaque!$E23*AU$25</f>
        <v>56.503289463960016</v>
      </c>
      <c r="AV28" s="7">
        <f>Table_Abaque!$E23*AV$25</f>
        <v>53.852731443650526</v>
      </c>
      <c r="AW28" s="7">
        <f>Table_Abaque!$E23*AW$25</f>
        <v>73.926640219653038</v>
      </c>
      <c r="AX28" s="7">
        <f>Table_Abaque!$E23*AX$25</f>
        <v>70.75472829293706</v>
      </c>
      <c r="AY28" s="7">
        <f>Table_Abaque!$E23*AY$25</f>
        <v>67.571389871382721</v>
      </c>
      <c r="AZ28" s="7">
        <f>Table_Abaque!$E23*AZ$25</f>
        <v>116.29325848866212</v>
      </c>
      <c r="BA28" s="7">
        <f>Table_Abaque!$E23*BA$25</f>
        <v>107.67910269202243</v>
      </c>
      <c r="BB28" s="7">
        <f>Table_Abaque!$E23*BB$25</f>
        <v>178.17444523471346</v>
      </c>
      <c r="BC28" s="7">
        <f>Table_Abaque!$E23*BC$25</f>
        <v>166.98012471415808</v>
      </c>
      <c r="BD28" s="7">
        <f>Table_Abaque!$E23*BD$25</f>
        <v>259.66543798548804</v>
      </c>
      <c r="BE28" s="7">
        <f>Table_Abaque!$E23*BE$25</f>
        <v>231.23102292277099</v>
      </c>
      <c r="BF28" s="7">
        <f>Table_Abaque!$E23*BF$25</f>
        <v>361.20128524773605</v>
      </c>
      <c r="BG28" s="7">
        <f>Table_Abaque!$E23*BG$25</f>
        <v>326.30836539010153</v>
      </c>
      <c r="BH28" s="7">
        <f>Table_Abaque!$E23*BH$25</f>
        <v>1.4819949775101204</v>
      </c>
      <c r="BI28" s="7">
        <f>Table_Abaque!$E23*BI$25</f>
        <v>3.4276735498960629</v>
      </c>
      <c r="BJ28" s="7">
        <f>Table_Abaque!$E23*BJ$25</f>
        <v>6.9229288579864203</v>
      </c>
      <c r="BK28" s="7">
        <f>Table_Abaque!$E23*BK$25</f>
        <v>11.79199820993836</v>
      </c>
      <c r="BL28" s="7">
        <f>Table_Abaque!$E23*BL$25</f>
        <v>19.699417407975215</v>
      </c>
      <c r="BM28" s="7">
        <f>Table_Abaque!$E23*BM$25</f>
        <v>30.817056642146021</v>
      </c>
      <c r="BN28" s="7">
        <f>Table_Abaque!$E23*BN$25</f>
        <v>28.736124526093011</v>
      </c>
      <c r="BO28" s="7">
        <f>Table_Abaque!$E23*BO$25</f>
        <v>63.12478747172635</v>
      </c>
      <c r="BP28" s="7">
        <f>Table_Abaque!$E23*BP$25</f>
        <v>59.908176458338943</v>
      </c>
      <c r="BQ28" s="7">
        <f>Table_Abaque!$E23*BQ$25</f>
        <v>56.677057344520826</v>
      </c>
      <c r="BR28" s="7">
        <f>Table_Abaque!$E23*BR$25</f>
        <v>86.856511211570989</v>
      </c>
      <c r="BS28" s="7">
        <f>Table_Abaque!$E23*BS$25</f>
        <v>82.989206400191264</v>
      </c>
      <c r="BT28" s="7">
        <f>Table_Abaque!$E23*BT$25</f>
        <v>79.096199307861696</v>
      </c>
      <c r="BU28" s="7">
        <f>Table_Abaque!$E23*BU$25</f>
        <v>108.57975282261538</v>
      </c>
      <c r="BV28" s="7">
        <f>Table_Abaque!$E23*BV$25</f>
        <v>103.92100718025129</v>
      </c>
      <c r="BW28" s="7">
        <f>Table_Abaque!$E23*BW$25</f>
        <v>99.24547887359337</v>
      </c>
      <c r="BX28" s="7">
        <f>Table_Abaque!$E23*BX$25</f>
        <v>170.80572340522249</v>
      </c>
      <c r="BY28" s="7">
        <f>Table_Abaque!$E23*BY$25</f>
        <v>158.15368207890793</v>
      </c>
      <c r="BZ28" s="7">
        <f>Table_Abaque!$E23*BZ$25</f>
        <v>261.69371643848541</v>
      </c>
      <c r="CA28" s="7">
        <f>Table_Abaque!$E23*CA$25</f>
        <v>245.25205817391969</v>
      </c>
      <c r="CB28" s="7">
        <f>Table_Abaque!$E23*CB$25</f>
        <v>381.38361204118553</v>
      </c>
      <c r="CC28" s="7">
        <f>Table_Abaque!$E23*CC$25</f>
        <v>339.62056491781988</v>
      </c>
      <c r="CD28" s="7">
        <f>Table_Abaque!$E23*CD$25</f>
        <v>530.51438770761229</v>
      </c>
      <c r="CE28" s="7">
        <f>Table_Abaque!$E23*CE$25</f>
        <v>479.26541166671154</v>
      </c>
      <c r="CF28" s="7">
        <f>Table_Abaque!$E23*CF$25</f>
        <v>66.482488932988389</v>
      </c>
      <c r="CG28" s="7">
        <f>Table_Abaque!$E23*CG$25</f>
        <v>63.094781589101657</v>
      </c>
      <c r="CH28" s="7">
        <f>Table_Abaque!$E23*CH$25</f>
        <v>59.691794437314485</v>
      </c>
      <c r="CI28" s="7">
        <f>Table_Abaque!$E23*CI$25</f>
        <v>83.303443951896895</v>
      </c>
      <c r="CJ28" s="7">
        <f>Table_Abaque!$E23*CJ$25</f>
        <v>114.35527158977578</v>
      </c>
      <c r="CK28" s="7">
        <f>Table_Abaque!$E23*CK$25</f>
        <v>109.448720328137</v>
      </c>
      <c r="CL28" s="7">
        <f>Table_Abaque!$E23*CL$25</f>
        <v>104.52449370729514</v>
      </c>
      <c r="CM28" s="7">
        <f>Table_Abaque!$E23*CM$25</f>
        <v>179.89113422464922</v>
      </c>
      <c r="CN28" s="7">
        <f>Table_Abaque!$E23*CN$25</f>
        <v>166.5661119767222</v>
      </c>
    </row>
    <row r="29" spans="2:92" s="8" customFormat="1" x14ac:dyDescent="0.25">
      <c r="C29" s="21"/>
      <c r="D29" s="21"/>
      <c r="E29" s="21"/>
      <c r="F29" s="21"/>
      <c r="G29" s="29" t="s">
        <v>1</v>
      </c>
      <c r="H29" s="21"/>
      <c r="I29" s="51">
        <f>Table_Abaque!$E24*I$25</f>
        <v>172.06978056270796</v>
      </c>
      <c r="J29" s="42"/>
      <c r="K29" s="29" t="s">
        <v>33</v>
      </c>
      <c r="L29" s="7">
        <f>Table_Abaque!$E24*L$25</f>
        <v>0.72386063656368516</v>
      </c>
      <c r="M29" s="7">
        <f>Table_Abaque!$E24*M$25</f>
        <v>1.6742013268687523</v>
      </c>
      <c r="N29" s="7">
        <f>Table_Abaque!$E24*N$25</f>
        <v>3.3814120601450792</v>
      </c>
      <c r="O29" s="7">
        <f>Table_Abaque!$E24*O$25</f>
        <v>5.7596438990263223</v>
      </c>
      <c r="P29" s="7">
        <f>Table_Abaque!$E24*P$25</f>
        <v>9.6219171058380333</v>
      </c>
      <c r="Q29" s="7">
        <f>Table_Abaque!$E24*Q$25</f>
        <v>15.052179377477428</v>
      </c>
      <c r="R29" s="7">
        <f>Table_Abaque!$E24*R$25</f>
        <v>14.035775901736455</v>
      </c>
      <c r="S29" s="7">
        <f>Table_Abaque!$E24*S$25</f>
        <v>30.832458635588821</v>
      </c>
      <c r="T29" s="7">
        <f>Table_Abaque!$E24*T$25</f>
        <v>29.261347983351492</v>
      </c>
      <c r="U29" s="7">
        <f>Table_Abaque!$E24*U$25</f>
        <v>27.683151043392225</v>
      </c>
      <c r="V29" s="7">
        <f>Table_Abaque!$E24*V$25</f>
        <v>42.423901868371402</v>
      </c>
      <c r="W29" s="7">
        <f>Table_Abaque!$E24*W$25</f>
        <v>40.534968528493053</v>
      </c>
      <c r="X29" s="7">
        <f>Table_Abaque!$E24*X$25</f>
        <v>38.633481253053631</v>
      </c>
      <c r="Y29" s="7">
        <f>Table_Abaque!$E24*Y$25</f>
        <v>53.034328853229347</v>
      </c>
      <c r="Z29" s="7">
        <f>Table_Abaque!$E24*Z$25</f>
        <v>50.758826818846146</v>
      </c>
      <c r="AA29" s="7">
        <f>Table_Abaque!$E24*AA$25</f>
        <v>48.475127516426738</v>
      </c>
      <c r="AB29" s="7">
        <f>Table_Abaque!$E24*AB$25</f>
        <v>83.427772394040218</v>
      </c>
      <c r="AC29" s="7">
        <f>Table_Abaque!$E24*AC$25</f>
        <v>77.248051931233476</v>
      </c>
      <c r="AD29" s="7">
        <f>Table_Abaque!$E24*AD$25</f>
        <v>127.82079766838139</v>
      </c>
      <c r="AE29" s="7">
        <f>Table_Abaque!$E24*AE$25</f>
        <v>119.79008946885254</v>
      </c>
      <c r="AF29" s="7">
        <f>Table_Abaque!$E24*AF$25</f>
        <v>186.2817272504588</v>
      </c>
      <c r="AG29" s="7">
        <f>Table_Abaque!$E24*AG$25</f>
        <v>165.88312514024878</v>
      </c>
      <c r="AH29" s="7">
        <f>Table_Abaque!$E24*AH$25</f>
        <v>259.12266115598459</v>
      </c>
      <c r="AI29" s="7">
        <f>Table_Abaque!$E24*AI$25</f>
        <v>234.09078386681193</v>
      </c>
      <c r="AJ29" s="7">
        <f>Table_Abaque!$E24*AJ$25</f>
        <v>0.96514751541824684</v>
      </c>
      <c r="AK29" s="7">
        <f>Table_Abaque!$E24*AK$25</f>
        <v>2.2322684358250031</v>
      </c>
      <c r="AL29" s="7">
        <f>Table_Abaque!$E24*AL$25</f>
        <v>4.5085494135267723</v>
      </c>
      <c r="AM29" s="7">
        <f>Table_Abaque!$E24*AM$25</f>
        <v>7.6795251987017634</v>
      </c>
      <c r="AN29" s="7">
        <f>Table_Abaque!$E24*AN$25</f>
        <v>12.829222807784044</v>
      </c>
      <c r="AO29" s="7">
        <f>Table_Abaque!$E24*AO$25</f>
        <v>20.069572503303238</v>
      </c>
      <c r="AP29" s="7">
        <f>Table_Abaque!$E24*AP$25</f>
        <v>18.714367868981942</v>
      </c>
      <c r="AQ29" s="7">
        <f>Table_Abaque!$E24*AQ$25</f>
        <v>41.109944847451757</v>
      </c>
      <c r="AR29" s="7">
        <f>Table_Abaque!$E24*AR$25</f>
        <v>39.015130644468663</v>
      </c>
      <c r="AS29" s="7">
        <f>Table_Abaque!$E24*AS$25</f>
        <v>36.910868057856305</v>
      </c>
      <c r="AT29" s="7">
        <f>Table_Abaque!$E24*AT$25</f>
        <v>56.56520249116187</v>
      </c>
      <c r="AU29" s="7">
        <f>Table_Abaque!$E24*AU$25</f>
        <v>54.046624704657404</v>
      </c>
      <c r="AV29" s="7">
        <f>Table_Abaque!$E24*AV$25</f>
        <v>51.511308337404849</v>
      </c>
      <c r="AW29" s="7">
        <f>Table_Abaque!$E24*AW$25</f>
        <v>70.712438470972472</v>
      </c>
      <c r="AX29" s="7">
        <f>Table_Abaque!$E24*AX$25</f>
        <v>67.678435758461532</v>
      </c>
      <c r="AY29" s="7">
        <f>Table_Abaque!$E24*AY$25</f>
        <v>64.633503355235646</v>
      </c>
      <c r="AZ29" s="7">
        <f>Table_Abaque!$E24*AZ$25</f>
        <v>111.23702985872029</v>
      </c>
      <c r="BA29" s="7">
        <f>Table_Abaque!$E24*BA$25</f>
        <v>102.99740257497797</v>
      </c>
      <c r="BB29" s="7">
        <f>Table_Abaque!$E24*BB$25</f>
        <v>170.42773022450854</v>
      </c>
      <c r="BC29" s="7">
        <f>Table_Abaque!$E24*BC$25</f>
        <v>159.72011929180337</v>
      </c>
      <c r="BD29" s="7">
        <f>Table_Abaque!$E24*BD$25</f>
        <v>248.37563633394507</v>
      </c>
      <c r="BE29" s="7">
        <f>Table_Abaque!$E24*BE$25</f>
        <v>221.17750018699834</v>
      </c>
      <c r="BF29" s="7">
        <f>Table_Abaque!$E24*BF$25</f>
        <v>345.49688154131275</v>
      </c>
      <c r="BG29" s="7">
        <f>Table_Abaque!$E24*BG$25</f>
        <v>312.1210451557493</v>
      </c>
      <c r="BH29" s="7">
        <f>Table_Abaque!$E24*BH$25</f>
        <v>1.4175604132705499</v>
      </c>
      <c r="BI29" s="7">
        <f>Table_Abaque!$E24*BI$25</f>
        <v>3.2786442651179732</v>
      </c>
      <c r="BJ29" s="7">
        <f>Table_Abaque!$E24*BJ$25</f>
        <v>6.6219319511174461</v>
      </c>
      <c r="BK29" s="7">
        <f>Table_Abaque!$E24*BK$25</f>
        <v>11.279302635593215</v>
      </c>
      <c r="BL29" s="7">
        <f>Table_Abaque!$E24*BL$25</f>
        <v>18.842920998932815</v>
      </c>
      <c r="BM29" s="7">
        <f>Table_Abaque!$E24*BM$25</f>
        <v>29.47718461422663</v>
      </c>
      <c r="BN29" s="7">
        <f>Table_Abaque!$E24*BN$25</f>
        <v>27.486727807567227</v>
      </c>
      <c r="BO29" s="7">
        <f>Table_Abaque!$E24*BO$25</f>
        <v>60.380231494694769</v>
      </c>
      <c r="BP29" s="7">
        <f>Table_Abaque!$E24*BP$25</f>
        <v>57.303473134063339</v>
      </c>
      <c r="BQ29" s="7">
        <f>Table_Abaque!$E24*BQ$25</f>
        <v>54.212837459976441</v>
      </c>
      <c r="BR29" s="7">
        <f>Table_Abaque!$E24*BR$25</f>
        <v>83.080141158893994</v>
      </c>
      <c r="BS29" s="7">
        <f>Table_Abaque!$E24*BS$25</f>
        <v>79.38098003496556</v>
      </c>
      <c r="BT29" s="7">
        <f>Table_Abaque!$E24*BT$25</f>
        <v>75.657234120563373</v>
      </c>
      <c r="BU29" s="7">
        <f>Table_Abaque!$E24*BU$25</f>
        <v>103.8588940042408</v>
      </c>
      <c r="BV29" s="7">
        <f>Table_Abaque!$E24*BV$25</f>
        <v>99.402702520240368</v>
      </c>
      <c r="BW29" s="7">
        <f>Table_Abaque!$E24*BW$25</f>
        <v>94.930458053002354</v>
      </c>
      <c r="BX29" s="7">
        <f>Table_Abaque!$E24*BX$25</f>
        <v>163.37938760499543</v>
      </c>
      <c r="BY29" s="7">
        <f>Table_Abaque!$E24*BY$25</f>
        <v>151.27743503199889</v>
      </c>
      <c r="BZ29" s="7">
        <f>Table_Abaque!$E24*BZ$25</f>
        <v>250.3157287672469</v>
      </c>
      <c r="CA29" s="7">
        <f>Table_Abaque!$E24*CA$25</f>
        <v>234.58892520983622</v>
      </c>
      <c r="CB29" s="7">
        <f>Table_Abaque!$E24*CB$25</f>
        <v>364.80171586548181</v>
      </c>
      <c r="CC29" s="7">
        <f>Table_Abaque!$E24*CC$25</f>
        <v>324.85445339965378</v>
      </c>
      <c r="CD29" s="7">
        <f>Table_Abaque!$E24*CD$25</f>
        <v>507.44854476380306</v>
      </c>
      <c r="CE29" s="7">
        <f>Table_Abaque!$E24*CE$25</f>
        <v>458.42778507250671</v>
      </c>
      <c r="CF29" s="7">
        <f>Table_Abaque!$E24*CF$25</f>
        <v>63.59194593590194</v>
      </c>
      <c r="CG29" s="7">
        <f>Table_Abaque!$E24*CG$25</f>
        <v>60.351530215662457</v>
      </c>
      <c r="CH29" s="7">
        <f>Table_Abaque!$E24*CH$25</f>
        <v>57.096499026996462</v>
      </c>
      <c r="CI29" s="7">
        <f>Table_Abaque!$E24*CI$25</f>
        <v>79.681555084423124</v>
      </c>
      <c r="CJ29" s="7">
        <f>Table_Abaque!$E24*CJ$25</f>
        <v>109.38330325978552</v>
      </c>
      <c r="CK29" s="7">
        <f>Table_Abaque!$E24*CK$25</f>
        <v>104.69008031387017</v>
      </c>
      <c r="CL29" s="7">
        <f>Table_Abaque!$E24*CL$25</f>
        <v>99.979950502630132</v>
      </c>
      <c r="CM29" s="7">
        <f>Table_Abaque!$E24*CM$25</f>
        <v>172.06978056270796</v>
      </c>
      <c r="CN29" s="7">
        <f>Table_Abaque!$E24*CN$25</f>
        <v>159.32410710816904</v>
      </c>
    </row>
    <row r="30" spans="2:92" s="8" customFormat="1" x14ac:dyDescent="0.25">
      <c r="C30" s="21"/>
      <c r="D30" s="21"/>
      <c r="E30" s="21"/>
      <c r="F30" s="21"/>
      <c r="G30" s="29" t="s">
        <v>1</v>
      </c>
      <c r="H30" s="21"/>
      <c r="I30" s="51">
        <f>Table_Abaque!$E25*I$25</f>
        <v>164.90020637259514</v>
      </c>
      <c r="J30" s="42"/>
      <c r="K30" s="29" t="s">
        <v>34</v>
      </c>
      <c r="L30" s="7">
        <f>Table_Abaque!$E25*L$25</f>
        <v>0.693699776706865</v>
      </c>
      <c r="M30" s="7">
        <f>Table_Abaque!$E25*M$25</f>
        <v>1.6044429382492211</v>
      </c>
      <c r="N30" s="7">
        <f>Table_Abaque!$E25*N$25</f>
        <v>3.2405198909723678</v>
      </c>
      <c r="O30" s="7">
        <f>Table_Abaque!$E25*O$25</f>
        <v>5.5196587365668925</v>
      </c>
      <c r="P30" s="7">
        <f>Table_Abaque!$E25*P$25</f>
        <v>9.2210038930947817</v>
      </c>
      <c r="Q30" s="7">
        <f>Table_Abaque!$E25*Q$25</f>
        <v>14.425005236749202</v>
      </c>
      <c r="R30" s="7">
        <f>Table_Abaque!$E25*R$25</f>
        <v>13.45095190583077</v>
      </c>
      <c r="S30" s="7">
        <f>Table_Abaque!$E25*S$25</f>
        <v>29.547772859105955</v>
      </c>
      <c r="T30" s="7">
        <f>Table_Abaque!$E25*T$25</f>
        <v>28.042125150711851</v>
      </c>
      <c r="U30" s="7">
        <f>Table_Abaque!$E25*U$25</f>
        <v>26.529686416584216</v>
      </c>
      <c r="V30" s="7">
        <f>Table_Abaque!$E25*V$25</f>
        <v>40.656239290522599</v>
      </c>
      <c r="W30" s="7">
        <f>Table_Abaque!$E25*W$25</f>
        <v>38.846011506472514</v>
      </c>
      <c r="X30" s="7">
        <f>Table_Abaque!$E25*X$25</f>
        <v>37.023752867509735</v>
      </c>
      <c r="Y30" s="7">
        <f>Table_Abaque!$E25*Y$25</f>
        <v>50.824565151011456</v>
      </c>
      <c r="Z30" s="7">
        <f>Table_Abaque!$E25*Z$25</f>
        <v>48.643875701394229</v>
      </c>
      <c r="AA30" s="7">
        <f>Table_Abaque!$E25*AA$25</f>
        <v>46.455330536575623</v>
      </c>
      <c r="AB30" s="7">
        <f>Table_Abaque!$E25*AB$25</f>
        <v>79.951615210955211</v>
      </c>
      <c r="AC30" s="7">
        <f>Table_Abaque!$E25*AC$25</f>
        <v>74.029383100765415</v>
      </c>
      <c r="AD30" s="7">
        <f>Table_Abaque!$E25*AD$25</f>
        <v>122.49493109886551</v>
      </c>
      <c r="AE30" s="7">
        <f>Table_Abaque!$E25*AE$25</f>
        <v>114.79883574098369</v>
      </c>
      <c r="AF30" s="7">
        <f>Table_Abaque!$E25*AF$25</f>
        <v>178.51998861502304</v>
      </c>
      <c r="AG30" s="7">
        <f>Table_Abaque!$E25*AG$25</f>
        <v>158.97132825940508</v>
      </c>
      <c r="AH30" s="7">
        <f>Table_Abaque!$E25*AH$25</f>
        <v>248.32588360781855</v>
      </c>
      <c r="AI30" s="7">
        <f>Table_Abaque!$E25*AI$25</f>
        <v>224.3370012056948</v>
      </c>
      <c r="AJ30" s="7">
        <f>Table_Abaque!$E25*AJ$25</f>
        <v>0.9249330356091533</v>
      </c>
      <c r="AK30" s="7">
        <f>Table_Abaque!$E25*AK$25</f>
        <v>2.1392572509989618</v>
      </c>
      <c r="AL30" s="7">
        <f>Table_Abaque!$E25*AL$25</f>
        <v>4.3206931879631574</v>
      </c>
      <c r="AM30" s="7">
        <f>Table_Abaque!$E25*AM$25</f>
        <v>7.3595449820891901</v>
      </c>
      <c r="AN30" s="7">
        <f>Table_Abaque!$E25*AN$25</f>
        <v>12.29467185745971</v>
      </c>
      <c r="AO30" s="7">
        <f>Table_Abaque!$E25*AO$25</f>
        <v>19.233340315665604</v>
      </c>
      <c r="AP30" s="7">
        <f>Table_Abaque!$E25*AP$25</f>
        <v>17.934602541107694</v>
      </c>
      <c r="AQ30" s="7">
        <f>Table_Abaque!$E25*AQ$25</f>
        <v>39.397030478807935</v>
      </c>
      <c r="AR30" s="7">
        <f>Table_Abaque!$E25*AR$25</f>
        <v>37.389500200949136</v>
      </c>
      <c r="AS30" s="7">
        <f>Table_Abaque!$E25*AS$25</f>
        <v>35.372915222112297</v>
      </c>
      <c r="AT30" s="7">
        <f>Table_Abaque!$E25*AT$25</f>
        <v>54.208319054030127</v>
      </c>
      <c r="AU30" s="7">
        <f>Table_Abaque!$E25*AU$25</f>
        <v>51.794682008630019</v>
      </c>
      <c r="AV30" s="7">
        <f>Table_Abaque!$E25*AV$25</f>
        <v>49.365003823346314</v>
      </c>
      <c r="AW30" s="7">
        <f>Table_Abaque!$E25*AW$25</f>
        <v>67.766086868015293</v>
      </c>
      <c r="AX30" s="7">
        <f>Table_Abaque!$E25*AX$25</f>
        <v>64.858500935192311</v>
      </c>
      <c r="AY30" s="7">
        <f>Table_Abaque!$E25*AY$25</f>
        <v>61.940440715434164</v>
      </c>
      <c r="AZ30" s="7">
        <f>Table_Abaque!$E25*AZ$25</f>
        <v>106.60215361460695</v>
      </c>
      <c r="BA30" s="7">
        <f>Table_Abaque!$E25*BA$25</f>
        <v>98.705844134353896</v>
      </c>
      <c r="BB30" s="7">
        <f>Table_Abaque!$E25*BB$25</f>
        <v>163.32657479848734</v>
      </c>
      <c r="BC30" s="7">
        <f>Table_Abaque!$E25*BC$25</f>
        <v>153.06511432131157</v>
      </c>
      <c r="BD30" s="7">
        <f>Table_Abaque!$E25*BD$25</f>
        <v>238.02665148669738</v>
      </c>
      <c r="BE30" s="7">
        <f>Table_Abaque!$E25*BE$25</f>
        <v>211.96177101254008</v>
      </c>
      <c r="BF30" s="7">
        <f>Table_Abaque!$E25*BF$25</f>
        <v>331.10117814375809</v>
      </c>
      <c r="BG30" s="7">
        <f>Table_Abaque!$E25*BG$25</f>
        <v>299.11600160759309</v>
      </c>
      <c r="BH30" s="7">
        <f>Table_Abaque!$E25*BH$25</f>
        <v>1.3584953960509438</v>
      </c>
      <c r="BI30" s="7">
        <f>Table_Abaque!$E25*BI$25</f>
        <v>3.1420340874047246</v>
      </c>
      <c r="BJ30" s="7">
        <f>Table_Abaque!$E25*BJ$25</f>
        <v>6.3460181198208856</v>
      </c>
      <c r="BK30" s="7">
        <f>Table_Abaque!$E25*BK$25</f>
        <v>10.809331692443498</v>
      </c>
      <c r="BL30" s="7">
        <f>Table_Abaque!$E25*BL$25</f>
        <v>18.057799290643949</v>
      </c>
      <c r="BM30" s="7">
        <f>Table_Abaque!$E25*BM$25</f>
        <v>28.248968588633854</v>
      </c>
      <c r="BN30" s="7">
        <f>Table_Abaque!$E25*BN$25</f>
        <v>26.341447482251926</v>
      </c>
      <c r="BO30" s="7">
        <f>Table_Abaque!$E25*BO$25</f>
        <v>57.864388515749155</v>
      </c>
      <c r="BP30" s="7">
        <f>Table_Abaque!$E25*BP$25</f>
        <v>54.915828420144038</v>
      </c>
      <c r="BQ30" s="7">
        <f>Table_Abaque!$E25*BQ$25</f>
        <v>51.953969232477426</v>
      </c>
      <c r="BR30" s="7">
        <f>Table_Abaque!$E25*BR$25</f>
        <v>79.618468610606755</v>
      </c>
      <c r="BS30" s="7">
        <f>Table_Abaque!$E25*BS$25</f>
        <v>76.073439200175329</v>
      </c>
      <c r="BT30" s="7">
        <f>Table_Abaque!$E25*BT$25</f>
        <v>72.504849365539897</v>
      </c>
      <c r="BU30" s="7">
        <f>Table_Abaque!$E25*BU$25</f>
        <v>99.531440087397442</v>
      </c>
      <c r="BV30" s="7">
        <f>Table_Abaque!$E25*BV$25</f>
        <v>95.260923248563699</v>
      </c>
      <c r="BW30" s="7">
        <f>Table_Abaque!$E25*BW$25</f>
        <v>90.975022300793924</v>
      </c>
      <c r="BX30" s="7">
        <f>Table_Abaque!$E25*BX$25</f>
        <v>156.57191312145397</v>
      </c>
      <c r="BY30" s="7">
        <f>Table_Abaque!$E25*BY$25</f>
        <v>144.97420857233229</v>
      </c>
      <c r="BZ30" s="7">
        <f>Table_Abaque!$E25*BZ$25</f>
        <v>239.8859067352783</v>
      </c>
      <c r="CA30" s="7">
        <f>Table_Abaque!$E25*CA$25</f>
        <v>224.81438665942639</v>
      </c>
      <c r="CB30" s="7">
        <f>Table_Abaque!$E25*CB$25</f>
        <v>349.60164437108676</v>
      </c>
      <c r="CC30" s="7">
        <f>Table_Abaque!$E25*CC$25</f>
        <v>311.31885117466823</v>
      </c>
      <c r="CD30" s="7">
        <f>Table_Abaque!$E25*CD$25</f>
        <v>486.30485539864463</v>
      </c>
      <c r="CE30" s="7">
        <f>Table_Abaque!$E25*CE$25</f>
        <v>439.3266273611523</v>
      </c>
      <c r="CF30" s="7">
        <f>Table_Abaque!$E25*CF$25</f>
        <v>60.942281521906025</v>
      </c>
      <c r="CG30" s="7">
        <f>Table_Abaque!$E25*CG$25</f>
        <v>57.836883123343192</v>
      </c>
      <c r="CH30" s="7">
        <f>Table_Abaque!$E25*CH$25</f>
        <v>54.717478234204947</v>
      </c>
      <c r="CI30" s="7">
        <f>Table_Abaque!$E25*CI$25</f>
        <v>76.36149028923883</v>
      </c>
      <c r="CJ30" s="7">
        <f>Table_Abaque!$E25*CJ$25</f>
        <v>104.82566562396114</v>
      </c>
      <c r="CK30" s="7">
        <f>Table_Abaque!$E25*CK$25</f>
        <v>100.32799363412559</v>
      </c>
      <c r="CL30" s="7">
        <f>Table_Abaque!$E25*CL$25</f>
        <v>95.814119231687215</v>
      </c>
      <c r="CM30" s="7">
        <f>Table_Abaque!$E25*CM$25</f>
        <v>164.90020637259514</v>
      </c>
      <c r="CN30" s="7">
        <f>Table_Abaque!$E25*CN$25</f>
        <v>152.68560264532869</v>
      </c>
    </row>
    <row r="31" spans="2:92" s="8" customFormat="1" x14ac:dyDescent="0.25">
      <c r="C31" s="21"/>
      <c r="D31" s="21"/>
      <c r="E31" s="21"/>
      <c r="F31" s="21"/>
      <c r="G31" s="29" t="s">
        <v>1</v>
      </c>
      <c r="H31" s="21"/>
      <c r="I31" s="51">
        <f>Table_Abaque!$E26*I$25</f>
        <v>146.57796122008455</v>
      </c>
      <c r="J31" s="42"/>
      <c r="K31" s="29" t="s">
        <v>35</v>
      </c>
      <c r="L31" s="7">
        <f>Table_Abaque!$E26*L$25</f>
        <v>0.61662202373943553</v>
      </c>
      <c r="M31" s="7">
        <f>Table_Abaque!$E26*M$25</f>
        <v>1.4261715006659743</v>
      </c>
      <c r="N31" s="7">
        <f>Table_Abaque!$E26*N$25</f>
        <v>2.880462125308771</v>
      </c>
      <c r="O31" s="7">
        <f>Table_Abaque!$E26*O$25</f>
        <v>4.9063633213927931</v>
      </c>
      <c r="P31" s="7">
        <f>Table_Abaque!$E26*P$25</f>
        <v>8.1964479049731391</v>
      </c>
      <c r="Q31" s="7">
        <f>Table_Abaque!$E26*Q$25</f>
        <v>12.822226877110401</v>
      </c>
      <c r="R31" s="7">
        <f>Table_Abaque!$E26*R$25</f>
        <v>11.956401694071795</v>
      </c>
      <c r="S31" s="7">
        <f>Table_Abaque!$E26*S$25</f>
        <v>26.264686985871958</v>
      </c>
      <c r="T31" s="7">
        <f>Table_Abaque!$E26*T$25</f>
        <v>24.926333467299418</v>
      </c>
      <c r="U31" s="7">
        <f>Table_Abaque!$E26*U$25</f>
        <v>23.581943481408192</v>
      </c>
      <c r="V31" s="7">
        <f>Table_Abaque!$E26*V$25</f>
        <v>36.138879369353418</v>
      </c>
      <c r="W31" s="7">
        <f>Table_Abaque!$E26*W$25</f>
        <v>34.529788005753339</v>
      </c>
      <c r="X31" s="7">
        <f>Table_Abaque!$E26*X$25</f>
        <v>32.910002548897538</v>
      </c>
      <c r="Y31" s="7">
        <f>Table_Abaque!$E26*Y$25</f>
        <v>45.177391245343514</v>
      </c>
      <c r="Z31" s="7">
        <f>Table_Abaque!$E26*Z$25</f>
        <v>43.239000623461529</v>
      </c>
      <c r="AA31" s="7">
        <f>Table_Abaque!$E26*AA$25</f>
        <v>41.293627143622771</v>
      </c>
      <c r="AB31" s="7">
        <f>Table_Abaque!$E26*AB$25</f>
        <v>71.068102409737961</v>
      </c>
      <c r="AC31" s="7">
        <f>Table_Abaque!$E26*AC$25</f>
        <v>65.80389608956925</v>
      </c>
      <c r="AD31" s="7">
        <f>Table_Abaque!$E26*AD$25</f>
        <v>108.88438319899156</v>
      </c>
      <c r="AE31" s="7">
        <f>Table_Abaque!$E26*AE$25</f>
        <v>102.04340954754105</v>
      </c>
      <c r="AF31" s="7">
        <f>Table_Abaque!$E26*AF$25</f>
        <v>158.68443432446489</v>
      </c>
      <c r="AG31" s="7">
        <f>Table_Abaque!$E26*AG$25</f>
        <v>141.30784734169339</v>
      </c>
      <c r="AH31" s="7">
        <f>Table_Abaque!$E26*AH$25</f>
        <v>220.73411876250537</v>
      </c>
      <c r="AI31" s="7">
        <f>Table_Abaque!$E26*AI$25</f>
        <v>199.41066773839535</v>
      </c>
      <c r="AJ31" s="7">
        <f>Table_Abaque!$E26*AJ$25</f>
        <v>0.82216269831924726</v>
      </c>
      <c r="AK31" s="7">
        <f>Table_Abaque!$E26*AK$25</f>
        <v>1.9015620008879657</v>
      </c>
      <c r="AL31" s="7">
        <f>Table_Abaque!$E26*AL$25</f>
        <v>3.8406161670783612</v>
      </c>
      <c r="AM31" s="7">
        <f>Table_Abaque!$E26*AM$25</f>
        <v>6.5418177618570574</v>
      </c>
      <c r="AN31" s="7">
        <f>Table_Abaque!$E26*AN$25</f>
        <v>10.928597206630851</v>
      </c>
      <c r="AO31" s="7">
        <f>Table_Abaque!$E26*AO$25</f>
        <v>17.096302502813867</v>
      </c>
      <c r="AP31" s="7">
        <f>Table_Abaque!$E26*AP$25</f>
        <v>15.941868925429061</v>
      </c>
      <c r="AQ31" s="7">
        <f>Table_Abaque!$E26*AQ$25</f>
        <v>35.019582647829274</v>
      </c>
      <c r="AR31" s="7">
        <f>Table_Abaque!$E26*AR$25</f>
        <v>33.235111289732558</v>
      </c>
      <c r="AS31" s="7">
        <f>Table_Abaque!$E26*AS$25</f>
        <v>31.442591308544259</v>
      </c>
      <c r="AT31" s="7">
        <f>Table_Abaque!$E26*AT$25</f>
        <v>48.185172492471224</v>
      </c>
      <c r="AU31" s="7">
        <f>Table_Abaque!$E26*AU$25</f>
        <v>46.039717341004454</v>
      </c>
      <c r="AV31" s="7">
        <f>Table_Abaque!$E26*AV$25</f>
        <v>43.880003398530057</v>
      </c>
      <c r="AW31" s="7">
        <f>Table_Abaque!$E26*AW$25</f>
        <v>60.236521660458024</v>
      </c>
      <c r="AX31" s="7">
        <f>Table_Abaque!$E26*AX$25</f>
        <v>57.652000831282045</v>
      </c>
      <c r="AY31" s="7">
        <f>Table_Abaque!$E26*AY$25</f>
        <v>55.058169524830362</v>
      </c>
      <c r="AZ31" s="7">
        <f>Table_Abaque!$E26*AZ$25</f>
        <v>94.757469879650614</v>
      </c>
      <c r="BA31" s="7">
        <f>Table_Abaque!$E26*BA$25</f>
        <v>87.738528119425681</v>
      </c>
      <c r="BB31" s="7">
        <f>Table_Abaque!$E26*BB$25</f>
        <v>145.1791775986554</v>
      </c>
      <c r="BC31" s="7">
        <f>Table_Abaque!$E26*BC$25</f>
        <v>136.0578793967214</v>
      </c>
      <c r="BD31" s="7">
        <f>Table_Abaque!$E26*BD$25</f>
        <v>211.5792457659532</v>
      </c>
      <c r="BE31" s="7">
        <f>Table_Abaque!$E26*BE$25</f>
        <v>188.41046312225785</v>
      </c>
      <c r="BF31" s="7">
        <f>Table_Abaque!$E26*BF$25</f>
        <v>294.31215835000717</v>
      </c>
      <c r="BG31" s="7">
        <f>Table_Abaque!$E26*BG$25</f>
        <v>265.88089031786046</v>
      </c>
      <c r="BH31" s="7">
        <f>Table_Abaque!$E26*BH$25</f>
        <v>1.2075514631563944</v>
      </c>
      <c r="BI31" s="7">
        <f>Table_Abaque!$E26*BI$25</f>
        <v>2.7929191888041993</v>
      </c>
      <c r="BJ31" s="7">
        <f>Table_Abaque!$E26*BJ$25</f>
        <v>5.6409049953963422</v>
      </c>
      <c r="BK31" s="7">
        <f>Table_Abaque!$E26*BK$25</f>
        <v>9.6082948377275521</v>
      </c>
      <c r="BL31" s="7">
        <f>Table_Abaque!$E26*BL$25</f>
        <v>16.051377147239066</v>
      </c>
      <c r="BM31" s="7">
        <f>Table_Abaque!$E26*BM$25</f>
        <v>25.110194301007869</v>
      </c>
      <c r="BN31" s="7">
        <f>Table_Abaque!$E26*BN$25</f>
        <v>23.414619984223933</v>
      </c>
      <c r="BO31" s="7">
        <f>Table_Abaque!$E26*BO$25</f>
        <v>51.435012013999241</v>
      </c>
      <c r="BP31" s="7">
        <f>Table_Abaque!$E26*BP$25</f>
        <v>48.814069706794697</v>
      </c>
      <c r="BQ31" s="7">
        <f>Table_Abaque!$E26*BQ$25</f>
        <v>46.181305984424377</v>
      </c>
      <c r="BR31" s="7">
        <f>Table_Abaque!$E26*BR$25</f>
        <v>70.771972098317107</v>
      </c>
      <c r="BS31" s="7">
        <f>Table_Abaque!$E26*BS$25</f>
        <v>67.620834844600296</v>
      </c>
      <c r="BT31" s="7">
        <f>Table_Abaque!$E26*BT$25</f>
        <v>64.448754991591017</v>
      </c>
      <c r="BU31" s="7">
        <f>Table_Abaque!$E26*BU$25</f>
        <v>88.472391188797715</v>
      </c>
      <c r="BV31" s="7">
        <f>Table_Abaque!$E26*BV$25</f>
        <v>84.6763762209455</v>
      </c>
      <c r="BW31" s="7">
        <f>Table_Abaque!$E26*BW$25</f>
        <v>80.866686489594599</v>
      </c>
      <c r="BX31" s="7">
        <f>Table_Abaque!$E26*BX$25</f>
        <v>139.17503388573684</v>
      </c>
      <c r="BY31" s="7">
        <f>Table_Abaque!$E26*BY$25</f>
        <v>128.86596317540645</v>
      </c>
      <c r="BZ31" s="7">
        <f>Table_Abaque!$E26*BZ$25</f>
        <v>213.23191709802512</v>
      </c>
      <c r="CA31" s="7">
        <f>Table_Abaque!$E26*CA$25</f>
        <v>199.83501036393454</v>
      </c>
      <c r="CB31" s="7">
        <f>Table_Abaque!$E26*CB$25</f>
        <v>310.75701721874373</v>
      </c>
      <c r="CC31" s="7">
        <f>Table_Abaque!$E26*CC$25</f>
        <v>276.72786771081621</v>
      </c>
      <c r="CD31" s="7">
        <f>Table_Abaque!$E26*CD$25</f>
        <v>432.27098257657298</v>
      </c>
      <c r="CE31" s="7">
        <f>Table_Abaque!$E26*CE$25</f>
        <v>390.51255765435758</v>
      </c>
      <c r="CF31" s="7">
        <f>Table_Abaque!$E26*CF$25</f>
        <v>54.170916908360908</v>
      </c>
      <c r="CG31" s="7">
        <f>Table_Abaque!$E26*CG$25</f>
        <v>51.410562776305049</v>
      </c>
      <c r="CH31" s="7">
        <f>Table_Abaque!$E26*CH$25</f>
        <v>48.637758430404389</v>
      </c>
      <c r="CI31" s="7">
        <f>Table_Abaque!$E26*CI$25</f>
        <v>67.876880257101178</v>
      </c>
      <c r="CJ31" s="7">
        <f>Table_Abaque!$E26*CJ$25</f>
        <v>93.178369443521007</v>
      </c>
      <c r="CK31" s="7">
        <f>Table_Abaque!$E26*CK$25</f>
        <v>89.180438785889407</v>
      </c>
      <c r="CL31" s="7">
        <f>Table_Abaque!$E26*CL$25</f>
        <v>85.168105983721972</v>
      </c>
      <c r="CM31" s="7">
        <f>Table_Abaque!$E26*CM$25</f>
        <v>146.57796122008455</v>
      </c>
      <c r="CN31" s="7">
        <f>Table_Abaque!$E26*CN$25</f>
        <v>135.7205356847366</v>
      </c>
    </row>
    <row r="32" spans="2:92" s="8" customFormat="1" x14ac:dyDescent="0.25">
      <c r="C32" s="21"/>
      <c r="D32" s="21"/>
      <c r="E32" s="21"/>
      <c r="F32" s="21"/>
      <c r="G32" s="29" t="s">
        <v>1</v>
      </c>
      <c r="H32" s="21"/>
      <c r="I32" s="51">
        <f>Table_Abaque!$E27*I$25</f>
        <v>136.46913630835459</v>
      </c>
      <c r="J32" s="43"/>
      <c r="K32" s="29" t="s">
        <v>36</v>
      </c>
      <c r="L32" s="7">
        <f>Table_Abaque!$E27*L$25</f>
        <v>0.57409636692981936</v>
      </c>
      <c r="M32" s="7">
        <f>Table_Abaque!$E27*M$25</f>
        <v>1.3278148454476313</v>
      </c>
      <c r="N32" s="7">
        <f>Table_Abaque!$E27*N$25</f>
        <v>2.6818095649426494</v>
      </c>
      <c r="O32" s="7">
        <f>Table_Abaque!$E27*O$25</f>
        <v>4.5679934371588082</v>
      </c>
      <c r="P32" s="7">
        <f>Table_Abaque!$E27*P$25</f>
        <v>7.6311756356646478</v>
      </c>
      <c r="Q32" s="7">
        <f>Table_Abaque!$E27*Q$25</f>
        <v>11.937935368344169</v>
      </c>
      <c r="R32" s="7">
        <f>Table_Abaque!$E27*R$25</f>
        <v>11.131822266894432</v>
      </c>
      <c r="S32" s="7">
        <f>Table_Abaque!$E27*S$25</f>
        <v>24.453329262708376</v>
      </c>
      <c r="T32" s="7">
        <f>Table_Abaque!$E27*T$25</f>
        <v>23.207275986796013</v>
      </c>
      <c r="U32" s="7">
        <f>Table_Abaque!$E27*U$25</f>
        <v>21.955602551655904</v>
      </c>
      <c r="V32" s="7">
        <f>Table_Abaque!$E27*V$25</f>
        <v>33.64654286112215</v>
      </c>
      <c r="W32" s="7">
        <f>Table_Abaque!$E27*W$25</f>
        <v>32.148423315701393</v>
      </c>
      <c r="X32" s="7">
        <f>Table_Abaque!$E27*X$25</f>
        <v>30.640347200697711</v>
      </c>
      <c r="Y32" s="7">
        <f>Table_Abaque!$E27*Y$25</f>
        <v>42.061709090492243</v>
      </c>
      <c r="Z32" s="7">
        <f>Table_Abaque!$E27*Z$25</f>
        <v>40.257000580464187</v>
      </c>
      <c r="AA32" s="7">
        <f>Table_Abaque!$E27*AA$25</f>
        <v>38.445790788890172</v>
      </c>
      <c r="AB32" s="7">
        <f>Table_Abaque!$E27*AB$25</f>
        <v>66.166853967687075</v>
      </c>
      <c r="AC32" s="7">
        <f>Table_Abaque!$E27*AC$25</f>
        <v>61.265696359254143</v>
      </c>
      <c r="AD32" s="7">
        <f>Table_Abaque!$E27*AD$25</f>
        <v>101.37511539216456</v>
      </c>
      <c r="AE32" s="7">
        <f>Table_Abaque!$E27*AE$25</f>
        <v>95.005933027020987</v>
      </c>
      <c r="AF32" s="7">
        <f>Table_Abaque!$E27*AF$25</f>
        <v>147.7406802331225</v>
      </c>
      <c r="AG32" s="7">
        <f>Table_Abaque!$E27*AG$25</f>
        <v>131.56247855950767</v>
      </c>
      <c r="AH32" s="7">
        <f>Table_Abaque!$E27*AH$25</f>
        <v>205.51107608922916</v>
      </c>
      <c r="AI32" s="7">
        <f>Table_Abaque!$E27*AI$25</f>
        <v>185.6582078943681</v>
      </c>
      <c r="AJ32" s="7">
        <f>Table_Abaque!$E27*AJ$25</f>
        <v>0.76546182257309237</v>
      </c>
      <c r="AK32" s="7">
        <f>Table_Abaque!$E27*AK$25</f>
        <v>1.7704197939301751</v>
      </c>
      <c r="AL32" s="7">
        <f>Table_Abaque!$E27*AL$25</f>
        <v>3.5757460865901991</v>
      </c>
      <c r="AM32" s="7">
        <f>Table_Abaque!$E27*AM$25</f>
        <v>6.090657916211744</v>
      </c>
      <c r="AN32" s="7">
        <f>Table_Abaque!$E27*AN$25</f>
        <v>10.174900847552863</v>
      </c>
      <c r="AO32" s="7">
        <f>Table_Abaque!$E27*AO$25</f>
        <v>15.917247157792223</v>
      </c>
      <c r="AP32" s="7">
        <f>Table_Abaque!$E27*AP$25</f>
        <v>14.842429689192574</v>
      </c>
      <c r="AQ32" s="7">
        <f>Table_Abaque!$E27*AQ$25</f>
        <v>32.604439016944504</v>
      </c>
      <c r="AR32" s="7">
        <f>Table_Abaque!$E27*AR$25</f>
        <v>30.943034649061353</v>
      </c>
      <c r="AS32" s="7">
        <f>Table_Abaque!$E27*AS$25</f>
        <v>29.274136735541209</v>
      </c>
      <c r="AT32" s="7">
        <f>Table_Abaque!$E27*AT$25</f>
        <v>44.862057148162869</v>
      </c>
      <c r="AU32" s="7">
        <f>Table_Abaque!$E27*AU$25</f>
        <v>42.864564420935189</v>
      </c>
      <c r="AV32" s="7">
        <f>Table_Abaque!$E27*AV$25</f>
        <v>40.853796267596955</v>
      </c>
      <c r="AW32" s="7">
        <f>Table_Abaque!$E27*AW$25</f>
        <v>56.082278787322998</v>
      </c>
      <c r="AX32" s="7">
        <f>Table_Abaque!$E27*AX$25</f>
        <v>53.676000773952254</v>
      </c>
      <c r="AY32" s="7">
        <f>Table_Abaque!$E27*AY$25</f>
        <v>51.261054385186895</v>
      </c>
      <c r="AZ32" s="7">
        <f>Table_Abaque!$E27*AZ$25</f>
        <v>88.222471956916095</v>
      </c>
      <c r="BA32" s="7">
        <f>Table_Abaque!$E27*BA$25</f>
        <v>81.687595145672191</v>
      </c>
      <c r="BB32" s="7">
        <f>Table_Abaque!$E27*BB$25</f>
        <v>135.1668205228861</v>
      </c>
      <c r="BC32" s="7">
        <f>Table_Abaque!$E27*BC$25</f>
        <v>126.67457736936132</v>
      </c>
      <c r="BD32" s="7">
        <f>Table_Abaque!$E27*BD$25</f>
        <v>196.98757364416335</v>
      </c>
      <c r="BE32" s="7">
        <f>Table_Abaque!$E27*BE$25</f>
        <v>175.41663807934353</v>
      </c>
      <c r="BF32" s="7">
        <f>Table_Abaque!$E27*BF$25</f>
        <v>274.0147681189722</v>
      </c>
      <c r="BG32" s="7">
        <f>Table_Abaque!$E27*BG$25</f>
        <v>247.54427719249082</v>
      </c>
      <c r="BH32" s="7">
        <f>Table_Abaque!$E27*BH$25</f>
        <v>1.1242720519042295</v>
      </c>
      <c r="BI32" s="7">
        <f>Table_Abaque!$E27*BI$25</f>
        <v>2.6003040723349446</v>
      </c>
      <c r="BJ32" s="7">
        <f>Table_Abaque!$E27*BJ$25</f>
        <v>5.2518770646793538</v>
      </c>
      <c r="BK32" s="7">
        <f>Table_Abaque!$E27*BK$25</f>
        <v>8.9456538144359978</v>
      </c>
      <c r="BL32" s="7">
        <f>Table_Abaque!$E27*BL$25</f>
        <v>14.944385619843269</v>
      </c>
      <c r="BM32" s="7">
        <f>Table_Abaque!$E27*BM$25</f>
        <v>23.378456763007328</v>
      </c>
      <c r="BN32" s="7">
        <f>Table_Abaque!$E27*BN$25</f>
        <v>21.799818606001597</v>
      </c>
      <c r="BO32" s="7">
        <f>Table_Abaque!$E27*BO$25</f>
        <v>47.887769806137236</v>
      </c>
      <c r="BP32" s="7">
        <f>Table_Abaque!$E27*BP$25</f>
        <v>45.447582140808862</v>
      </c>
      <c r="BQ32" s="7">
        <f>Table_Abaque!$E27*BQ$25</f>
        <v>42.996388330326148</v>
      </c>
      <c r="BR32" s="7">
        <f>Table_Abaque!$E27*BR$25</f>
        <v>65.89114643636421</v>
      </c>
      <c r="BS32" s="7">
        <f>Table_Abaque!$E27*BS$25</f>
        <v>62.957328993248552</v>
      </c>
      <c r="BT32" s="7">
        <f>Table_Abaque!$E27*BT$25</f>
        <v>60.00401326803302</v>
      </c>
      <c r="BU32" s="7">
        <f>Table_Abaque!$E27*BU$25</f>
        <v>82.370846968880642</v>
      </c>
      <c r="BV32" s="7">
        <f>Table_Abaque!$E27*BV$25</f>
        <v>78.836626136742368</v>
      </c>
      <c r="BW32" s="7">
        <f>Table_Abaque!$E27*BW$25</f>
        <v>75.28967362824325</v>
      </c>
      <c r="BX32" s="7">
        <f>Table_Abaque!$E27*BX$25</f>
        <v>129.57675568672053</v>
      </c>
      <c r="BY32" s="7">
        <f>Table_Abaque!$E27*BY$25</f>
        <v>119.97865537020603</v>
      </c>
      <c r="BZ32" s="7">
        <f>Table_Abaque!$E27*BZ$25</f>
        <v>198.52626764298896</v>
      </c>
      <c r="CA32" s="7">
        <f>Table_Abaque!$E27*CA$25</f>
        <v>186.05328551124944</v>
      </c>
      <c r="CB32" s="7">
        <f>Table_Abaque!$E27*CB$25</f>
        <v>289.32549878986492</v>
      </c>
      <c r="CC32" s="7">
        <f>Table_Abaque!$E27*CC$25</f>
        <v>257.64318717903581</v>
      </c>
      <c r="CD32" s="7">
        <f>Table_Abaque!$E27*CD$25</f>
        <v>402.4591906747404</v>
      </c>
      <c r="CE32" s="7">
        <f>Table_Abaque!$E27*CE$25</f>
        <v>363.5806571264709</v>
      </c>
      <c r="CF32" s="7">
        <f>Table_Abaque!$E27*CF$25</f>
        <v>50.434991604336027</v>
      </c>
      <c r="CG32" s="7">
        <f>Table_Abaque!$E27*CG$25</f>
        <v>47.865006722766779</v>
      </c>
      <c r="CH32" s="7">
        <f>Table_Abaque!$E27*CH$25</f>
        <v>45.283430262790304</v>
      </c>
      <c r="CI32" s="7">
        <f>Table_Abaque!$E27*CI$25</f>
        <v>63.195716101439032</v>
      </c>
      <c r="CJ32" s="7">
        <f>Table_Abaque!$E27*CJ$25</f>
        <v>86.752274999140255</v>
      </c>
      <c r="CK32" s="7">
        <f>Table_Abaque!$E27*CK$25</f>
        <v>83.030063697207382</v>
      </c>
      <c r="CL32" s="7">
        <f>Table_Abaque!$E27*CL$25</f>
        <v>79.294443502085983</v>
      </c>
      <c r="CM32" s="7">
        <f>Table_Abaque!$E27*CM$25</f>
        <v>136.46913630835459</v>
      </c>
      <c r="CN32" s="7">
        <f>Table_Abaque!$E27*CN$25</f>
        <v>126.36049874096167</v>
      </c>
    </row>
    <row r="33" spans="2:92" s="8" customFormat="1" x14ac:dyDescent="0.25">
      <c r="C33" s="21"/>
      <c r="D33" s="21"/>
      <c r="E33" s="21"/>
      <c r="F33" s="21"/>
      <c r="G33" s="21"/>
      <c r="H33" s="21"/>
      <c r="I33" s="44"/>
    </row>
    <row r="34" spans="2:92" s="8" customFormat="1" x14ac:dyDescent="0.25">
      <c r="C34" s="21"/>
      <c r="D34" s="21"/>
      <c r="E34" s="21"/>
      <c r="F34" s="29" t="s">
        <v>1</v>
      </c>
      <c r="G34" s="20" t="s">
        <v>15</v>
      </c>
      <c r="H34" s="21"/>
      <c r="I34" s="52">
        <f>Table_Abaque!$C$29*I$25*1000/I$23</f>
        <v>88538.232101272224</v>
      </c>
      <c r="J34" s="24" t="s">
        <v>58</v>
      </c>
      <c r="L34" s="11">
        <f>Table_Abaque!$C$29*L$25*1000/L$23</f>
        <v>1656.7859280469236</v>
      </c>
      <c r="M34" s="11">
        <f>Table_Abaque!$C$29*M$25*1000/M$23</f>
        <v>2870.7435629715319</v>
      </c>
      <c r="N34" s="11">
        <f>Table_Abaque!$C$29*N$25*1000/N$23</f>
        <v>4696.5188887233971</v>
      </c>
      <c r="O34" s="11">
        <f>Table_Abaque!$C$29*O$25*1000/O$23</f>
        <v>6627.1437121876934</v>
      </c>
      <c r="P34" s="11">
        <f>Table_Abaque!$C$29*P$25*1000/P$23</f>
        <v>9688.6531145697991</v>
      </c>
      <c r="Q34" s="11">
        <f>Table_Abaque!$C$29*Q$25*1000/Q$23</f>
        <v>13328.074504393438</v>
      </c>
      <c r="R34" s="11">
        <f>Table_Abaque!$C$29*R$25*1000/R$23</f>
        <v>12159.941421835521</v>
      </c>
      <c r="S34" s="11">
        <f>Table_Abaque!$C$29*S$25*1000/S$23</f>
        <v>22339.215540666741</v>
      </c>
      <c r="T34" s="11">
        <f>Table_Abaque!$C$29*T$25*1000/T$23</f>
        <v>20825.116413114738</v>
      </c>
      <c r="U34" s="11">
        <f>Table_Abaque!$C$29*U$25*1000/U$23</f>
        <v>19358.80014926389</v>
      </c>
      <c r="V34" s="11">
        <f>Table_Abaque!$C$29*V$25*1000/V$23</f>
        <v>28350.923397698105</v>
      </c>
      <c r="W34" s="11">
        <f>Table_Abaque!$C$29*W$25*1000/W$23</f>
        <v>26645.133532570839</v>
      </c>
      <c r="X34" s="11">
        <f>Table_Abaque!$C$29*X$25*1000/X$23</f>
        <v>24986.174753929205</v>
      </c>
      <c r="Y34" s="11">
        <f>Table_Abaque!$C$29*Y$25*1000/Y$23</f>
        <v>31800.424527544932</v>
      </c>
      <c r="Z34" s="11">
        <f>Table_Abaque!$C$29*Z$25*1000/Z$23</f>
        <v>29988.167634885231</v>
      </c>
      <c r="AA34" s="11">
        <f>Table_Abaque!$C$29*AA$25*1000/AA$23</f>
        <v>28223.694193171836</v>
      </c>
      <c r="AB34" s="11">
        <f>Table_Abaque!$C$29*AB$25*1000/AB$23</f>
        <v>42927.627685465312</v>
      </c>
      <c r="AC34" s="11">
        <f>Table_Abaque!$C$29*AC$25*1000/AC$23</f>
        <v>38754.612458279196</v>
      </c>
      <c r="AD34" s="11">
        <f>Table_Abaque!$C$29*AD$25*1000/AD$23</f>
        <v>58175.957463177088</v>
      </c>
      <c r="AE34" s="11">
        <f>Table_Abaque!$C$29*AE$25*1000/AE$23</f>
        <v>53312.298017573747</v>
      </c>
      <c r="AF34" s="11">
        <f>Table_Abaque!$C$29*AF$25*1000/AF$23</f>
        <v>75732.475711729028</v>
      </c>
      <c r="AG34" s="11">
        <f>Table_Abaque!$C$29*AG$25*1000/AG$23</f>
        <v>64814.501835963812</v>
      </c>
      <c r="AH34" s="11">
        <f>Table_Abaque!$C$29*AH$25*1000/AH$23</f>
        <v>95596.774569881178</v>
      </c>
      <c r="AI34" s="11">
        <f>Table_Abaque!$C$29*AI$25*1000/AI$23</f>
        <v>83300.465652458952</v>
      </c>
      <c r="AJ34" s="11">
        <f>Table_Abaque!$C$29*AJ$25*1000/AJ$23</f>
        <v>2209.0479040625646</v>
      </c>
      <c r="AK34" s="11">
        <f>Table_Abaque!$C$29*AK$25*1000/AK$23</f>
        <v>3827.6580839620424</v>
      </c>
      <c r="AL34" s="11">
        <f>Table_Abaque!$C$29*AL$25*1000/AL$23</f>
        <v>6262.0251849645292</v>
      </c>
      <c r="AM34" s="11">
        <f>Table_Abaque!$C$29*AM$25*1000/AM$23</f>
        <v>8836.1916162502584</v>
      </c>
      <c r="AN34" s="11">
        <f>Table_Abaque!$C$29*AN$25*1000/AN$23</f>
        <v>12918.204152759732</v>
      </c>
      <c r="AO34" s="11">
        <f>Table_Abaque!$C$29*AO$25*1000/AO$23</f>
        <v>17770.766005857917</v>
      </c>
      <c r="AP34" s="11">
        <f>Table_Abaque!$C$29*AP$25*1000/AP$23</f>
        <v>16213.255229114029</v>
      </c>
      <c r="AQ34" s="11">
        <f>Table_Abaque!$C$29*AQ$25*1000/AQ$23</f>
        <v>29785.620720888986</v>
      </c>
      <c r="AR34" s="11">
        <f>Table_Abaque!$C$29*AR$25*1000/AR$23</f>
        <v>27766.821884152985</v>
      </c>
      <c r="AS34" s="11">
        <f>Table_Abaque!$C$29*AS$25*1000/AS$23</f>
        <v>25811.733532351856</v>
      </c>
      <c r="AT34" s="11">
        <f>Table_Abaque!$C$29*AT$25*1000/AT$23</f>
        <v>37801.231196930807</v>
      </c>
      <c r="AU34" s="11">
        <f>Table_Abaque!$C$29*AU$25*1000/AU$23</f>
        <v>35526.844710094454</v>
      </c>
      <c r="AV34" s="11">
        <f>Table_Abaque!$C$29*AV$25*1000/AV$23</f>
        <v>33314.899671905609</v>
      </c>
      <c r="AW34" s="11">
        <f>Table_Abaque!$C$29*AW$25*1000/AW$23</f>
        <v>42400.566036726581</v>
      </c>
      <c r="AX34" s="11">
        <f>Table_Abaque!$C$29*AX$25*1000/AX$23</f>
        <v>39984.22351318031</v>
      </c>
      <c r="AY34" s="11">
        <f>Table_Abaque!$C$29*AY$25*1000/AY$23</f>
        <v>37631.59225756245</v>
      </c>
      <c r="AZ34" s="11">
        <f>Table_Abaque!$C$29*AZ$25*1000/AZ$23</f>
        <v>57236.836913953754</v>
      </c>
      <c r="BA34" s="11">
        <f>Table_Abaque!$C$29*BA$25*1000/BA$23</f>
        <v>51672.816611038928</v>
      </c>
      <c r="BB34" s="11">
        <f>Table_Abaque!$C$29*BB$25*1000/BB$23</f>
        <v>77567.943284236113</v>
      </c>
      <c r="BC34" s="11">
        <f>Table_Abaque!$C$29*BC$25*1000/BC$23</f>
        <v>71083.064023431667</v>
      </c>
      <c r="BD34" s="11">
        <f>Table_Abaque!$C$29*BD$25*1000/BD$23</f>
        <v>100976.63428230536</v>
      </c>
      <c r="BE34" s="11">
        <f>Table_Abaque!$C$29*BE$25*1000/BE$23</f>
        <v>86419.335781285074</v>
      </c>
      <c r="BF34" s="11">
        <f>Table_Abaque!$C$29*BF$25*1000/BF$23</f>
        <v>127462.36609317489</v>
      </c>
      <c r="BG34" s="11">
        <f>Table_Abaque!$C$29*BG$25*1000/BG$23</f>
        <v>111067.28753661194</v>
      </c>
      <c r="BH34" s="11">
        <f>Table_Abaque!$C$29*BH$25*1000/BH$23</f>
        <v>3244.5391090918915</v>
      </c>
      <c r="BI34" s="11">
        <f>Table_Abaque!$C$29*BI$25*1000/BI$23</f>
        <v>5621.872810819249</v>
      </c>
      <c r="BJ34" s="11">
        <f>Table_Abaque!$C$29*BJ$25*1000/BJ$23</f>
        <v>9197.3494904166528</v>
      </c>
      <c r="BK34" s="11">
        <f>Table_Abaque!$C$29*BK$25*1000/BK$23</f>
        <v>12978.156436367566</v>
      </c>
      <c r="BL34" s="11">
        <f>Table_Abaque!$C$29*BL$25*1000/BL$23</f>
        <v>18973.61234936586</v>
      </c>
      <c r="BM34" s="11">
        <f>Table_Abaque!$C$29*BM$25*1000/BM$23</f>
        <v>26100.812571103816</v>
      </c>
      <c r="BN34" s="11">
        <f>Table_Abaque!$C$29*BN$25*1000/BN$23</f>
        <v>23813.218617761231</v>
      </c>
      <c r="BO34" s="11">
        <f>Table_Abaque!$C$29*BO$25*1000/BO$23</f>
        <v>43747.630433805687</v>
      </c>
      <c r="BP34" s="11">
        <f>Table_Abaque!$C$29*BP$25*1000/BP$23</f>
        <v>40782.519642349696</v>
      </c>
      <c r="BQ34" s="11">
        <f>Table_Abaque!$C$29*BQ$25*1000/BQ$23</f>
        <v>37910.983625641784</v>
      </c>
      <c r="BR34" s="11">
        <f>Table_Abaque!$C$29*BR$25*1000/BR$23</f>
        <v>55520.55832049212</v>
      </c>
      <c r="BS34" s="11">
        <f>Table_Abaque!$C$29*BS$25*1000/BS$23</f>
        <v>52180.053167951228</v>
      </c>
      <c r="BT34" s="11">
        <f>Table_Abaque!$C$29*BT$25*1000/BT$23</f>
        <v>48931.258893111364</v>
      </c>
      <c r="BU34" s="11">
        <f>Table_Abaque!$C$29*BU$25*1000/BU$23</f>
        <v>62275.831366442158</v>
      </c>
      <c r="BV34" s="11">
        <f>Table_Abaque!$C$29*BV$25*1000/BV$23</f>
        <v>58726.828284983574</v>
      </c>
      <c r="BW34" s="11">
        <f>Table_Abaque!$C$29*BW$25*1000/BW$23</f>
        <v>55271.401128294849</v>
      </c>
      <c r="BX34" s="11">
        <f>Table_Abaque!$C$29*BX$25*1000/BX$23</f>
        <v>84066.604217369575</v>
      </c>
      <c r="BY34" s="11">
        <f>Table_Abaque!$C$29*BY$25*1000/BY$23</f>
        <v>75894.449397463424</v>
      </c>
      <c r="BZ34" s="11">
        <f>Table_Abaque!$C$29*BZ$25*1000/BZ$23</f>
        <v>113927.91669872179</v>
      </c>
      <c r="CA34" s="11">
        <f>Table_Abaque!$C$29*CA$25*1000/CA$23</f>
        <v>104403.25028441525</v>
      </c>
      <c r="CB34" s="11">
        <f>Table_Abaque!$C$29*CB$25*1000/CB$23</f>
        <v>148309.431602136</v>
      </c>
      <c r="CC34" s="11">
        <f>Table_Abaque!$C$29*CC$25*1000/CC$23</f>
        <v>126928.39942876245</v>
      </c>
      <c r="CD34" s="11">
        <f>Table_Abaque!$C$29*CD$25*1000/CD$23</f>
        <v>187210.35019935059</v>
      </c>
      <c r="CE34" s="11">
        <f>Table_Abaque!$C$29*CE$25*1000/CE$23</f>
        <v>163130.07856939879</v>
      </c>
      <c r="CF34" s="11">
        <f>Table_Abaque!$C$29*CF$25*1000/CF$23</f>
        <v>46074.632052625151</v>
      </c>
      <c r="CG34" s="11">
        <f>Table_Abaque!$C$29*CG$25*1000/CG$23</f>
        <v>42951.802602049152</v>
      </c>
      <c r="CH34" s="11">
        <f>Table_Abaque!$C$29*CH$25*1000/CH$23</f>
        <v>39927.525307856777</v>
      </c>
      <c r="CI34" s="11">
        <f>Table_Abaque!$C$29*CI$25*1000/CI$23</f>
        <v>51533.985429978988</v>
      </c>
      <c r="CJ34" s="11">
        <f>Table_Abaque!$C$29*CJ$25*1000/CJ$23</f>
        <v>65588.375588061419</v>
      </c>
      <c r="CK34" s="11">
        <f>Table_Abaque!$C$29*CK$25*1000/CK$23</f>
        <v>61850.595746950785</v>
      </c>
      <c r="CL34" s="11">
        <f>Table_Abaque!$C$29*CL$25*1000/CL$23</f>
        <v>58211.369273416916</v>
      </c>
      <c r="CM34" s="11">
        <f>Table_Abaque!$C$29*CM$25*1000/CM$23</f>
        <v>88538.232101272224</v>
      </c>
      <c r="CN34" s="11">
        <f>Table_Abaque!$C$29*CN$25*1000/CN$23</f>
        <v>79931.388195200852</v>
      </c>
    </row>
    <row r="35" spans="2:92" s="8" customFormat="1" x14ac:dyDescent="0.25">
      <c r="C35" s="21"/>
      <c r="D35" s="21"/>
      <c r="E35" s="21"/>
      <c r="F35" s="29" t="s">
        <v>31</v>
      </c>
      <c r="G35" s="20" t="s">
        <v>18</v>
      </c>
      <c r="H35" s="21"/>
      <c r="I35" s="52">
        <f>Table_Abaque!$C32*I27*1000/I$24</f>
        <v>55386.556644071374</v>
      </c>
      <c r="J35" s="28" t="s">
        <v>57</v>
      </c>
      <c r="K35" s="40" t="s">
        <v>9</v>
      </c>
      <c r="L35" s="11">
        <f>Table_Abaque!$C32*L27*1000/L$24</f>
        <v>1055.3425085937151</v>
      </c>
      <c r="M35" s="11">
        <f>Table_Abaque!$C32*M27*1000/M$24</f>
        <v>1833.6293963826367</v>
      </c>
      <c r="N35" s="11">
        <f>Table_Abaque!$C32*N27*1000/N$24</f>
        <v>2986.7302108260469</v>
      </c>
      <c r="O35" s="11">
        <f>Table_Abaque!$C32*O27*1000/O$24</f>
        <v>4222.6537941851147</v>
      </c>
      <c r="P35" s="11">
        <f>Table_Abaque!$C32*P27*1000/P$24</f>
        <v>6130.2214825624505</v>
      </c>
      <c r="Q35" s="11">
        <f>Table_Abaque!$C32*Q27*1000/Q$24</f>
        <v>8383.4188356483101</v>
      </c>
      <c r="R35" s="11">
        <f>Table_Abaque!$C32*R27*1000/R$24</f>
        <v>7722.4135716009823</v>
      </c>
      <c r="S35" s="11">
        <f>Table_Abaque!$C32*S27*1000/S$24</f>
        <v>13942.953769706366</v>
      </c>
      <c r="T35" s="11">
        <f>Table_Abaque!$C32*T27*1000/T$24</f>
        <v>13101.72720943585</v>
      </c>
      <c r="U35" s="11">
        <f>Table_Abaque!$C32*U27*1000/U$24</f>
        <v>12273.819728309039</v>
      </c>
      <c r="V35" s="11">
        <f>Table_Abaque!$C32*V27*1000/V$24</f>
        <v>17647.498160920572</v>
      </c>
      <c r="W35" s="11">
        <f>Table_Abaque!$C32*W27*1000/W$24</f>
        <v>16708.365009514029</v>
      </c>
      <c r="X35" s="11">
        <f>Table_Abaque!$C32*X27*1000/X$24</f>
        <v>15781.034538843545</v>
      </c>
      <c r="Y35" s="11">
        <f>Table_Abaque!$C32*Y27*1000/Y$24</f>
        <v>19871.96918527321</v>
      </c>
      <c r="Z35" s="11">
        <f>Table_Abaque!$C32*Z27*1000/Z$24</f>
        <v>18863.365213714762</v>
      </c>
      <c r="AA35" s="11">
        <f>Table_Abaque!$C32*AA27*1000/AA$24</f>
        <v>17868.147779043506</v>
      </c>
      <c r="AB35" s="11">
        <f>Table_Abaque!$C32*AB27*1000/AB$24</f>
        <v>26854.088069852784</v>
      </c>
      <c r="AC35" s="11">
        <f>Table_Abaque!$C32*AC27*1000/AC$24</f>
        <v>24516.646035495512</v>
      </c>
      <c r="AD35" s="11">
        <f>Table_Abaque!$C32*AD27*1000/AD$24</f>
        <v>36237.604028375994</v>
      </c>
      <c r="AE35" s="11">
        <f>Table_Abaque!$C32*AE27*1000/AE$24</f>
        <v>33541.197529436999</v>
      </c>
      <c r="AF35" s="11">
        <f>Table_Abaque!$C32*AF27*1000/AF$24</f>
        <v>47009.407454459099</v>
      </c>
      <c r="AG35" s="11">
        <f>Table_Abaque!$C32*AG27*1000/AG$24</f>
        <v>40949.529230381057</v>
      </c>
      <c r="AH35" s="11">
        <f>Table_Abaque!$C32*AH27*1000/AH$24</f>
        <v>59180.371355724317</v>
      </c>
      <c r="AI35" s="11">
        <f>Table_Abaque!$C32*AI27*1000/AI$24</f>
        <v>52406.908837743402</v>
      </c>
      <c r="AJ35" s="11">
        <f>Table_Abaque!$C32*AJ27*1000/AJ$24</f>
        <v>1407.12334479162</v>
      </c>
      <c r="AK35" s="11">
        <f>Table_Abaque!$C32*AK27*1000/AK$24</f>
        <v>2444.8391951768494</v>
      </c>
      <c r="AL35" s="11">
        <f>Table_Abaque!$C32*AL27*1000/AL$24</f>
        <v>3982.3069477680624</v>
      </c>
      <c r="AM35" s="11">
        <f>Table_Abaque!$C32*AM27*1000/AM$24</f>
        <v>5630.205058913486</v>
      </c>
      <c r="AN35" s="11">
        <f>Table_Abaque!$C32*AN27*1000/AN$24</f>
        <v>8173.6286434165995</v>
      </c>
      <c r="AO35" s="11">
        <f>Table_Abaque!$C32*AO27*1000/AO$24</f>
        <v>11177.891780864415</v>
      </c>
      <c r="AP35" s="11">
        <f>Table_Abaque!$C32*AP27*1000/AP$24</f>
        <v>10296.551428801313</v>
      </c>
      <c r="AQ35" s="11">
        <f>Table_Abaque!$C32*AQ27*1000/AQ$24</f>
        <v>18590.605026275149</v>
      </c>
      <c r="AR35" s="11">
        <f>Table_Abaque!$C32*AR27*1000/AR$24</f>
        <v>17468.969612581135</v>
      </c>
      <c r="AS35" s="11">
        <f>Table_Abaque!$C32*AS27*1000/AS$24</f>
        <v>16365.092971078719</v>
      </c>
      <c r="AT35" s="11">
        <f>Table_Abaque!$C32*AT27*1000/AT$24</f>
        <v>23529.997547894094</v>
      </c>
      <c r="AU35" s="11">
        <f>Table_Abaque!$C32*AU27*1000/AU$24</f>
        <v>22277.820012685377</v>
      </c>
      <c r="AV35" s="11">
        <f>Table_Abaque!$C32*AV27*1000/AV$24</f>
        <v>21041.379385124732</v>
      </c>
      <c r="AW35" s="11">
        <f>Table_Abaque!$C32*AW27*1000/AW$24</f>
        <v>26495.958913697614</v>
      </c>
      <c r="AX35" s="11">
        <f>Table_Abaque!$C32*AX27*1000/AX$24</f>
        <v>25151.153618286349</v>
      </c>
      <c r="AY35" s="11">
        <f>Table_Abaque!$C32*AY27*1000/AY$24</f>
        <v>23824.197038724673</v>
      </c>
      <c r="AZ35" s="11">
        <f>Table_Abaque!$C32*AZ27*1000/AZ$24</f>
        <v>35805.450759803716</v>
      </c>
      <c r="BA35" s="11">
        <f>Table_Abaque!$C32*BA27*1000/BA$24</f>
        <v>32688.861380660685</v>
      </c>
      <c r="BB35" s="11">
        <f>Table_Abaque!$C32*BB27*1000/BB$24</f>
        <v>48316.80537116799</v>
      </c>
      <c r="BC35" s="11">
        <f>Table_Abaque!$C32*BC27*1000/BC$24</f>
        <v>44721.596705916003</v>
      </c>
      <c r="BD35" s="11">
        <f>Table_Abaque!$C32*BD27*1000/BD$24</f>
        <v>62679.2099392788</v>
      </c>
      <c r="BE35" s="11">
        <f>Table_Abaque!$C32*BE27*1000/BE$24</f>
        <v>54599.372307174737</v>
      </c>
      <c r="BF35" s="11">
        <f>Table_Abaque!$C32*BF27*1000/BF$24</f>
        <v>78907.161807632438</v>
      </c>
      <c r="BG35" s="11">
        <f>Table_Abaque!$C32*BG27*1000/BG$24</f>
        <v>69875.878450324541</v>
      </c>
      <c r="BH35" s="11">
        <f>Table_Abaque!$C32*BH27*1000/BH$24</f>
        <v>2066.7124126626923</v>
      </c>
      <c r="BI35" s="11">
        <f>Table_Abaque!$C32*BI27*1000/BI$24</f>
        <v>3590.8575679159972</v>
      </c>
      <c r="BJ35" s="11">
        <f>Table_Abaque!$C32*BJ27*1000/BJ$24</f>
        <v>5849.0133295343403</v>
      </c>
      <c r="BK35" s="11">
        <f>Table_Abaque!$C32*BK27*1000/BK$24</f>
        <v>8269.3636802791825</v>
      </c>
      <c r="BL35" s="11">
        <f>Table_Abaque!$C32*BL27*1000/BL$24</f>
        <v>12005.017070018132</v>
      </c>
      <c r="BM35" s="11">
        <f>Table_Abaque!$C32*BM27*1000/BM$24</f>
        <v>16417.528553144606</v>
      </c>
      <c r="BN35" s="11">
        <f>Table_Abaque!$C32*BN27*1000/BN$24</f>
        <v>15123.059911051925</v>
      </c>
      <c r="BO35" s="11">
        <f>Table_Abaque!$C32*BO27*1000/BO$24</f>
        <v>27304.95113234163</v>
      </c>
      <c r="BP35" s="11">
        <f>Table_Abaque!$C32*BP27*1000/BP$24</f>
        <v>25657.549118478542</v>
      </c>
      <c r="BQ35" s="11">
        <f>Table_Abaque!$C32*BQ27*1000/BQ$24</f>
        <v>24036.230301271866</v>
      </c>
      <c r="BR35" s="11">
        <f>Table_Abaque!$C32*BR27*1000/BR$24</f>
        <v>34559.683898469455</v>
      </c>
      <c r="BS35" s="11">
        <f>Table_Abaque!$C32*BS27*1000/BS$24</f>
        <v>32720.548143631648</v>
      </c>
      <c r="BT35" s="11">
        <f>Table_Abaque!$C32*BT27*1000/BT$24</f>
        <v>30904.525971901952</v>
      </c>
      <c r="BU35" s="11">
        <f>Table_Abaque!$C32*BU27*1000/BU$24</f>
        <v>38915.93965449337</v>
      </c>
      <c r="BV35" s="11">
        <f>Table_Abaque!$C32*BV27*1000/BV$24</f>
        <v>36940.756876858075</v>
      </c>
      <c r="BW35" s="11">
        <f>Table_Abaque!$C32*BW27*1000/BW$24</f>
        <v>34991.789400626869</v>
      </c>
      <c r="BX35" s="11">
        <f>Table_Abaque!$C32*BX27*1000/BX$24</f>
        <v>52589.25580346171</v>
      </c>
      <c r="BY35" s="11">
        <f>Table_Abaque!$C32*BY27*1000/BY$24</f>
        <v>48011.765152845372</v>
      </c>
      <c r="BZ35" s="11">
        <f>Table_Abaque!$C32*BZ27*1000/BZ$24</f>
        <v>70965.307888902971</v>
      </c>
      <c r="CA35" s="11">
        <f>Table_Abaque!$C32*CA27*1000/CA$24</f>
        <v>65684.845161814126</v>
      </c>
      <c r="CB35" s="11">
        <f>Table_Abaque!$C32*CB27*1000/CB$24</f>
        <v>92060.08959831571</v>
      </c>
      <c r="CC35" s="11">
        <f>Table_Abaque!$C32*CC27*1000/CC$24</f>
        <v>80192.828076162885</v>
      </c>
      <c r="CD35" s="11">
        <f>Table_Abaque!$C32*CD27*1000/CD$24</f>
        <v>115894.8939049601</v>
      </c>
      <c r="CE35" s="11">
        <f>Table_Abaque!$C32*CE27*1000/CE$24</f>
        <v>102630.19647391417</v>
      </c>
      <c r="CF35" s="11">
        <f>Table_Abaque!$C32*CF27*1000/CF$24</f>
        <v>28757.342150019376</v>
      </c>
      <c r="CG35" s="11">
        <f>Table_Abaque!$C32*CG27*1000/CG$24</f>
        <v>27022.312369461444</v>
      </c>
      <c r="CH35" s="11">
        <f>Table_Abaque!$C32*CH27*1000/CH$24</f>
        <v>25314.753189637391</v>
      </c>
      <c r="CI35" s="11">
        <f>Table_Abaque!$C32*CI27*1000/CI$24</f>
        <v>32548.38373636482</v>
      </c>
      <c r="CJ35" s="11">
        <f>Table_Abaque!$C32*CJ27*1000/CJ$24</f>
        <v>40985.936444625993</v>
      </c>
      <c r="CK35" s="11">
        <f>Table_Abaque!$C32*CK27*1000/CK$24</f>
        <v>38905.690753286697</v>
      </c>
      <c r="CL35" s="11">
        <f>Table_Abaque!$C32*CL27*1000/CL$24</f>
        <v>36853.054794277225</v>
      </c>
      <c r="CM35" s="11">
        <f>Table_Abaque!$C32*CM27*1000/CM$24</f>
        <v>55386.556644071374</v>
      </c>
      <c r="CN35" s="11">
        <f>Table_Abaque!$C32*CN27*1000/CN$24</f>
        <v>50565.58244820949</v>
      </c>
    </row>
    <row r="36" spans="2:92" s="8" customFormat="1" x14ac:dyDescent="0.25">
      <c r="C36" s="21"/>
      <c r="D36" s="21"/>
      <c r="E36" s="21"/>
      <c r="F36" s="29" t="s">
        <v>32</v>
      </c>
      <c r="G36" s="20" t="s">
        <v>18</v>
      </c>
      <c r="H36" s="21"/>
      <c r="I36" s="52">
        <f>Table_Abaque!$C33*I28*1000/I$24</f>
        <v>50086.407682916222</v>
      </c>
      <c r="J36" s="28" t="s">
        <v>59</v>
      </c>
      <c r="K36" s="40" t="s">
        <v>10</v>
      </c>
      <c r="L36" s="11">
        <f>Table_Abaque!$C33*L28*1000/L$24</f>
        <v>954.35279485268995</v>
      </c>
      <c r="M36" s="11">
        <f>Table_Abaque!$C33*M28*1000/M$24</f>
        <v>1658.1624684991311</v>
      </c>
      <c r="N36" s="11">
        <f>Table_Abaque!$C33*N28*1000/N$24</f>
        <v>2700.9187073977173</v>
      </c>
      <c r="O36" s="11">
        <f>Table_Abaque!$C33*O28*1000/O$24</f>
        <v>3818.5720913922814</v>
      </c>
      <c r="P36" s="11">
        <f>Table_Abaque!$C33*P28*1000/P$24</f>
        <v>5543.5974172454689</v>
      </c>
      <c r="Q36" s="11">
        <f>Table_Abaque!$C33*Q28*1000/Q$24</f>
        <v>7581.1777987441674</v>
      </c>
      <c r="R36" s="11">
        <f>Table_Abaque!$C33*R28*1000/R$24</f>
        <v>6983.4266269501713</v>
      </c>
      <c r="S36" s="11">
        <f>Table_Abaque!$C33*S28*1000/S$24</f>
        <v>12608.699820452168</v>
      </c>
      <c r="T36" s="11">
        <f>Table_Abaque!$C33*T28*1000/T$24</f>
        <v>11847.973409489838</v>
      </c>
      <c r="U36" s="11">
        <f>Table_Abaque!$C33*U28*1000/U$24</f>
        <v>11099.291524643104</v>
      </c>
      <c r="V36" s="11">
        <f>Table_Abaque!$C33*V28*1000/V$24</f>
        <v>15958.742356047793</v>
      </c>
      <c r="W36" s="11">
        <f>Table_Abaque!$C33*W28*1000/W$24</f>
        <v>15109.478405732787</v>
      </c>
      <c r="X36" s="11">
        <f>Table_Abaque!$C33*X28*1000/X$24</f>
        <v>14270.887693021197</v>
      </c>
      <c r="Y36" s="11">
        <f>Table_Abaque!$C33*Y28*1000/Y$24</f>
        <v>17970.345339792522</v>
      </c>
      <c r="Z36" s="11">
        <f>Table_Abaque!$C33*Z28*1000/Z$24</f>
        <v>17058.258494698995</v>
      </c>
      <c r="AA36" s="11">
        <f>Table_Abaque!$C33*AA28*1000/AA$24</f>
        <v>16158.277178178099</v>
      </c>
      <c r="AB36" s="11">
        <f>Table_Abaque!$C33*AB28*1000/AB$24</f>
        <v>24284.318876565441</v>
      </c>
      <c r="AC36" s="11">
        <f>Table_Abaque!$C33*AC28*1000/AC$24</f>
        <v>22170.555505783028</v>
      </c>
      <c r="AD36" s="11">
        <f>Table_Abaque!$C33*AD28*1000/AD$24</f>
        <v>32769.890724225173</v>
      </c>
      <c r="AE36" s="11">
        <f>Table_Abaque!$C33*AE28*1000/AE$24</f>
        <v>30331.513555328202</v>
      </c>
      <c r="AF36" s="11">
        <f>Table_Abaque!$C33*AF28*1000/AF$24</f>
        <v>42510.899564080239</v>
      </c>
      <c r="AG36" s="11">
        <f>Table_Abaque!$C33*AG28*1000/AG$24</f>
        <v>37030.91399302402</v>
      </c>
      <c r="AH36" s="11">
        <f>Table_Abaque!$C33*AH28*1000/AH$24</f>
        <v>53517.177924554533</v>
      </c>
      <c r="AI36" s="11">
        <f>Table_Abaque!$C33*AI28*1000/AI$24</f>
        <v>47391.893637959351</v>
      </c>
      <c r="AJ36" s="11">
        <f>Table_Abaque!$C33*AJ28*1000/AJ$24</f>
        <v>1272.4703931369197</v>
      </c>
      <c r="AK36" s="11">
        <f>Table_Abaque!$C33*AK28*1000/AK$24</f>
        <v>2210.8832913321748</v>
      </c>
      <c r="AL36" s="11">
        <f>Table_Abaque!$C33*AL28*1000/AL$24</f>
        <v>3601.2249431969562</v>
      </c>
      <c r="AM36" s="11">
        <f>Table_Abaque!$C33*AM28*1000/AM$24</f>
        <v>5091.4294551897083</v>
      </c>
      <c r="AN36" s="11">
        <f>Table_Abaque!$C33*AN28*1000/AN$24</f>
        <v>7391.463222993958</v>
      </c>
      <c r="AO36" s="11">
        <f>Table_Abaque!$C33*AO28*1000/AO$24</f>
        <v>10108.237064992221</v>
      </c>
      <c r="AP36" s="11">
        <f>Table_Abaque!$C33*AP28*1000/AP$24</f>
        <v>9311.2355026002278</v>
      </c>
      <c r="AQ36" s="11">
        <f>Table_Abaque!$C33*AQ28*1000/AQ$24</f>
        <v>16811.59976060289</v>
      </c>
      <c r="AR36" s="11">
        <f>Table_Abaque!$C33*AR28*1000/AR$24</f>
        <v>15797.297879319787</v>
      </c>
      <c r="AS36" s="11">
        <f>Table_Abaque!$C33*AS28*1000/AS$24</f>
        <v>14799.055366190805</v>
      </c>
      <c r="AT36" s="11">
        <f>Table_Abaque!$C33*AT28*1000/AT$24</f>
        <v>21278.323141397057</v>
      </c>
      <c r="AU36" s="11">
        <f>Table_Abaque!$C33*AU28*1000/AU$24</f>
        <v>20145.971207643717</v>
      </c>
      <c r="AV36" s="11">
        <f>Table_Abaque!$C33*AV28*1000/AV$24</f>
        <v>19027.850257361602</v>
      </c>
      <c r="AW36" s="11">
        <f>Table_Abaque!$C33*AW28*1000/AW$24</f>
        <v>23960.460453056701</v>
      </c>
      <c r="AX36" s="11">
        <f>Table_Abaque!$C33*AX28*1000/AX$24</f>
        <v>22744.344659598664</v>
      </c>
      <c r="AY36" s="11">
        <f>Table_Abaque!$C33*AY28*1000/AY$24</f>
        <v>21544.369570904131</v>
      </c>
      <c r="AZ36" s="11">
        <f>Table_Abaque!$C33*AZ28*1000/AZ$24</f>
        <v>32379.091835420586</v>
      </c>
      <c r="BA36" s="11">
        <f>Table_Abaque!$C33*BA28*1000/BA$24</f>
        <v>29560.740674377364</v>
      </c>
      <c r="BB36" s="11">
        <f>Table_Abaque!$C33*BB28*1000/BB$24</f>
        <v>43693.187632300236</v>
      </c>
      <c r="BC36" s="11">
        <f>Table_Abaque!$C33*BC28*1000/BC$24</f>
        <v>40442.018073770931</v>
      </c>
      <c r="BD36" s="11">
        <f>Table_Abaque!$C33*BD28*1000/BD$24</f>
        <v>56681.199418773656</v>
      </c>
      <c r="BE36" s="11">
        <f>Table_Abaque!$C33*BE28*1000/BE$24</f>
        <v>49374.551990698688</v>
      </c>
      <c r="BF36" s="11">
        <f>Table_Abaque!$C33*BF28*1000/BF$24</f>
        <v>71356.237232739382</v>
      </c>
      <c r="BG36" s="11">
        <f>Table_Abaque!$C33*BG28*1000/BG$24</f>
        <v>63189.191517279149</v>
      </c>
      <c r="BH36" s="11">
        <f>Table_Abaque!$C33*BH28*1000/BH$24</f>
        <v>1868.9408899198509</v>
      </c>
      <c r="BI36" s="11">
        <f>Table_Abaque!$C33*BI28*1000/BI$24</f>
        <v>3247.2348341441316</v>
      </c>
      <c r="BJ36" s="11">
        <f>Table_Abaque!$C33*BJ28*1000/BJ$24</f>
        <v>5289.2991353205289</v>
      </c>
      <c r="BK36" s="11">
        <f>Table_Abaque!$C33*BK28*1000/BK$24</f>
        <v>7478.0370123098837</v>
      </c>
      <c r="BL36" s="11">
        <f>Table_Abaque!$C33*BL28*1000/BL$24</f>
        <v>10856.211608772379</v>
      </c>
      <c r="BM36" s="11">
        <f>Table_Abaque!$C33*BM28*1000/BM$24</f>
        <v>14846.473189207327</v>
      </c>
      <c r="BN36" s="11">
        <f>Table_Abaque!$C33*BN28*1000/BN$24</f>
        <v>13675.877144444086</v>
      </c>
      <c r="BO36" s="11">
        <f>Table_Abaque!$C33*BO28*1000/BO$24</f>
        <v>24692.037148385494</v>
      </c>
      <c r="BP36" s="11">
        <f>Table_Abaque!$C33*BP28*1000/BP$24</f>
        <v>23202.281260250933</v>
      </c>
      <c r="BQ36" s="11">
        <f>Table_Abaque!$C33*BQ28*1000/BQ$24</f>
        <v>21736.112569092744</v>
      </c>
      <c r="BR36" s="11">
        <f>Table_Abaque!$C33*BR28*1000/BR$24</f>
        <v>31252.537113926926</v>
      </c>
      <c r="BS36" s="11">
        <f>Table_Abaque!$C33*BS28*1000/BS$24</f>
        <v>29589.395211226711</v>
      </c>
      <c r="BT36" s="11">
        <f>Table_Abaque!$C33*BT28*1000/BT$24</f>
        <v>27947.155065499846</v>
      </c>
      <c r="BU36" s="11">
        <f>Table_Abaque!$C33*BU28*1000/BU$24</f>
        <v>35191.926290427022</v>
      </c>
      <c r="BV36" s="11">
        <f>Table_Abaque!$C33*BV28*1000/BV$24</f>
        <v>33405.756218785529</v>
      </c>
      <c r="BW36" s="11">
        <f>Table_Abaque!$C33*BW28*1000/BW$24</f>
        <v>31643.292807265443</v>
      </c>
      <c r="BX36" s="11">
        <f>Table_Abaque!$C33*BX28*1000/BX$24</f>
        <v>47556.79113327399</v>
      </c>
      <c r="BY36" s="11">
        <f>Table_Abaque!$C33*BY28*1000/BY$24</f>
        <v>43417.337865491754</v>
      </c>
      <c r="BZ36" s="11">
        <f>Table_Abaque!$C33*BZ28*1000/BZ$24</f>
        <v>64174.36933494098</v>
      </c>
      <c r="CA36" s="11">
        <f>Table_Abaque!$C33*CA28*1000/CA$24</f>
        <v>59399.214045851062</v>
      </c>
      <c r="CB36" s="11">
        <f>Table_Abaque!$C33*CB28*1000/CB$24</f>
        <v>83250.511646323808</v>
      </c>
      <c r="CC36" s="11">
        <f>Table_Abaque!$C33*CC28*1000/CC$24</f>
        <v>72518.873236338695</v>
      </c>
      <c r="CD36" s="11">
        <f>Table_Abaque!$C33*CD28*1000/CD$24</f>
        <v>104804.47343558597</v>
      </c>
      <c r="CE36" s="11">
        <f>Table_Abaque!$C33*CE28*1000/CE$24</f>
        <v>92809.125041003732</v>
      </c>
      <c r="CF36" s="11">
        <f>Table_Abaque!$C33*CF28*1000/CF$24</f>
        <v>26005.443379682594</v>
      </c>
      <c r="CG36" s="11">
        <f>Table_Abaque!$C33*CG28*1000/CG$24</f>
        <v>24436.445157072791</v>
      </c>
      <c r="CH36" s="11">
        <f>Table_Abaque!$C33*CH28*1000/CH$24</f>
        <v>22892.2887695764</v>
      </c>
      <c r="CI36" s="11">
        <f>Table_Abaque!$C33*CI28*1000/CI$24</f>
        <v>29433.705866856224</v>
      </c>
      <c r="CJ36" s="11">
        <f>Table_Abaque!$C33*CJ28*1000/CJ$24</f>
        <v>37063.837263322079</v>
      </c>
      <c r="CK36" s="11">
        <f>Table_Abaque!$C33*CK28*1000/CK$24</f>
        <v>35182.65814531668</v>
      </c>
      <c r="CL36" s="11">
        <f>Table_Abaque!$C33*CL28*1000/CL$24</f>
        <v>33326.446679992325</v>
      </c>
      <c r="CM36" s="11">
        <f>Table_Abaque!$C33*CM28*1000/CM$24</f>
        <v>50086.407682916222</v>
      </c>
      <c r="CN36" s="11">
        <f>Table_Abaque!$C33*CN28*1000/CN$24</f>
        <v>45726.770730677483</v>
      </c>
    </row>
    <row r="37" spans="2:92" s="8" customFormat="1" x14ac:dyDescent="0.25">
      <c r="C37" s="21"/>
      <c r="D37" s="21"/>
      <c r="E37" s="21"/>
      <c r="F37" s="29" t="s">
        <v>33</v>
      </c>
      <c r="G37" s="20" t="s">
        <v>18</v>
      </c>
      <c r="H37" s="21"/>
      <c r="I37" s="52">
        <f>Table_Abaque!$C34*I29*1000/I$24</f>
        <v>45247.141240122386</v>
      </c>
      <c r="J37" s="28" t="s">
        <v>62</v>
      </c>
      <c r="K37" s="40" t="s">
        <v>11</v>
      </c>
      <c r="L37" s="11">
        <f>Table_Abaque!$C34*L29*1000/L$24</f>
        <v>862.14479535001442</v>
      </c>
      <c r="M37" s="11">
        <f>Table_Abaque!$C34*M29*1000/M$24</f>
        <v>1497.9535343446255</v>
      </c>
      <c r="N37" s="11">
        <f>Table_Abaque!$C34*N29*1000/N$24</f>
        <v>2439.9603781805463</v>
      </c>
      <c r="O37" s="11">
        <f>Table_Abaque!$C34*O29*1000/O$24</f>
        <v>3449.6279279727373</v>
      </c>
      <c r="P37" s="11">
        <f>Table_Abaque!$C34*P29*1000/P$24</f>
        <v>5007.9841402169213</v>
      </c>
      <c r="Q37" s="11">
        <f>Table_Abaque!$C34*Q29*1000/Q$24</f>
        <v>6848.6968520055989</v>
      </c>
      <c r="R37" s="11">
        <f>Table_Abaque!$C34*R29*1000/R$24</f>
        <v>6308.6994166168206</v>
      </c>
      <c r="S37" s="11">
        <f>Table_Abaque!$C34*S29*1000/S$24</f>
        <v>11390.467953741814</v>
      </c>
      <c r="T37" s="11">
        <f>Table_Abaque!$C34*T29*1000/T$24</f>
        <v>10703.241679104347</v>
      </c>
      <c r="U37" s="11">
        <f>Table_Abaque!$C34*U29*1000/U$24</f>
        <v>10026.896208252465</v>
      </c>
      <c r="V37" s="11">
        <f>Table_Abaque!$C34*V29*1000/V$24</f>
        <v>14416.83488203351</v>
      </c>
      <c r="W37" s="11">
        <f>Table_Abaque!$C34*W29*1000/W$24</f>
        <v>13649.625419671649</v>
      </c>
      <c r="X37" s="11">
        <f>Table_Abaque!$C34*X29*1000/X$24</f>
        <v>12892.05796422688</v>
      </c>
      <c r="Y37" s="11">
        <f>Table_Abaque!$C34*Y29*1000/Y$24</f>
        <v>16234.080089571022</v>
      </c>
      <c r="Z37" s="11">
        <f>Table_Abaque!$C34*Z29*1000/Z$24</f>
        <v>15410.117577336774</v>
      </c>
      <c r="AA37" s="11">
        <f>Table_Abaque!$C34*AA29*1000/AA$24</f>
        <v>14597.090977387945</v>
      </c>
      <c r="AB37" s="11">
        <f>Table_Abaque!$C34*AB29*1000/AB$24</f>
        <v>21938.007873998737</v>
      </c>
      <c r="AC37" s="11">
        <f>Table_Abaque!$C34*AC29*1000/AC$24</f>
        <v>20028.472848219444</v>
      </c>
      <c r="AD37" s="11">
        <f>Table_Abaque!$C34*AD29*1000/AD$24</f>
        <v>29603.717707391825</v>
      </c>
      <c r="AE37" s="11">
        <f>Table_Abaque!$C34*AE29*1000/AE$24</f>
        <v>27400.932535489726</v>
      </c>
      <c r="AF37" s="11">
        <f>Table_Abaque!$C34*AF29*1000/AF$24</f>
        <v>38403.566272864759</v>
      </c>
      <c r="AG37" s="11">
        <f>Table_Abaque!$C34*AG29*1000/AG$24</f>
        <v>33453.047906741507</v>
      </c>
      <c r="AH37" s="11">
        <f>Table_Abaque!$C34*AH29*1000/AH$24</f>
        <v>48346.43609609516</v>
      </c>
      <c r="AI37" s="11">
        <f>Table_Abaque!$C34*AI29*1000/AI$24</f>
        <v>42812.966716417388</v>
      </c>
      <c r="AJ37" s="11">
        <f>Table_Abaque!$C34*AJ29*1000/AJ$24</f>
        <v>1149.5263938000194</v>
      </c>
      <c r="AK37" s="11">
        <f>Table_Abaque!$C34*AK29*1000/AK$24</f>
        <v>1997.2713791261674</v>
      </c>
      <c r="AL37" s="11">
        <f>Table_Abaque!$C34*AL29*1000/AL$24</f>
        <v>3253.2805042407285</v>
      </c>
      <c r="AM37" s="11">
        <f>Table_Abaque!$C34*AM29*1000/AM$24</f>
        <v>4599.5039039636504</v>
      </c>
      <c r="AN37" s="11">
        <f>Table_Abaque!$C34*AN29*1000/AN$24</f>
        <v>6677.3121869558954</v>
      </c>
      <c r="AO37" s="11">
        <f>Table_Abaque!$C34*AO29*1000/AO$24</f>
        <v>9131.5958026741337</v>
      </c>
      <c r="AP37" s="11">
        <f>Table_Abaque!$C34*AP29*1000/AP$24</f>
        <v>8411.5992221557608</v>
      </c>
      <c r="AQ37" s="11">
        <f>Table_Abaque!$C34*AQ29*1000/AQ$24</f>
        <v>15187.290604989084</v>
      </c>
      <c r="AR37" s="11">
        <f>Table_Abaque!$C34*AR29*1000/AR$24</f>
        <v>14270.988905472466</v>
      </c>
      <c r="AS37" s="11">
        <f>Table_Abaque!$C34*AS29*1000/AS$24</f>
        <v>13369.194944336621</v>
      </c>
      <c r="AT37" s="11">
        <f>Table_Abaque!$C34*AT29*1000/AT$24</f>
        <v>19222.446509378013</v>
      </c>
      <c r="AU37" s="11">
        <f>Table_Abaque!$C34*AU29*1000/AU$24</f>
        <v>18199.500559562195</v>
      </c>
      <c r="AV37" s="11">
        <f>Table_Abaque!$C34*AV29*1000/AV$24</f>
        <v>17189.410618969174</v>
      </c>
      <c r="AW37" s="11">
        <f>Table_Abaque!$C34*AW29*1000/AW$24</f>
        <v>21645.440119428033</v>
      </c>
      <c r="AX37" s="11">
        <f>Table_Abaque!$C34*AX29*1000/AX$24</f>
        <v>20546.823436449031</v>
      </c>
      <c r="AY37" s="11">
        <f>Table_Abaque!$C34*AY29*1000/AY$24</f>
        <v>19462.787969850589</v>
      </c>
      <c r="AZ37" s="11">
        <f>Table_Abaque!$C34*AZ29*1000/AZ$24</f>
        <v>29250.677165331639</v>
      </c>
      <c r="BA37" s="11">
        <f>Table_Abaque!$C34*BA29*1000/BA$24</f>
        <v>26704.630464292593</v>
      </c>
      <c r="BB37" s="11">
        <f>Table_Abaque!$C34*BB29*1000/BB$24</f>
        <v>39471.623609855778</v>
      </c>
      <c r="BC37" s="11">
        <f>Table_Abaque!$C34*BC29*1000/BC$24</f>
        <v>36534.576713986295</v>
      </c>
      <c r="BD37" s="11">
        <f>Table_Abaque!$C34*BD29*1000/BD$24</f>
        <v>51204.755030486347</v>
      </c>
      <c r="BE37" s="11">
        <f>Table_Abaque!$C34*BE29*1000/BE$24</f>
        <v>44604.063875655338</v>
      </c>
      <c r="BF37" s="11">
        <f>Table_Abaque!$C34*BF29*1000/BF$24</f>
        <v>64461.914794793534</v>
      </c>
      <c r="BG37" s="11">
        <f>Table_Abaque!$C34*BG29*1000/BG$24</f>
        <v>57083.955621889865</v>
      </c>
      <c r="BH37" s="11">
        <f>Table_Abaque!$C34*BH29*1000/BH$24</f>
        <v>1688.3668908937784</v>
      </c>
      <c r="BI37" s="11">
        <f>Table_Abaque!$C34*BI29*1000/BI$24</f>
        <v>2933.4923380915584</v>
      </c>
      <c r="BJ37" s="11">
        <f>Table_Abaque!$C34*BJ29*1000/BJ$24</f>
        <v>4778.2557406035694</v>
      </c>
      <c r="BK37" s="11">
        <f>Table_Abaque!$C34*BK29*1000/BK$24</f>
        <v>6755.5213589466111</v>
      </c>
      <c r="BL37" s="11">
        <f>Table_Abaque!$C34*BL29*1000/BL$24</f>
        <v>9807.3022745914714</v>
      </c>
      <c r="BM37" s="11">
        <f>Table_Abaque!$C34*BM29*1000/BM$24</f>
        <v>13412.031335177633</v>
      </c>
      <c r="BN37" s="11">
        <f>Table_Abaque!$C34*BN29*1000/BN$24</f>
        <v>12354.536357541276</v>
      </c>
      <c r="BO37" s="11">
        <f>Table_Abaque!$C34*BO29*1000/BO$24</f>
        <v>22306.333076077717</v>
      </c>
      <c r="BP37" s="11">
        <f>Table_Abaque!$C34*BP29*1000/BP$24</f>
        <v>20960.514954912676</v>
      </c>
      <c r="BQ37" s="11">
        <f>Table_Abaque!$C34*BQ29*1000/BQ$24</f>
        <v>19636.005074494409</v>
      </c>
      <c r="BR37" s="11">
        <f>Table_Abaque!$C34*BR29*1000/BR$24</f>
        <v>28232.968310648957</v>
      </c>
      <c r="BS37" s="11">
        <f>Table_Abaque!$C34*BS29*1000/BS$24</f>
        <v>26730.516446856978</v>
      </c>
      <c r="BT37" s="11">
        <f>Table_Abaque!$C34*BT29*1000/BT$24</f>
        <v>25246.946846610972</v>
      </c>
      <c r="BU37" s="11">
        <f>Table_Abaque!$C34*BU29*1000/BU$24</f>
        <v>31791.740175409916</v>
      </c>
      <c r="BV37" s="11">
        <f>Table_Abaque!$C34*BV29*1000/BV$24</f>
        <v>30178.146922284512</v>
      </c>
      <c r="BW37" s="11">
        <f>Table_Abaque!$C34*BW29*1000/BW$24</f>
        <v>28585.969830718055</v>
      </c>
      <c r="BX37" s="11">
        <f>Table_Abaque!$C34*BX29*1000/BX$24</f>
        <v>42961.932086580848</v>
      </c>
      <c r="BY37" s="11">
        <f>Table_Abaque!$C34*BY29*1000/BY$24</f>
        <v>39222.425994429745</v>
      </c>
      <c r="BZ37" s="11">
        <f>Table_Abaque!$C34*BZ29*1000/BZ$24</f>
        <v>57973.947176975656</v>
      </c>
      <c r="CA37" s="11">
        <f>Table_Abaque!$C34*CA29*1000/CA$24</f>
        <v>53660.159548667376</v>
      </c>
      <c r="CB37" s="11">
        <f>Table_Abaque!$C34*CB29*1000/CB$24</f>
        <v>75206.983951026821</v>
      </c>
      <c r="CC37" s="11">
        <f>Table_Abaque!$C34*CC29*1000/CC$24</f>
        <v>65512.218817368761</v>
      </c>
      <c r="CD37" s="11">
        <f>Table_Abaque!$C34*CD29*1000/CD$24</f>
        <v>94678.437354853013</v>
      </c>
      <c r="CE37" s="11">
        <f>Table_Abaque!$C34*CE29*1000/CE$24</f>
        <v>83842.059819650705</v>
      </c>
      <c r="CF37" s="11">
        <f>Table_Abaque!$C34*CF29*1000/CF$24</f>
        <v>23492.84015459249</v>
      </c>
      <c r="CG37" s="11">
        <f>Table_Abaque!$C34*CG29*1000/CG$24</f>
        <v>22075.435963152719</v>
      </c>
      <c r="CH37" s="11">
        <f>Table_Abaque!$C34*CH29*1000/CH$24</f>
        <v>20680.473429520709</v>
      </c>
      <c r="CI37" s="11">
        <f>Table_Abaque!$C34*CI29*1000/CI$24</f>
        <v>26589.869551217944</v>
      </c>
      <c r="CJ37" s="11">
        <f>Table_Abaque!$C34*CJ29*1000/CJ$24</f>
        <v>33482.790184740232</v>
      </c>
      <c r="CK37" s="11">
        <f>Table_Abaque!$C34*CK29*1000/CK$24</f>
        <v>31783.367503257094</v>
      </c>
      <c r="CL37" s="11">
        <f>Table_Abaque!$C34*CL29*1000/CL$24</f>
        <v>30106.50014086263</v>
      </c>
      <c r="CM37" s="11">
        <f>Table_Abaque!$C34*CM29*1000/CM$24</f>
        <v>45247.141240122386</v>
      </c>
      <c r="CN37" s="11">
        <f>Table_Abaque!$C34*CN29*1000/CN$24</f>
        <v>41308.725249452596</v>
      </c>
    </row>
    <row r="38" spans="2:92" s="8" customFormat="1" x14ac:dyDescent="0.25">
      <c r="C38" s="21"/>
      <c r="D38" s="21"/>
      <c r="E38" s="21"/>
      <c r="F38" s="29" t="s">
        <v>34</v>
      </c>
      <c r="G38" s="20" t="s">
        <v>18</v>
      </c>
      <c r="H38" s="21"/>
      <c r="I38" s="52">
        <f>Table_Abaque!$C35*I30*1000/I$24</f>
        <v>40811.147000894714</v>
      </c>
      <c r="J38" s="28" t="s">
        <v>60</v>
      </c>
      <c r="K38" s="40" t="s">
        <v>12</v>
      </c>
      <c r="L38" s="11">
        <f>Table_Abaque!$C35*L30*1000/L$24</f>
        <v>777.62079580589557</v>
      </c>
      <c r="M38" s="11">
        <f>Table_Abaque!$C35*M30*1000/M$24</f>
        <v>1351.0953447029958</v>
      </c>
      <c r="N38" s="11">
        <f>Table_Abaque!$C35*N30*1000/N$24</f>
        <v>2200.7485763981399</v>
      </c>
      <c r="O38" s="11">
        <f>Table_Abaque!$C35*O30*1000/O$24</f>
        <v>3111.4291115048222</v>
      </c>
      <c r="P38" s="11">
        <f>Table_Abaque!$C35*P30*1000/P$24</f>
        <v>4517.0053029407536</v>
      </c>
      <c r="Q38" s="11">
        <f>Table_Abaque!$C35*Q30*1000/Q$24</f>
        <v>6177.2559841619141</v>
      </c>
      <c r="R38" s="11">
        <f>Table_Abaque!$C35*R30*1000/R$24</f>
        <v>5690.1994738112508</v>
      </c>
      <c r="S38" s="11">
        <f>Table_Abaque!$C35*S30*1000/S$24</f>
        <v>10273.755409257323</v>
      </c>
      <c r="T38" s="11">
        <f>Table_Abaque!$C35*T30*1000/T$24</f>
        <v>9653.9042595843148</v>
      </c>
      <c r="U38" s="11">
        <f>Table_Abaque!$C35*U30*1000/U$24</f>
        <v>9043.8671682277145</v>
      </c>
      <c r="V38" s="11">
        <f>Table_Abaque!$C35*V30*1000/V$24</f>
        <v>13003.419697520425</v>
      </c>
      <c r="W38" s="11">
        <f>Table_Abaque!$C35*W30*1000/W$24</f>
        <v>12311.426849115605</v>
      </c>
      <c r="X38" s="11">
        <f>Table_Abaque!$C35*X30*1000/X$24</f>
        <v>11628.13071283209</v>
      </c>
      <c r="Y38" s="11">
        <f>Table_Abaque!$C35*Y30*1000/Y$24</f>
        <v>14642.503610201316</v>
      </c>
      <c r="Z38" s="11">
        <f>Table_Abaque!$C35*Z30*1000/Z$24</f>
        <v>13899.321736421407</v>
      </c>
      <c r="AA38" s="11">
        <f>Table_Abaque!$C35*AA30*1000/AA$24</f>
        <v>13166.003626663636</v>
      </c>
      <c r="AB38" s="11">
        <f>Table_Abaque!$C35*AB30*1000/AB$24</f>
        <v>19787.222788312582</v>
      </c>
      <c r="AC38" s="11">
        <f>Table_Abaque!$C35*AC30*1000/AC$24</f>
        <v>18064.897078786165</v>
      </c>
      <c r="AD38" s="11">
        <f>Table_Abaque!$C35*AD30*1000/AD$24</f>
        <v>26701.392441961256</v>
      </c>
      <c r="AE38" s="11">
        <f>Table_Abaque!$C35*AE30*1000/AE$24</f>
        <v>24714.566600637798</v>
      </c>
      <c r="AF38" s="11">
        <f>Table_Abaque!$C35*AF30*1000/AF$24</f>
        <v>34638.510755917239</v>
      </c>
      <c r="AG38" s="11">
        <f>Table_Abaque!$C35*AG30*1000/AG$24</f>
        <v>30173.337327649202</v>
      </c>
      <c r="AH38" s="11">
        <f>Table_Abaque!$C35*AH30*1000/AH$24</f>
        <v>43606.589420007396</v>
      </c>
      <c r="AI38" s="11">
        <f>Table_Abaque!$C35*AI30*1000/AI$24</f>
        <v>38615.617038337259</v>
      </c>
      <c r="AJ38" s="11">
        <f>Table_Abaque!$C35*AJ30*1000/AJ$24</f>
        <v>1036.8277277411939</v>
      </c>
      <c r="AK38" s="11">
        <f>Table_Abaque!$C35*AK30*1000/AK$24</f>
        <v>1801.4604596039947</v>
      </c>
      <c r="AL38" s="11">
        <f>Table_Abaque!$C35*AL30*1000/AL$24</f>
        <v>2934.3314351975205</v>
      </c>
      <c r="AM38" s="11">
        <f>Table_Abaque!$C35*AM30*1000/AM$24</f>
        <v>4148.5721486730954</v>
      </c>
      <c r="AN38" s="11">
        <f>Table_Abaque!$C35*AN30*1000/AN$24</f>
        <v>6022.6737372543384</v>
      </c>
      <c r="AO38" s="11">
        <f>Table_Abaque!$C35*AO30*1000/AO$24</f>
        <v>8236.3413122158854</v>
      </c>
      <c r="AP38" s="11">
        <f>Table_Abaque!$C35*AP30*1000/AP$24</f>
        <v>7586.9326317483337</v>
      </c>
      <c r="AQ38" s="11">
        <f>Table_Abaque!$C35*AQ30*1000/AQ$24</f>
        <v>13698.340545676429</v>
      </c>
      <c r="AR38" s="11">
        <f>Table_Abaque!$C35*AR30*1000/AR$24</f>
        <v>12871.872346112419</v>
      </c>
      <c r="AS38" s="11">
        <f>Table_Abaque!$C35*AS30*1000/AS$24</f>
        <v>12058.489557636956</v>
      </c>
      <c r="AT38" s="11">
        <f>Table_Abaque!$C35*AT30*1000/AT$24</f>
        <v>17337.892930027228</v>
      </c>
      <c r="AU38" s="11">
        <f>Table_Abaque!$C35*AU30*1000/AU$24</f>
        <v>16415.23579882081</v>
      </c>
      <c r="AV38" s="11">
        <f>Table_Abaque!$C35*AV30*1000/AV$24</f>
        <v>15504.174283776123</v>
      </c>
      <c r="AW38" s="11">
        <f>Table_Abaque!$C35*AW30*1000/AW$24</f>
        <v>19523.338146935093</v>
      </c>
      <c r="AX38" s="11">
        <f>Table_Abaque!$C35*AX30*1000/AX$24</f>
        <v>18532.428981895209</v>
      </c>
      <c r="AY38" s="11">
        <f>Table_Abaque!$C35*AY30*1000/AY$24</f>
        <v>17554.671502218182</v>
      </c>
      <c r="AZ38" s="11">
        <f>Table_Abaque!$C35*AZ30*1000/AZ$24</f>
        <v>26382.963717750114</v>
      </c>
      <c r="BA38" s="11">
        <f>Table_Abaque!$C35*BA30*1000/BA$24</f>
        <v>24086.52943838156</v>
      </c>
      <c r="BB38" s="11">
        <f>Table_Abaque!$C35*BB30*1000/BB$24</f>
        <v>35601.856589281677</v>
      </c>
      <c r="BC38" s="11">
        <f>Table_Abaque!$C35*BC30*1000/BC$24</f>
        <v>32952.755467517054</v>
      </c>
      <c r="BD38" s="11">
        <f>Table_Abaque!$C35*BD30*1000/BD$24</f>
        <v>46184.681007889645</v>
      </c>
      <c r="BE38" s="11">
        <f>Table_Abaque!$C35*BE30*1000/BE$24</f>
        <v>40231.116436865595</v>
      </c>
      <c r="BF38" s="11">
        <f>Table_Abaque!$C35*BF30*1000/BF$24</f>
        <v>58142.11922667655</v>
      </c>
      <c r="BG38" s="11">
        <f>Table_Abaque!$C35*BG30*1000/BG$24</f>
        <v>51487.489384449676</v>
      </c>
      <c r="BH38" s="11">
        <f>Table_Abaque!$C35*BH30*1000/BH$24</f>
        <v>1522.8407251198785</v>
      </c>
      <c r="BI38" s="11">
        <f>Table_Abaque!$C35*BI30*1000/BI$24</f>
        <v>2645.8950500433666</v>
      </c>
      <c r="BJ38" s="11">
        <f>Table_Abaque!$C35*BJ30*1000/BJ$24</f>
        <v>4309.7992954463571</v>
      </c>
      <c r="BK38" s="11">
        <f>Table_Abaque!$C35*BK30*1000/BK$24</f>
        <v>6093.2153433636095</v>
      </c>
      <c r="BL38" s="11">
        <f>Table_Abaque!$C35*BL30*1000/BL$24</f>
        <v>8845.802051592309</v>
      </c>
      <c r="BM38" s="11">
        <f>Table_Abaque!$C35*BM30*1000/BM$24</f>
        <v>12097.126302317083</v>
      </c>
      <c r="BN38" s="11">
        <f>Table_Abaque!$C35*BN30*1000/BN$24</f>
        <v>11143.307302880368</v>
      </c>
      <c r="BO38" s="11">
        <f>Table_Abaque!$C35*BO30*1000/BO$24</f>
        <v>20119.437676462258</v>
      </c>
      <c r="BP38" s="11">
        <f>Table_Abaque!$C35*BP30*1000/BP$24</f>
        <v>18905.562508352614</v>
      </c>
      <c r="BQ38" s="11">
        <f>Table_Abaque!$C35*BQ30*1000/BQ$24</f>
        <v>17710.906537779276</v>
      </c>
      <c r="BR38" s="11">
        <f>Table_Abaque!$C35*BR30*1000/BR$24</f>
        <v>25465.030240977499</v>
      </c>
      <c r="BS38" s="11">
        <f>Table_Abaque!$C35*BS30*1000/BS$24</f>
        <v>24109.877579518059</v>
      </c>
      <c r="BT38" s="11">
        <f>Table_Abaque!$C35*BT30*1000/BT$24</f>
        <v>22771.755979296177</v>
      </c>
      <c r="BU38" s="11">
        <f>Table_Abaque!$C35*BU30*1000/BU$24</f>
        <v>28674.902903310907</v>
      </c>
      <c r="BV38" s="11">
        <f>Table_Abaque!$C35*BV30*1000/BV$24</f>
        <v>27219.505067158585</v>
      </c>
      <c r="BW38" s="11">
        <f>Table_Abaque!$C35*BW30*1000/BW$24</f>
        <v>25783.423768882953</v>
      </c>
      <c r="BX38" s="11">
        <f>Table_Abaque!$C35*BX30*1000/BX$24</f>
        <v>38749.977960445482</v>
      </c>
      <c r="BY38" s="11">
        <f>Table_Abaque!$C35*BY30*1000/BY$24</f>
        <v>35377.090112622915</v>
      </c>
      <c r="BZ38" s="11">
        <f>Table_Abaque!$C35*BZ30*1000/BZ$24</f>
        <v>52290.226865507466</v>
      </c>
      <c r="CA38" s="11">
        <f>Table_Abaque!$C35*CA30*1000/CA$24</f>
        <v>48399.359592915687</v>
      </c>
      <c r="CB38" s="11">
        <f>Table_Abaque!$C35*CB30*1000/CB$24</f>
        <v>67833.75023033793</v>
      </c>
      <c r="CC38" s="11">
        <f>Table_Abaque!$C35*CC30*1000/CC$24</f>
        <v>59089.452266646345</v>
      </c>
      <c r="CD38" s="11">
        <f>Table_Abaque!$C35*CD30*1000/CD$24</f>
        <v>85396.237614181155</v>
      </c>
      <c r="CE38" s="11">
        <f>Table_Abaque!$C35*CE30*1000/CE$24</f>
        <v>75622.250033410455</v>
      </c>
      <c r="CF38" s="11">
        <f>Table_Abaque!$C35*CF30*1000/CF$24</f>
        <v>21189.620531593224</v>
      </c>
      <c r="CG38" s="11">
        <f>Table_Abaque!$C35*CG30*1000/CG$24</f>
        <v>19911.17753539265</v>
      </c>
      <c r="CH38" s="11">
        <f>Table_Abaque!$C35*CH30*1000/CH$24</f>
        <v>18652.976034469662</v>
      </c>
      <c r="CI38" s="11">
        <f>Table_Abaque!$C35*CI30*1000/CI$24</f>
        <v>23983.019595216188</v>
      </c>
      <c r="CJ38" s="11">
        <f>Table_Abaque!$C35*CJ30*1000/CJ$24</f>
        <v>30200.163696040217</v>
      </c>
      <c r="CK38" s="11">
        <f>Table_Abaque!$C35*CK30*1000/CK$24</f>
        <v>28667.351081369146</v>
      </c>
      <c r="CL38" s="11">
        <f>Table_Abaque!$C35*CL30*1000/CL$24</f>
        <v>27154.88247999375</v>
      </c>
      <c r="CM38" s="11">
        <f>Table_Abaque!$C35*CM30*1000/CM$24</f>
        <v>40811.147000894714</v>
      </c>
      <c r="CN38" s="11">
        <f>Table_Abaque!$C35*CN30*1000/CN$24</f>
        <v>37258.850224996473</v>
      </c>
    </row>
    <row r="39" spans="2:92" s="8" customFormat="1" x14ac:dyDescent="0.25">
      <c r="C39" s="21"/>
      <c r="D39" s="21"/>
      <c r="E39" s="21"/>
      <c r="F39" s="29" t="s">
        <v>35</v>
      </c>
      <c r="G39" s="20" t="s">
        <v>18</v>
      </c>
      <c r="H39" s="21"/>
      <c r="I39" s="52">
        <f>Table_Abaque!$C36*I31*1000/I$24</f>
        <v>29474.717278423952</v>
      </c>
      <c r="J39" s="28" t="s">
        <v>61</v>
      </c>
      <c r="K39" s="40" t="s">
        <v>13</v>
      </c>
      <c r="L39" s="11">
        <f>Table_Abaque!$C36*L31*1000/L$24</f>
        <v>561.61501919314674</v>
      </c>
      <c r="M39" s="11">
        <f>Table_Abaque!$C36*M31*1000/M$24</f>
        <v>975.79108228549694</v>
      </c>
      <c r="N39" s="11">
        <f>Table_Abaque!$C36*N31*1000/N$24</f>
        <v>1589.4295273986563</v>
      </c>
      <c r="O39" s="11">
        <f>Table_Abaque!$C36*O31*1000/O$24</f>
        <v>2247.1432471979269</v>
      </c>
      <c r="P39" s="11">
        <f>Table_Abaque!$C36*P31*1000/P$24</f>
        <v>3262.2816076794325</v>
      </c>
      <c r="Q39" s="11">
        <f>Table_Abaque!$C36*Q31*1000/Q$24</f>
        <v>4461.3515441169375</v>
      </c>
      <c r="R39" s="11">
        <f>Table_Abaque!$C36*R31*1000/R$24</f>
        <v>4109.5885088636805</v>
      </c>
      <c r="S39" s="11">
        <f>Table_Abaque!$C36*S31*1000/S$24</f>
        <v>7419.934462241401</v>
      </c>
      <c r="T39" s="11">
        <f>Table_Abaque!$C36*T31*1000/T$24</f>
        <v>6972.2641874775582</v>
      </c>
      <c r="U39" s="11">
        <f>Table_Abaque!$C36*U31*1000/U$24</f>
        <v>6531.6818437200154</v>
      </c>
      <c r="V39" s="11">
        <f>Table_Abaque!$C36*V31*1000/V$24</f>
        <v>9391.3586704314166</v>
      </c>
      <c r="W39" s="11">
        <f>Table_Abaque!$C36*W31*1000/W$24</f>
        <v>8891.5860576946015</v>
      </c>
      <c r="X39" s="11">
        <f>Table_Abaque!$C36*X31*1000/X$24</f>
        <v>8398.0944037120626</v>
      </c>
      <c r="Y39" s="11">
        <f>Table_Abaque!$C36*Y31*1000/Y$24</f>
        <v>10575.141496256505</v>
      </c>
      <c r="Z39" s="11">
        <f>Table_Abaque!$C36*Z31*1000/Z$24</f>
        <v>10038.399031859901</v>
      </c>
      <c r="AA39" s="11">
        <f>Table_Abaque!$C36*AA31*1000/AA$24</f>
        <v>9508.7803970348468</v>
      </c>
      <c r="AB39" s="11">
        <f>Table_Abaque!$C36*AB31*1000/AB$24</f>
        <v>14290.772013781308</v>
      </c>
      <c r="AC39" s="11">
        <f>Table_Abaque!$C36*AC31*1000/AC$24</f>
        <v>13046.870112456674</v>
      </c>
      <c r="AD39" s="11">
        <f>Table_Abaque!$C36*AD31*1000/AD$24</f>
        <v>19284.338985860912</v>
      </c>
      <c r="AE39" s="11">
        <f>Table_Abaque!$C36*AE31*1000/AE$24</f>
        <v>17849.409211571739</v>
      </c>
      <c r="AF39" s="11">
        <f>Table_Abaque!$C36*AF31*1000/AF$24</f>
        <v>25016.702212606888</v>
      </c>
      <c r="AG39" s="11">
        <f>Table_Abaque!$C36*AG31*1000/AG$24</f>
        <v>21791.854736635531</v>
      </c>
      <c r="AH39" s="11">
        <f>Table_Abaque!$C36*AH31*1000/AH$24</f>
        <v>31493.64791444979</v>
      </c>
      <c r="AI39" s="11">
        <f>Table_Abaque!$C36*AI31*1000/AI$24</f>
        <v>27889.056749910233</v>
      </c>
      <c r="AJ39" s="11">
        <f>Table_Abaque!$C36*AJ31*1000/AJ$24</f>
        <v>748.8200255908622</v>
      </c>
      <c r="AK39" s="11">
        <f>Table_Abaque!$C36*AK31*1000/AK$24</f>
        <v>1301.0547763806624</v>
      </c>
      <c r="AL39" s="11">
        <f>Table_Abaque!$C36*AL31*1000/AL$24</f>
        <v>2119.2393698648752</v>
      </c>
      <c r="AM39" s="11">
        <f>Table_Abaque!$C36*AM31*1000/AM$24</f>
        <v>2996.1909962639029</v>
      </c>
      <c r="AN39" s="11">
        <f>Table_Abaque!$C36*AN31*1000/AN$24</f>
        <v>4349.7088102392427</v>
      </c>
      <c r="AO39" s="11">
        <f>Table_Abaque!$C36*AO31*1000/AO$24</f>
        <v>5948.4687254892497</v>
      </c>
      <c r="AP39" s="11">
        <f>Table_Abaque!$C36*AP31*1000/AP$24</f>
        <v>5479.451345151575</v>
      </c>
      <c r="AQ39" s="11">
        <f>Table_Abaque!$C36*AQ31*1000/AQ$24</f>
        <v>9893.2459496551983</v>
      </c>
      <c r="AR39" s="11">
        <f>Table_Abaque!$C36*AR31*1000/AR$24</f>
        <v>9296.3522499700794</v>
      </c>
      <c r="AS39" s="11">
        <f>Table_Abaque!$C36*AS31*1000/AS$24</f>
        <v>8708.9091249600224</v>
      </c>
      <c r="AT39" s="11">
        <f>Table_Abaque!$C36*AT31*1000/AT$24</f>
        <v>12521.811560575223</v>
      </c>
      <c r="AU39" s="11">
        <f>Table_Abaque!$C36*AU31*1000/AU$24</f>
        <v>11855.448076926137</v>
      </c>
      <c r="AV39" s="11">
        <f>Table_Abaque!$C36*AV31*1000/AV$24</f>
        <v>11197.45920494942</v>
      </c>
      <c r="AW39" s="11">
        <f>Table_Abaque!$C36*AW31*1000/AW$24</f>
        <v>14100.18866167534</v>
      </c>
      <c r="AX39" s="11">
        <f>Table_Abaque!$C36*AX31*1000/AX$24</f>
        <v>13384.53204247987</v>
      </c>
      <c r="AY39" s="11">
        <f>Table_Abaque!$C36*AY31*1000/AY$24</f>
        <v>12678.37386271313</v>
      </c>
      <c r="AZ39" s="11">
        <f>Table_Abaque!$C36*AZ31*1000/AZ$24</f>
        <v>19054.362685041746</v>
      </c>
      <c r="BA39" s="11">
        <f>Table_Abaque!$C36*BA31*1000/BA$24</f>
        <v>17395.826816608904</v>
      </c>
      <c r="BB39" s="11">
        <f>Table_Abaque!$C36*BB31*1000/BB$24</f>
        <v>25712.451981147875</v>
      </c>
      <c r="BC39" s="11">
        <f>Table_Abaque!$C36*BC31*1000/BC$24</f>
        <v>23799.212282095654</v>
      </c>
      <c r="BD39" s="11">
        <f>Table_Abaque!$C36*BD31*1000/BD$24</f>
        <v>33355.602950142522</v>
      </c>
      <c r="BE39" s="11">
        <f>Table_Abaque!$C36*BE31*1000/BE$24</f>
        <v>29055.806315514044</v>
      </c>
      <c r="BF39" s="11">
        <f>Table_Abaque!$C36*BF31*1000/BF$24</f>
        <v>41991.530552599725</v>
      </c>
      <c r="BG39" s="11">
        <f>Table_Abaque!$C36*BG31*1000/BG$24</f>
        <v>37185.408999880317</v>
      </c>
      <c r="BH39" s="11">
        <f>Table_Abaque!$C36*BH31*1000/BH$24</f>
        <v>1099.8294125865789</v>
      </c>
      <c r="BI39" s="11">
        <f>Table_Abaque!$C36*BI31*1000/BI$24</f>
        <v>1910.924202809098</v>
      </c>
      <c r="BJ39" s="11">
        <f>Table_Abaque!$C36*BJ31*1000/BJ$24</f>
        <v>3112.6328244890346</v>
      </c>
      <c r="BK39" s="11">
        <f>Table_Abaque!$C36*BK31*1000/BK$24</f>
        <v>4400.6555257626069</v>
      </c>
      <c r="BL39" s="11">
        <f>Table_Abaque!$C36*BL31*1000/BL$24</f>
        <v>6388.6348150388894</v>
      </c>
      <c r="BM39" s="11">
        <f>Table_Abaque!$C36*BM31*1000/BM$24</f>
        <v>8736.813440562335</v>
      </c>
      <c r="BN39" s="11">
        <f>Table_Abaque!$C36*BN31*1000/BN$24</f>
        <v>8047.9441631913751</v>
      </c>
      <c r="BO39" s="11">
        <f>Table_Abaque!$C36*BO31*1000/BO$24</f>
        <v>14530.704988556072</v>
      </c>
      <c r="BP39" s="11">
        <f>Table_Abaque!$C36*BP31*1000/BP$24</f>
        <v>13654.017367143553</v>
      </c>
      <c r="BQ39" s="11">
        <f>Table_Abaque!$C36*BQ31*1000/BQ$24</f>
        <v>12791.210277285032</v>
      </c>
      <c r="BR39" s="11">
        <f>Table_Abaque!$C36*BR31*1000/BR$24</f>
        <v>18391.410729594856</v>
      </c>
      <c r="BS39" s="11">
        <f>Table_Abaque!$C36*BS31*1000/BS$24</f>
        <v>17412.689362985264</v>
      </c>
      <c r="BT39" s="11">
        <f>Table_Abaque!$C36*BT31*1000/BT$24</f>
        <v>16446.268207269459</v>
      </c>
      <c r="BU39" s="11">
        <f>Table_Abaque!$C36*BU31*1000/BU$24</f>
        <v>20709.652096835656</v>
      </c>
      <c r="BV39" s="11">
        <f>Table_Abaque!$C36*BV31*1000/BV$24</f>
        <v>19658.53143739231</v>
      </c>
      <c r="BW39" s="11">
        <f>Table_Abaque!$C36*BW31*1000/BW$24</f>
        <v>18621.361610859913</v>
      </c>
      <c r="BX39" s="11">
        <f>Table_Abaque!$C36*BX31*1000/BX$24</f>
        <v>27986.095193655063</v>
      </c>
      <c r="BY39" s="11">
        <f>Table_Abaque!$C36*BY31*1000/BY$24</f>
        <v>25550.120636894324</v>
      </c>
      <c r="BZ39" s="11">
        <f>Table_Abaque!$C36*BZ31*1000/BZ$24</f>
        <v>37765.163847310941</v>
      </c>
      <c r="CA39" s="11">
        <f>Table_Abaque!$C36*CA31*1000/CA$24</f>
        <v>34955.093039327992</v>
      </c>
      <c r="CB39" s="11">
        <f>Table_Abaque!$C36*CB31*1000/CB$24</f>
        <v>48991.041833021824</v>
      </c>
      <c r="CC39" s="11">
        <f>Table_Abaque!$C36*CC31*1000/CC$24</f>
        <v>42675.715525911255</v>
      </c>
      <c r="CD39" s="11">
        <f>Table_Abaque!$C36*CD31*1000/CD$24</f>
        <v>61675.060499130836</v>
      </c>
      <c r="CE39" s="11">
        <f>Table_Abaque!$C36*CE31*1000/CE$24</f>
        <v>54616.069468574213</v>
      </c>
      <c r="CF39" s="11">
        <f>Table_Abaque!$C36*CF31*1000/CF$24</f>
        <v>15303.614828372885</v>
      </c>
      <c r="CG39" s="11">
        <f>Table_Abaque!$C36*CG31*1000/CG$24</f>
        <v>14380.294886672464</v>
      </c>
      <c r="CH39" s="11">
        <f>Table_Abaque!$C36*CH31*1000/CH$24</f>
        <v>13471.593802672531</v>
      </c>
      <c r="CI39" s="11">
        <f>Table_Abaque!$C36*CI31*1000/CI$24</f>
        <v>17321.069707656134</v>
      </c>
      <c r="CJ39" s="11">
        <f>Table_Abaque!$C36*CJ31*1000/CJ$24</f>
        <v>21811.229336029039</v>
      </c>
      <c r="CK39" s="11">
        <f>Table_Abaque!$C36*CK31*1000/CK$24</f>
        <v>20704.198003211048</v>
      </c>
      <c r="CL39" s="11">
        <f>Table_Abaque!$C36*CL31*1000/CL$24</f>
        <v>19611.859568884374</v>
      </c>
      <c r="CM39" s="11">
        <f>Table_Abaque!$C36*CM31*1000/CM$24</f>
        <v>29474.717278423952</v>
      </c>
      <c r="CN39" s="11">
        <f>Table_Abaque!$C36*CN31*1000/CN$24</f>
        <v>26909.169606941894</v>
      </c>
    </row>
    <row r="40" spans="2:92" s="8" customFormat="1" x14ac:dyDescent="0.25">
      <c r="C40" s="21"/>
      <c r="D40" s="21"/>
      <c r="E40" s="21"/>
      <c r="F40" s="29" t="s">
        <v>36</v>
      </c>
      <c r="G40" s="20" t="s">
        <v>18</v>
      </c>
      <c r="H40" s="21"/>
      <c r="I40" s="52">
        <f>Table_Abaque!$C37*I32*1000/I$24</f>
        <v>23220.135362578025</v>
      </c>
      <c r="J40" s="28" t="s">
        <v>63</v>
      </c>
      <c r="K40" s="40" t="s">
        <v>14</v>
      </c>
      <c r="L40" s="11">
        <f>Table_Abaque!$C37*L32*1000/L$24</f>
        <v>442.43941830335433</v>
      </c>
      <c r="M40" s="11">
        <f>Table_Abaque!$C37*M32*1000/M$24</f>
        <v>768.72666164135967</v>
      </c>
      <c r="N40" s="11">
        <f>Table_Abaque!$C37*N32*1000/N$24</f>
        <v>1252.150052088597</v>
      </c>
      <c r="O40" s="11">
        <f>Table_Abaque!$C37*O32*1000/O$24</f>
        <v>1770.2958737872266</v>
      </c>
      <c r="P40" s="11">
        <f>Table_Abaque!$C37*P32*1000/P$24</f>
        <v>2570.0202585697393</v>
      </c>
      <c r="Q40" s="11">
        <f>Table_Abaque!$C37*Q32*1000/Q$24</f>
        <v>3514.6456461610896</v>
      </c>
      <c r="R40" s="11">
        <f>Table_Abaque!$C37*R32*1000/R$24</f>
        <v>3237.5272868236434</v>
      </c>
      <c r="S40" s="11">
        <f>Table_Abaque!$C37*S32*1000/S$24</f>
        <v>5845.4125604395113</v>
      </c>
      <c r="T40" s="11">
        <f>Table_Abaque!$C37*T32*1000/T$24</f>
        <v>5492.7386304531437</v>
      </c>
      <c r="U40" s="11">
        <f>Table_Abaque!$C37*U32*1000/U$24</f>
        <v>5145.6485612330098</v>
      </c>
      <c r="V40" s="11">
        <f>Table_Abaque!$C37*V32*1000/V$24</f>
        <v>7398.4974141064495</v>
      </c>
      <c r="W40" s="11">
        <f>Table_Abaque!$C37*W32*1000/W$24</f>
        <v>7004.7773451864659</v>
      </c>
      <c r="X40" s="11">
        <f>Table_Abaque!$C37*X32*1000/X$24</f>
        <v>6616.0054055768787</v>
      </c>
      <c r="Y40" s="11">
        <f>Table_Abaque!$C37*Y32*1000/Y$24</f>
        <v>8331.0796402869564</v>
      </c>
      <c r="Z40" s="11">
        <f>Table_Abaque!$C37*Z32*1000/Z$24</f>
        <v>7908.2347810673518</v>
      </c>
      <c r="AA40" s="11">
        <f>Table_Abaque!$C37*AA32*1000/AA$24</f>
        <v>7491.0020634465527</v>
      </c>
      <c r="AB40" s="11">
        <f>Table_Abaque!$C37*AB32*1000/AB$24</f>
        <v>11258.247448522678</v>
      </c>
      <c r="AC40" s="11">
        <f>Table_Abaque!$C37*AC32*1000/AC$24</f>
        <v>10278.303510343854</v>
      </c>
      <c r="AD40" s="11">
        <f>Table_Abaque!$C37*AD32*1000/AD$24</f>
        <v>15192.171561805544</v>
      </c>
      <c r="AE40" s="11">
        <f>Table_Abaque!$C37*AE32*1000/AE$24</f>
        <v>14061.7361693284</v>
      </c>
      <c r="AF40" s="11">
        <f>Table_Abaque!$C37*AF32*1000/AF$24</f>
        <v>19708.118188711527</v>
      </c>
      <c r="AG40" s="11">
        <f>Table_Abaque!$C37*AG32*1000/AG$24</f>
        <v>17167.588479524547</v>
      </c>
      <c r="AH40" s="11">
        <f>Table_Abaque!$C37*AH32*1000/AH$24</f>
        <v>24810.645704486975</v>
      </c>
      <c r="AI40" s="11">
        <f>Table_Abaque!$C37*AI32*1000/AI$24</f>
        <v>21970.954521812575</v>
      </c>
      <c r="AJ40" s="11">
        <f>Table_Abaque!$C37*AJ32*1000/AJ$24</f>
        <v>589.91922440447252</v>
      </c>
      <c r="AK40" s="11">
        <f>Table_Abaque!$C37*AK32*1000/AK$24</f>
        <v>1024.9688821884797</v>
      </c>
      <c r="AL40" s="11">
        <f>Table_Abaque!$C37*AL32*1000/AL$24</f>
        <v>1669.533402784796</v>
      </c>
      <c r="AM40" s="11">
        <f>Table_Abaque!$C37*AM32*1000/AM$24</f>
        <v>2360.3944983829688</v>
      </c>
      <c r="AN40" s="11">
        <f>Table_Abaque!$C37*AN32*1000/AN$24</f>
        <v>3426.693678092985</v>
      </c>
      <c r="AO40" s="11">
        <f>Table_Abaque!$C37*AO32*1000/AO$24</f>
        <v>4686.1941948814529</v>
      </c>
      <c r="AP40" s="11">
        <f>Table_Abaque!$C37*AP32*1000/AP$24</f>
        <v>4316.7030490981906</v>
      </c>
      <c r="AQ40" s="11">
        <f>Table_Abaque!$C37*AQ32*1000/AQ$24</f>
        <v>7793.8834139193486</v>
      </c>
      <c r="AR40" s="11">
        <f>Table_Abaque!$C37*AR32*1000/AR$24</f>
        <v>7323.6515072708607</v>
      </c>
      <c r="AS40" s="11">
        <f>Table_Abaque!$C37*AS32*1000/AS$24</f>
        <v>6860.8647483106815</v>
      </c>
      <c r="AT40" s="11">
        <f>Table_Abaque!$C37*AT32*1000/AT$24</f>
        <v>9864.6632188086005</v>
      </c>
      <c r="AU40" s="11">
        <f>Table_Abaque!$C37*AU32*1000/AU$24</f>
        <v>9339.7031269152867</v>
      </c>
      <c r="AV40" s="11">
        <f>Table_Abaque!$C37*AV32*1000/AV$24</f>
        <v>8821.3405407691735</v>
      </c>
      <c r="AW40" s="11">
        <f>Table_Abaque!$C37*AW32*1000/AW$24</f>
        <v>11108.106187049276</v>
      </c>
      <c r="AX40" s="11">
        <f>Table_Abaque!$C37*AX32*1000/AX$24</f>
        <v>10544.313041423136</v>
      </c>
      <c r="AY40" s="11">
        <f>Table_Abaque!$C37*AY32*1000/AY$24</f>
        <v>9988.0027512620709</v>
      </c>
      <c r="AZ40" s="11">
        <f>Table_Abaque!$C37*AZ32*1000/AZ$24</f>
        <v>15010.996598030235</v>
      </c>
      <c r="BA40" s="11">
        <f>Table_Abaque!$C37*BA32*1000/BA$24</f>
        <v>13704.404680458474</v>
      </c>
      <c r="BB40" s="11">
        <f>Table_Abaque!$C37*BB32*1000/BB$24</f>
        <v>20256.22874907406</v>
      </c>
      <c r="BC40" s="11">
        <f>Table_Abaque!$C37*BC32*1000/BC$24</f>
        <v>18748.981559104537</v>
      </c>
      <c r="BD40" s="11">
        <f>Table_Abaque!$C37*BD32*1000/BD$24</f>
        <v>26277.490918282048</v>
      </c>
      <c r="BE40" s="11">
        <f>Table_Abaque!$C37*BE32*1000/BE$24</f>
        <v>22890.117972699394</v>
      </c>
      <c r="BF40" s="11">
        <f>Table_Abaque!$C37*BF32*1000/BF$24</f>
        <v>33080.860939315964</v>
      </c>
      <c r="BG40" s="11">
        <f>Table_Abaque!$C37*BG32*1000/BG$24</f>
        <v>29294.606029083443</v>
      </c>
      <c r="BH40" s="11">
        <f>Table_Abaque!$C37*BH32*1000/BH$24</f>
        <v>866.44386084406904</v>
      </c>
      <c r="BI40" s="11">
        <f>Table_Abaque!$C37*BI32*1000/BI$24</f>
        <v>1505.4230457143296</v>
      </c>
      <c r="BJ40" s="11">
        <f>Table_Abaque!$C37*BJ32*1000/BJ$24</f>
        <v>2452.1271853401686</v>
      </c>
      <c r="BK40" s="11">
        <f>Table_Abaque!$C37*BK32*1000/BK$24</f>
        <v>3466.8294194999849</v>
      </c>
      <c r="BL40" s="11">
        <f>Table_Abaque!$C37*BL32*1000/BL$24</f>
        <v>5032.9563396990734</v>
      </c>
      <c r="BM40" s="11">
        <f>Table_Abaque!$C37*BM32*1000/BM$24</f>
        <v>6882.8477237321331</v>
      </c>
      <c r="BN40" s="11">
        <f>Table_Abaque!$C37*BN32*1000/BN$24</f>
        <v>6340.1576033629681</v>
      </c>
      <c r="BO40" s="11">
        <f>Table_Abaque!$C37*BO32*1000/BO$24</f>
        <v>11447.266264194042</v>
      </c>
      <c r="BP40" s="11">
        <f>Table_Abaque!$C37*BP32*1000/BP$24</f>
        <v>10756.613151304075</v>
      </c>
      <c r="BQ40" s="11">
        <f>Table_Abaque!$C37*BQ32*1000/BQ$24</f>
        <v>10076.895099081312</v>
      </c>
      <c r="BR40" s="11">
        <f>Table_Abaque!$C37*BR32*1000/BR$24</f>
        <v>14488.724102625129</v>
      </c>
      <c r="BS40" s="11">
        <f>Table_Abaque!$C37*BS32*1000/BS$24</f>
        <v>13717.688967656828</v>
      </c>
      <c r="BT40" s="11">
        <f>Table_Abaque!$C37*BT32*1000/BT$24</f>
        <v>12956.343919254721</v>
      </c>
      <c r="BU40" s="11">
        <f>Table_Abaque!$C37*BU32*1000/BU$24</f>
        <v>16315.030962228622</v>
      </c>
      <c r="BV40" s="11">
        <f>Table_Abaque!$C37*BV32*1000/BV$24</f>
        <v>15486.95977959023</v>
      </c>
      <c r="BW40" s="11">
        <f>Table_Abaque!$C37*BW32*1000/BW$24</f>
        <v>14669.879040916167</v>
      </c>
      <c r="BX40" s="11">
        <f>Table_Abaque!$C37*BX32*1000/BX$24</f>
        <v>22047.401253356915</v>
      </c>
      <c r="BY40" s="11">
        <f>Table_Abaque!$C37*BY32*1000/BY$24</f>
        <v>20128.344374423381</v>
      </c>
      <c r="BZ40" s="11">
        <f>Table_Abaque!$C37*BZ32*1000/BZ$24</f>
        <v>29751.335975202528</v>
      </c>
      <c r="CA40" s="11">
        <f>Table_Abaque!$C37*CA32*1000/CA$24</f>
        <v>27537.566664934788</v>
      </c>
      <c r="CB40" s="11">
        <f>Table_Abaque!$C37*CB32*1000/CB$24</f>
        <v>38595.064786226751</v>
      </c>
      <c r="CC40" s="11">
        <f>Table_Abaque!$C37*CC32*1000/CC$24</f>
        <v>33619.860772402237</v>
      </c>
      <c r="CD40" s="11">
        <f>Table_Abaque!$C37*CD32*1000/CD$24</f>
        <v>48587.514504620311</v>
      </c>
      <c r="CE40" s="11">
        <f>Table_Abaque!$C37*CE32*1000/CE$24</f>
        <v>43026.452605216298</v>
      </c>
      <c r="CF40" s="11">
        <f>Table_Abaque!$C37*CF32*1000/CF$24</f>
        <v>12056.163405906493</v>
      </c>
      <c r="CG40" s="11">
        <f>Table_Abaque!$C37*CG32*1000/CG$24</f>
        <v>11328.77342530961</v>
      </c>
      <c r="CH40" s="11">
        <f>Table_Abaque!$C37*CH32*1000/CH$24</f>
        <v>10612.900157543083</v>
      </c>
      <c r="CI40" s="11">
        <f>Table_Abaque!$C37*CI32*1000/CI$24</f>
        <v>13645.511149002314</v>
      </c>
      <c r="CJ40" s="11">
        <f>Table_Abaque!$C37*CJ32*1000/CJ$24</f>
        <v>17182.851758091849</v>
      </c>
      <c r="CK40" s="11">
        <f>Table_Abaque!$C37*CK32*1000/CK$24</f>
        <v>16310.734235951413</v>
      </c>
      <c r="CL40" s="11">
        <f>Table_Abaque!$C37*CL32*1000/CL$24</f>
        <v>15450.191755858514</v>
      </c>
      <c r="CM40" s="11">
        <f>Table_Abaque!$C37*CM32*1000/CM$24</f>
        <v>23220.135362578025</v>
      </c>
      <c r="CN40" s="11">
        <f>Table_Abaque!$C37*CN32*1000/CN$24</f>
        <v>21199.000990084205</v>
      </c>
    </row>
    <row r="41" spans="2:92" s="8" customFormat="1" x14ac:dyDescent="0.25">
      <c r="C41" s="21"/>
      <c r="D41" s="21"/>
      <c r="E41" s="21"/>
      <c r="F41" s="21"/>
      <c r="G41" s="21"/>
      <c r="H41" s="21"/>
      <c r="I41" s="44"/>
    </row>
    <row r="42" spans="2:92" s="8" customFormat="1" x14ac:dyDescent="0.25">
      <c r="C42" s="21"/>
      <c r="D42" s="21"/>
      <c r="E42" s="21"/>
      <c r="F42" s="21"/>
      <c r="G42" s="21"/>
      <c r="H42" s="21"/>
      <c r="I42" s="9">
        <f t="shared" ref="I42" si="125">I58</f>
        <v>50900</v>
      </c>
      <c r="K42" s="9" t="s">
        <v>37</v>
      </c>
      <c r="L42" s="9">
        <f t="shared" ref="L42:CL42" si="126">L58</f>
        <v>1000</v>
      </c>
      <c r="M42" s="9">
        <f t="shared" si="126"/>
        <v>1700</v>
      </c>
      <c r="N42" s="9">
        <f t="shared" si="126"/>
        <v>2700</v>
      </c>
      <c r="O42" s="9">
        <f t="shared" si="126"/>
        <v>3800</v>
      </c>
      <c r="P42" s="9">
        <f t="shared" si="126"/>
        <v>5600</v>
      </c>
      <c r="Q42" s="9">
        <f t="shared" si="126"/>
        <v>7700</v>
      </c>
      <c r="R42" s="9">
        <f t="shared" si="126"/>
        <v>7000</v>
      </c>
      <c r="S42" s="9">
        <f t="shared" si="126"/>
        <v>12800</v>
      </c>
      <c r="T42" s="9">
        <f t="shared" si="126"/>
        <v>12000</v>
      </c>
      <c r="U42" s="9">
        <f t="shared" si="126"/>
        <v>11200</v>
      </c>
      <c r="V42" s="9">
        <f t="shared" ref="V42:X42" si="127">V58</f>
        <v>16300</v>
      </c>
      <c r="W42" s="9">
        <f t="shared" si="127"/>
        <v>15300</v>
      </c>
      <c r="X42" s="9">
        <f t="shared" si="127"/>
        <v>14400</v>
      </c>
      <c r="Y42" s="9">
        <f t="shared" si="126"/>
        <v>18300</v>
      </c>
      <c r="Z42" s="9">
        <f t="shared" si="126"/>
        <v>17300</v>
      </c>
      <c r="AA42" s="9">
        <f t="shared" si="126"/>
        <v>16300</v>
      </c>
      <c r="AB42" s="9">
        <f t="shared" si="126"/>
        <v>24700</v>
      </c>
      <c r="AC42" s="9">
        <f t="shared" si="126"/>
        <v>22400</v>
      </c>
      <c r="AD42" s="9">
        <f t="shared" si="126"/>
        <v>33400</v>
      </c>
      <c r="AE42" s="9">
        <f t="shared" si="126"/>
        <v>30700</v>
      </c>
      <c r="AF42" s="9">
        <f t="shared" si="126"/>
        <v>43400</v>
      </c>
      <c r="AG42" s="9">
        <f t="shared" si="126"/>
        <v>37400</v>
      </c>
      <c r="AH42" s="9">
        <f t="shared" si="126"/>
        <v>54700</v>
      </c>
      <c r="AI42" s="9">
        <f t="shared" si="126"/>
        <v>48000</v>
      </c>
      <c r="AJ42" s="9">
        <f t="shared" si="126"/>
        <v>1300</v>
      </c>
      <c r="AK42" s="9">
        <f t="shared" si="126"/>
        <v>2200</v>
      </c>
      <c r="AL42" s="9">
        <f t="shared" si="126"/>
        <v>3600</v>
      </c>
      <c r="AM42" s="9">
        <f t="shared" si="126"/>
        <v>5100</v>
      </c>
      <c r="AN42" s="9">
        <f t="shared" si="126"/>
        <v>7500</v>
      </c>
      <c r="AO42" s="9">
        <f t="shared" si="126"/>
        <v>10200</v>
      </c>
      <c r="AP42" s="9">
        <f t="shared" si="126"/>
        <v>9400</v>
      </c>
      <c r="AQ42" s="9">
        <f t="shared" si="126"/>
        <v>17100</v>
      </c>
      <c r="AR42" s="9">
        <f t="shared" si="126"/>
        <v>16000</v>
      </c>
      <c r="AS42" s="9">
        <f t="shared" si="126"/>
        <v>14900</v>
      </c>
      <c r="AT42" s="9">
        <f t="shared" ref="AT42:AV42" si="128">AT58</f>
        <v>21700</v>
      </c>
      <c r="AU42" s="9">
        <f t="shared" si="128"/>
        <v>20400</v>
      </c>
      <c r="AV42" s="9">
        <f t="shared" si="128"/>
        <v>19200</v>
      </c>
      <c r="AW42" s="9">
        <f t="shared" si="126"/>
        <v>24400</v>
      </c>
      <c r="AX42" s="9">
        <f t="shared" si="126"/>
        <v>23000</v>
      </c>
      <c r="AY42" s="9">
        <f t="shared" si="126"/>
        <v>21700</v>
      </c>
      <c r="AZ42" s="9">
        <f t="shared" si="126"/>
        <v>32900</v>
      </c>
      <c r="BA42" s="9">
        <f t="shared" si="126"/>
        <v>29800</v>
      </c>
      <c r="BB42" s="9">
        <f t="shared" si="126"/>
        <v>44500</v>
      </c>
      <c r="BC42" s="9">
        <f t="shared" si="126"/>
        <v>40900</v>
      </c>
      <c r="BD42" s="9">
        <f t="shared" si="126"/>
        <v>57800</v>
      </c>
      <c r="BE42" s="9">
        <f t="shared" si="126"/>
        <v>49900</v>
      </c>
      <c r="BF42" s="9">
        <f t="shared" si="126"/>
        <v>72900</v>
      </c>
      <c r="BG42" s="9">
        <f t="shared" si="126"/>
        <v>64000</v>
      </c>
      <c r="BH42" s="9">
        <f t="shared" si="126"/>
        <v>1900</v>
      </c>
      <c r="BI42" s="9">
        <f t="shared" si="126"/>
        <v>3300</v>
      </c>
      <c r="BJ42" s="9">
        <f t="shared" si="126"/>
        <v>5300</v>
      </c>
      <c r="BK42" s="9">
        <f t="shared" si="126"/>
        <v>7500</v>
      </c>
      <c r="BL42" s="9">
        <f t="shared" si="126"/>
        <v>11000</v>
      </c>
      <c r="BM42" s="9">
        <f t="shared" si="126"/>
        <v>15000</v>
      </c>
      <c r="BN42" s="9">
        <f t="shared" si="126"/>
        <v>13800</v>
      </c>
      <c r="BO42" s="9">
        <f t="shared" si="126"/>
        <v>25100</v>
      </c>
      <c r="BP42" s="9">
        <f t="shared" si="126"/>
        <v>23500</v>
      </c>
      <c r="BQ42" s="9">
        <f t="shared" si="126"/>
        <v>21900</v>
      </c>
      <c r="BR42" s="9">
        <f t="shared" ref="BR42:BT42" si="129">BR58</f>
        <v>31800</v>
      </c>
      <c r="BS42" s="9">
        <f t="shared" si="129"/>
        <v>30000</v>
      </c>
      <c r="BT42" s="9">
        <f t="shared" si="129"/>
        <v>28200</v>
      </c>
      <c r="BU42" s="9">
        <f t="shared" si="126"/>
        <v>35800</v>
      </c>
      <c r="BV42" s="9">
        <f t="shared" si="126"/>
        <v>33800</v>
      </c>
      <c r="BW42" s="9">
        <f t="shared" si="126"/>
        <v>31900</v>
      </c>
      <c r="BX42" s="9">
        <f t="shared" si="126"/>
        <v>48300</v>
      </c>
      <c r="BY42" s="9">
        <f t="shared" si="126"/>
        <v>43800</v>
      </c>
      <c r="BZ42" s="9">
        <f t="shared" si="126"/>
        <v>65400</v>
      </c>
      <c r="CA42" s="9">
        <f t="shared" si="126"/>
        <v>60100</v>
      </c>
      <c r="CB42" s="9">
        <f t="shared" si="126"/>
        <v>85000</v>
      </c>
      <c r="CC42" s="9">
        <f t="shared" si="126"/>
        <v>73200</v>
      </c>
      <c r="CD42" s="9">
        <f t="shared" si="126"/>
        <v>107100</v>
      </c>
      <c r="CE42" s="9">
        <f t="shared" si="126"/>
        <v>93900</v>
      </c>
      <c r="CF42" s="9">
        <f t="shared" ref="CF42:CG42" si="130">CF58</f>
        <v>26500</v>
      </c>
      <c r="CG42" s="9">
        <f t="shared" si="130"/>
        <v>24700</v>
      </c>
      <c r="CH42" s="9">
        <f t="shared" si="126"/>
        <v>23100</v>
      </c>
      <c r="CI42" s="9">
        <f t="shared" ref="CI42:CJ42" si="131">CI58</f>
        <v>29700</v>
      </c>
      <c r="CJ42" s="9">
        <f t="shared" si="131"/>
        <v>37700</v>
      </c>
      <c r="CK42" s="9">
        <f t="shared" ref="CK42" si="132">CK58</f>
        <v>35600</v>
      </c>
      <c r="CL42" s="9">
        <f t="shared" si="126"/>
        <v>33600</v>
      </c>
      <c r="CM42" s="9">
        <f t="shared" ref="CM42:CN42" si="133">CM58</f>
        <v>50900</v>
      </c>
      <c r="CN42" s="9">
        <f t="shared" si="133"/>
        <v>46100</v>
      </c>
    </row>
    <row r="43" spans="2:92" s="8" customFormat="1" x14ac:dyDescent="0.25">
      <c r="C43" s="21"/>
      <c r="D43" s="21"/>
      <c r="E43" s="21"/>
      <c r="F43" s="21"/>
      <c r="G43" s="21"/>
      <c r="H43" s="21"/>
      <c r="I43" s="44"/>
    </row>
    <row r="44" spans="2:92" s="8" customFormat="1" x14ac:dyDescent="0.25">
      <c r="B44" s="18"/>
      <c r="C44" s="21"/>
      <c r="D44" s="21"/>
      <c r="E44" s="21"/>
      <c r="F44" s="21"/>
      <c r="G44" s="59" t="s">
        <v>30</v>
      </c>
      <c r="H44" s="21"/>
      <c r="I44" s="62">
        <f>HLOOKUP(I6,Table_Abaque!$C$16:$G$18,3,FALSE)</f>
        <v>1100</v>
      </c>
      <c r="J44" s="18"/>
      <c r="K44" s="31" t="s">
        <v>48</v>
      </c>
      <c r="L44" s="31">
        <f>HLOOKUP(L6,Table_Abaque!$C$16:$G$18,3,FALSE)</f>
        <v>600</v>
      </c>
      <c r="M44" s="31">
        <f>HLOOKUP(M6,Table_Abaque!$C$16:$G$18,3,FALSE)</f>
        <v>600</v>
      </c>
      <c r="N44" s="31">
        <f>HLOOKUP(N6,Table_Abaque!$C$16:$G$18,3,FALSE)</f>
        <v>600</v>
      </c>
      <c r="O44" s="31">
        <f>HLOOKUP(O6,Table_Abaque!$C$16:$G$18,3,FALSE)</f>
        <v>600</v>
      </c>
      <c r="P44" s="31">
        <f>HLOOKUP(P6,Table_Abaque!$C$16:$G$18,3,FALSE)</f>
        <v>600</v>
      </c>
      <c r="Q44" s="31">
        <f>HLOOKUP(Q6,Table_Abaque!$C$16:$G$18,3,FALSE)</f>
        <v>600</v>
      </c>
      <c r="R44" s="31">
        <f>HLOOKUP(R6,Table_Abaque!$C$16:$G$18,3,FALSE)</f>
        <v>600</v>
      </c>
      <c r="S44" s="31">
        <f>HLOOKUP(S6,Table_Abaque!$C$16:$G$18,3,FALSE)</f>
        <v>600</v>
      </c>
      <c r="T44" s="31">
        <f>HLOOKUP(T6,Table_Abaque!$C$16:$G$18,3,FALSE)</f>
        <v>600</v>
      </c>
      <c r="U44" s="31">
        <f>HLOOKUP(U6,Table_Abaque!$C$16:$G$18,3,FALSE)</f>
        <v>600</v>
      </c>
      <c r="V44" s="31">
        <f>HLOOKUP(V6,Table_Abaque!$C$16:$G$18,3,FALSE)</f>
        <v>600</v>
      </c>
      <c r="W44" s="31">
        <f>HLOOKUP(W6,Table_Abaque!$C$16:$G$18,3,FALSE)</f>
        <v>600</v>
      </c>
      <c r="X44" s="31">
        <f>HLOOKUP(X6,Table_Abaque!$C$16:$G$18,3,FALSE)</f>
        <v>600</v>
      </c>
      <c r="Y44" s="31">
        <f>HLOOKUP(Y6,Table_Abaque!$C$16:$G$18,3,FALSE)</f>
        <v>600</v>
      </c>
      <c r="Z44" s="31">
        <f>HLOOKUP(Z6,Table_Abaque!$C$16:$G$18,3,FALSE)</f>
        <v>600</v>
      </c>
      <c r="AA44" s="31">
        <f>HLOOKUP(AA6,Table_Abaque!$C$16:$G$18,3,FALSE)</f>
        <v>600</v>
      </c>
      <c r="AB44" s="31">
        <f>HLOOKUP(AB6,Table_Abaque!$C$16:$G$18,3,FALSE)</f>
        <v>600</v>
      </c>
      <c r="AC44" s="31">
        <f>HLOOKUP(AC6,Table_Abaque!$C$16:$G$18,3,FALSE)</f>
        <v>600</v>
      </c>
      <c r="AD44" s="31">
        <f>HLOOKUP(AD6,Table_Abaque!$C$16:$G$18,3,FALSE)</f>
        <v>600</v>
      </c>
      <c r="AE44" s="31">
        <f>HLOOKUP(AE6,Table_Abaque!$C$16:$G$18,3,FALSE)</f>
        <v>600</v>
      </c>
      <c r="AF44" s="31">
        <f>HLOOKUP(AF6,Table_Abaque!$C$16:$G$18,3,FALSE)</f>
        <v>600</v>
      </c>
      <c r="AG44" s="31">
        <f>HLOOKUP(AG6,Table_Abaque!$C$16:$G$18,3,FALSE)</f>
        <v>600</v>
      </c>
      <c r="AH44" s="31">
        <f>HLOOKUP(AH6,Table_Abaque!$C$16:$G$18,3,FALSE)</f>
        <v>600</v>
      </c>
      <c r="AI44" s="31">
        <f>HLOOKUP(AI6,Table_Abaque!$C$16:$G$18,3,FALSE)</f>
        <v>600</v>
      </c>
      <c r="AJ44" s="31">
        <f>HLOOKUP(AJ6,Table_Abaque!$C$16:$G$18,3,FALSE)</f>
        <v>800</v>
      </c>
      <c r="AK44" s="31">
        <f>HLOOKUP(AK6,Table_Abaque!$C$16:$G$18,3,FALSE)</f>
        <v>800</v>
      </c>
      <c r="AL44" s="31">
        <f>HLOOKUP(AL6,Table_Abaque!$C$16:$G$18,3,FALSE)</f>
        <v>800</v>
      </c>
      <c r="AM44" s="31">
        <f>HLOOKUP(AM6,Table_Abaque!$C$16:$G$18,3,FALSE)</f>
        <v>800</v>
      </c>
      <c r="AN44" s="31">
        <f>HLOOKUP(AN6,Table_Abaque!$C$16:$G$18,3,FALSE)</f>
        <v>800</v>
      </c>
      <c r="AO44" s="31">
        <f>HLOOKUP(AO6,Table_Abaque!$C$16:$G$18,3,FALSE)</f>
        <v>800</v>
      </c>
      <c r="AP44" s="31">
        <f>HLOOKUP(AP6,Table_Abaque!$C$16:$G$18,3,FALSE)</f>
        <v>800</v>
      </c>
      <c r="AQ44" s="31">
        <f>HLOOKUP(AQ6,Table_Abaque!$C$16:$G$18,3,FALSE)</f>
        <v>800</v>
      </c>
      <c r="AR44" s="31">
        <f>HLOOKUP(AR6,Table_Abaque!$C$16:$G$18,3,FALSE)</f>
        <v>800</v>
      </c>
      <c r="AS44" s="31">
        <f>HLOOKUP(AS6,Table_Abaque!$C$16:$G$18,3,FALSE)</f>
        <v>800</v>
      </c>
      <c r="AT44" s="31">
        <f>HLOOKUP(AT6,Table_Abaque!$C$16:$G$18,3,FALSE)</f>
        <v>800</v>
      </c>
      <c r="AU44" s="31">
        <f>HLOOKUP(AU6,Table_Abaque!$C$16:$G$18,3,FALSE)</f>
        <v>800</v>
      </c>
      <c r="AV44" s="31">
        <f>HLOOKUP(AV6,Table_Abaque!$C$16:$G$18,3,FALSE)</f>
        <v>800</v>
      </c>
      <c r="AW44" s="31">
        <f>HLOOKUP(AW6,Table_Abaque!$C$16:$G$18,3,FALSE)</f>
        <v>800</v>
      </c>
      <c r="AX44" s="31">
        <f>HLOOKUP(AX6,Table_Abaque!$C$16:$G$18,3,FALSE)</f>
        <v>800</v>
      </c>
      <c r="AY44" s="31">
        <f>HLOOKUP(AY6,Table_Abaque!$C$16:$G$18,3,FALSE)</f>
        <v>800</v>
      </c>
      <c r="AZ44" s="31">
        <f>HLOOKUP(AZ6,Table_Abaque!$C$16:$G$18,3,FALSE)</f>
        <v>800</v>
      </c>
      <c r="BA44" s="31">
        <f>HLOOKUP(BA6,Table_Abaque!$C$16:$G$18,3,FALSE)</f>
        <v>800</v>
      </c>
      <c r="BB44" s="31">
        <f>HLOOKUP(BB6,Table_Abaque!$C$16:$G$18,3,FALSE)</f>
        <v>800</v>
      </c>
      <c r="BC44" s="31">
        <f>HLOOKUP(BC6,Table_Abaque!$C$16:$G$18,3,FALSE)</f>
        <v>800</v>
      </c>
      <c r="BD44" s="31">
        <f>HLOOKUP(BD6,Table_Abaque!$C$16:$G$18,3,FALSE)</f>
        <v>800</v>
      </c>
      <c r="BE44" s="31">
        <f>HLOOKUP(BE6,Table_Abaque!$C$16:$G$18,3,FALSE)</f>
        <v>800</v>
      </c>
      <c r="BF44" s="31">
        <f>HLOOKUP(BF6,Table_Abaque!$C$16:$G$18,3,FALSE)</f>
        <v>800</v>
      </c>
      <c r="BG44" s="31">
        <f>HLOOKUP(BG6,Table_Abaque!$C$16:$G$18,3,FALSE)</f>
        <v>800</v>
      </c>
      <c r="BH44" s="31">
        <f>HLOOKUP(BH6,Table_Abaque!$C$16:$G$18,3,FALSE)</f>
        <v>1040</v>
      </c>
      <c r="BI44" s="31">
        <f>HLOOKUP(BI6,Table_Abaque!$C$16:$G$18,3,FALSE)</f>
        <v>1040</v>
      </c>
      <c r="BJ44" s="31">
        <f>HLOOKUP(BJ6,Table_Abaque!$C$16:$G$18,3,FALSE)</f>
        <v>1040</v>
      </c>
      <c r="BK44" s="31">
        <f>HLOOKUP(BK6,Table_Abaque!$C$16:$G$18,3,FALSE)</f>
        <v>1040</v>
      </c>
      <c r="BL44" s="31">
        <f>HLOOKUP(BL6,Table_Abaque!$C$16:$G$18,3,FALSE)</f>
        <v>1040</v>
      </c>
      <c r="BM44" s="31">
        <f>HLOOKUP(BM6,Table_Abaque!$C$16:$G$18,3,FALSE)</f>
        <v>1040</v>
      </c>
      <c r="BN44" s="31">
        <f>HLOOKUP(BN6,Table_Abaque!$C$16:$G$18,3,FALSE)</f>
        <v>1040</v>
      </c>
      <c r="BO44" s="31">
        <f>HLOOKUP(BO6,Table_Abaque!$C$16:$G$18,3,FALSE)</f>
        <v>1040</v>
      </c>
      <c r="BP44" s="31">
        <f>HLOOKUP(BP6,Table_Abaque!$C$16:$G$18,3,FALSE)</f>
        <v>1040</v>
      </c>
      <c r="BQ44" s="31">
        <f>HLOOKUP(BQ6,Table_Abaque!$C$16:$G$18,3,FALSE)</f>
        <v>1040</v>
      </c>
      <c r="BR44" s="31">
        <f>HLOOKUP(BR6,Table_Abaque!$C$16:$G$18,3,FALSE)</f>
        <v>1040</v>
      </c>
      <c r="BS44" s="31">
        <f>HLOOKUP(BS6,Table_Abaque!$C$16:$G$18,3,FALSE)</f>
        <v>1040</v>
      </c>
      <c r="BT44" s="31">
        <f>HLOOKUP(BT6,Table_Abaque!$C$16:$G$18,3,FALSE)</f>
        <v>1040</v>
      </c>
      <c r="BU44" s="31">
        <f>HLOOKUP(BU6,Table_Abaque!$C$16:$G$18,3,FALSE)</f>
        <v>1040</v>
      </c>
      <c r="BV44" s="31">
        <f>HLOOKUP(BV6,Table_Abaque!$C$16:$G$18,3,FALSE)</f>
        <v>1040</v>
      </c>
      <c r="BW44" s="31">
        <f>HLOOKUP(BW6,Table_Abaque!$C$16:$G$18,3,FALSE)</f>
        <v>1040</v>
      </c>
      <c r="BX44" s="31">
        <f>HLOOKUP(BX6,Table_Abaque!$C$16:$G$18,3,FALSE)</f>
        <v>1040</v>
      </c>
      <c r="BY44" s="31">
        <f>HLOOKUP(BY6,Table_Abaque!$C$16:$G$18,3,FALSE)</f>
        <v>1040</v>
      </c>
      <c r="BZ44" s="31">
        <f>HLOOKUP(BZ6,Table_Abaque!$C$16:$G$18,3,FALSE)</f>
        <v>1040</v>
      </c>
      <c r="CA44" s="31">
        <f>HLOOKUP(CA6,Table_Abaque!$C$16:$G$18,3,FALSE)</f>
        <v>1040</v>
      </c>
      <c r="CB44" s="31">
        <f>HLOOKUP(CB6,Table_Abaque!$C$16:$G$18,3,FALSE)</f>
        <v>1040</v>
      </c>
      <c r="CC44" s="31">
        <f>HLOOKUP(CC6,Table_Abaque!$C$16:$G$18,3,FALSE)</f>
        <v>1040</v>
      </c>
      <c r="CD44" s="31">
        <f>HLOOKUP(CD6,Table_Abaque!$C$16:$G$18,3,FALSE)</f>
        <v>1040</v>
      </c>
      <c r="CE44" s="31">
        <f>HLOOKUP(CE6,Table_Abaque!$C$16:$G$18,3,FALSE)</f>
        <v>1040</v>
      </c>
      <c r="CF44" s="31">
        <f>HLOOKUP(CF6,Table_Abaque!$C$16:$G$18,3,FALSE)</f>
        <v>1100</v>
      </c>
      <c r="CG44" s="31">
        <f>HLOOKUP(CG6,Table_Abaque!$C$16:$G$18,3,FALSE)</f>
        <v>1100</v>
      </c>
      <c r="CH44" s="31">
        <f>HLOOKUP(CH6,Table_Abaque!$C$16:$G$18,3,FALSE)</f>
        <v>1100</v>
      </c>
      <c r="CI44" s="31">
        <f>HLOOKUP(CI6,Table_Abaque!$C$16:$G$18,3,FALSE)</f>
        <v>1100</v>
      </c>
      <c r="CJ44" s="31">
        <f>HLOOKUP(CJ6,Table_Abaque!$C$16:$G$18,3,FALSE)</f>
        <v>1100</v>
      </c>
      <c r="CK44" s="31">
        <f>HLOOKUP(CK6,Table_Abaque!$C$16:$G$18,3,FALSE)</f>
        <v>1100</v>
      </c>
      <c r="CL44" s="31">
        <f>HLOOKUP(CL6,Table_Abaque!$C$16:$G$18,3,FALSE)</f>
        <v>1100</v>
      </c>
      <c r="CM44" s="31">
        <f>HLOOKUP(CM6,Table_Abaque!$C$16:$G$18,3,FALSE)</f>
        <v>1100</v>
      </c>
      <c r="CN44" s="31">
        <f>HLOOKUP(CN6,Table_Abaque!$C$16:$G$18,3,FALSE)</f>
        <v>1100</v>
      </c>
    </row>
    <row r="45" spans="2:92" s="8" customFormat="1" x14ac:dyDescent="0.25">
      <c r="B45" s="18"/>
      <c r="C45" s="21"/>
      <c r="D45" s="21"/>
      <c r="E45" s="21"/>
      <c r="F45" s="31" t="s">
        <v>48</v>
      </c>
      <c r="G45" s="20" t="s">
        <v>3</v>
      </c>
      <c r="H45" s="21"/>
      <c r="I45" s="63">
        <f t="shared" ref="I45" si="134">ROUND(I44*I22/10,0)*10</f>
        <v>137000</v>
      </c>
      <c r="J45" s="18"/>
      <c r="K45" s="53" t="s">
        <v>47</v>
      </c>
      <c r="L45" s="54">
        <f>ROUND(L44*L22/10,0)*10</f>
        <v>3020</v>
      </c>
      <c r="M45" s="54">
        <f t="shared" ref="M45:R45" si="135">ROUND(M44*M22/10,0)*10</f>
        <v>5270</v>
      </c>
      <c r="N45" s="54">
        <f t="shared" si="135"/>
        <v>8510</v>
      </c>
      <c r="O45" s="54">
        <f t="shared" si="135"/>
        <v>12070</v>
      </c>
      <c r="P45" s="54">
        <f t="shared" si="135"/>
        <v>17320</v>
      </c>
      <c r="Q45" s="54">
        <f t="shared" si="135"/>
        <v>23500</v>
      </c>
      <c r="R45" s="54">
        <f t="shared" si="135"/>
        <v>21970</v>
      </c>
      <c r="S45" s="54">
        <f t="shared" ref="S45:Y45" si="136">ROUND(S44*S22/10,0)*10</f>
        <v>38700</v>
      </c>
      <c r="T45" s="54">
        <f t="shared" si="136"/>
        <v>36720</v>
      </c>
      <c r="U45" s="54">
        <f t="shared" si="136"/>
        <v>34790</v>
      </c>
      <c r="V45" s="54">
        <f t="shared" ref="V45:X45" si="137">ROUND(V44*V22/10,0)*10</f>
        <v>48780</v>
      </c>
      <c r="W45" s="54">
        <f t="shared" si="137"/>
        <v>46560</v>
      </c>
      <c r="X45" s="54">
        <f t="shared" si="137"/>
        <v>44390</v>
      </c>
      <c r="Y45" s="54">
        <f t="shared" si="136"/>
        <v>55240</v>
      </c>
      <c r="Z45" s="54">
        <f t="shared" ref="Z45:CN45" si="138">ROUND(Z44*Z22/10,0)*10</f>
        <v>52880</v>
      </c>
      <c r="AA45" s="54">
        <f t="shared" si="138"/>
        <v>50560</v>
      </c>
      <c r="AB45" s="54">
        <f t="shared" si="138"/>
        <v>74730</v>
      </c>
      <c r="AC45" s="54">
        <f t="shared" si="138"/>
        <v>69260</v>
      </c>
      <c r="AD45" s="54">
        <f t="shared" si="138"/>
        <v>100350</v>
      </c>
      <c r="AE45" s="54">
        <f t="shared" si="138"/>
        <v>94000</v>
      </c>
      <c r="AF45" s="54">
        <f t="shared" si="138"/>
        <v>129740</v>
      </c>
      <c r="AG45" s="54">
        <f t="shared" si="138"/>
        <v>115480</v>
      </c>
      <c r="AH45" s="54">
        <f t="shared" si="138"/>
        <v>162900</v>
      </c>
      <c r="AI45" s="54">
        <f t="shared" si="138"/>
        <v>146880</v>
      </c>
      <c r="AJ45" s="54">
        <f t="shared" si="138"/>
        <v>4020</v>
      </c>
      <c r="AK45" s="54">
        <f t="shared" si="138"/>
        <v>7020</v>
      </c>
      <c r="AL45" s="54">
        <f t="shared" si="138"/>
        <v>11350</v>
      </c>
      <c r="AM45" s="54">
        <f t="shared" si="138"/>
        <v>16100</v>
      </c>
      <c r="AN45" s="54">
        <f t="shared" si="138"/>
        <v>23090</v>
      </c>
      <c r="AO45" s="54">
        <f t="shared" si="138"/>
        <v>31330</v>
      </c>
      <c r="AP45" s="54">
        <f t="shared" si="138"/>
        <v>29290</v>
      </c>
      <c r="AQ45" s="54">
        <f t="shared" si="138"/>
        <v>51600</v>
      </c>
      <c r="AR45" s="54">
        <f t="shared" si="138"/>
        <v>48960</v>
      </c>
      <c r="AS45" s="54">
        <f t="shared" si="138"/>
        <v>46390</v>
      </c>
      <c r="AT45" s="54">
        <f t="shared" ref="AT45:AV45" si="139">ROUND(AT44*AT22/10,0)*10</f>
        <v>65040</v>
      </c>
      <c r="AU45" s="54">
        <f t="shared" si="139"/>
        <v>62080</v>
      </c>
      <c r="AV45" s="54">
        <f t="shared" si="139"/>
        <v>59180</v>
      </c>
      <c r="AW45" s="54">
        <f t="shared" si="138"/>
        <v>73660</v>
      </c>
      <c r="AX45" s="54">
        <f t="shared" si="138"/>
        <v>70500</v>
      </c>
      <c r="AY45" s="54">
        <f t="shared" si="138"/>
        <v>67410</v>
      </c>
      <c r="AZ45" s="54">
        <f t="shared" si="138"/>
        <v>99640</v>
      </c>
      <c r="BA45" s="54">
        <f t="shared" si="138"/>
        <v>92350</v>
      </c>
      <c r="BB45" s="54">
        <f t="shared" si="138"/>
        <v>133800</v>
      </c>
      <c r="BC45" s="54">
        <f t="shared" si="138"/>
        <v>125330</v>
      </c>
      <c r="BD45" s="54">
        <f t="shared" si="138"/>
        <v>172990</v>
      </c>
      <c r="BE45" s="54">
        <f t="shared" si="138"/>
        <v>153980</v>
      </c>
      <c r="BF45" s="54">
        <f t="shared" si="138"/>
        <v>217200</v>
      </c>
      <c r="BG45" s="54">
        <f t="shared" si="138"/>
        <v>195840</v>
      </c>
      <c r="BH45" s="54">
        <f t="shared" si="138"/>
        <v>5230</v>
      </c>
      <c r="BI45" s="54">
        <f t="shared" si="138"/>
        <v>9130</v>
      </c>
      <c r="BJ45" s="54">
        <f t="shared" si="138"/>
        <v>14750</v>
      </c>
      <c r="BK45" s="54">
        <f t="shared" si="138"/>
        <v>20930</v>
      </c>
      <c r="BL45" s="54">
        <f t="shared" si="138"/>
        <v>30010</v>
      </c>
      <c r="BM45" s="54">
        <f t="shared" si="138"/>
        <v>40730</v>
      </c>
      <c r="BN45" s="54">
        <f t="shared" si="138"/>
        <v>38070</v>
      </c>
      <c r="BO45" s="54">
        <f t="shared" si="138"/>
        <v>67070</v>
      </c>
      <c r="BP45" s="54">
        <f t="shared" si="138"/>
        <v>63650</v>
      </c>
      <c r="BQ45" s="54">
        <f t="shared" si="138"/>
        <v>60310</v>
      </c>
      <c r="BR45" s="54">
        <f t="shared" ref="BR45:BS45" si="140">ROUND(BR44*BR22/10,0)*10</f>
        <v>84550</v>
      </c>
      <c r="BS45" s="54">
        <f t="shared" si="140"/>
        <v>80700</v>
      </c>
      <c r="BT45" s="54">
        <f>ROUND(BT44*BT22/10,0)*10</f>
        <v>76940</v>
      </c>
      <c r="BU45" s="54">
        <f t="shared" si="138"/>
        <v>95750</v>
      </c>
      <c r="BV45" s="54">
        <f t="shared" si="138"/>
        <v>91650</v>
      </c>
      <c r="BW45" s="54">
        <f t="shared" si="138"/>
        <v>87640</v>
      </c>
      <c r="BX45" s="54">
        <f t="shared" si="138"/>
        <v>129530</v>
      </c>
      <c r="BY45" s="54">
        <f t="shared" si="138"/>
        <v>120060</v>
      </c>
      <c r="BZ45" s="54">
        <f t="shared" si="138"/>
        <v>173940</v>
      </c>
      <c r="CA45" s="54">
        <f t="shared" si="138"/>
        <v>162930</v>
      </c>
      <c r="CB45" s="54">
        <f t="shared" si="138"/>
        <v>224880</v>
      </c>
      <c r="CC45" s="54">
        <f t="shared" si="138"/>
        <v>200170</v>
      </c>
      <c r="CD45" s="54">
        <f t="shared" si="138"/>
        <v>282360</v>
      </c>
      <c r="CE45" s="54">
        <f t="shared" si="138"/>
        <v>254590</v>
      </c>
      <c r="CF45" s="54">
        <f t="shared" ref="CF45:CG45" si="141">ROUND(CF44*CF22/10,0)*10</f>
        <v>70940</v>
      </c>
      <c r="CG45" s="54">
        <f t="shared" si="141"/>
        <v>67320</v>
      </c>
      <c r="CH45" s="54">
        <f t="shared" si="138"/>
        <v>63790</v>
      </c>
      <c r="CI45" s="54">
        <f t="shared" ref="CI45:CJ45" si="142">ROUND(CI44*CI22/10,0)*10</f>
        <v>81380</v>
      </c>
      <c r="CJ45" s="54">
        <f t="shared" si="142"/>
        <v>101280</v>
      </c>
      <c r="CK45" s="54">
        <f t="shared" ref="CK45" si="143">ROUND(CK44*CK22/10,0)*10</f>
        <v>96940</v>
      </c>
      <c r="CL45" s="54">
        <f t="shared" si="138"/>
        <v>92690</v>
      </c>
      <c r="CM45" s="54">
        <f t="shared" ref="CM45" si="144">ROUND(CM44*CM22/10,0)*10</f>
        <v>137000</v>
      </c>
      <c r="CN45" s="54">
        <f t="shared" si="138"/>
        <v>126980</v>
      </c>
    </row>
    <row r="46" spans="2:92" s="8" customFormat="1" x14ac:dyDescent="0.25">
      <c r="B46" s="18"/>
      <c r="C46" s="21"/>
      <c r="D46" s="21"/>
      <c r="E46" s="21"/>
      <c r="F46" s="31" t="s">
        <v>48</v>
      </c>
      <c r="G46" s="20" t="s">
        <v>3</v>
      </c>
      <c r="H46" s="21"/>
      <c r="I46" s="63">
        <f t="shared" ref="I46" si="145">ROUND(I45/1.67/10,0)*10</f>
        <v>82040</v>
      </c>
      <c r="J46" s="18"/>
      <c r="K46" s="53" t="s">
        <v>49</v>
      </c>
      <c r="L46" s="54">
        <f>ROUND(L45/1.67/10,0)*10</f>
        <v>1810</v>
      </c>
      <c r="M46" s="54">
        <f t="shared" ref="M46:R46" si="146">ROUND(M45/1.67/10,0)*10</f>
        <v>3160</v>
      </c>
      <c r="N46" s="54">
        <f t="shared" si="146"/>
        <v>5100</v>
      </c>
      <c r="O46" s="54">
        <f t="shared" si="146"/>
        <v>7230</v>
      </c>
      <c r="P46" s="54">
        <f t="shared" si="146"/>
        <v>10370</v>
      </c>
      <c r="Q46" s="54">
        <f t="shared" si="146"/>
        <v>14070</v>
      </c>
      <c r="R46" s="54">
        <f t="shared" si="146"/>
        <v>13160</v>
      </c>
      <c r="S46" s="54">
        <f t="shared" ref="S46:Y46" si="147">ROUND(S45/1.67/10,0)*10</f>
        <v>23170</v>
      </c>
      <c r="T46" s="54">
        <f t="shared" si="147"/>
        <v>21990</v>
      </c>
      <c r="U46" s="54">
        <f t="shared" si="147"/>
        <v>20830</v>
      </c>
      <c r="V46" s="54">
        <f t="shared" ref="V46:X46" si="148">ROUND(V45/1.67/10,0)*10</f>
        <v>29210</v>
      </c>
      <c r="W46" s="54">
        <f t="shared" si="148"/>
        <v>27880</v>
      </c>
      <c r="X46" s="54">
        <f t="shared" si="148"/>
        <v>26580</v>
      </c>
      <c r="Y46" s="54">
        <f t="shared" si="147"/>
        <v>33080</v>
      </c>
      <c r="Z46" s="54">
        <f t="shared" ref="Z46:CN46" si="149">ROUND(Z45/1.67/10,0)*10</f>
        <v>31660</v>
      </c>
      <c r="AA46" s="54">
        <f t="shared" si="149"/>
        <v>30280</v>
      </c>
      <c r="AB46" s="54">
        <f t="shared" si="149"/>
        <v>44750</v>
      </c>
      <c r="AC46" s="54">
        <f t="shared" si="149"/>
        <v>41470</v>
      </c>
      <c r="AD46" s="54">
        <f t="shared" si="149"/>
        <v>60090</v>
      </c>
      <c r="AE46" s="54">
        <f t="shared" si="149"/>
        <v>56290</v>
      </c>
      <c r="AF46" s="54">
        <f t="shared" si="149"/>
        <v>77690</v>
      </c>
      <c r="AG46" s="54">
        <f t="shared" si="149"/>
        <v>69150</v>
      </c>
      <c r="AH46" s="54">
        <f t="shared" si="149"/>
        <v>97540</v>
      </c>
      <c r="AI46" s="54">
        <f t="shared" si="149"/>
        <v>87950</v>
      </c>
      <c r="AJ46" s="54">
        <f t="shared" si="149"/>
        <v>2410</v>
      </c>
      <c r="AK46" s="54">
        <f t="shared" si="149"/>
        <v>4200</v>
      </c>
      <c r="AL46" s="54">
        <f t="shared" si="149"/>
        <v>6800</v>
      </c>
      <c r="AM46" s="54">
        <f t="shared" si="149"/>
        <v>9640</v>
      </c>
      <c r="AN46" s="54">
        <f t="shared" si="149"/>
        <v>13830</v>
      </c>
      <c r="AO46" s="54">
        <f t="shared" si="149"/>
        <v>18760</v>
      </c>
      <c r="AP46" s="54">
        <f t="shared" si="149"/>
        <v>17540</v>
      </c>
      <c r="AQ46" s="54">
        <f t="shared" si="149"/>
        <v>30900</v>
      </c>
      <c r="AR46" s="54">
        <f t="shared" si="149"/>
        <v>29320</v>
      </c>
      <c r="AS46" s="54">
        <f t="shared" si="149"/>
        <v>27780</v>
      </c>
      <c r="AT46" s="54">
        <f t="shared" ref="AT46:AV46" si="150">ROUND(AT45/1.67/10,0)*10</f>
        <v>38950</v>
      </c>
      <c r="AU46" s="54">
        <f t="shared" si="150"/>
        <v>37170</v>
      </c>
      <c r="AV46" s="54">
        <f t="shared" si="150"/>
        <v>35440</v>
      </c>
      <c r="AW46" s="54">
        <f t="shared" si="149"/>
        <v>44110</v>
      </c>
      <c r="AX46" s="54">
        <f t="shared" si="149"/>
        <v>42220</v>
      </c>
      <c r="AY46" s="54">
        <f t="shared" si="149"/>
        <v>40370</v>
      </c>
      <c r="AZ46" s="54">
        <f t="shared" si="149"/>
        <v>59660</v>
      </c>
      <c r="BA46" s="54">
        <f t="shared" si="149"/>
        <v>55300</v>
      </c>
      <c r="BB46" s="54">
        <f t="shared" si="149"/>
        <v>80120</v>
      </c>
      <c r="BC46" s="54">
        <f t="shared" si="149"/>
        <v>75050</v>
      </c>
      <c r="BD46" s="54">
        <f t="shared" si="149"/>
        <v>103590</v>
      </c>
      <c r="BE46" s="54">
        <f t="shared" si="149"/>
        <v>92200</v>
      </c>
      <c r="BF46" s="54">
        <f t="shared" si="149"/>
        <v>130060</v>
      </c>
      <c r="BG46" s="54">
        <f t="shared" si="149"/>
        <v>117270</v>
      </c>
      <c r="BH46" s="54">
        <f t="shared" si="149"/>
        <v>3130</v>
      </c>
      <c r="BI46" s="54">
        <f t="shared" si="149"/>
        <v>5470</v>
      </c>
      <c r="BJ46" s="54">
        <f t="shared" si="149"/>
        <v>8830</v>
      </c>
      <c r="BK46" s="54">
        <f t="shared" si="149"/>
        <v>12530</v>
      </c>
      <c r="BL46" s="54">
        <f t="shared" si="149"/>
        <v>17970</v>
      </c>
      <c r="BM46" s="54">
        <f t="shared" si="149"/>
        <v>24390</v>
      </c>
      <c r="BN46" s="54">
        <f t="shared" si="149"/>
        <v>22800</v>
      </c>
      <c r="BO46" s="54">
        <f t="shared" si="149"/>
        <v>40160</v>
      </c>
      <c r="BP46" s="54">
        <f t="shared" si="149"/>
        <v>38110</v>
      </c>
      <c r="BQ46" s="54">
        <f t="shared" si="149"/>
        <v>36110</v>
      </c>
      <c r="BR46" s="54">
        <f t="shared" ref="BR46:BT46" si="151">ROUND(BR45/1.67/10,0)*10</f>
        <v>50630</v>
      </c>
      <c r="BS46" s="54">
        <f t="shared" si="151"/>
        <v>48320</v>
      </c>
      <c r="BT46" s="54">
        <f t="shared" si="151"/>
        <v>46070</v>
      </c>
      <c r="BU46" s="54">
        <f t="shared" si="149"/>
        <v>57340</v>
      </c>
      <c r="BV46" s="54">
        <f t="shared" si="149"/>
        <v>54880</v>
      </c>
      <c r="BW46" s="54">
        <f t="shared" si="149"/>
        <v>52480</v>
      </c>
      <c r="BX46" s="54">
        <f t="shared" si="149"/>
        <v>77560</v>
      </c>
      <c r="BY46" s="54">
        <f t="shared" si="149"/>
        <v>71890</v>
      </c>
      <c r="BZ46" s="54">
        <f t="shared" si="149"/>
        <v>104160</v>
      </c>
      <c r="CA46" s="54">
        <f t="shared" si="149"/>
        <v>97560</v>
      </c>
      <c r="CB46" s="54">
        <f t="shared" si="149"/>
        <v>134660</v>
      </c>
      <c r="CC46" s="54">
        <f t="shared" si="149"/>
        <v>119860</v>
      </c>
      <c r="CD46" s="54">
        <f t="shared" si="149"/>
        <v>169080</v>
      </c>
      <c r="CE46" s="54">
        <f t="shared" si="149"/>
        <v>152450</v>
      </c>
      <c r="CF46" s="54">
        <f t="shared" ref="CF46:CG46" si="152">ROUND(CF45/1.67/10,0)*10</f>
        <v>42480</v>
      </c>
      <c r="CG46" s="54">
        <f t="shared" si="152"/>
        <v>40310</v>
      </c>
      <c r="CH46" s="54">
        <f t="shared" si="149"/>
        <v>38200</v>
      </c>
      <c r="CI46" s="54">
        <f t="shared" ref="CI46:CJ46" si="153">ROUND(CI45/1.67/10,0)*10</f>
        <v>48730</v>
      </c>
      <c r="CJ46" s="54">
        <f t="shared" si="153"/>
        <v>60650</v>
      </c>
      <c r="CK46" s="54">
        <f t="shared" ref="CK46" si="154">ROUND(CK45/1.67/10,0)*10</f>
        <v>58050</v>
      </c>
      <c r="CL46" s="54">
        <f t="shared" si="149"/>
        <v>55500</v>
      </c>
      <c r="CM46" s="54">
        <f t="shared" ref="CM46" si="155">ROUND(CM45/1.67/10,0)*10</f>
        <v>82040</v>
      </c>
      <c r="CN46" s="54">
        <f t="shared" si="149"/>
        <v>76040</v>
      </c>
    </row>
    <row r="47" spans="2:92" s="8" customFormat="1" x14ac:dyDescent="0.25">
      <c r="I47" s="66">
        <f t="shared" ref="I47" si="156">I42/I45</f>
        <v>0.37153284671532849</v>
      </c>
      <c r="K47" s="9" t="s">
        <v>50</v>
      </c>
      <c r="L47" s="10">
        <f>L42/L45</f>
        <v>0.33112582781456956</v>
      </c>
      <c r="M47" s="10">
        <f t="shared" ref="M47:R47" si="157">M42/M45</f>
        <v>0.32258064516129031</v>
      </c>
      <c r="N47" s="10">
        <f t="shared" si="157"/>
        <v>0.31727379553466512</v>
      </c>
      <c r="O47" s="10">
        <f t="shared" si="157"/>
        <v>0.31483015741507869</v>
      </c>
      <c r="P47" s="10">
        <f t="shared" si="157"/>
        <v>0.32332563510392609</v>
      </c>
      <c r="Q47" s="10">
        <f t="shared" si="157"/>
        <v>0.32765957446808508</v>
      </c>
      <c r="R47" s="10">
        <f t="shared" si="157"/>
        <v>0.31861629494765592</v>
      </c>
      <c r="S47" s="10">
        <f t="shared" ref="S47:Y47" si="158">S42/S45</f>
        <v>0.33074935400516797</v>
      </c>
      <c r="T47" s="10">
        <f t="shared" si="158"/>
        <v>0.32679738562091504</v>
      </c>
      <c r="U47" s="10">
        <f t="shared" si="158"/>
        <v>0.32193158953722334</v>
      </c>
      <c r="V47" s="10">
        <f t="shared" ref="V47:X47" si="159">V42/V45</f>
        <v>0.33415334153341536</v>
      </c>
      <c r="W47" s="10">
        <f t="shared" si="159"/>
        <v>0.32860824742268041</v>
      </c>
      <c r="X47" s="10">
        <f t="shared" si="159"/>
        <v>0.32439738679882857</v>
      </c>
      <c r="Y47" s="10">
        <f t="shared" si="158"/>
        <v>0.33128167994207097</v>
      </c>
      <c r="Z47" s="10">
        <f t="shared" ref="Z47:CN47" si="160">Z42/Z45</f>
        <v>0.3271558245083207</v>
      </c>
      <c r="AA47" s="10">
        <f t="shared" si="160"/>
        <v>0.32238924050632911</v>
      </c>
      <c r="AB47" s="10">
        <f t="shared" si="160"/>
        <v>0.33052321691422454</v>
      </c>
      <c r="AC47" s="10">
        <f t="shared" si="160"/>
        <v>0.32341900086630088</v>
      </c>
      <c r="AD47" s="10">
        <f t="shared" si="160"/>
        <v>0.33283507722969607</v>
      </c>
      <c r="AE47" s="10">
        <f t="shared" si="160"/>
        <v>0.32659574468085106</v>
      </c>
      <c r="AF47" s="10">
        <f t="shared" si="160"/>
        <v>0.33451518421458304</v>
      </c>
      <c r="AG47" s="10">
        <f t="shared" si="160"/>
        <v>0.32386560443366819</v>
      </c>
      <c r="AH47" s="10">
        <f t="shared" si="160"/>
        <v>0.33578882750153466</v>
      </c>
      <c r="AI47" s="10">
        <f t="shared" si="160"/>
        <v>0.32679738562091504</v>
      </c>
      <c r="AJ47" s="10">
        <f t="shared" si="160"/>
        <v>0.32338308457711445</v>
      </c>
      <c r="AK47" s="10">
        <f t="shared" si="160"/>
        <v>0.31339031339031337</v>
      </c>
      <c r="AL47" s="10">
        <f t="shared" si="160"/>
        <v>0.31718061674008813</v>
      </c>
      <c r="AM47" s="10">
        <f t="shared" si="160"/>
        <v>0.31677018633540371</v>
      </c>
      <c r="AN47" s="10">
        <f t="shared" si="160"/>
        <v>0.32481593763533995</v>
      </c>
      <c r="AO47" s="10">
        <f t="shared" si="160"/>
        <v>0.32556654963293968</v>
      </c>
      <c r="AP47" s="10">
        <f t="shared" si="160"/>
        <v>0.32092864458859677</v>
      </c>
      <c r="AQ47" s="10">
        <f t="shared" si="160"/>
        <v>0.33139534883720928</v>
      </c>
      <c r="AR47" s="10">
        <f t="shared" si="160"/>
        <v>0.32679738562091504</v>
      </c>
      <c r="AS47" s="10">
        <f t="shared" si="160"/>
        <v>0.32118991161888338</v>
      </c>
      <c r="AT47" s="10">
        <f t="shared" ref="AT47:AV47" si="161">AT42/AT45</f>
        <v>0.33364083640836406</v>
      </c>
      <c r="AU47" s="10">
        <f t="shared" si="161"/>
        <v>0.32860824742268041</v>
      </c>
      <c r="AV47" s="10">
        <f t="shared" si="161"/>
        <v>0.32443393038188578</v>
      </c>
      <c r="AW47" s="10">
        <f t="shared" si="160"/>
        <v>0.33125169698615259</v>
      </c>
      <c r="AX47" s="10">
        <f t="shared" si="160"/>
        <v>0.32624113475177308</v>
      </c>
      <c r="AY47" s="10">
        <f t="shared" si="160"/>
        <v>0.32191069574247144</v>
      </c>
      <c r="AZ47" s="10">
        <f t="shared" si="160"/>
        <v>0.330188679245283</v>
      </c>
      <c r="BA47" s="10">
        <f t="shared" si="160"/>
        <v>0.32268543584190579</v>
      </c>
      <c r="BB47" s="10">
        <f t="shared" si="160"/>
        <v>0.33258594917787743</v>
      </c>
      <c r="BC47" s="10">
        <f t="shared" si="160"/>
        <v>0.32633846644857578</v>
      </c>
      <c r="BD47" s="10">
        <f t="shared" si="160"/>
        <v>0.33412335973177643</v>
      </c>
      <c r="BE47" s="10">
        <f t="shared" si="160"/>
        <v>0.3240680607871152</v>
      </c>
      <c r="BF47" s="10">
        <f t="shared" si="160"/>
        <v>0.3356353591160221</v>
      </c>
      <c r="BG47" s="10">
        <f t="shared" si="160"/>
        <v>0.32679738562091504</v>
      </c>
      <c r="BH47" s="10">
        <f t="shared" si="160"/>
        <v>0.3632887189292543</v>
      </c>
      <c r="BI47" s="10">
        <f t="shared" si="160"/>
        <v>0.36144578313253012</v>
      </c>
      <c r="BJ47" s="10">
        <f t="shared" si="160"/>
        <v>0.35932203389830508</v>
      </c>
      <c r="BK47" s="10">
        <f t="shared" si="160"/>
        <v>0.35833731485905401</v>
      </c>
      <c r="BL47" s="10">
        <f t="shared" si="160"/>
        <v>0.36654448517160948</v>
      </c>
      <c r="BM47" s="10">
        <f t="shared" si="160"/>
        <v>0.36827890989442669</v>
      </c>
      <c r="BN47" s="10">
        <f t="shared" si="160"/>
        <v>0.3624901497241923</v>
      </c>
      <c r="BO47" s="10">
        <f t="shared" si="160"/>
        <v>0.37423587296854033</v>
      </c>
      <c r="BP47" s="10">
        <f t="shared" si="160"/>
        <v>0.36920659858601729</v>
      </c>
      <c r="BQ47" s="10">
        <f t="shared" si="160"/>
        <v>0.36312386005637537</v>
      </c>
      <c r="BR47" s="10">
        <f t="shared" ref="BR47:BT47" si="162">BR42/BR45</f>
        <v>0.37610881135422825</v>
      </c>
      <c r="BS47" s="10">
        <f t="shared" si="162"/>
        <v>0.37174721189591076</v>
      </c>
      <c r="BT47" s="10">
        <f t="shared" si="162"/>
        <v>0.36651936573953731</v>
      </c>
      <c r="BU47" s="10">
        <f t="shared" si="160"/>
        <v>0.37389033942558747</v>
      </c>
      <c r="BV47" s="10">
        <f t="shared" si="160"/>
        <v>0.36879432624113473</v>
      </c>
      <c r="BW47" s="10">
        <f t="shared" si="160"/>
        <v>0.3639890460976723</v>
      </c>
      <c r="BX47" s="10">
        <f t="shared" si="160"/>
        <v>0.37288658997915541</v>
      </c>
      <c r="BY47" s="10">
        <f t="shared" si="160"/>
        <v>0.36481759120439783</v>
      </c>
      <c r="BZ47" s="10">
        <f t="shared" si="160"/>
        <v>0.37599172128320113</v>
      </c>
      <c r="CA47" s="10">
        <f t="shared" si="160"/>
        <v>0.36887006689989565</v>
      </c>
      <c r="CB47" s="10">
        <f t="shared" si="160"/>
        <v>0.37797936677339028</v>
      </c>
      <c r="CC47" s="10">
        <f t="shared" si="160"/>
        <v>0.36568916421042114</v>
      </c>
      <c r="CD47" s="10">
        <f t="shared" si="160"/>
        <v>0.3793030174245644</v>
      </c>
      <c r="CE47" s="10">
        <f t="shared" si="160"/>
        <v>0.36882831218822421</v>
      </c>
      <c r="CF47" s="10">
        <f t="shared" ref="CF47:CG47" si="163">CF42/CF45</f>
        <v>0.37355511700028193</v>
      </c>
      <c r="CG47" s="10">
        <f t="shared" si="163"/>
        <v>0.36690433749257279</v>
      </c>
      <c r="CH47" s="10">
        <f t="shared" si="160"/>
        <v>0.36212572503527196</v>
      </c>
      <c r="CI47" s="10">
        <f t="shared" ref="CI47:CJ47" si="164">CI42/CI45</f>
        <v>0.36495453428360775</v>
      </c>
      <c r="CJ47" s="10">
        <f t="shared" si="164"/>
        <v>0.3722353870458136</v>
      </c>
      <c r="CK47" s="10">
        <f t="shared" ref="CK47" si="165">CK42/CK45</f>
        <v>0.36723746647410771</v>
      </c>
      <c r="CL47" s="10">
        <f t="shared" si="160"/>
        <v>0.36249865141870752</v>
      </c>
      <c r="CM47" s="10">
        <f t="shared" ref="CM47" si="166">CM42/CM45</f>
        <v>0.37153284671532849</v>
      </c>
      <c r="CN47" s="10">
        <f t="shared" si="160"/>
        <v>0.36304929910222083</v>
      </c>
    </row>
    <row r="48" spans="2:92" s="8" customFormat="1" ht="15" customHeight="1" x14ac:dyDescent="0.25">
      <c r="I48" s="44"/>
      <c r="K48" s="21"/>
      <c r="L48" s="21"/>
      <c r="M48" s="21"/>
      <c r="N48" s="21"/>
      <c r="O48" s="21"/>
    </row>
    <row r="49" spans="8:92" s="8" customFormat="1" ht="30" customHeight="1" x14ac:dyDescent="0.25">
      <c r="I49" s="44"/>
      <c r="K49" s="21"/>
      <c r="L49" s="21"/>
      <c r="M49" s="21"/>
      <c r="N49" s="21"/>
      <c r="O49" s="21"/>
    </row>
    <row r="50" spans="8:92" s="8" customFormat="1" x14ac:dyDescent="0.25">
      <c r="I50" s="52">
        <f>I40</f>
        <v>23220.135362578025</v>
      </c>
      <c r="J50" s="248" t="s">
        <v>100</v>
      </c>
      <c r="K50" s="9" t="s">
        <v>89</v>
      </c>
      <c r="L50" s="11">
        <f>L40</f>
        <v>442.43941830335433</v>
      </c>
      <c r="M50" s="11">
        <f t="shared" ref="M50:R50" si="167">M40</f>
        <v>768.72666164135967</v>
      </c>
      <c r="N50" s="11">
        <f t="shared" si="167"/>
        <v>1252.150052088597</v>
      </c>
      <c r="O50" s="11">
        <f t="shared" si="167"/>
        <v>1770.2958737872266</v>
      </c>
      <c r="P50" s="11">
        <f t="shared" si="167"/>
        <v>2570.0202585697393</v>
      </c>
      <c r="Q50" s="11">
        <f t="shared" si="167"/>
        <v>3514.6456461610896</v>
      </c>
      <c r="R50" s="11">
        <f t="shared" si="167"/>
        <v>3237.5272868236434</v>
      </c>
      <c r="S50" s="11">
        <f t="shared" ref="S50:CN50" si="168">S40</f>
        <v>5845.4125604395113</v>
      </c>
      <c r="T50" s="11">
        <f t="shared" si="168"/>
        <v>5492.7386304531437</v>
      </c>
      <c r="U50" s="11">
        <f t="shared" si="168"/>
        <v>5145.6485612330098</v>
      </c>
      <c r="V50" s="11">
        <f t="shared" ref="V50:X50" si="169">V40</f>
        <v>7398.4974141064495</v>
      </c>
      <c r="W50" s="11">
        <f t="shared" si="169"/>
        <v>7004.7773451864659</v>
      </c>
      <c r="X50" s="11">
        <f t="shared" si="169"/>
        <v>6616.0054055768787</v>
      </c>
      <c r="Y50" s="11">
        <f t="shared" si="168"/>
        <v>8331.0796402869564</v>
      </c>
      <c r="Z50" s="11">
        <f t="shared" si="168"/>
        <v>7908.2347810673518</v>
      </c>
      <c r="AA50" s="11">
        <f t="shared" si="168"/>
        <v>7491.0020634465527</v>
      </c>
      <c r="AB50" s="11">
        <f t="shared" si="168"/>
        <v>11258.247448522678</v>
      </c>
      <c r="AC50" s="11">
        <f t="shared" si="168"/>
        <v>10278.303510343854</v>
      </c>
      <c r="AD50" s="11">
        <f t="shared" si="168"/>
        <v>15192.171561805544</v>
      </c>
      <c r="AE50" s="11">
        <f t="shared" si="168"/>
        <v>14061.7361693284</v>
      </c>
      <c r="AF50" s="11">
        <f t="shared" si="168"/>
        <v>19708.118188711527</v>
      </c>
      <c r="AG50" s="11">
        <f t="shared" si="168"/>
        <v>17167.588479524547</v>
      </c>
      <c r="AH50" s="11">
        <f t="shared" si="168"/>
        <v>24810.645704486975</v>
      </c>
      <c r="AI50" s="11">
        <f t="shared" si="168"/>
        <v>21970.954521812575</v>
      </c>
      <c r="AJ50" s="11">
        <f t="shared" si="168"/>
        <v>589.91922440447252</v>
      </c>
      <c r="AK50" s="11">
        <f t="shared" si="168"/>
        <v>1024.9688821884797</v>
      </c>
      <c r="AL50" s="11">
        <f t="shared" si="168"/>
        <v>1669.533402784796</v>
      </c>
      <c r="AM50" s="11">
        <f t="shared" si="168"/>
        <v>2360.3944983829688</v>
      </c>
      <c r="AN50" s="11">
        <f t="shared" si="168"/>
        <v>3426.693678092985</v>
      </c>
      <c r="AO50" s="11">
        <f t="shared" si="168"/>
        <v>4686.1941948814529</v>
      </c>
      <c r="AP50" s="11">
        <f t="shared" si="168"/>
        <v>4316.7030490981906</v>
      </c>
      <c r="AQ50" s="11">
        <f t="shared" si="168"/>
        <v>7793.8834139193486</v>
      </c>
      <c r="AR50" s="11">
        <f t="shared" si="168"/>
        <v>7323.6515072708607</v>
      </c>
      <c r="AS50" s="11">
        <f t="shared" si="168"/>
        <v>6860.8647483106815</v>
      </c>
      <c r="AT50" s="11">
        <f t="shared" ref="AT50:AV50" si="170">AT40</f>
        <v>9864.6632188086005</v>
      </c>
      <c r="AU50" s="11">
        <f t="shared" si="170"/>
        <v>9339.7031269152867</v>
      </c>
      <c r="AV50" s="11">
        <f t="shared" si="170"/>
        <v>8821.3405407691735</v>
      </c>
      <c r="AW50" s="11">
        <f t="shared" si="168"/>
        <v>11108.106187049276</v>
      </c>
      <c r="AX50" s="11">
        <f t="shared" si="168"/>
        <v>10544.313041423136</v>
      </c>
      <c r="AY50" s="11">
        <f t="shared" si="168"/>
        <v>9988.0027512620709</v>
      </c>
      <c r="AZ50" s="11">
        <f t="shared" si="168"/>
        <v>15010.996598030235</v>
      </c>
      <c r="BA50" s="11">
        <f t="shared" si="168"/>
        <v>13704.404680458474</v>
      </c>
      <c r="BB50" s="11">
        <f t="shared" si="168"/>
        <v>20256.22874907406</v>
      </c>
      <c r="BC50" s="11">
        <f t="shared" si="168"/>
        <v>18748.981559104537</v>
      </c>
      <c r="BD50" s="11">
        <f t="shared" si="168"/>
        <v>26277.490918282048</v>
      </c>
      <c r="BE50" s="11">
        <f t="shared" si="168"/>
        <v>22890.117972699394</v>
      </c>
      <c r="BF50" s="11">
        <f t="shared" si="168"/>
        <v>33080.860939315964</v>
      </c>
      <c r="BG50" s="11">
        <f t="shared" si="168"/>
        <v>29294.606029083443</v>
      </c>
      <c r="BH50" s="11">
        <f t="shared" si="168"/>
        <v>866.44386084406904</v>
      </c>
      <c r="BI50" s="11">
        <f t="shared" si="168"/>
        <v>1505.4230457143296</v>
      </c>
      <c r="BJ50" s="11">
        <f t="shared" si="168"/>
        <v>2452.1271853401686</v>
      </c>
      <c r="BK50" s="11">
        <f t="shared" si="168"/>
        <v>3466.8294194999849</v>
      </c>
      <c r="BL50" s="11">
        <f t="shared" si="168"/>
        <v>5032.9563396990734</v>
      </c>
      <c r="BM50" s="11">
        <f t="shared" si="168"/>
        <v>6882.8477237321331</v>
      </c>
      <c r="BN50" s="11">
        <f t="shared" si="168"/>
        <v>6340.1576033629681</v>
      </c>
      <c r="BO50" s="11">
        <f t="shared" si="168"/>
        <v>11447.266264194042</v>
      </c>
      <c r="BP50" s="11">
        <f t="shared" si="168"/>
        <v>10756.613151304075</v>
      </c>
      <c r="BQ50" s="11">
        <f t="shared" si="168"/>
        <v>10076.895099081312</v>
      </c>
      <c r="BR50" s="11">
        <f t="shared" ref="BR50:BT50" si="171">BR40</f>
        <v>14488.724102625129</v>
      </c>
      <c r="BS50" s="11">
        <f t="shared" si="171"/>
        <v>13717.688967656828</v>
      </c>
      <c r="BT50" s="11">
        <f t="shared" si="171"/>
        <v>12956.343919254721</v>
      </c>
      <c r="BU50" s="11">
        <f t="shared" si="168"/>
        <v>16315.030962228622</v>
      </c>
      <c r="BV50" s="11">
        <f t="shared" si="168"/>
        <v>15486.95977959023</v>
      </c>
      <c r="BW50" s="11">
        <f t="shared" si="168"/>
        <v>14669.879040916167</v>
      </c>
      <c r="BX50" s="11">
        <f t="shared" si="168"/>
        <v>22047.401253356915</v>
      </c>
      <c r="BY50" s="11">
        <f t="shared" si="168"/>
        <v>20128.344374423381</v>
      </c>
      <c r="BZ50" s="11">
        <f t="shared" si="168"/>
        <v>29751.335975202528</v>
      </c>
      <c r="CA50" s="11">
        <f t="shared" si="168"/>
        <v>27537.566664934788</v>
      </c>
      <c r="CB50" s="11">
        <f t="shared" si="168"/>
        <v>38595.064786226751</v>
      </c>
      <c r="CC50" s="11">
        <f t="shared" si="168"/>
        <v>33619.860772402237</v>
      </c>
      <c r="CD50" s="11">
        <f t="shared" si="168"/>
        <v>48587.514504620311</v>
      </c>
      <c r="CE50" s="11">
        <f t="shared" si="168"/>
        <v>43026.452605216298</v>
      </c>
      <c r="CF50" s="11">
        <f t="shared" ref="CF50:CG50" si="172">CF40</f>
        <v>12056.163405906493</v>
      </c>
      <c r="CG50" s="11">
        <f t="shared" si="172"/>
        <v>11328.77342530961</v>
      </c>
      <c r="CH50" s="11">
        <f t="shared" si="168"/>
        <v>10612.900157543083</v>
      </c>
      <c r="CI50" s="11">
        <f t="shared" ref="CI50:CJ50" si="173">CI40</f>
        <v>13645.511149002314</v>
      </c>
      <c r="CJ50" s="11">
        <f t="shared" si="173"/>
        <v>17182.851758091849</v>
      </c>
      <c r="CK50" s="11">
        <f t="shared" ref="CK50" si="174">CK40</f>
        <v>16310.734235951413</v>
      </c>
      <c r="CL50" s="11">
        <f t="shared" si="168"/>
        <v>15450.191755858514</v>
      </c>
      <c r="CM50" s="11">
        <f t="shared" ref="CM50" si="175">CM40</f>
        <v>23220.135362578025</v>
      </c>
      <c r="CN50" s="11">
        <f t="shared" si="168"/>
        <v>21199.000990084205</v>
      </c>
    </row>
    <row r="51" spans="8:92" s="8" customFormat="1" x14ac:dyDescent="0.25">
      <c r="I51" s="67">
        <f>I32</f>
        <v>136.46913630835459</v>
      </c>
      <c r="J51" s="248"/>
      <c r="K51" s="9" t="s">
        <v>90</v>
      </c>
      <c r="L51" s="26">
        <f>L32</f>
        <v>0.57409636692981936</v>
      </c>
      <c r="M51" s="26">
        <f t="shared" ref="M51:R51" si="176">M32</f>
        <v>1.3278148454476313</v>
      </c>
      <c r="N51" s="26">
        <f t="shared" si="176"/>
        <v>2.6818095649426494</v>
      </c>
      <c r="O51" s="26">
        <f t="shared" si="176"/>
        <v>4.5679934371588082</v>
      </c>
      <c r="P51" s="26">
        <f t="shared" si="176"/>
        <v>7.6311756356646478</v>
      </c>
      <c r="Q51" s="26">
        <f t="shared" si="176"/>
        <v>11.937935368344169</v>
      </c>
      <c r="R51" s="26">
        <f t="shared" si="176"/>
        <v>11.131822266894432</v>
      </c>
      <c r="S51" s="26">
        <f t="shared" ref="S51:CN51" si="177">S32</f>
        <v>24.453329262708376</v>
      </c>
      <c r="T51" s="26">
        <f t="shared" si="177"/>
        <v>23.207275986796013</v>
      </c>
      <c r="U51" s="26">
        <f t="shared" si="177"/>
        <v>21.955602551655904</v>
      </c>
      <c r="V51" s="26">
        <f t="shared" ref="V51:X51" si="178">V32</f>
        <v>33.64654286112215</v>
      </c>
      <c r="W51" s="26">
        <f t="shared" si="178"/>
        <v>32.148423315701393</v>
      </c>
      <c r="X51" s="26">
        <f t="shared" si="178"/>
        <v>30.640347200697711</v>
      </c>
      <c r="Y51" s="26">
        <f t="shared" si="177"/>
        <v>42.061709090492243</v>
      </c>
      <c r="Z51" s="26">
        <f t="shared" si="177"/>
        <v>40.257000580464187</v>
      </c>
      <c r="AA51" s="26">
        <f t="shared" si="177"/>
        <v>38.445790788890172</v>
      </c>
      <c r="AB51" s="26">
        <f t="shared" si="177"/>
        <v>66.166853967687075</v>
      </c>
      <c r="AC51" s="26">
        <f t="shared" si="177"/>
        <v>61.265696359254143</v>
      </c>
      <c r="AD51" s="26">
        <f t="shared" si="177"/>
        <v>101.37511539216456</v>
      </c>
      <c r="AE51" s="26">
        <f t="shared" si="177"/>
        <v>95.005933027020987</v>
      </c>
      <c r="AF51" s="26">
        <f t="shared" si="177"/>
        <v>147.7406802331225</v>
      </c>
      <c r="AG51" s="26">
        <f t="shared" si="177"/>
        <v>131.56247855950767</v>
      </c>
      <c r="AH51" s="26">
        <f t="shared" si="177"/>
        <v>205.51107608922916</v>
      </c>
      <c r="AI51" s="26">
        <f t="shared" si="177"/>
        <v>185.6582078943681</v>
      </c>
      <c r="AJ51" s="26">
        <f t="shared" si="177"/>
        <v>0.76546182257309237</v>
      </c>
      <c r="AK51" s="26">
        <f t="shared" si="177"/>
        <v>1.7704197939301751</v>
      </c>
      <c r="AL51" s="26">
        <f t="shared" si="177"/>
        <v>3.5757460865901991</v>
      </c>
      <c r="AM51" s="26">
        <f t="shared" si="177"/>
        <v>6.090657916211744</v>
      </c>
      <c r="AN51" s="26">
        <f t="shared" si="177"/>
        <v>10.174900847552863</v>
      </c>
      <c r="AO51" s="26">
        <f t="shared" si="177"/>
        <v>15.917247157792223</v>
      </c>
      <c r="AP51" s="26">
        <f t="shared" si="177"/>
        <v>14.842429689192574</v>
      </c>
      <c r="AQ51" s="26">
        <f t="shared" si="177"/>
        <v>32.604439016944504</v>
      </c>
      <c r="AR51" s="26">
        <f t="shared" si="177"/>
        <v>30.943034649061353</v>
      </c>
      <c r="AS51" s="26">
        <f t="shared" si="177"/>
        <v>29.274136735541209</v>
      </c>
      <c r="AT51" s="26">
        <f t="shared" ref="AT51:AV51" si="179">AT32</f>
        <v>44.862057148162869</v>
      </c>
      <c r="AU51" s="26">
        <f t="shared" si="179"/>
        <v>42.864564420935189</v>
      </c>
      <c r="AV51" s="26">
        <f t="shared" si="179"/>
        <v>40.853796267596955</v>
      </c>
      <c r="AW51" s="26">
        <f t="shared" si="177"/>
        <v>56.082278787322998</v>
      </c>
      <c r="AX51" s="26">
        <f t="shared" si="177"/>
        <v>53.676000773952254</v>
      </c>
      <c r="AY51" s="26">
        <f t="shared" si="177"/>
        <v>51.261054385186895</v>
      </c>
      <c r="AZ51" s="26">
        <f t="shared" si="177"/>
        <v>88.222471956916095</v>
      </c>
      <c r="BA51" s="26">
        <f t="shared" si="177"/>
        <v>81.687595145672191</v>
      </c>
      <c r="BB51" s="26">
        <f t="shared" si="177"/>
        <v>135.1668205228861</v>
      </c>
      <c r="BC51" s="26">
        <f t="shared" si="177"/>
        <v>126.67457736936132</v>
      </c>
      <c r="BD51" s="26">
        <f t="shared" si="177"/>
        <v>196.98757364416335</v>
      </c>
      <c r="BE51" s="26">
        <f t="shared" si="177"/>
        <v>175.41663807934353</v>
      </c>
      <c r="BF51" s="26">
        <f t="shared" si="177"/>
        <v>274.0147681189722</v>
      </c>
      <c r="BG51" s="26">
        <f t="shared" si="177"/>
        <v>247.54427719249082</v>
      </c>
      <c r="BH51" s="26">
        <f t="shared" si="177"/>
        <v>1.1242720519042295</v>
      </c>
      <c r="BI51" s="26">
        <f t="shared" si="177"/>
        <v>2.6003040723349446</v>
      </c>
      <c r="BJ51" s="26">
        <f t="shared" si="177"/>
        <v>5.2518770646793538</v>
      </c>
      <c r="BK51" s="26">
        <f t="shared" si="177"/>
        <v>8.9456538144359978</v>
      </c>
      <c r="BL51" s="26">
        <f t="shared" si="177"/>
        <v>14.944385619843269</v>
      </c>
      <c r="BM51" s="26">
        <f t="shared" si="177"/>
        <v>23.378456763007328</v>
      </c>
      <c r="BN51" s="26">
        <f t="shared" si="177"/>
        <v>21.799818606001597</v>
      </c>
      <c r="BO51" s="26">
        <f t="shared" si="177"/>
        <v>47.887769806137236</v>
      </c>
      <c r="BP51" s="26">
        <f t="shared" si="177"/>
        <v>45.447582140808862</v>
      </c>
      <c r="BQ51" s="26">
        <f t="shared" si="177"/>
        <v>42.996388330326148</v>
      </c>
      <c r="BR51" s="26">
        <f t="shared" ref="BR51:BT51" si="180">BR32</f>
        <v>65.89114643636421</v>
      </c>
      <c r="BS51" s="26">
        <f t="shared" si="180"/>
        <v>62.957328993248552</v>
      </c>
      <c r="BT51" s="26">
        <f t="shared" si="180"/>
        <v>60.00401326803302</v>
      </c>
      <c r="BU51" s="26">
        <f t="shared" si="177"/>
        <v>82.370846968880642</v>
      </c>
      <c r="BV51" s="26">
        <f t="shared" si="177"/>
        <v>78.836626136742368</v>
      </c>
      <c r="BW51" s="26">
        <f t="shared" si="177"/>
        <v>75.28967362824325</v>
      </c>
      <c r="BX51" s="26">
        <f t="shared" si="177"/>
        <v>129.57675568672053</v>
      </c>
      <c r="BY51" s="26">
        <f t="shared" si="177"/>
        <v>119.97865537020603</v>
      </c>
      <c r="BZ51" s="26">
        <f t="shared" si="177"/>
        <v>198.52626764298896</v>
      </c>
      <c r="CA51" s="26">
        <f t="shared" si="177"/>
        <v>186.05328551124944</v>
      </c>
      <c r="CB51" s="26">
        <f t="shared" si="177"/>
        <v>289.32549878986492</v>
      </c>
      <c r="CC51" s="26">
        <f t="shared" si="177"/>
        <v>257.64318717903581</v>
      </c>
      <c r="CD51" s="26">
        <f t="shared" si="177"/>
        <v>402.4591906747404</v>
      </c>
      <c r="CE51" s="26">
        <f t="shared" si="177"/>
        <v>363.5806571264709</v>
      </c>
      <c r="CF51" s="26">
        <f t="shared" ref="CF51:CG51" si="181">CF32</f>
        <v>50.434991604336027</v>
      </c>
      <c r="CG51" s="26">
        <f t="shared" si="181"/>
        <v>47.865006722766779</v>
      </c>
      <c r="CH51" s="26">
        <f t="shared" si="177"/>
        <v>45.283430262790304</v>
      </c>
      <c r="CI51" s="26">
        <f t="shared" ref="CI51:CJ51" si="182">CI32</f>
        <v>63.195716101439032</v>
      </c>
      <c r="CJ51" s="26">
        <f t="shared" si="182"/>
        <v>86.752274999140255</v>
      </c>
      <c r="CK51" s="26">
        <f t="shared" ref="CK51" si="183">CK32</f>
        <v>83.030063697207382</v>
      </c>
      <c r="CL51" s="26">
        <f t="shared" si="177"/>
        <v>79.294443502085983</v>
      </c>
      <c r="CM51" s="26">
        <f t="shared" ref="CM51" si="184">CM32</f>
        <v>136.46913630835459</v>
      </c>
      <c r="CN51" s="26">
        <f t="shared" si="177"/>
        <v>126.36049874096167</v>
      </c>
    </row>
    <row r="52" spans="8:92" s="8" customFormat="1" x14ac:dyDescent="0.25">
      <c r="I52" s="65">
        <f>I50*I24/I23</f>
        <v>33583.46734875843</v>
      </c>
      <c r="J52" s="248"/>
      <c r="K52" s="9" t="s">
        <v>91</v>
      </c>
      <c r="L52" s="9">
        <f>L50*L24/L23</f>
        <v>628.43604167297099</v>
      </c>
      <c r="M52" s="9">
        <f t="shared" ref="M52:R52" si="185">M50*M24/M23</f>
        <v>1088.9027307823051</v>
      </c>
      <c r="N52" s="9">
        <f t="shared" si="185"/>
        <v>1781.4381991709442</v>
      </c>
      <c r="O52" s="9">
        <f t="shared" si="185"/>
        <v>2513.7441666918839</v>
      </c>
      <c r="P52" s="9">
        <f t="shared" si="185"/>
        <v>3675.0063538023383</v>
      </c>
      <c r="Q52" s="9">
        <f t="shared" si="185"/>
        <v>5055.4765361492364</v>
      </c>
      <c r="R52" s="9">
        <f t="shared" si="185"/>
        <v>4612.3915737996813</v>
      </c>
      <c r="S52" s="9">
        <f t="shared" ref="S52:CN52" si="186">S50*S24/S23</f>
        <v>8473.4955499080734</v>
      </c>
      <c r="T52" s="9">
        <f t="shared" si="186"/>
        <v>7899.1820877331766</v>
      </c>
      <c r="U52" s="9">
        <f t="shared" si="186"/>
        <v>7342.9931600656146</v>
      </c>
      <c r="V52" s="9">
        <f t="shared" ref="V52:X52" si="187">V50*V24/V23</f>
        <v>10753.798530161352</v>
      </c>
      <c r="W52" s="9">
        <f t="shared" si="187"/>
        <v>10106.774788216526</v>
      </c>
      <c r="X52" s="9">
        <f t="shared" si="187"/>
        <v>9477.5145618352162</v>
      </c>
      <c r="Y52" s="9">
        <f t="shared" si="186"/>
        <v>12062.2299932067</v>
      </c>
      <c r="Z52" s="9">
        <f t="shared" si="186"/>
        <v>11374.822206335779</v>
      </c>
      <c r="AA52" s="9">
        <f t="shared" si="186"/>
        <v>10705.539176720353</v>
      </c>
      <c r="AB52" s="9">
        <f t="shared" si="186"/>
        <v>16282.893260004088</v>
      </c>
      <c r="AC52" s="9">
        <f t="shared" si="186"/>
        <v>14700.025415209349</v>
      </c>
      <c r="AD52" s="9">
        <f t="shared" si="186"/>
        <v>22066.742486032686</v>
      </c>
      <c r="AE52" s="9">
        <f t="shared" si="186"/>
        <v>20221.906144596938</v>
      </c>
      <c r="AF52" s="9">
        <f t="shared" si="186"/>
        <v>28726.111476862723</v>
      </c>
      <c r="AG52" s="9">
        <f t="shared" si="186"/>
        <v>24584.811041227655</v>
      </c>
      <c r="AH52" s="9">
        <f t="shared" si="186"/>
        <v>36260.845526506659</v>
      </c>
      <c r="AI52" s="9">
        <f t="shared" si="186"/>
        <v>31596.728350932706</v>
      </c>
      <c r="AJ52" s="9">
        <f t="shared" si="186"/>
        <v>837.91472223062817</v>
      </c>
      <c r="AK52" s="9">
        <f t="shared" si="186"/>
        <v>1451.8703077097405</v>
      </c>
      <c r="AL52" s="9">
        <f t="shared" si="186"/>
        <v>2375.2509322279252</v>
      </c>
      <c r="AM52" s="9">
        <f t="shared" si="186"/>
        <v>3351.6588889225122</v>
      </c>
      <c r="AN52" s="9">
        <f t="shared" si="186"/>
        <v>4900.0084717364507</v>
      </c>
      <c r="AO52" s="9">
        <f t="shared" si="186"/>
        <v>6740.6353815323146</v>
      </c>
      <c r="AP52" s="9">
        <f t="shared" si="186"/>
        <v>6149.8554317329081</v>
      </c>
      <c r="AQ52" s="9">
        <f t="shared" si="186"/>
        <v>11297.994066544099</v>
      </c>
      <c r="AR52" s="9">
        <f t="shared" si="186"/>
        <v>10532.24278364424</v>
      </c>
      <c r="AS52" s="9">
        <f t="shared" si="186"/>
        <v>9790.6575467541552</v>
      </c>
      <c r="AT52" s="9">
        <f t="shared" ref="AT52:AV52" si="188">AT50*AT24/AT23</f>
        <v>14338.398040215139</v>
      </c>
      <c r="AU52" s="9">
        <f t="shared" si="188"/>
        <v>13475.699717622036</v>
      </c>
      <c r="AV52" s="9">
        <f t="shared" si="188"/>
        <v>12636.686082446957</v>
      </c>
      <c r="AW52" s="9">
        <f t="shared" si="186"/>
        <v>16082.973324275601</v>
      </c>
      <c r="AX52" s="9">
        <f t="shared" si="186"/>
        <v>15166.429608447706</v>
      </c>
      <c r="AY52" s="9">
        <f t="shared" si="186"/>
        <v>14274.052235627139</v>
      </c>
      <c r="AZ52" s="9">
        <f t="shared" si="186"/>
        <v>21710.524346672115</v>
      </c>
      <c r="BA52" s="9">
        <f t="shared" si="186"/>
        <v>19600.033886945803</v>
      </c>
      <c r="BB52" s="9">
        <f t="shared" si="186"/>
        <v>29422.323314710251</v>
      </c>
      <c r="BC52" s="9">
        <f t="shared" si="186"/>
        <v>26962.541526129255</v>
      </c>
      <c r="BD52" s="9">
        <f t="shared" si="186"/>
        <v>38301.481969150322</v>
      </c>
      <c r="BE52" s="9">
        <f t="shared" si="186"/>
        <v>32779.748054970209</v>
      </c>
      <c r="BF52" s="9">
        <f t="shared" si="186"/>
        <v>48347.794035342216</v>
      </c>
      <c r="BG52" s="9">
        <f t="shared" si="186"/>
        <v>42128.971134576961</v>
      </c>
      <c r="BH52" s="9">
        <f t="shared" si="186"/>
        <v>1230.6872482762351</v>
      </c>
      <c r="BI52" s="9">
        <f t="shared" si="186"/>
        <v>2132.4345144486815</v>
      </c>
      <c r="BJ52" s="9">
        <f t="shared" si="186"/>
        <v>3488.6498067097646</v>
      </c>
      <c r="BK52" s="9">
        <f t="shared" si="186"/>
        <v>4922.7489931049386</v>
      </c>
      <c r="BL52" s="9">
        <f t="shared" si="186"/>
        <v>7196.8874428629142</v>
      </c>
      <c r="BM52" s="9">
        <f t="shared" si="186"/>
        <v>9900.3082166255863</v>
      </c>
      <c r="BN52" s="9">
        <f t="shared" si="186"/>
        <v>9032.6001653577096</v>
      </c>
      <c r="BO52" s="9">
        <f t="shared" si="186"/>
        <v>16593.928785236643</v>
      </c>
      <c r="BP52" s="9">
        <f t="shared" si="186"/>
        <v>15469.231588477474</v>
      </c>
      <c r="BQ52" s="9">
        <f t="shared" si="186"/>
        <v>14380.028271795161</v>
      </c>
      <c r="BR52" s="9">
        <f t="shared" ref="BR52:BT52" si="189">BR50*BR24/BR23</f>
        <v>21059.52212156598</v>
      </c>
      <c r="BS52" s="9">
        <f t="shared" si="189"/>
        <v>19792.433960257364</v>
      </c>
      <c r="BT52" s="9">
        <f t="shared" si="189"/>
        <v>18560.132683593969</v>
      </c>
      <c r="BU52" s="9">
        <f t="shared" si="186"/>
        <v>23621.867070029788</v>
      </c>
      <c r="BV52" s="9">
        <f t="shared" si="186"/>
        <v>22275.693487407567</v>
      </c>
      <c r="BW52" s="9">
        <f t="shared" si="186"/>
        <v>20965.014221077359</v>
      </c>
      <c r="BX52" s="9">
        <f t="shared" si="186"/>
        <v>31887.33263417468</v>
      </c>
      <c r="BY52" s="9">
        <f t="shared" si="186"/>
        <v>28787.549771451646</v>
      </c>
      <c r="BZ52" s="9">
        <f t="shared" si="186"/>
        <v>43214.037368480691</v>
      </c>
      <c r="CA52" s="9">
        <f t="shared" si="186"/>
        <v>39601.232866502345</v>
      </c>
      <c r="CB52" s="9">
        <f t="shared" si="186"/>
        <v>56255.301642189523</v>
      </c>
      <c r="CC52" s="9">
        <f t="shared" si="186"/>
        <v>48145.254955737495</v>
      </c>
      <c r="CD52" s="9">
        <f t="shared" si="186"/>
        <v>71010.822489408863</v>
      </c>
      <c r="CE52" s="9">
        <f t="shared" si="186"/>
        <v>61876.926353909897</v>
      </c>
      <c r="CF52" s="9">
        <f t="shared" ref="CF52:CG52" si="190">CF50*CF24/CF23</f>
        <v>17476.584571685402</v>
      </c>
      <c r="CG52" s="9">
        <f t="shared" si="190"/>
        <v>16292.063055949679</v>
      </c>
      <c r="CH52" s="9">
        <f t="shared" si="186"/>
        <v>15144.92339263533</v>
      </c>
      <c r="CI52" s="9">
        <f t="shared" ref="CI52:CJ52" si="191">CI50*CI24/CI23</f>
        <v>19547.373783785137</v>
      </c>
      <c r="CJ52" s="9">
        <f t="shared" si="191"/>
        <v>24878.349360988825</v>
      </c>
      <c r="CK52" s="9">
        <f t="shared" ref="CK52" si="192">CK50*CK24/CK23</f>
        <v>23460.570800567544</v>
      </c>
      <c r="CL52" s="9">
        <f t="shared" si="186"/>
        <v>22080.174551985725</v>
      </c>
      <c r="CM52" s="9">
        <f t="shared" ref="CM52" si="193">CM50*CM24/CM23</f>
        <v>33583.46734875843</v>
      </c>
      <c r="CN52" s="9">
        <f t="shared" si="186"/>
        <v>30318.802418869294</v>
      </c>
    </row>
    <row r="53" spans="8:92" s="8" customFormat="1" x14ac:dyDescent="0.25">
      <c r="I53" s="67">
        <f>I32</f>
        <v>136.46913630835459</v>
      </c>
      <c r="J53" s="248"/>
      <c r="K53" s="9" t="s">
        <v>92</v>
      </c>
      <c r="L53" s="26">
        <f>L32</f>
        <v>0.57409636692981936</v>
      </c>
      <c r="M53" s="26">
        <f t="shared" ref="M53:R53" si="194">M32</f>
        <v>1.3278148454476313</v>
      </c>
      <c r="N53" s="26">
        <f t="shared" si="194"/>
        <v>2.6818095649426494</v>
      </c>
      <c r="O53" s="26">
        <f t="shared" si="194"/>
        <v>4.5679934371588082</v>
      </c>
      <c r="P53" s="26">
        <f t="shared" si="194"/>
        <v>7.6311756356646478</v>
      </c>
      <c r="Q53" s="26">
        <f t="shared" si="194"/>
        <v>11.937935368344169</v>
      </c>
      <c r="R53" s="26">
        <f t="shared" si="194"/>
        <v>11.131822266894432</v>
      </c>
      <c r="S53" s="26">
        <f t="shared" ref="S53:CN53" si="195">S32</f>
        <v>24.453329262708376</v>
      </c>
      <c r="T53" s="26">
        <f t="shared" si="195"/>
        <v>23.207275986796013</v>
      </c>
      <c r="U53" s="26">
        <f t="shared" si="195"/>
        <v>21.955602551655904</v>
      </c>
      <c r="V53" s="26">
        <f t="shared" ref="V53:X53" si="196">V32</f>
        <v>33.64654286112215</v>
      </c>
      <c r="W53" s="26">
        <f t="shared" si="196"/>
        <v>32.148423315701393</v>
      </c>
      <c r="X53" s="26">
        <f t="shared" si="196"/>
        <v>30.640347200697711</v>
      </c>
      <c r="Y53" s="26">
        <f t="shared" si="195"/>
        <v>42.061709090492243</v>
      </c>
      <c r="Z53" s="26">
        <f t="shared" si="195"/>
        <v>40.257000580464187</v>
      </c>
      <c r="AA53" s="26">
        <f t="shared" si="195"/>
        <v>38.445790788890172</v>
      </c>
      <c r="AB53" s="26">
        <f t="shared" si="195"/>
        <v>66.166853967687075</v>
      </c>
      <c r="AC53" s="26">
        <f t="shared" si="195"/>
        <v>61.265696359254143</v>
      </c>
      <c r="AD53" s="26">
        <f t="shared" si="195"/>
        <v>101.37511539216456</v>
      </c>
      <c r="AE53" s="26">
        <f t="shared" si="195"/>
        <v>95.005933027020987</v>
      </c>
      <c r="AF53" s="26">
        <f t="shared" si="195"/>
        <v>147.7406802331225</v>
      </c>
      <c r="AG53" s="26">
        <f t="shared" si="195"/>
        <v>131.56247855950767</v>
      </c>
      <c r="AH53" s="26">
        <f t="shared" si="195"/>
        <v>205.51107608922916</v>
      </c>
      <c r="AI53" s="26">
        <f t="shared" si="195"/>
        <v>185.6582078943681</v>
      </c>
      <c r="AJ53" s="26">
        <f t="shared" si="195"/>
        <v>0.76546182257309237</v>
      </c>
      <c r="AK53" s="26">
        <f t="shared" si="195"/>
        <v>1.7704197939301751</v>
      </c>
      <c r="AL53" s="26">
        <f t="shared" si="195"/>
        <v>3.5757460865901991</v>
      </c>
      <c r="AM53" s="26">
        <f t="shared" si="195"/>
        <v>6.090657916211744</v>
      </c>
      <c r="AN53" s="26">
        <f t="shared" si="195"/>
        <v>10.174900847552863</v>
      </c>
      <c r="AO53" s="26">
        <f t="shared" si="195"/>
        <v>15.917247157792223</v>
      </c>
      <c r="AP53" s="26">
        <f t="shared" si="195"/>
        <v>14.842429689192574</v>
      </c>
      <c r="AQ53" s="26">
        <f t="shared" si="195"/>
        <v>32.604439016944504</v>
      </c>
      <c r="AR53" s="26">
        <f t="shared" si="195"/>
        <v>30.943034649061353</v>
      </c>
      <c r="AS53" s="26">
        <f t="shared" si="195"/>
        <v>29.274136735541209</v>
      </c>
      <c r="AT53" s="26">
        <f t="shared" ref="AT53:AV53" si="197">AT32</f>
        <v>44.862057148162869</v>
      </c>
      <c r="AU53" s="26">
        <f t="shared" si="197"/>
        <v>42.864564420935189</v>
      </c>
      <c r="AV53" s="26">
        <f t="shared" si="197"/>
        <v>40.853796267596955</v>
      </c>
      <c r="AW53" s="26">
        <f t="shared" si="195"/>
        <v>56.082278787322998</v>
      </c>
      <c r="AX53" s="26">
        <f t="shared" si="195"/>
        <v>53.676000773952254</v>
      </c>
      <c r="AY53" s="26">
        <f t="shared" si="195"/>
        <v>51.261054385186895</v>
      </c>
      <c r="AZ53" s="26">
        <f t="shared" si="195"/>
        <v>88.222471956916095</v>
      </c>
      <c r="BA53" s="26">
        <f t="shared" si="195"/>
        <v>81.687595145672191</v>
      </c>
      <c r="BB53" s="26">
        <f t="shared" si="195"/>
        <v>135.1668205228861</v>
      </c>
      <c r="BC53" s="26">
        <f t="shared" si="195"/>
        <v>126.67457736936132</v>
      </c>
      <c r="BD53" s="26">
        <f t="shared" si="195"/>
        <v>196.98757364416335</v>
      </c>
      <c r="BE53" s="26">
        <f t="shared" si="195"/>
        <v>175.41663807934353</v>
      </c>
      <c r="BF53" s="26">
        <f t="shared" si="195"/>
        <v>274.0147681189722</v>
      </c>
      <c r="BG53" s="26">
        <f t="shared" si="195"/>
        <v>247.54427719249082</v>
      </c>
      <c r="BH53" s="26">
        <f t="shared" si="195"/>
        <v>1.1242720519042295</v>
      </c>
      <c r="BI53" s="26">
        <f t="shared" si="195"/>
        <v>2.6003040723349446</v>
      </c>
      <c r="BJ53" s="26">
        <f t="shared" si="195"/>
        <v>5.2518770646793538</v>
      </c>
      <c r="BK53" s="26">
        <f t="shared" si="195"/>
        <v>8.9456538144359978</v>
      </c>
      <c r="BL53" s="26">
        <f t="shared" si="195"/>
        <v>14.944385619843269</v>
      </c>
      <c r="BM53" s="26">
        <f t="shared" si="195"/>
        <v>23.378456763007328</v>
      </c>
      <c r="BN53" s="26">
        <f t="shared" si="195"/>
        <v>21.799818606001597</v>
      </c>
      <c r="BO53" s="26">
        <f t="shared" si="195"/>
        <v>47.887769806137236</v>
      </c>
      <c r="BP53" s="26">
        <f t="shared" si="195"/>
        <v>45.447582140808862</v>
      </c>
      <c r="BQ53" s="26">
        <f t="shared" si="195"/>
        <v>42.996388330326148</v>
      </c>
      <c r="BR53" s="26">
        <f t="shared" ref="BR53:BT53" si="198">BR32</f>
        <v>65.89114643636421</v>
      </c>
      <c r="BS53" s="26">
        <f t="shared" si="198"/>
        <v>62.957328993248552</v>
      </c>
      <c r="BT53" s="26">
        <f t="shared" si="198"/>
        <v>60.00401326803302</v>
      </c>
      <c r="BU53" s="26">
        <f t="shared" si="195"/>
        <v>82.370846968880642</v>
      </c>
      <c r="BV53" s="26">
        <f t="shared" si="195"/>
        <v>78.836626136742368</v>
      </c>
      <c r="BW53" s="26">
        <f t="shared" si="195"/>
        <v>75.28967362824325</v>
      </c>
      <c r="BX53" s="26">
        <f t="shared" si="195"/>
        <v>129.57675568672053</v>
      </c>
      <c r="BY53" s="26">
        <f t="shared" si="195"/>
        <v>119.97865537020603</v>
      </c>
      <c r="BZ53" s="26">
        <f t="shared" si="195"/>
        <v>198.52626764298896</v>
      </c>
      <c r="CA53" s="26">
        <f t="shared" si="195"/>
        <v>186.05328551124944</v>
      </c>
      <c r="CB53" s="26">
        <f t="shared" si="195"/>
        <v>289.32549878986492</v>
      </c>
      <c r="CC53" s="26">
        <f t="shared" si="195"/>
        <v>257.64318717903581</v>
      </c>
      <c r="CD53" s="26">
        <f t="shared" si="195"/>
        <v>402.4591906747404</v>
      </c>
      <c r="CE53" s="26">
        <f t="shared" si="195"/>
        <v>363.5806571264709</v>
      </c>
      <c r="CF53" s="26">
        <f t="shared" ref="CF53:CG53" si="199">CF32</f>
        <v>50.434991604336027</v>
      </c>
      <c r="CG53" s="26">
        <f t="shared" si="199"/>
        <v>47.865006722766779</v>
      </c>
      <c r="CH53" s="26">
        <f t="shared" si="195"/>
        <v>45.283430262790304</v>
      </c>
      <c r="CI53" s="26">
        <f t="shared" ref="CI53:CJ53" si="200">CI32</f>
        <v>63.195716101439032</v>
      </c>
      <c r="CJ53" s="26">
        <f t="shared" si="200"/>
        <v>86.752274999140255</v>
      </c>
      <c r="CK53" s="26">
        <f t="shared" ref="CK53" si="201">CK32</f>
        <v>83.030063697207382</v>
      </c>
      <c r="CL53" s="26">
        <f t="shared" si="195"/>
        <v>79.294443502085983</v>
      </c>
      <c r="CM53" s="26">
        <f t="shared" ref="CM53" si="202">CM32</f>
        <v>136.46913630835459</v>
      </c>
      <c r="CN53" s="26">
        <f t="shared" si="195"/>
        <v>126.36049874096167</v>
      </c>
    </row>
    <row r="54" spans="8:92" s="8" customFormat="1" x14ac:dyDescent="0.25">
      <c r="H54" s="8">
        <f>1*I25*1000/I$24</f>
        <v>61216.720501342053</v>
      </c>
      <c r="I54" s="65">
        <f>I35*I25/I27</f>
        <v>58155.884476274943</v>
      </c>
      <c r="J54" s="248"/>
      <c r="K54" s="9" t="s">
        <v>93</v>
      </c>
      <c r="L54" s="9">
        <f>L35*L25/L27</f>
        <v>1108.109634023401</v>
      </c>
      <c r="M54" s="9">
        <f t="shared" ref="M54:R54" si="203">M35*M25/M27</f>
        <v>1925.3108662017687</v>
      </c>
      <c r="N54" s="9">
        <f t="shared" si="203"/>
        <v>3136.0667213673496</v>
      </c>
      <c r="O54" s="9">
        <f t="shared" si="203"/>
        <v>4433.7864838943706</v>
      </c>
      <c r="P54" s="9">
        <f t="shared" si="203"/>
        <v>6436.7325566905747</v>
      </c>
      <c r="Q54" s="9">
        <f t="shared" si="203"/>
        <v>8802.5897774307268</v>
      </c>
      <c r="R54" s="9">
        <f t="shared" si="203"/>
        <v>8108.5342501810319</v>
      </c>
      <c r="S54" s="9">
        <f t="shared" ref="S54:CN54" si="204">S35*S25/S27</f>
        <v>14640.101458191684</v>
      </c>
      <c r="T54" s="9">
        <f t="shared" si="204"/>
        <v>13756.813569907645</v>
      </c>
      <c r="U54" s="9">
        <f t="shared" si="204"/>
        <v>12887.510714724494</v>
      </c>
      <c r="V54" s="9">
        <f t="shared" ref="V54:X54" si="205">V35*V25/V27</f>
        <v>18529.873068966601</v>
      </c>
      <c r="W54" s="9">
        <f t="shared" si="205"/>
        <v>17543.783259989734</v>
      </c>
      <c r="X54" s="9">
        <f t="shared" si="205"/>
        <v>16570.086265785725</v>
      </c>
      <c r="Y54" s="9">
        <f t="shared" si="204"/>
        <v>20865.56764453687</v>
      </c>
      <c r="Z54" s="9">
        <f t="shared" si="204"/>
        <v>19806.533474400501</v>
      </c>
      <c r="AA54" s="9">
        <f t="shared" si="204"/>
        <v>18761.555167995681</v>
      </c>
      <c r="AB54" s="9">
        <f t="shared" si="204"/>
        <v>28196.792473345427</v>
      </c>
      <c r="AC54" s="9">
        <f t="shared" si="204"/>
        <v>25742.478337270288</v>
      </c>
      <c r="AD54" s="9">
        <f t="shared" si="204"/>
        <v>38049.484229794791</v>
      </c>
      <c r="AE54" s="9">
        <f t="shared" si="204"/>
        <v>35218.257405908851</v>
      </c>
      <c r="AF54" s="9">
        <f t="shared" si="204"/>
        <v>49359.877827182063</v>
      </c>
      <c r="AG54" s="9">
        <f t="shared" si="204"/>
        <v>42997.005691900114</v>
      </c>
      <c r="AH54" s="9">
        <f t="shared" si="204"/>
        <v>62139.389923510535</v>
      </c>
      <c r="AI54" s="9">
        <f t="shared" si="204"/>
        <v>55027.254279630579</v>
      </c>
      <c r="AJ54" s="9">
        <f t="shared" si="204"/>
        <v>1477.4795120312012</v>
      </c>
      <c r="AK54" s="9">
        <f t="shared" si="204"/>
        <v>2567.0811549356918</v>
      </c>
      <c r="AL54" s="9">
        <f t="shared" si="204"/>
        <v>4181.4222951564652</v>
      </c>
      <c r="AM54" s="9">
        <f t="shared" si="204"/>
        <v>5911.7153118591614</v>
      </c>
      <c r="AN54" s="9">
        <f t="shared" si="204"/>
        <v>8582.3100755874293</v>
      </c>
      <c r="AO54" s="9">
        <f t="shared" si="204"/>
        <v>11736.786369907637</v>
      </c>
      <c r="AP54" s="9">
        <f t="shared" si="204"/>
        <v>10811.379000241377</v>
      </c>
      <c r="AQ54" s="9">
        <f t="shared" si="204"/>
        <v>19520.135277588906</v>
      </c>
      <c r="AR54" s="9">
        <f t="shared" si="204"/>
        <v>18342.418093210192</v>
      </c>
      <c r="AS54" s="9">
        <f t="shared" si="204"/>
        <v>17183.347619632656</v>
      </c>
      <c r="AT54" s="9">
        <f t="shared" ref="AT54:AV54" si="206">AT35*AT25/AT27</f>
        <v>24706.497425288802</v>
      </c>
      <c r="AU54" s="9">
        <f t="shared" si="206"/>
        <v>23391.711013319647</v>
      </c>
      <c r="AV54" s="9">
        <f t="shared" si="206"/>
        <v>22093.448354380969</v>
      </c>
      <c r="AW54" s="9">
        <f t="shared" si="204"/>
        <v>27820.756859382494</v>
      </c>
      <c r="AX54" s="9">
        <f t="shared" si="204"/>
        <v>26408.711299200666</v>
      </c>
      <c r="AY54" s="9">
        <f t="shared" si="204"/>
        <v>25015.40689066091</v>
      </c>
      <c r="AZ54" s="9">
        <f t="shared" si="204"/>
        <v>37595.723297793906</v>
      </c>
      <c r="BA54" s="9">
        <f t="shared" si="204"/>
        <v>34323.304449693715</v>
      </c>
      <c r="BB54" s="9">
        <f t="shared" si="204"/>
        <v>50732.64563972639</v>
      </c>
      <c r="BC54" s="9">
        <f t="shared" si="204"/>
        <v>46957.676541211804</v>
      </c>
      <c r="BD54" s="9">
        <f t="shared" si="204"/>
        <v>65813.170436242741</v>
      </c>
      <c r="BE54" s="9">
        <f t="shared" si="204"/>
        <v>57329.340922533476</v>
      </c>
      <c r="BF54" s="9">
        <f t="shared" si="204"/>
        <v>82852.51989801407</v>
      </c>
      <c r="BG54" s="9">
        <f t="shared" si="204"/>
        <v>73369.672372840767</v>
      </c>
      <c r="BH54" s="9">
        <f t="shared" si="204"/>
        <v>2170.0480332958268</v>
      </c>
      <c r="BI54" s="9">
        <f t="shared" si="204"/>
        <v>3770.4004463117972</v>
      </c>
      <c r="BJ54" s="9">
        <f t="shared" si="204"/>
        <v>6141.463996011058</v>
      </c>
      <c r="BK54" s="9">
        <f t="shared" si="204"/>
        <v>8682.8318642931426</v>
      </c>
      <c r="BL54" s="9">
        <f t="shared" si="204"/>
        <v>12605.267923519039</v>
      </c>
      <c r="BM54" s="9">
        <f t="shared" si="204"/>
        <v>17238.404980801839</v>
      </c>
      <c r="BN54" s="9">
        <f t="shared" si="204"/>
        <v>15879.21290660452</v>
      </c>
      <c r="BO54" s="9">
        <f t="shared" si="204"/>
        <v>28670.19868895871</v>
      </c>
      <c r="BP54" s="9">
        <f t="shared" si="204"/>
        <v>26940.426574402471</v>
      </c>
      <c r="BQ54" s="9">
        <f t="shared" si="204"/>
        <v>25238.041816335462</v>
      </c>
      <c r="BR54" s="9">
        <f t="shared" ref="BR54:BT54" si="207">BR35*BR25/BR27</f>
        <v>36287.668093392924</v>
      </c>
      <c r="BS54" s="9">
        <f t="shared" si="207"/>
        <v>34356.575550813235</v>
      </c>
      <c r="BT54" s="9">
        <f t="shared" si="207"/>
        <v>32449.752270497051</v>
      </c>
      <c r="BU54" s="9">
        <f t="shared" si="204"/>
        <v>40861.73663721804</v>
      </c>
      <c r="BV54" s="9">
        <f t="shared" si="204"/>
        <v>38787.794720700978</v>
      </c>
      <c r="BW54" s="9">
        <f t="shared" si="204"/>
        <v>36741.378870658213</v>
      </c>
      <c r="BX54" s="9">
        <f t="shared" si="204"/>
        <v>55218.718593634803</v>
      </c>
      <c r="BY54" s="9">
        <f t="shared" si="204"/>
        <v>50412.353410487645</v>
      </c>
      <c r="BZ54" s="9">
        <f t="shared" si="204"/>
        <v>74513.573283348131</v>
      </c>
      <c r="CA54" s="9">
        <f t="shared" si="204"/>
        <v>68969.087419904841</v>
      </c>
      <c r="CB54" s="9">
        <f t="shared" si="204"/>
        <v>96663.094078231501</v>
      </c>
      <c r="CC54" s="9">
        <f t="shared" si="204"/>
        <v>84202.469479971027</v>
      </c>
      <c r="CD54" s="9">
        <f t="shared" si="204"/>
        <v>121689.63860020813</v>
      </c>
      <c r="CE54" s="9">
        <f t="shared" si="204"/>
        <v>107761.70629760988</v>
      </c>
      <c r="CF54" s="9">
        <f t="shared" ref="CF54:CG54" si="208">CF35*CF25/CF27</f>
        <v>30195.20925752035</v>
      </c>
      <c r="CG54" s="9">
        <f t="shared" si="208"/>
        <v>28373.427987934516</v>
      </c>
      <c r="CH54" s="9">
        <f t="shared" si="204"/>
        <v>26580.490849119262</v>
      </c>
      <c r="CI54" s="9">
        <f t="shared" ref="CI54:CJ54" si="209">CI35*CI25/CI27</f>
        <v>34175.802923183066</v>
      </c>
      <c r="CJ54" s="9">
        <f t="shared" si="209"/>
        <v>43035.233266857293</v>
      </c>
      <c r="CK54" s="9">
        <f t="shared" ref="CK54" si="210">CK35*CK25/CK27</f>
        <v>40850.975290951035</v>
      </c>
      <c r="CL54" s="9">
        <f t="shared" si="204"/>
        <v>38695.707533991088</v>
      </c>
      <c r="CM54" s="9">
        <f t="shared" ref="CM54" si="211">CM35*CM25/CM27</f>
        <v>58155.884476274943</v>
      </c>
      <c r="CN54" s="9">
        <f t="shared" si="204"/>
        <v>53093.861570619971</v>
      </c>
    </row>
    <row r="55" spans="8:92" s="8" customFormat="1" x14ac:dyDescent="0.25">
      <c r="I55" s="66">
        <f>I25</f>
        <v>197.88024764711415</v>
      </c>
      <c r="J55" s="248"/>
      <c r="K55" s="9" t="s">
        <v>94</v>
      </c>
      <c r="L55" s="10">
        <f>L25</f>
        <v>0.83243973204823796</v>
      </c>
      <c r="M55" s="10">
        <f t="shared" ref="M55:R55" si="212">M25</f>
        <v>1.9253315258990653</v>
      </c>
      <c r="N55" s="10">
        <f t="shared" si="212"/>
        <v>3.8886238691668411</v>
      </c>
      <c r="O55" s="10">
        <f t="shared" si="212"/>
        <v>6.6235904838802711</v>
      </c>
      <c r="P55" s="10">
        <f t="shared" si="212"/>
        <v>11.065204671713738</v>
      </c>
      <c r="Q55" s="10">
        <f t="shared" si="212"/>
        <v>17.310006284099043</v>
      </c>
      <c r="R55" s="10">
        <f t="shared" si="212"/>
        <v>16.141142286996924</v>
      </c>
      <c r="S55" s="10">
        <f t="shared" ref="S55:CN55" si="213">S25</f>
        <v>35.457327430927144</v>
      </c>
      <c r="T55" s="10">
        <f t="shared" si="213"/>
        <v>33.650550180854218</v>
      </c>
      <c r="U55" s="10">
        <f t="shared" si="213"/>
        <v>31.83562369990106</v>
      </c>
      <c r="V55" s="10">
        <f t="shared" ref="V55:X55" si="214">V25</f>
        <v>48.787487148627115</v>
      </c>
      <c r="W55" s="10">
        <f t="shared" si="214"/>
        <v>46.615213807767013</v>
      </c>
      <c r="X55" s="10">
        <f t="shared" si="214"/>
        <v>44.428503441011678</v>
      </c>
      <c r="Y55" s="10">
        <f t="shared" si="213"/>
        <v>60.989478181213748</v>
      </c>
      <c r="Z55" s="10">
        <f t="shared" si="213"/>
        <v>58.372650841673071</v>
      </c>
      <c r="AA55" s="10">
        <f t="shared" si="213"/>
        <v>55.746396643890748</v>
      </c>
      <c r="AB55" s="10">
        <f t="shared" si="213"/>
        <v>95.941938253146247</v>
      </c>
      <c r="AC55" s="10">
        <f t="shared" si="213"/>
        <v>88.835259720918501</v>
      </c>
      <c r="AD55" s="10">
        <f t="shared" si="213"/>
        <v>146.99391731863861</v>
      </c>
      <c r="AE55" s="10">
        <f t="shared" si="213"/>
        <v>137.75860288918042</v>
      </c>
      <c r="AF55" s="10">
        <f t="shared" si="213"/>
        <v>214.22398633802763</v>
      </c>
      <c r="AG55" s="10">
        <f t="shared" si="213"/>
        <v>190.76559391128609</v>
      </c>
      <c r="AH55" s="10">
        <f t="shared" si="213"/>
        <v>297.99106032938226</v>
      </c>
      <c r="AI55" s="10">
        <f t="shared" si="213"/>
        <v>269.20440144683374</v>
      </c>
      <c r="AJ55" s="10">
        <f t="shared" si="213"/>
        <v>1.1099196427309839</v>
      </c>
      <c r="AK55" s="10">
        <f t="shared" si="213"/>
        <v>2.5671087011987539</v>
      </c>
      <c r="AL55" s="10">
        <f t="shared" si="213"/>
        <v>5.1848318255557881</v>
      </c>
      <c r="AM55" s="10">
        <f t="shared" si="213"/>
        <v>8.8314539785070281</v>
      </c>
      <c r="AN55" s="10">
        <f t="shared" si="213"/>
        <v>14.75360622895165</v>
      </c>
      <c r="AO55" s="10">
        <f t="shared" si="213"/>
        <v>23.080008378798723</v>
      </c>
      <c r="AP55" s="10">
        <f t="shared" si="213"/>
        <v>21.521523049329232</v>
      </c>
      <c r="AQ55" s="10">
        <f t="shared" si="213"/>
        <v>47.276436574569523</v>
      </c>
      <c r="AR55" s="10">
        <f t="shared" si="213"/>
        <v>44.867400241138959</v>
      </c>
      <c r="AS55" s="10">
        <f t="shared" si="213"/>
        <v>42.447498266534751</v>
      </c>
      <c r="AT55" s="10">
        <f t="shared" ref="AT55:AV55" si="215">AT25</f>
        <v>65.049982864836153</v>
      </c>
      <c r="AU55" s="10">
        <f t="shared" si="215"/>
        <v>62.153618410356017</v>
      </c>
      <c r="AV55" s="10">
        <f t="shared" si="215"/>
        <v>59.238004588015578</v>
      </c>
      <c r="AW55" s="10">
        <f t="shared" si="213"/>
        <v>81.31930424161834</v>
      </c>
      <c r="AX55" s="10">
        <f t="shared" si="213"/>
        <v>77.830201122230761</v>
      </c>
      <c r="AY55" s="10">
        <f t="shared" si="213"/>
        <v>74.328528858520997</v>
      </c>
      <c r="AZ55" s="10">
        <f t="shared" si="213"/>
        <v>127.92258433752833</v>
      </c>
      <c r="BA55" s="10">
        <f t="shared" si="213"/>
        <v>118.44701296122467</v>
      </c>
      <c r="BB55" s="10">
        <f t="shared" si="213"/>
        <v>195.99188975818481</v>
      </c>
      <c r="BC55" s="10">
        <f t="shared" si="213"/>
        <v>183.67813718557389</v>
      </c>
      <c r="BD55" s="10">
        <f t="shared" si="213"/>
        <v>285.63198178403684</v>
      </c>
      <c r="BE55" s="10">
        <f t="shared" si="213"/>
        <v>254.3541252150481</v>
      </c>
      <c r="BF55" s="10">
        <f t="shared" si="213"/>
        <v>397.32141377250969</v>
      </c>
      <c r="BG55" s="10">
        <f t="shared" si="213"/>
        <v>358.93920192911168</v>
      </c>
      <c r="BH55" s="10">
        <f t="shared" si="213"/>
        <v>1.6301944752611326</v>
      </c>
      <c r="BI55" s="10">
        <f t="shared" si="213"/>
        <v>3.7704409048856693</v>
      </c>
      <c r="BJ55" s="10">
        <f t="shared" si="213"/>
        <v>7.6152217437850629</v>
      </c>
      <c r="BK55" s="10">
        <f t="shared" si="213"/>
        <v>12.971198030932197</v>
      </c>
      <c r="BL55" s="10">
        <f t="shared" si="213"/>
        <v>21.669359148772738</v>
      </c>
      <c r="BM55" s="10">
        <f t="shared" si="213"/>
        <v>33.898762306360624</v>
      </c>
      <c r="BN55" s="10">
        <f t="shared" si="213"/>
        <v>31.609736978702312</v>
      </c>
      <c r="BO55" s="10">
        <f t="shared" si="213"/>
        <v>69.437266218898984</v>
      </c>
      <c r="BP55" s="10">
        <f t="shared" si="213"/>
        <v>65.898994104172843</v>
      </c>
      <c r="BQ55" s="10">
        <f t="shared" si="213"/>
        <v>62.34476307897291</v>
      </c>
      <c r="BR55" s="10">
        <f t="shared" ref="BR55:BT55" si="216">BR25</f>
        <v>95.542162332728097</v>
      </c>
      <c r="BS55" s="10">
        <f t="shared" si="216"/>
        <v>91.288127040210398</v>
      </c>
      <c r="BT55" s="10">
        <f t="shared" si="216"/>
        <v>87.005819238647874</v>
      </c>
      <c r="BU55" s="10">
        <f t="shared" si="213"/>
        <v>119.43772810487692</v>
      </c>
      <c r="BV55" s="10">
        <f t="shared" si="213"/>
        <v>114.31310789827643</v>
      </c>
      <c r="BW55" s="10">
        <f t="shared" si="213"/>
        <v>109.17002676095271</v>
      </c>
      <c r="BX55" s="10">
        <f t="shared" si="213"/>
        <v>187.88629574574475</v>
      </c>
      <c r="BY55" s="10">
        <f t="shared" si="213"/>
        <v>173.96905028679873</v>
      </c>
      <c r="BZ55" s="10">
        <f t="shared" si="213"/>
        <v>287.86308808233395</v>
      </c>
      <c r="CA55" s="10">
        <f t="shared" si="213"/>
        <v>269.77726399131166</v>
      </c>
      <c r="CB55" s="10">
        <f t="shared" si="213"/>
        <v>419.52197324530408</v>
      </c>
      <c r="CC55" s="10">
        <f t="shared" si="213"/>
        <v>373.58262140960187</v>
      </c>
      <c r="CD55" s="10">
        <f t="shared" si="213"/>
        <v>583.56582647837354</v>
      </c>
      <c r="CE55" s="10">
        <f t="shared" si="213"/>
        <v>527.19195283338274</v>
      </c>
      <c r="CF55" s="10">
        <f t="shared" ref="CF55:CG55" si="217">CF25</f>
        <v>73.130737826287231</v>
      </c>
      <c r="CG55" s="10">
        <f t="shared" si="217"/>
        <v>69.404259748011825</v>
      </c>
      <c r="CH55" s="10">
        <f t="shared" si="213"/>
        <v>65.660973881045933</v>
      </c>
      <c r="CI55" s="10">
        <f t="shared" ref="CI55:CJ55" si="218">CI25</f>
        <v>91.633788347086593</v>
      </c>
      <c r="CJ55" s="10">
        <f t="shared" si="218"/>
        <v>125.79079874875336</v>
      </c>
      <c r="CK55" s="10">
        <f t="shared" ref="CK55" si="219">CK25</f>
        <v>120.39359236095071</v>
      </c>
      <c r="CL55" s="10">
        <f t="shared" si="213"/>
        <v>114.97694307802466</v>
      </c>
      <c r="CM55" s="10">
        <f t="shared" ref="CM55" si="220">CM25</f>
        <v>197.88024764711415</v>
      </c>
      <c r="CN55" s="10">
        <f t="shared" si="213"/>
        <v>183.22272317439442</v>
      </c>
    </row>
    <row r="56" spans="8:92" s="8" customFormat="1" x14ac:dyDescent="0.25">
      <c r="I56" s="52">
        <f>I34</f>
        <v>88538.232101272224</v>
      </c>
      <c r="J56" s="248"/>
      <c r="K56" s="9" t="s">
        <v>95</v>
      </c>
      <c r="L56" s="11">
        <f>L34</f>
        <v>1656.7859280469236</v>
      </c>
      <c r="M56" s="11">
        <f t="shared" ref="M56:R56" si="221">M34</f>
        <v>2870.7435629715319</v>
      </c>
      <c r="N56" s="11">
        <f t="shared" si="221"/>
        <v>4696.5188887233971</v>
      </c>
      <c r="O56" s="11">
        <f t="shared" si="221"/>
        <v>6627.1437121876934</v>
      </c>
      <c r="P56" s="11">
        <f t="shared" si="221"/>
        <v>9688.6531145697991</v>
      </c>
      <c r="Q56" s="11">
        <f t="shared" si="221"/>
        <v>13328.074504393438</v>
      </c>
      <c r="R56" s="11">
        <f t="shared" si="221"/>
        <v>12159.941421835521</v>
      </c>
      <c r="S56" s="11">
        <f t="shared" ref="S56:CN56" si="222">S34</f>
        <v>22339.215540666741</v>
      </c>
      <c r="T56" s="11">
        <f t="shared" si="222"/>
        <v>20825.116413114738</v>
      </c>
      <c r="U56" s="11">
        <f t="shared" si="222"/>
        <v>19358.80014926389</v>
      </c>
      <c r="V56" s="11">
        <f t="shared" ref="V56:X56" si="223">V34</f>
        <v>28350.923397698105</v>
      </c>
      <c r="W56" s="11">
        <f t="shared" si="223"/>
        <v>26645.133532570839</v>
      </c>
      <c r="X56" s="11">
        <f t="shared" si="223"/>
        <v>24986.174753929205</v>
      </c>
      <c r="Y56" s="11">
        <f t="shared" si="222"/>
        <v>31800.424527544932</v>
      </c>
      <c r="Z56" s="11">
        <f t="shared" si="222"/>
        <v>29988.167634885231</v>
      </c>
      <c r="AA56" s="11">
        <f t="shared" si="222"/>
        <v>28223.694193171836</v>
      </c>
      <c r="AB56" s="11">
        <f t="shared" si="222"/>
        <v>42927.627685465312</v>
      </c>
      <c r="AC56" s="11">
        <f t="shared" si="222"/>
        <v>38754.612458279196</v>
      </c>
      <c r="AD56" s="11">
        <f t="shared" si="222"/>
        <v>58175.957463177088</v>
      </c>
      <c r="AE56" s="11">
        <f t="shared" si="222"/>
        <v>53312.298017573747</v>
      </c>
      <c r="AF56" s="11">
        <f t="shared" si="222"/>
        <v>75732.475711729028</v>
      </c>
      <c r="AG56" s="11">
        <f t="shared" si="222"/>
        <v>64814.501835963812</v>
      </c>
      <c r="AH56" s="11">
        <f t="shared" si="222"/>
        <v>95596.774569881178</v>
      </c>
      <c r="AI56" s="11">
        <f t="shared" si="222"/>
        <v>83300.465652458952</v>
      </c>
      <c r="AJ56" s="11">
        <f t="shared" si="222"/>
        <v>2209.0479040625646</v>
      </c>
      <c r="AK56" s="11">
        <f t="shared" si="222"/>
        <v>3827.6580839620424</v>
      </c>
      <c r="AL56" s="11">
        <f t="shared" si="222"/>
        <v>6262.0251849645292</v>
      </c>
      <c r="AM56" s="11">
        <f t="shared" si="222"/>
        <v>8836.1916162502584</v>
      </c>
      <c r="AN56" s="11">
        <f t="shared" si="222"/>
        <v>12918.204152759732</v>
      </c>
      <c r="AO56" s="11">
        <f t="shared" si="222"/>
        <v>17770.766005857917</v>
      </c>
      <c r="AP56" s="11">
        <f t="shared" si="222"/>
        <v>16213.255229114029</v>
      </c>
      <c r="AQ56" s="11">
        <f t="shared" si="222"/>
        <v>29785.620720888986</v>
      </c>
      <c r="AR56" s="11">
        <f t="shared" si="222"/>
        <v>27766.821884152985</v>
      </c>
      <c r="AS56" s="11">
        <f t="shared" si="222"/>
        <v>25811.733532351856</v>
      </c>
      <c r="AT56" s="11">
        <f t="shared" ref="AT56:AV56" si="224">AT34</f>
        <v>37801.231196930807</v>
      </c>
      <c r="AU56" s="11">
        <f t="shared" si="224"/>
        <v>35526.844710094454</v>
      </c>
      <c r="AV56" s="11">
        <f t="shared" si="224"/>
        <v>33314.899671905609</v>
      </c>
      <c r="AW56" s="11">
        <f t="shared" si="222"/>
        <v>42400.566036726581</v>
      </c>
      <c r="AX56" s="11">
        <f t="shared" si="222"/>
        <v>39984.22351318031</v>
      </c>
      <c r="AY56" s="11">
        <f t="shared" si="222"/>
        <v>37631.59225756245</v>
      </c>
      <c r="AZ56" s="11">
        <f t="shared" si="222"/>
        <v>57236.836913953754</v>
      </c>
      <c r="BA56" s="11">
        <f t="shared" si="222"/>
        <v>51672.816611038928</v>
      </c>
      <c r="BB56" s="11">
        <f t="shared" si="222"/>
        <v>77567.943284236113</v>
      </c>
      <c r="BC56" s="11">
        <f t="shared" si="222"/>
        <v>71083.064023431667</v>
      </c>
      <c r="BD56" s="11">
        <f t="shared" si="222"/>
        <v>100976.63428230536</v>
      </c>
      <c r="BE56" s="11">
        <f t="shared" si="222"/>
        <v>86419.335781285074</v>
      </c>
      <c r="BF56" s="11">
        <f t="shared" si="222"/>
        <v>127462.36609317489</v>
      </c>
      <c r="BG56" s="11">
        <f t="shared" si="222"/>
        <v>111067.28753661194</v>
      </c>
      <c r="BH56" s="11">
        <f t="shared" si="222"/>
        <v>3244.5391090918915</v>
      </c>
      <c r="BI56" s="11">
        <f t="shared" si="222"/>
        <v>5621.872810819249</v>
      </c>
      <c r="BJ56" s="11">
        <f t="shared" si="222"/>
        <v>9197.3494904166528</v>
      </c>
      <c r="BK56" s="11">
        <f t="shared" si="222"/>
        <v>12978.156436367566</v>
      </c>
      <c r="BL56" s="11">
        <f t="shared" si="222"/>
        <v>18973.61234936586</v>
      </c>
      <c r="BM56" s="11">
        <f t="shared" si="222"/>
        <v>26100.812571103816</v>
      </c>
      <c r="BN56" s="11">
        <f t="shared" si="222"/>
        <v>23813.218617761231</v>
      </c>
      <c r="BO56" s="11">
        <f t="shared" si="222"/>
        <v>43747.630433805687</v>
      </c>
      <c r="BP56" s="11">
        <f t="shared" si="222"/>
        <v>40782.519642349696</v>
      </c>
      <c r="BQ56" s="11">
        <f t="shared" si="222"/>
        <v>37910.983625641784</v>
      </c>
      <c r="BR56" s="11">
        <f t="shared" ref="BR56:BT56" si="225">BR34</f>
        <v>55520.55832049212</v>
      </c>
      <c r="BS56" s="11">
        <f t="shared" si="225"/>
        <v>52180.053167951228</v>
      </c>
      <c r="BT56" s="11">
        <f t="shared" si="225"/>
        <v>48931.258893111364</v>
      </c>
      <c r="BU56" s="11">
        <f t="shared" si="222"/>
        <v>62275.831366442158</v>
      </c>
      <c r="BV56" s="11">
        <f t="shared" si="222"/>
        <v>58726.828284983574</v>
      </c>
      <c r="BW56" s="11">
        <f t="shared" si="222"/>
        <v>55271.401128294849</v>
      </c>
      <c r="BX56" s="11">
        <f t="shared" si="222"/>
        <v>84066.604217369575</v>
      </c>
      <c r="BY56" s="11">
        <f t="shared" si="222"/>
        <v>75894.449397463424</v>
      </c>
      <c r="BZ56" s="11">
        <f t="shared" si="222"/>
        <v>113927.91669872179</v>
      </c>
      <c r="CA56" s="11">
        <f t="shared" si="222"/>
        <v>104403.25028441525</v>
      </c>
      <c r="CB56" s="11">
        <f t="shared" si="222"/>
        <v>148309.431602136</v>
      </c>
      <c r="CC56" s="11">
        <f t="shared" si="222"/>
        <v>126928.39942876245</v>
      </c>
      <c r="CD56" s="11">
        <f t="shared" si="222"/>
        <v>187210.35019935059</v>
      </c>
      <c r="CE56" s="11">
        <f t="shared" si="222"/>
        <v>163130.07856939879</v>
      </c>
      <c r="CF56" s="11">
        <f t="shared" ref="CF56:CG56" si="226">CF34</f>
        <v>46074.632052625151</v>
      </c>
      <c r="CG56" s="11">
        <f t="shared" si="226"/>
        <v>42951.802602049152</v>
      </c>
      <c r="CH56" s="11">
        <f t="shared" si="222"/>
        <v>39927.525307856777</v>
      </c>
      <c r="CI56" s="11">
        <f t="shared" ref="CI56:CJ56" si="227">CI34</f>
        <v>51533.985429978988</v>
      </c>
      <c r="CJ56" s="11">
        <f t="shared" si="227"/>
        <v>65588.375588061419</v>
      </c>
      <c r="CK56" s="11">
        <f t="shared" ref="CK56" si="228">CK34</f>
        <v>61850.595746950785</v>
      </c>
      <c r="CL56" s="11">
        <f t="shared" si="222"/>
        <v>58211.369273416916</v>
      </c>
      <c r="CM56" s="11">
        <f t="shared" ref="CM56" si="229">CM34</f>
        <v>88538.232101272224</v>
      </c>
      <c r="CN56" s="11">
        <f t="shared" si="222"/>
        <v>79931.388195200852</v>
      </c>
    </row>
    <row r="57" spans="8:92" s="8" customFormat="1" x14ac:dyDescent="0.25">
      <c r="I57" s="66">
        <f>I25</f>
        <v>197.88024764711415</v>
      </c>
      <c r="J57" s="248"/>
      <c r="K57" s="9" t="s">
        <v>96</v>
      </c>
      <c r="L57" s="10">
        <f>L25</f>
        <v>0.83243973204823796</v>
      </c>
      <c r="M57" s="10">
        <f t="shared" ref="M57:R57" si="230">M25</f>
        <v>1.9253315258990653</v>
      </c>
      <c r="N57" s="10">
        <f t="shared" si="230"/>
        <v>3.8886238691668411</v>
      </c>
      <c r="O57" s="10">
        <f t="shared" si="230"/>
        <v>6.6235904838802711</v>
      </c>
      <c r="P57" s="10">
        <f t="shared" si="230"/>
        <v>11.065204671713738</v>
      </c>
      <c r="Q57" s="10">
        <f t="shared" si="230"/>
        <v>17.310006284099043</v>
      </c>
      <c r="R57" s="10">
        <f t="shared" si="230"/>
        <v>16.141142286996924</v>
      </c>
      <c r="S57" s="10">
        <f t="shared" ref="S57:CN57" si="231">S25</f>
        <v>35.457327430927144</v>
      </c>
      <c r="T57" s="10">
        <f t="shared" si="231"/>
        <v>33.650550180854218</v>
      </c>
      <c r="U57" s="10">
        <f t="shared" si="231"/>
        <v>31.83562369990106</v>
      </c>
      <c r="V57" s="10">
        <f t="shared" ref="V57:X57" si="232">V25</f>
        <v>48.787487148627115</v>
      </c>
      <c r="W57" s="10">
        <f t="shared" si="232"/>
        <v>46.615213807767013</v>
      </c>
      <c r="X57" s="10">
        <f t="shared" si="232"/>
        <v>44.428503441011678</v>
      </c>
      <c r="Y57" s="10">
        <f t="shared" si="231"/>
        <v>60.989478181213748</v>
      </c>
      <c r="Z57" s="10">
        <f t="shared" si="231"/>
        <v>58.372650841673071</v>
      </c>
      <c r="AA57" s="10">
        <f t="shared" si="231"/>
        <v>55.746396643890748</v>
      </c>
      <c r="AB57" s="10">
        <f t="shared" si="231"/>
        <v>95.941938253146247</v>
      </c>
      <c r="AC57" s="10">
        <f t="shared" si="231"/>
        <v>88.835259720918501</v>
      </c>
      <c r="AD57" s="10">
        <f t="shared" si="231"/>
        <v>146.99391731863861</v>
      </c>
      <c r="AE57" s="10">
        <f t="shared" si="231"/>
        <v>137.75860288918042</v>
      </c>
      <c r="AF57" s="10">
        <f t="shared" si="231"/>
        <v>214.22398633802763</v>
      </c>
      <c r="AG57" s="10">
        <f t="shared" si="231"/>
        <v>190.76559391128609</v>
      </c>
      <c r="AH57" s="10">
        <f t="shared" si="231"/>
        <v>297.99106032938226</v>
      </c>
      <c r="AI57" s="10">
        <f t="shared" si="231"/>
        <v>269.20440144683374</v>
      </c>
      <c r="AJ57" s="10">
        <f t="shared" si="231"/>
        <v>1.1099196427309839</v>
      </c>
      <c r="AK57" s="10">
        <f t="shared" si="231"/>
        <v>2.5671087011987539</v>
      </c>
      <c r="AL57" s="10">
        <f t="shared" si="231"/>
        <v>5.1848318255557881</v>
      </c>
      <c r="AM57" s="10">
        <f t="shared" si="231"/>
        <v>8.8314539785070281</v>
      </c>
      <c r="AN57" s="10">
        <f t="shared" si="231"/>
        <v>14.75360622895165</v>
      </c>
      <c r="AO57" s="10">
        <f t="shared" si="231"/>
        <v>23.080008378798723</v>
      </c>
      <c r="AP57" s="10">
        <f t="shared" si="231"/>
        <v>21.521523049329232</v>
      </c>
      <c r="AQ57" s="10">
        <f t="shared" si="231"/>
        <v>47.276436574569523</v>
      </c>
      <c r="AR57" s="10">
        <f t="shared" si="231"/>
        <v>44.867400241138959</v>
      </c>
      <c r="AS57" s="10">
        <f t="shared" si="231"/>
        <v>42.447498266534751</v>
      </c>
      <c r="AT57" s="10">
        <f t="shared" ref="AT57:AV57" si="233">AT25</f>
        <v>65.049982864836153</v>
      </c>
      <c r="AU57" s="10">
        <f t="shared" si="233"/>
        <v>62.153618410356017</v>
      </c>
      <c r="AV57" s="10">
        <f t="shared" si="233"/>
        <v>59.238004588015578</v>
      </c>
      <c r="AW57" s="10">
        <f t="shared" si="231"/>
        <v>81.31930424161834</v>
      </c>
      <c r="AX57" s="10">
        <f t="shared" si="231"/>
        <v>77.830201122230761</v>
      </c>
      <c r="AY57" s="10">
        <f t="shared" si="231"/>
        <v>74.328528858520997</v>
      </c>
      <c r="AZ57" s="10">
        <f t="shared" si="231"/>
        <v>127.92258433752833</v>
      </c>
      <c r="BA57" s="10">
        <f t="shared" si="231"/>
        <v>118.44701296122467</v>
      </c>
      <c r="BB57" s="10">
        <f t="shared" si="231"/>
        <v>195.99188975818481</v>
      </c>
      <c r="BC57" s="10">
        <f t="shared" si="231"/>
        <v>183.67813718557389</v>
      </c>
      <c r="BD57" s="10">
        <f t="shared" si="231"/>
        <v>285.63198178403684</v>
      </c>
      <c r="BE57" s="10">
        <f t="shared" si="231"/>
        <v>254.3541252150481</v>
      </c>
      <c r="BF57" s="10">
        <f t="shared" si="231"/>
        <v>397.32141377250969</v>
      </c>
      <c r="BG57" s="10">
        <f t="shared" si="231"/>
        <v>358.93920192911168</v>
      </c>
      <c r="BH57" s="10">
        <f t="shared" si="231"/>
        <v>1.6301944752611326</v>
      </c>
      <c r="BI57" s="10">
        <f t="shared" si="231"/>
        <v>3.7704409048856693</v>
      </c>
      <c r="BJ57" s="10">
        <f t="shared" si="231"/>
        <v>7.6152217437850629</v>
      </c>
      <c r="BK57" s="10">
        <f t="shared" si="231"/>
        <v>12.971198030932197</v>
      </c>
      <c r="BL57" s="10">
        <f t="shared" si="231"/>
        <v>21.669359148772738</v>
      </c>
      <c r="BM57" s="10">
        <f t="shared" si="231"/>
        <v>33.898762306360624</v>
      </c>
      <c r="BN57" s="10">
        <f t="shared" si="231"/>
        <v>31.609736978702312</v>
      </c>
      <c r="BO57" s="10">
        <f t="shared" si="231"/>
        <v>69.437266218898984</v>
      </c>
      <c r="BP57" s="10">
        <f t="shared" si="231"/>
        <v>65.898994104172843</v>
      </c>
      <c r="BQ57" s="10">
        <f t="shared" si="231"/>
        <v>62.34476307897291</v>
      </c>
      <c r="BR57" s="10">
        <f t="shared" ref="BR57:BT57" si="234">BR25</f>
        <v>95.542162332728097</v>
      </c>
      <c r="BS57" s="10">
        <f t="shared" si="234"/>
        <v>91.288127040210398</v>
      </c>
      <c r="BT57" s="10">
        <f t="shared" si="234"/>
        <v>87.005819238647874</v>
      </c>
      <c r="BU57" s="10">
        <f t="shared" si="231"/>
        <v>119.43772810487692</v>
      </c>
      <c r="BV57" s="10">
        <f t="shared" si="231"/>
        <v>114.31310789827643</v>
      </c>
      <c r="BW57" s="10">
        <f t="shared" si="231"/>
        <v>109.17002676095271</v>
      </c>
      <c r="BX57" s="10">
        <f t="shared" si="231"/>
        <v>187.88629574574475</v>
      </c>
      <c r="BY57" s="10">
        <f t="shared" si="231"/>
        <v>173.96905028679873</v>
      </c>
      <c r="BZ57" s="10">
        <f t="shared" si="231"/>
        <v>287.86308808233395</v>
      </c>
      <c r="CA57" s="10">
        <f t="shared" si="231"/>
        <v>269.77726399131166</v>
      </c>
      <c r="CB57" s="10">
        <f t="shared" si="231"/>
        <v>419.52197324530408</v>
      </c>
      <c r="CC57" s="10">
        <f t="shared" si="231"/>
        <v>373.58262140960187</v>
      </c>
      <c r="CD57" s="10">
        <f t="shared" si="231"/>
        <v>583.56582647837354</v>
      </c>
      <c r="CE57" s="10">
        <f t="shared" si="231"/>
        <v>527.19195283338274</v>
      </c>
      <c r="CF57" s="10">
        <f t="shared" ref="CF57:CG57" si="235">CF25</f>
        <v>73.130737826287231</v>
      </c>
      <c r="CG57" s="10">
        <f t="shared" si="235"/>
        <v>69.404259748011825</v>
      </c>
      <c r="CH57" s="10">
        <f t="shared" si="231"/>
        <v>65.660973881045933</v>
      </c>
      <c r="CI57" s="10">
        <f t="shared" ref="CI57:CJ57" si="236">CI25</f>
        <v>91.633788347086593</v>
      </c>
      <c r="CJ57" s="10">
        <f t="shared" si="236"/>
        <v>125.79079874875336</v>
      </c>
      <c r="CK57" s="10">
        <f t="shared" ref="CK57" si="237">CK25</f>
        <v>120.39359236095071</v>
      </c>
      <c r="CL57" s="10">
        <f t="shared" si="231"/>
        <v>114.97694307802466</v>
      </c>
      <c r="CM57" s="10">
        <f t="shared" ref="CM57" si="238">CM25</f>
        <v>197.88024764711415</v>
      </c>
      <c r="CN57" s="10">
        <f t="shared" si="231"/>
        <v>183.22272317439442</v>
      </c>
    </row>
    <row r="58" spans="8:92" s="8" customFormat="1" x14ac:dyDescent="0.25">
      <c r="I58" s="65">
        <f>ROUND(((((I50+I52)/2)+((I56+I54)/2))/2)/100,0)*100</f>
        <v>50900</v>
      </c>
      <c r="J58" s="248"/>
      <c r="K58" s="9" t="s">
        <v>97</v>
      </c>
      <c r="L58" s="9">
        <f>ROUND(((((L50+L52)/2)+((L56+L54)/2))/2)/100,0)*100</f>
        <v>1000</v>
      </c>
      <c r="M58" s="9">
        <f t="shared" ref="M58:R58" si="239">ROUND(((((M50+M52)/2)+((M56+M54)/2))/2)/100,0)*100</f>
        <v>1700</v>
      </c>
      <c r="N58" s="9">
        <f t="shared" si="239"/>
        <v>2700</v>
      </c>
      <c r="O58" s="9">
        <f t="shared" si="239"/>
        <v>3800</v>
      </c>
      <c r="P58" s="9">
        <f t="shared" si="239"/>
        <v>5600</v>
      </c>
      <c r="Q58" s="9">
        <f t="shared" si="239"/>
        <v>7700</v>
      </c>
      <c r="R58" s="9">
        <f t="shared" si="239"/>
        <v>7000</v>
      </c>
      <c r="S58" s="9">
        <f t="shared" ref="S58:CN58" si="240">ROUND(((((S50+S52)/2)+((S56+S54)/2))/2)/100,0)*100</f>
        <v>12800</v>
      </c>
      <c r="T58" s="9">
        <f t="shared" si="240"/>
        <v>12000</v>
      </c>
      <c r="U58" s="9">
        <f t="shared" si="240"/>
        <v>11200</v>
      </c>
      <c r="V58" s="9">
        <f t="shared" ref="V58:X58" si="241">ROUND(((((V50+V52)/2)+((V56+V54)/2))/2)/100,0)*100</f>
        <v>16300</v>
      </c>
      <c r="W58" s="9">
        <f t="shared" si="241"/>
        <v>15300</v>
      </c>
      <c r="X58" s="9">
        <f t="shared" si="241"/>
        <v>14400</v>
      </c>
      <c r="Y58" s="9">
        <f t="shared" si="240"/>
        <v>18300</v>
      </c>
      <c r="Z58" s="9">
        <f t="shared" si="240"/>
        <v>17300</v>
      </c>
      <c r="AA58" s="9">
        <f t="shared" si="240"/>
        <v>16300</v>
      </c>
      <c r="AB58" s="9">
        <f t="shared" si="240"/>
        <v>24700</v>
      </c>
      <c r="AC58" s="9">
        <f t="shared" si="240"/>
        <v>22400</v>
      </c>
      <c r="AD58" s="9">
        <f t="shared" si="240"/>
        <v>33400</v>
      </c>
      <c r="AE58" s="9">
        <f t="shared" si="240"/>
        <v>30700</v>
      </c>
      <c r="AF58" s="9">
        <f t="shared" si="240"/>
        <v>43400</v>
      </c>
      <c r="AG58" s="9">
        <f t="shared" si="240"/>
        <v>37400</v>
      </c>
      <c r="AH58" s="9">
        <f t="shared" si="240"/>
        <v>54700</v>
      </c>
      <c r="AI58" s="9">
        <f t="shared" si="240"/>
        <v>48000</v>
      </c>
      <c r="AJ58" s="9">
        <f t="shared" si="240"/>
        <v>1300</v>
      </c>
      <c r="AK58" s="9">
        <f t="shared" si="240"/>
        <v>2200</v>
      </c>
      <c r="AL58" s="9">
        <f t="shared" si="240"/>
        <v>3600</v>
      </c>
      <c r="AM58" s="9">
        <f t="shared" si="240"/>
        <v>5100</v>
      </c>
      <c r="AN58" s="9">
        <f t="shared" si="240"/>
        <v>7500</v>
      </c>
      <c r="AO58" s="9">
        <f t="shared" si="240"/>
        <v>10200</v>
      </c>
      <c r="AP58" s="9">
        <f t="shared" si="240"/>
        <v>9400</v>
      </c>
      <c r="AQ58" s="9">
        <f t="shared" si="240"/>
        <v>17100</v>
      </c>
      <c r="AR58" s="9">
        <f t="shared" si="240"/>
        <v>16000</v>
      </c>
      <c r="AS58" s="9">
        <f t="shared" si="240"/>
        <v>14900</v>
      </c>
      <c r="AT58" s="9">
        <f t="shared" ref="AT58:AV58" si="242">ROUND(((((AT50+AT52)/2)+((AT56+AT54)/2))/2)/100,0)*100</f>
        <v>21700</v>
      </c>
      <c r="AU58" s="9">
        <f t="shared" si="242"/>
        <v>20400</v>
      </c>
      <c r="AV58" s="9">
        <f t="shared" si="242"/>
        <v>19200</v>
      </c>
      <c r="AW58" s="9">
        <f t="shared" si="240"/>
        <v>24400</v>
      </c>
      <c r="AX58" s="9">
        <f t="shared" si="240"/>
        <v>23000</v>
      </c>
      <c r="AY58" s="9">
        <f t="shared" si="240"/>
        <v>21700</v>
      </c>
      <c r="AZ58" s="9">
        <f t="shared" si="240"/>
        <v>32900</v>
      </c>
      <c r="BA58" s="9">
        <f t="shared" si="240"/>
        <v>29800</v>
      </c>
      <c r="BB58" s="9">
        <f t="shared" si="240"/>
        <v>44500</v>
      </c>
      <c r="BC58" s="9">
        <f t="shared" si="240"/>
        <v>40900</v>
      </c>
      <c r="BD58" s="9">
        <f t="shared" si="240"/>
        <v>57800</v>
      </c>
      <c r="BE58" s="9">
        <f t="shared" si="240"/>
        <v>49900</v>
      </c>
      <c r="BF58" s="9">
        <f t="shared" si="240"/>
        <v>72900</v>
      </c>
      <c r="BG58" s="9">
        <f t="shared" si="240"/>
        <v>64000</v>
      </c>
      <c r="BH58" s="9">
        <f t="shared" si="240"/>
        <v>1900</v>
      </c>
      <c r="BI58" s="9">
        <f t="shared" si="240"/>
        <v>3300</v>
      </c>
      <c r="BJ58" s="9">
        <f t="shared" si="240"/>
        <v>5300</v>
      </c>
      <c r="BK58" s="9">
        <f t="shared" si="240"/>
        <v>7500</v>
      </c>
      <c r="BL58" s="9">
        <f t="shared" si="240"/>
        <v>11000</v>
      </c>
      <c r="BM58" s="9">
        <f t="shared" si="240"/>
        <v>15000</v>
      </c>
      <c r="BN58" s="9">
        <f t="shared" si="240"/>
        <v>13800</v>
      </c>
      <c r="BO58" s="9">
        <f t="shared" si="240"/>
        <v>25100</v>
      </c>
      <c r="BP58" s="9">
        <f t="shared" si="240"/>
        <v>23500</v>
      </c>
      <c r="BQ58" s="9">
        <f t="shared" si="240"/>
        <v>21900</v>
      </c>
      <c r="BR58" s="9">
        <f t="shared" ref="BR58:BT58" si="243">ROUND(((((BR50+BR52)/2)+((BR56+BR54)/2))/2)/100,0)*100</f>
        <v>31800</v>
      </c>
      <c r="BS58" s="9">
        <f t="shared" si="243"/>
        <v>30000</v>
      </c>
      <c r="BT58" s="9">
        <f t="shared" si="243"/>
        <v>28200</v>
      </c>
      <c r="BU58" s="9">
        <f t="shared" si="240"/>
        <v>35800</v>
      </c>
      <c r="BV58" s="9">
        <f t="shared" si="240"/>
        <v>33800</v>
      </c>
      <c r="BW58" s="9">
        <f t="shared" si="240"/>
        <v>31900</v>
      </c>
      <c r="BX58" s="9">
        <f t="shared" si="240"/>
        <v>48300</v>
      </c>
      <c r="BY58" s="9">
        <f t="shared" si="240"/>
        <v>43800</v>
      </c>
      <c r="BZ58" s="9">
        <f t="shared" si="240"/>
        <v>65400</v>
      </c>
      <c r="CA58" s="9">
        <f t="shared" si="240"/>
        <v>60100</v>
      </c>
      <c r="CB58" s="9">
        <f t="shared" si="240"/>
        <v>85000</v>
      </c>
      <c r="CC58" s="9">
        <f t="shared" si="240"/>
        <v>73200</v>
      </c>
      <c r="CD58" s="9">
        <f t="shared" si="240"/>
        <v>107100</v>
      </c>
      <c r="CE58" s="9">
        <f t="shared" si="240"/>
        <v>93900</v>
      </c>
      <c r="CF58" s="9">
        <f t="shared" ref="CF58:CG58" si="244">ROUND(((((CF50+CF52)/2)+((CF56+CF54)/2))/2)/100,0)*100</f>
        <v>26500</v>
      </c>
      <c r="CG58" s="9">
        <f t="shared" si="244"/>
        <v>24700</v>
      </c>
      <c r="CH58" s="9">
        <f t="shared" si="240"/>
        <v>23100</v>
      </c>
      <c r="CI58" s="9">
        <f t="shared" ref="CI58:CJ58" si="245">ROUND(((((CI50+CI52)/2)+((CI56+CI54)/2))/2)/100,0)*100</f>
        <v>29700</v>
      </c>
      <c r="CJ58" s="9">
        <f t="shared" si="245"/>
        <v>37700</v>
      </c>
      <c r="CK58" s="9">
        <f t="shared" ref="CK58" si="246">ROUND(((((CK50+CK52)/2)+((CK56+CK54)/2))/2)/100,0)*100</f>
        <v>35600</v>
      </c>
      <c r="CL58" s="9">
        <f t="shared" si="240"/>
        <v>33600</v>
      </c>
      <c r="CM58" s="9">
        <f t="shared" ref="CM58" si="247">ROUND(((((CM50+CM52)/2)+((CM56+CM54)/2))/2)/100,0)*100</f>
        <v>50900</v>
      </c>
      <c r="CN58" s="9">
        <f t="shared" si="240"/>
        <v>46100</v>
      </c>
    </row>
    <row r="59" spans="8:92" s="8" customFormat="1" ht="15.75" thickBot="1" x14ac:dyDescent="0.3">
      <c r="I59" s="68">
        <f>(((I51+I53)/2)+((I57+I55)/2))/2</f>
        <v>167.17469197773437</v>
      </c>
      <c r="J59" s="248"/>
      <c r="K59" s="9" t="s">
        <v>98</v>
      </c>
      <c r="L59" s="9">
        <f>(((L51+L53)/2)+((L57+L55)/2))/2</f>
        <v>0.70326804948902866</v>
      </c>
      <c r="M59" s="9">
        <f t="shared" ref="M59:R59" si="248">(((M51+M53)/2)+((M57+M55)/2))/2</f>
        <v>1.6265731856733483</v>
      </c>
      <c r="N59" s="9">
        <f t="shared" si="248"/>
        <v>3.2852167170547455</v>
      </c>
      <c r="O59" s="9">
        <f t="shared" si="248"/>
        <v>5.5957919605195396</v>
      </c>
      <c r="P59" s="9">
        <f t="shared" si="248"/>
        <v>9.3481901536891936</v>
      </c>
      <c r="Q59" s="9">
        <f t="shared" si="248"/>
        <v>14.623970826221605</v>
      </c>
      <c r="R59" s="9">
        <f t="shared" si="248"/>
        <v>13.636482276945678</v>
      </c>
      <c r="S59" s="9">
        <f t="shared" ref="S59:CN59" si="249">(((S51+S53)/2)+((S57+S55)/2))/2</f>
        <v>29.955328346817758</v>
      </c>
      <c r="T59" s="9">
        <f t="shared" si="249"/>
        <v>28.428913083825115</v>
      </c>
      <c r="U59" s="9">
        <f t="shared" si="249"/>
        <v>26.895613125778482</v>
      </c>
      <c r="V59" s="9">
        <f t="shared" ref="V59:X59" si="250">(((V51+V53)/2)+((V57+V55)/2))/2</f>
        <v>41.217015004874632</v>
      </c>
      <c r="W59" s="9">
        <f t="shared" si="250"/>
        <v>39.381818561734207</v>
      </c>
      <c r="X59" s="9">
        <f t="shared" si="250"/>
        <v>37.534425320854695</v>
      </c>
      <c r="Y59" s="9">
        <f t="shared" si="249"/>
        <v>51.525593635852999</v>
      </c>
      <c r="Z59" s="9">
        <f t="shared" si="249"/>
        <v>49.314825711068629</v>
      </c>
      <c r="AA59" s="9">
        <f t="shared" si="249"/>
        <v>47.096093716390456</v>
      </c>
      <c r="AB59" s="9">
        <f t="shared" si="249"/>
        <v>81.054396110416661</v>
      </c>
      <c r="AC59" s="9">
        <f t="shared" si="249"/>
        <v>75.050478040086318</v>
      </c>
      <c r="AD59" s="9">
        <f t="shared" si="249"/>
        <v>124.18451635540158</v>
      </c>
      <c r="AE59" s="9">
        <f t="shared" si="249"/>
        <v>116.3822679581007</v>
      </c>
      <c r="AF59" s="9">
        <f t="shared" si="249"/>
        <v>180.98233328557507</v>
      </c>
      <c r="AG59" s="9">
        <f t="shared" si="249"/>
        <v>161.16403623539688</v>
      </c>
      <c r="AH59" s="9">
        <f t="shared" si="249"/>
        <v>251.75106820930571</v>
      </c>
      <c r="AI59" s="9">
        <f t="shared" si="249"/>
        <v>227.43130467060092</v>
      </c>
      <c r="AJ59" s="9">
        <f t="shared" si="249"/>
        <v>0.93769073265203806</v>
      </c>
      <c r="AK59" s="9">
        <f t="shared" si="249"/>
        <v>2.1687642475644644</v>
      </c>
      <c r="AL59" s="9">
        <f t="shared" si="249"/>
        <v>4.3802889560729934</v>
      </c>
      <c r="AM59" s="9">
        <f t="shared" si="249"/>
        <v>7.4610559473593856</v>
      </c>
      <c r="AN59" s="9">
        <f t="shared" si="249"/>
        <v>12.464253538252256</v>
      </c>
      <c r="AO59" s="9">
        <f t="shared" si="249"/>
        <v>19.498627768295474</v>
      </c>
      <c r="AP59" s="9">
        <f t="shared" si="249"/>
        <v>18.181976369260902</v>
      </c>
      <c r="AQ59" s="9">
        <f t="shared" si="249"/>
        <v>39.940437795757013</v>
      </c>
      <c r="AR59" s="9">
        <f t="shared" si="249"/>
        <v>37.905217445100156</v>
      </c>
      <c r="AS59" s="9">
        <f t="shared" si="249"/>
        <v>35.860817501037978</v>
      </c>
      <c r="AT59" s="9">
        <f t="shared" ref="AT59:AV59" si="251">(((AT51+AT53)/2)+((AT57+AT55)/2))/2</f>
        <v>54.956020006499514</v>
      </c>
      <c r="AU59" s="9">
        <f t="shared" si="251"/>
        <v>52.509091415645599</v>
      </c>
      <c r="AV59" s="9">
        <f t="shared" si="251"/>
        <v>50.045900427806266</v>
      </c>
      <c r="AW59" s="9">
        <f t="shared" si="249"/>
        <v>68.700791514470666</v>
      </c>
      <c r="AX59" s="9">
        <f t="shared" si="249"/>
        <v>65.753100948091515</v>
      </c>
      <c r="AY59" s="9">
        <f t="shared" si="249"/>
        <v>62.794791621853946</v>
      </c>
      <c r="AZ59" s="9">
        <f t="shared" si="249"/>
        <v>108.07252814722222</v>
      </c>
      <c r="BA59" s="9">
        <f t="shared" si="249"/>
        <v>100.06730405344842</v>
      </c>
      <c r="BB59" s="9">
        <f t="shared" si="249"/>
        <v>165.57935514053545</v>
      </c>
      <c r="BC59" s="9">
        <f t="shared" si="249"/>
        <v>155.17635727746762</v>
      </c>
      <c r="BD59" s="9">
        <f t="shared" si="249"/>
        <v>241.30977771410011</v>
      </c>
      <c r="BE59" s="9">
        <f t="shared" si="249"/>
        <v>214.8853816471958</v>
      </c>
      <c r="BF59" s="9">
        <f t="shared" si="249"/>
        <v>335.66809094574091</v>
      </c>
      <c r="BG59" s="9">
        <f t="shared" si="249"/>
        <v>303.24173956080125</v>
      </c>
      <c r="BH59" s="9">
        <f t="shared" si="249"/>
        <v>1.3772332635826809</v>
      </c>
      <c r="BI59" s="9">
        <f t="shared" si="249"/>
        <v>3.185372488610307</v>
      </c>
      <c r="BJ59" s="9">
        <f t="shared" si="249"/>
        <v>6.4335494042322079</v>
      </c>
      <c r="BK59" s="9">
        <f t="shared" si="249"/>
        <v>10.958425922684096</v>
      </c>
      <c r="BL59" s="9">
        <f t="shared" si="249"/>
        <v>18.306872384308004</v>
      </c>
      <c r="BM59" s="9">
        <f t="shared" si="249"/>
        <v>28.638609534683976</v>
      </c>
      <c r="BN59" s="9">
        <f t="shared" si="249"/>
        <v>26.704777792351955</v>
      </c>
      <c r="BO59" s="9">
        <f t="shared" si="249"/>
        <v>58.662518012518106</v>
      </c>
      <c r="BP59" s="9">
        <f t="shared" si="249"/>
        <v>55.673288122490852</v>
      </c>
      <c r="BQ59" s="9">
        <f t="shared" si="249"/>
        <v>52.670575704649529</v>
      </c>
      <c r="BR59" s="9">
        <f t="shared" ref="BR59:BT59" si="252">(((BR51+BR53)/2)+((BR57+BR55)/2))/2</f>
        <v>80.71665438454616</v>
      </c>
      <c r="BS59" s="9">
        <f t="shared" si="252"/>
        <v>77.122728016729468</v>
      </c>
      <c r="BT59" s="9">
        <f t="shared" si="252"/>
        <v>73.50491625334044</v>
      </c>
      <c r="BU59" s="9">
        <f t="shared" si="249"/>
        <v>100.90428753687878</v>
      </c>
      <c r="BV59" s="9">
        <f t="shared" si="249"/>
        <v>96.574867017509405</v>
      </c>
      <c r="BW59" s="9">
        <f t="shared" si="249"/>
        <v>92.229850194597987</v>
      </c>
      <c r="BX59" s="9">
        <f t="shared" si="249"/>
        <v>158.73152571623262</v>
      </c>
      <c r="BY59" s="9">
        <f t="shared" si="249"/>
        <v>146.97385282850237</v>
      </c>
      <c r="BZ59" s="9">
        <f t="shared" si="249"/>
        <v>243.19467786266145</v>
      </c>
      <c r="CA59" s="9">
        <f t="shared" si="249"/>
        <v>227.91527475128055</v>
      </c>
      <c r="CB59" s="9">
        <f t="shared" si="249"/>
        <v>354.42373601758447</v>
      </c>
      <c r="CC59" s="9">
        <f t="shared" si="249"/>
        <v>315.61290429431881</v>
      </c>
      <c r="CD59" s="9">
        <f t="shared" si="249"/>
        <v>493.01250857655697</v>
      </c>
      <c r="CE59" s="9">
        <f t="shared" si="249"/>
        <v>445.38630497992682</v>
      </c>
      <c r="CF59" s="9">
        <f t="shared" ref="CF59:CG59" si="253">(((CF51+CF53)/2)+((CF57+CF55)/2))/2</f>
        <v>61.782864715311632</v>
      </c>
      <c r="CG59" s="9">
        <f t="shared" si="253"/>
        <v>58.634633235389302</v>
      </c>
      <c r="CH59" s="9">
        <f t="shared" si="249"/>
        <v>55.472202071918119</v>
      </c>
      <c r="CI59" s="9">
        <f t="shared" ref="CI59:CJ59" si="254">(((CI51+CI53)/2)+((CI57+CI55)/2))/2</f>
        <v>77.414752224262813</v>
      </c>
      <c r="CJ59" s="9">
        <f t="shared" si="254"/>
        <v>106.27153687394681</v>
      </c>
      <c r="CK59" s="9">
        <f t="shared" ref="CK59" si="255">(((CK51+CK53)/2)+((CK57+CK55)/2))/2</f>
        <v>101.71182802907904</v>
      </c>
      <c r="CL59" s="9">
        <f t="shared" si="249"/>
        <v>97.135693290055315</v>
      </c>
      <c r="CM59" s="9">
        <f t="shared" ref="CM59" si="256">(((CM51+CM53)/2)+((CM57+CM55)/2))/2</f>
        <v>167.17469197773437</v>
      </c>
      <c r="CN59" s="9">
        <f t="shared" si="249"/>
        <v>154.79161095767805</v>
      </c>
    </row>
    <row r="60" spans="8:92" s="8" customFormat="1" x14ac:dyDescent="0.25"/>
    <row r="61" spans="8:92" s="8" customFormat="1" x14ac:dyDescent="0.25"/>
    <row r="62" spans="8:92" s="8" customFormat="1" x14ac:dyDescent="0.25">
      <c r="I62" s="96">
        <f>User_Screw_Compute!G12</f>
        <v>43</v>
      </c>
      <c r="J62" s="249" t="s">
        <v>106</v>
      </c>
    </row>
    <row r="63" spans="8:92" s="8" customFormat="1" x14ac:dyDescent="0.25">
      <c r="I63" s="96" t="str">
        <f>User_Screw_Compute!G13</f>
        <v>Classe M</v>
      </c>
      <c r="J63" s="249"/>
    </row>
    <row r="64" spans="8:92" s="8" customFormat="1" x14ac:dyDescent="0.25">
      <c r="I64" s="97">
        <f>ROUND((VLOOKUP(I63,Table_Abaque!$B$32:$C$37,2,FALSE)*I62*1000/I24)/100,0)*100</f>
        <v>11300</v>
      </c>
      <c r="J64" s="8" t="s">
        <v>107</v>
      </c>
    </row>
    <row r="65" spans="9:12" s="8" customFormat="1" ht="15.75" thickBot="1" x14ac:dyDescent="0.3">
      <c r="I65" s="98">
        <f>I64/I45</f>
        <v>8.2481751824817512E-2</v>
      </c>
      <c r="J65" s="8" t="s">
        <v>108</v>
      </c>
    </row>
    <row r="66" spans="9:12" s="8" customFormat="1" x14ac:dyDescent="0.25">
      <c r="L66" s="12"/>
    </row>
    <row r="67" spans="9:12" s="8" customFormat="1" x14ac:dyDescent="0.25"/>
    <row r="68" spans="9:12" s="8" customFormat="1" x14ac:dyDescent="0.25"/>
    <row r="69" spans="9:12" s="8" customFormat="1" x14ac:dyDescent="0.25"/>
    <row r="70" spans="9:12" s="8" customFormat="1" x14ac:dyDescent="0.25"/>
    <row r="71" spans="9:12" s="8" customFormat="1" x14ac:dyDescent="0.25"/>
    <row r="72" spans="9:12" s="8" customFormat="1" x14ac:dyDescent="0.25"/>
    <row r="73" spans="9:12" s="8" customFormat="1" x14ac:dyDescent="0.25"/>
    <row r="74" spans="9:12" s="8" customFormat="1" x14ac:dyDescent="0.25"/>
    <row r="75" spans="9:12" s="8" customFormat="1" x14ac:dyDescent="0.25"/>
    <row r="76" spans="9:12" s="8" customFormat="1" x14ac:dyDescent="0.25"/>
    <row r="77" spans="9:12" s="8" customFormat="1" x14ac:dyDescent="0.25"/>
    <row r="78" spans="9:12" s="8" customFormat="1" x14ac:dyDescent="0.25"/>
    <row r="79" spans="9:12" s="8" customFormat="1" x14ac:dyDescent="0.25"/>
    <row r="80" spans="9:12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  <row r="203" s="8" customFormat="1" x14ac:dyDescent="0.25"/>
    <row r="204" s="8" customFormat="1" x14ac:dyDescent="0.25"/>
    <row r="205" s="8" customFormat="1" x14ac:dyDescent="0.25"/>
    <row r="206" s="8" customFormat="1" x14ac:dyDescent="0.25"/>
    <row r="207" s="8" customFormat="1" x14ac:dyDescent="0.25"/>
    <row r="208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  <row r="215" s="8" customFormat="1" x14ac:dyDescent="0.25"/>
    <row r="216" s="8" customFormat="1" x14ac:dyDescent="0.25"/>
    <row r="217" s="8" customFormat="1" x14ac:dyDescent="0.25"/>
    <row r="218" s="8" customFormat="1" x14ac:dyDescent="0.25"/>
    <row r="219" s="8" customFormat="1" x14ac:dyDescent="0.25"/>
    <row r="220" s="8" customFormat="1" x14ac:dyDescent="0.25"/>
    <row r="221" s="8" customFormat="1" x14ac:dyDescent="0.25"/>
    <row r="222" s="8" customFormat="1" x14ac:dyDescent="0.25"/>
    <row r="223" s="8" customFormat="1" x14ac:dyDescent="0.25"/>
    <row r="224" s="8" customFormat="1" x14ac:dyDescent="0.25"/>
    <row r="225" s="8" customFormat="1" x14ac:dyDescent="0.25"/>
    <row r="226" s="8" customFormat="1" x14ac:dyDescent="0.25"/>
    <row r="227" s="8" customFormat="1" x14ac:dyDescent="0.25"/>
    <row r="228" s="8" customFormat="1" x14ac:dyDescent="0.25"/>
    <row r="229" s="8" customFormat="1" x14ac:dyDescent="0.25"/>
    <row r="230" s="8" customFormat="1" x14ac:dyDescent="0.25"/>
    <row r="231" s="8" customFormat="1" x14ac:dyDescent="0.25"/>
    <row r="232" s="8" customFormat="1" x14ac:dyDescent="0.25"/>
    <row r="233" s="8" customFormat="1" x14ac:dyDescent="0.25"/>
    <row r="234" s="8" customFormat="1" x14ac:dyDescent="0.25"/>
    <row r="235" s="8" customFormat="1" x14ac:dyDescent="0.25"/>
    <row r="236" s="8" customFormat="1" x14ac:dyDescent="0.25"/>
    <row r="237" s="8" customFormat="1" x14ac:dyDescent="0.25"/>
    <row r="238" s="8" customFormat="1" x14ac:dyDescent="0.25"/>
    <row r="239" s="8" customFormat="1" x14ac:dyDescent="0.25"/>
    <row r="240" s="8" customFormat="1" x14ac:dyDescent="0.25"/>
    <row r="241" s="8" customFormat="1" x14ac:dyDescent="0.25"/>
    <row r="242" s="8" customFormat="1" x14ac:dyDescent="0.25"/>
    <row r="243" s="8" customFormat="1" x14ac:dyDescent="0.25"/>
    <row r="244" s="8" customFormat="1" x14ac:dyDescent="0.25"/>
    <row r="245" s="8" customFormat="1" x14ac:dyDescent="0.25"/>
    <row r="246" s="8" customFormat="1" x14ac:dyDescent="0.25"/>
    <row r="247" s="8" customFormat="1" x14ac:dyDescent="0.25"/>
    <row r="248" s="8" customFormat="1" x14ac:dyDescent="0.25"/>
    <row r="249" s="8" customFormat="1" x14ac:dyDescent="0.25"/>
    <row r="250" s="8" customFormat="1" x14ac:dyDescent="0.25"/>
    <row r="251" s="8" customFormat="1" x14ac:dyDescent="0.25"/>
    <row r="252" s="8" customFormat="1" x14ac:dyDescent="0.25"/>
    <row r="253" s="8" customFormat="1" x14ac:dyDescent="0.25"/>
    <row r="254" s="8" customFormat="1" x14ac:dyDescent="0.25"/>
    <row r="255" s="8" customFormat="1" x14ac:dyDescent="0.25"/>
    <row r="256" s="8" customFormat="1" x14ac:dyDescent="0.25"/>
    <row r="257" s="8" customFormat="1" x14ac:dyDescent="0.25"/>
    <row r="258" s="8" customFormat="1" x14ac:dyDescent="0.25"/>
    <row r="259" s="8" customFormat="1" x14ac:dyDescent="0.25"/>
    <row r="260" s="8" customFormat="1" x14ac:dyDescent="0.25"/>
    <row r="261" s="8" customFormat="1" x14ac:dyDescent="0.25"/>
    <row r="262" s="8" customFormat="1" x14ac:dyDescent="0.25"/>
    <row r="263" s="8" customFormat="1" x14ac:dyDescent="0.25"/>
    <row r="264" s="8" customFormat="1" x14ac:dyDescent="0.25"/>
    <row r="265" s="8" customFormat="1" x14ac:dyDescent="0.25"/>
    <row r="266" s="8" customFormat="1" x14ac:dyDescent="0.25"/>
    <row r="267" s="8" customFormat="1" x14ac:dyDescent="0.25"/>
    <row r="268" s="8" customFormat="1" x14ac:dyDescent="0.25"/>
    <row r="269" s="8" customFormat="1" x14ac:dyDescent="0.25"/>
    <row r="270" s="8" customFormat="1" x14ac:dyDescent="0.25"/>
    <row r="271" s="8" customFormat="1" x14ac:dyDescent="0.25"/>
    <row r="272" s="8" customFormat="1" x14ac:dyDescent="0.25"/>
    <row r="273" s="8" customFormat="1" x14ac:dyDescent="0.25"/>
    <row r="274" s="8" customFormat="1" x14ac:dyDescent="0.25"/>
    <row r="275" s="8" customFormat="1" x14ac:dyDescent="0.25"/>
    <row r="276" s="8" customFormat="1" x14ac:dyDescent="0.25"/>
    <row r="277" s="8" customFormat="1" x14ac:dyDescent="0.25"/>
    <row r="278" s="8" customFormat="1" x14ac:dyDescent="0.25"/>
    <row r="279" s="8" customFormat="1" x14ac:dyDescent="0.25"/>
    <row r="280" s="8" customFormat="1" x14ac:dyDescent="0.25"/>
    <row r="281" s="8" customFormat="1" x14ac:dyDescent="0.25"/>
    <row r="282" s="8" customFormat="1" x14ac:dyDescent="0.25"/>
    <row r="283" s="8" customFormat="1" x14ac:dyDescent="0.25"/>
    <row r="284" s="8" customFormat="1" x14ac:dyDescent="0.25"/>
    <row r="285" s="8" customFormat="1" x14ac:dyDescent="0.25"/>
    <row r="286" s="8" customFormat="1" x14ac:dyDescent="0.25"/>
    <row r="287" s="8" customFormat="1" x14ac:dyDescent="0.25"/>
    <row r="288" s="8" customFormat="1" x14ac:dyDescent="0.25"/>
    <row r="289" s="8" customFormat="1" x14ac:dyDescent="0.25"/>
    <row r="290" s="8" customFormat="1" x14ac:dyDescent="0.25"/>
    <row r="291" s="8" customFormat="1" x14ac:dyDescent="0.25"/>
    <row r="292" s="8" customFormat="1" x14ac:dyDescent="0.25"/>
    <row r="293" s="8" customFormat="1" x14ac:dyDescent="0.25"/>
    <row r="294" s="8" customFormat="1" x14ac:dyDescent="0.25"/>
    <row r="295" s="8" customFormat="1" x14ac:dyDescent="0.25"/>
    <row r="296" s="8" customFormat="1" x14ac:dyDescent="0.25"/>
    <row r="297" s="8" customFormat="1" x14ac:dyDescent="0.25"/>
    <row r="298" s="8" customFormat="1" x14ac:dyDescent="0.25"/>
    <row r="299" s="8" customFormat="1" x14ac:dyDescent="0.25"/>
    <row r="300" s="8" customFormat="1" x14ac:dyDescent="0.25"/>
    <row r="301" s="8" customFormat="1" x14ac:dyDescent="0.25"/>
    <row r="302" s="8" customFormat="1" x14ac:dyDescent="0.25"/>
    <row r="303" s="8" customFormat="1" x14ac:dyDescent="0.25"/>
    <row r="304" s="8" customFormat="1" x14ac:dyDescent="0.25"/>
    <row r="305" s="8" customFormat="1" x14ac:dyDescent="0.25"/>
    <row r="306" s="8" customFormat="1" x14ac:dyDescent="0.25"/>
    <row r="307" s="8" customFormat="1" x14ac:dyDescent="0.25"/>
    <row r="308" s="8" customFormat="1" x14ac:dyDescent="0.25"/>
    <row r="309" s="8" customFormat="1" x14ac:dyDescent="0.25"/>
    <row r="310" s="8" customFormat="1" x14ac:dyDescent="0.25"/>
    <row r="311" s="8" customFormat="1" x14ac:dyDescent="0.25"/>
    <row r="312" s="8" customFormat="1" x14ac:dyDescent="0.25"/>
    <row r="313" s="8" customFormat="1" x14ac:dyDescent="0.25"/>
    <row r="314" s="8" customFormat="1" x14ac:dyDescent="0.25"/>
    <row r="315" s="8" customFormat="1" x14ac:dyDescent="0.25"/>
    <row r="316" s="8" customFormat="1" x14ac:dyDescent="0.25"/>
    <row r="317" s="8" customFormat="1" x14ac:dyDescent="0.25"/>
    <row r="318" s="8" customFormat="1" x14ac:dyDescent="0.25"/>
    <row r="319" s="8" customFormat="1" x14ac:dyDescent="0.25"/>
    <row r="320" s="8" customFormat="1" x14ac:dyDescent="0.25"/>
    <row r="321" s="8" customFormat="1" x14ac:dyDescent="0.25"/>
    <row r="322" s="8" customFormat="1" x14ac:dyDescent="0.25"/>
    <row r="323" s="8" customFormat="1" x14ac:dyDescent="0.25"/>
    <row r="324" s="8" customFormat="1" x14ac:dyDescent="0.25"/>
    <row r="325" s="8" customFormat="1" x14ac:dyDescent="0.25"/>
    <row r="326" s="8" customFormat="1" x14ac:dyDescent="0.25"/>
    <row r="327" s="8" customFormat="1" x14ac:dyDescent="0.25"/>
    <row r="328" s="8" customFormat="1" x14ac:dyDescent="0.25"/>
    <row r="329" s="8" customFormat="1" x14ac:dyDescent="0.25"/>
    <row r="330" s="8" customFormat="1" x14ac:dyDescent="0.25"/>
    <row r="331" s="8" customFormat="1" x14ac:dyDescent="0.25"/>
    <row r="332" s="8" customFormat="1" x14ac:dyDescent="0.25"/>
    <row r="333" s="8" customFormat="1" x14ac:dyDescent="0.25"/>
    <row r="334" s="8" customFormat="1" x14ac:dyDescent="0.25"/>
    <row r="335" s="8" customFormat="1" x14ac:dyDescent="0.25"/>
    <row r="336" s="8" customFormat="1" x14ac:dyDescent="0.25"/>
    <row r="337" s="8" customFormat="1" x14ac:dyDescent="0.25"/>
    <row r="338" s="8" customFormat="1" x14ac:dyDescent="0.25"/>
    <row r="339" s="8" customFormat="1" x14ac:dyDescent="0.25"/>
    <row r="340" s="8" customFormat="1" x14ac:dyDescent="0.25"/>
    <row r="341" s="8" customFormat="1" x14ac:dyDescent="0.25"/>
    <row r="342" s="8" customFormat="1" x14ac:dyDescent="0.25"/>
    <row r="343" s="8" customFormat="1" x14ac:dyDescent="0.25"/>
    <row r="344" s="8" customFormat="1" x14ac:dyDescent="0.25"/>
    <row r="345" s="8" customFormat="1" x14ac:dyDescent="0.25"/>
    <row r="346" s="8" customFormat="1" x14ac:dyDescent="0.25"/>
    <row r="347" s="8" customFormat="1" x14ac:dyDescent="0.25"/>
    <row r="348" s="8" customFormat="1" x14ac:dyDescent="0.25"/>
    <row r="349" s="8" customFormat="1" x14ac:dyDescent="0.25"/>
    <row r="350" s="8" customFormat="1" x14ac:dyDescent="0.25"/>
    <row r="351" s="8" customFormat="1" x14ac:dyDescent="0.25"/>
    <row r="352" s="8" customFormat="1" x14ac:dyDescent="0.25"/>
    <row r="353" s="8" customFormat="1" x14ac:dyDescent="0.25"/>
    <row r="354" s="8" customFormat="1" x14ac:dyDescent="0.25"/>
    <row r="355" s="8" customFormat="1" x14ac:dyDescent="0.25"/>
    <row r="356" s="8" customFormat="1" x14ac:dyDescent="0.25"/>
    <row r="357" s="8" customFormat="1" x14ac:dyDescent="0.25"/>
    <row r="358" s="8" customFormat="1" x14ac:dyDescent="0.25"/>
    <row r="359" s="8" customFormat="1" x14ac:dyDescent="0.25"/>
    <row r="360" s="8" customFormat="1" x14ac:dyDescent="0.25"/>
    <row r="361" s="8" customFormat="1" x14ac:dyDescent="0.25"/>
    <row r="362" s="8" customFormat="1" x14ac:dyDescent="0.25"/>
    <row r="363" s="8" customFormat="1" x14ac:dyDescent="0.25"/>
    <row r="364" s="8" customFormat="1" x14ac:dyDescent="0.25"/>
  </sheetData>
  <mergeCells count="2">
    <mergeCell ref="J50:J59"/>
    <mergeCell ref="J62:J63"/>
  </mergeCells>
  <conditionalFormatting sqref="L11:CP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headerFooter>
    <oddFooter>&amp;R&amp;1#&amp;"Arial"&amp;10&amp;K000000Confidential C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123FC8F-9D82-4462-96E1-EF0DB7BE9F08}">
          <x14:formula1>
            <xm:f>Table_Abaque!$B$22:$B$27</xm:f>
          </x14:formula1>
          <xm:sqref>I63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CA1E-E211-4B56-B79C-E89D15486C51}">
  <sheetPr codeName="Feuil4"/>
  <dimension ref="B4:P37"/>
  <sheetViews>
    <sheetView workbookViewId="0">
      <selection activeCell="F9" sqref="F9"/>
    </sheetView>
  </sheetViews>
  <sheetFormatPr baseColWidth="10" defaultRowHeight="15" x14ac:dyDescent="0.25"/>
  <cols>
    <col min="2" max="2" width="40.7109375" bestFit="1" customWidth="1"/>
    <col min="3" max="10" width="11.7109375" customWidth="1"/>
    <col min="11" max="11" width="17.7109375" bestFit="1" customWidth="1"/>
    <col min="12" max="16" width="11.7109375" customWidth="1"/>
  </cols>
  <sheetData>
    <row r="4" spans="2:16" x14ac:dyDescent="0.25">
      <c r="K4" s="138" t="s">
        <v>153</v>
      </c>
    </row>
    <row r="5" spans="2:16" x14ac:dyDescent="0.25">
      <c r="B5" s="33" t="s">
        <v>27</v>
      </c>
      <c r="C5" s="9" t="s">
        <v>21</v>
      </c>
      <c r="D5" s="36">
        <v>3</v>
      </c>
      <c r="E5" s="36">
        <v>4</v>
      </c>
      <c r="F5" s="36">
        <v>5</v>
      </c>
      <c r="G5" s="37">
        <v>6</v>
      </c>
      <c r="H5" s="36">
        <v>7</v>
      </c>
      <c r="I5" s="37">
        <v>8</v>
      </c>
      <c r="J5" s="37">
        <v>10</v>
      </c>
      <c r="K5" s="37">
        <v>11.112500000000001</v>
      </c>
      <c r="L5" s="37">
        <v>12</v>
      </c>
      <c r="M5" s="36">
        <v>14</v>
      </c>
      <c r="N5" s="36">
        <v>16</v>
      </c>
      <c r="O5" s="36">
        <v>18</v>
      </c>
      <c r="P5" s="36">
        <v>20</v>
      </c>
    </row>
    <row r="6" spans="2:16" x14ac:dyDescent="0.25">
      <c r="B6" s="251" t="s">
        <v>25</v>
      </c>
      <c r="C6" s="9" t="s">
        <v>41</v>
      </c>
      <c r="D6" s="9">
        <v>3.2</v>
      </c>
      <c r="E6" s="9">
        <v>4.3</v>
      </c>
      <c r="F6" s="9">
        <v>5.3</v>
      </c>
      <c r="G6" s="9">
        <v>6.4</v>
      </c>
      <c r="H6" s="9">
        <v>7.4</v>
      </c>
      <c r="I6" s="9">
        <v>8.4</v>
      </c>
      <c r="J6" s="9">
        <v>10.5</v>
      </c>
      <c r="K6" s="9">
        <v>11.07948</v>
      </c>
      <c r="L6" s="9">
        <v>13</v>
      </c>
      <c r="M6" s="9">
        <v>15</v>
      </c>
      <c r="N6" s="9">
        <v>17</v>
      </c>
      <c r="O6" s="9">
        <v>19</v>
      </c>
      <c r="P6" s="9">
        <v>21</v>
      </c>
    </row>
    <row r="7" spans="2:16" x14ac:dyDescent="0.25">
      <c r="B7" s="251"/>
      <c r="C7" s="15" t="s">
        <v>8</v>
      </c>
      <c r="D7" s="34">
        <v>3.4</v>
      </c>
      <c r="E7" s="34">
        <v>4.5</v>
      </c>
      <c r="F7" s="34">
        <v>5.5</v>
      </c>
      <c r="G7" s="34">
        <v>6.6</v>
      </c>
      <c r="H7" s="34">
        <v>7.6</v>
      </c>
      <c r="I7" s="34">
        <v>9</v>
      </c>
      <c r="J7" s="35">
        <v>11</v>
      </c>
      <c r="K7" s="9">
        <v>11.112500000000001</v>
      </c>
      <c r="L7" s="34">
        <v>13.5</v>
      </c>
      <c r="M7" s="34">
        <v>15.5</v>
      </c>
      <c r="N7" s="34">
        <v>17.5</v>
      </c>
      <c r="O7" s="34">
        <v>20</v>
      </c>
      <c r="P7" s="34">
        <v>22</v>
      </c>
    </row>
    <row r="8" spans="2:16" x14ac:dyDescent="0.25">
      <c r="B8" s="251"/>
      <c r="C8" s="9" t="s">
        <v>42</v>
      </c>
      <c r="D8" s="9">
        <v>3.6</v>
      </c>
      <c r="E8" s="9">
        <v>4.8</v>
      </c>
      <c r="F8" s="9">
        <v>5.8</v>
      </c>
      <c r="G8" s="9">
        <v>7</v>
      </c>
      <c r="H8" s="9">
        <v>8</v>
      </c>
      <c r="I8" s="9">
        <v>10</v>
      </c>
      <c r="J8" s="9">
        <v>12</v>
      </c>
      <c r="K8" s="9">
        <v>11.112500000000001</v>
      </c>
      <c r="L8" s="9">
        <v>14.5</v>
      </c>
      <c r="M8" s="9">
        <v>16.5</v>
      </c>
      <c r="N8" s="9">
        <v>18.5</v>
      </c>
      <c r="O8" s="9">
        <v>21</v>
      </c>
      <c r="P8" s="9">
        <v>24</v>
      </c>
    </row>
    <row r="9" spans="2:16" x14ac:dyDescent="0.25">
      <c r="B9" s="33" t="s">
        <v>23</v>
      </c>
      <c r="C9" s="15" t="s">
        <v>7</v>
      </c>
      <c r="D9" s="25">
        <f t="shared" ref="D9:I9" si="0">ROUND(D5*$J9/$J$5,1)</f>
        <v>4.4000000000000004</v>
      </c>
      <c r="E9" s="25">
        <f t="shared" si="0"/>
        <v>5.8</v>
      </c>
      <c r="F9" s="25">
        <f t="shared" si="0"/>
        <v>7.3</v>
      </c>
      <c r="G9" s="25">
        <f t="shared" si="0"/>
        <v>8.8000000000000007</v>
      </c>
      <c r="H9" s="25">
        <f t="shared" si="0"/>
        <v>10.199999999999999</v>
      </c>
      <c r="I9" s="25">
        <f t="shared" si="0"/>
        <v>11.7</v>
      </c>
      <c r="J9" s="32">
        <v>14.6</v>
      </c>
      <c r="K9" s="25">
        <f t="shared" ref="K9:P9" si="1">ROUND(K5*$J9/$J$5,1)</f>
        <v>16.2</v>
      </c>
      <c r="L9" s="25">
        <f t="shared" si="1"/>
        <v>17.5</v>
      </c>
      <c r="M9" s="25">
        <f t="shared" si="1"/>
        <v>20.399999999999999</v>
      </c>
      <c r="N9" s="25">
        <f t="shared" si="1"/>
        <v>23.4</v>
      </c>
      <c r="O9" s="25">
        <f t="shared" si="1"/>
        <v>26.3</v>
      </c>
      <c r="P9" s="25">
        <f t="shared" si="1"/>
        <v>29.2</v>
      </c>
    </row>
    <row r="10" spans="2:16" x14ac:dyDescent="0.25">
      <c r="D10" s="250" t="s">
        <v>40</v>
      </c>
      <c r="E10" s="250"/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</row>
    <row r="16" spans="2:16" x14ac:dyDescent="0.25">
      <c r="B16" s="9" t="s">
        <v>43</v>
      </c>
      <c r="C16" s="23">
        <v>6.8</v>
      </c>
      <c r="D16" s="23">
        <v>8.8000000000000007</v>
      </c>
      <c r="E16" s="23">
        <v>10.9</v>
      </c>
      <c r="F16" s="9">
        <v>11.9</v>
      </c>
      <c r="G16" s="23">
        <v>12.9</v>
      </c>
      <c r="H16" s="29">
        <v>3.6</v>
      </c>
      <c r="I16" s="29">
        <v>4.5999999999999996</v>
      </c>
      <c r="J16" s="9">
        <v>4.8</v>
      </c>
      <c r="K16" s="29">
        <v>5.6</v>
      </c>
      <c r="L16" s="29">
        <v>5.8</v>
      </c>
    </row>
    <row r="17" spans="2:12" x14ac:dyDescent="0.25">
      <c r="B17" s="15" t="s">
        <v>2</v>
      </c>
      <c r="C17" s="23">
        <v>480</v>
      </c>
      <c r="D17" s="23">
        <v>640</v>
      </c>
      <c r="E17" s="23">
        <v>940</v>
      </c>
      <c r="F17" s="23">
        <v>990</v>
      </c>
      <c r="G17" s="23">
        <v>1080</v>
      </c>
      <c r="H17" s="28">
        <v>180</v>
      </c>
      <c r="I17" s="29">
        <v>240</v>
      </c>
      <c r="J17" s="9">
        <v>340</v>
      </c>
      <c r="K17" s="9">
        <v>300</v>
      </c>
      <c r="L17" s="9">
        <v>400</v>
      </c>
    </row>
    <row r="18" spans="2:12" x14ac:dyDescent="0.25">
      <c r="B18" s="39" t="s">
        <v>44</v>
      </c>
      <c r="C18" s="29">
        <v>600</v>
      </c>
      <c r="D18" s="29">
        <v>800</v>
      </c>
      <c r="E18" s="29">
        <v>1040</v>
      </c>
      <c r="F18" s="29">
        <v>1100</v>
      </c>
      <c r="G18" s="29">
        <v>1220</v>
      </c>
      <c r="H18" s="29">
        <v>330</v>
      </c>
      <c r="I18" s="29">
        <v>400</v>
      </c>
      <c r="J18" s="29">
        <v>420</v>
      </c>
      <c r="K18" s="29">
        <v>500</v>
      </c>
      <c r="L18" s="29">
        <v>520</v>
      </c>
    </row>
    <row r="19" spans="2:12" x14ac:dyDescent="0.25">
      <c r="C19" s="38"/>
      <c r="D19" s="38"/>
      <c r="E19" s="38"/>
      <c r="F19" s="38"/>
    </row>
    <row r="20" spans="2:12" x14ac:dyDescent="0.25">
      <c r="C20" s="38"/>
      <c r="D20" s="38"/>
      <c r="E20" s="38"/>
      <c r="F20" s="38"/>
    </row>
    <row r="21" spans="2:12" x14ac:dyDescent="0.25">
      <c r="B21" s="39" t="s">
        <v>54</v>
      </c>
      <c r="C21" s="39"/>
      <c r="D21" s="39" t="s">
        <v>53</v>
      </c>
      <c r="E21" s="29" t="s">
        <v>52</v>
      </c>
      <c r="F21" s="38"/>
      <c r="G21" s="38"/>
    </row>
    <row r="22" spans="2:12" x14ac:dyDescent="0.25">
      <c r="B22" s="29" t="s">
        <v>9</v>
      </c>
      <c r="C22" s="29">
        <v>100</v>
      </c>
      <c r="D22" s="29">
        <v>105</v>
      </c>
      <c r="E22" s="6">
        <f>C22/D22</f>
        <v>0.95238095238095233</v>
      </c>
      <c r="F22" s="38"/>
      <c r="G22" s="38"/>
    </row>
    <row r="23" spans="2:12" x14ac:dyDescent="0.25">
      <c r="B23" s="29" t="s">
        <v>10</v>
      </c>
      <c r="C23" s="29">
        <v>100</v>
      </c>
      <c r="D23" s="29">
        <v>110</v>
      </c>
      <c r="E23" s="6">
        <f>C23/D23</f>
        <v>0.90909090909090906</v>
      </c>
      <c r="F23" s="38"/>
      <c r="G23" s="38"/>
    </row>
    <row r="24" spans="2:12" x14ac:dyDescent="0.25">
      <c r="B24" s="29" t="s">
        <v>11</v>
      </c>
      <c r="C24" s="29">
        <v>100</v>
      </c>
      <c r="D24" s="29">
        <v>115</v>
      </c>
      <c r="E24" s="6">
        <f t="shared" ref="E24:E27" si="2">C24/D24</f>
        <v>0.86956521739130432</v>
      </c>
      <c r="F24" s="38"/>
      <c r="G24" s="38"/>
    </row>
    <row r="25" spans="2:12" x14ac:dyDescent="0.25">
      <c r="B25" s="29" t="s">
        <v>12</v>
      </c>
      <c r="C25" s="29">
        <v>100</v>
      </c>
      <c r="D25" s="29">
        <v>120</v>
      </c>
      <c r="E25" s="6">
        <f t="shared" si="2"/>
        <v>0.83333333333333337</v>
      </c>
      <c r="F25" s="38"/>
      <c r="G25" s="38"/>
    </row>
    <row r="26" spans="2:12" x14ac:dyDescent="0.25">
      <c r="B26" s="29" t="s">
        <v>13</v>
      </c>
      <c r="C26" s="29">
        <v>100</v>
      </c>
      <c r="D26" s="29">
        <v>135</v>
      </c>
      <c r="E26" s="6">
        <f t="shared" si="2"/>
        <v>0.7407407407407407</v>
      </c>
      <c r="F26" s="38"/>
      <c r="G26" s="38"/>
    </row>
    <row r="27" spans="2:12" x14ac:dyDescent="0.25">
      <c r="B27" s="29" t="s">
        <v>14</v>
      </c>
      <c r="C27" s="29">
        <v>100</v>
      </c>
      <c r="D27" s="29">
        <v>145</v>
      </c>
      <c r="E27" s="6">
        <f t="shared" si="2"/>
        <v>0.68965517241379315</v>
      </c>
      <c r="F27" s="38"/>
      <c r="G27" s="38"/>
    </row>
    <row r="28" spans="2:12" x14ac:dyDescent="0.25">
      <c r="C28" s="38"/>
      <c r="D28" s="38"/>
      <c r="E28" s="38"/>
      <c r="F28" s="38"/>
      <c r="G28" s="38"/>
    </row>
    <row r="29" spans="2:12" x14ac:dyDescent="0.25">
      <c r="B29" s="57" t="s">
        <v>56</v>
      </c>
      <c r="C29" s="57">
        <v>1</v>
      </c>
      <c r="D29" s="38"/>
      <c r="E29" s="38"/>
      <c r="F29" s="38"/>
      <c r="G29" s="38"/>
    </row>
    <row r="30" spans="2:12" x14ac:dyDescent="0.25">
      <c r="D30" s="38"/>
      <c r="E30" s="38"/>
      <c r="F30" s="38"/>
      <c r="G30" s="38"/>
    </row>
    <row r="31" spans="2:12" x14ac:dyDescent="0.25">
      <c r="B31" s="58" t="s">
        <v>55</v>
      </c>
      <c r="C31" s="29" t="s">
        <v>51</v>
      </c>
      <c r="D31" s="38"/>
      <c r="E31" s="38"/>
      <c r="F31" s="38"/>
    </row>
    <row r="32" spans="2:12" x14ac:dyDescent="0.25">
      <c r="B32" s="29" t="s">
        <v>9</v>
      </c>
      <c r="C32" s="57">
        <v>0.95</v>
      </c>
      <c r="D32" s="38"/>
      <c r="E32" s="38"/>
      <c r="F32" s="38"/>
    </row>
    <row r="33" spans="2:6" x14ac:dyDescent="0.25">
      <c r="B33" s="29" t="s">
        <v>10</v>
      </c>
      <c r="C33" s="57">
        <v>0.9</v>
      </c>
      <c r="D33" s="38"/>
      <c r="E33" s="38"/>
      <c r="F33" s="38"/>
    </row>
    <row r="34" spans="2:6" x14ac:dyDescent="0.25">
      <c r="B34" s="29" t="s">
        <v>11</v>
      </c>
      <c r="C34" s="57">
        <v>0.85</v>
      </c>
      <c r="D34" s="38"/>
      <c r="E34" s="38"/>
      <c r="F34" s="38"/>
    </row>
    <row r="35" spans="2:6" x14ac:dyDescent="0.25">
      <c r="B35" s="29" t="s">
        <v>12</v>
      </c>
      <c r="C35" s="57">
        <v>0.8</v>
      </c>
    </row>
    <row r="36" spans="2:6" x14ac:dyDescent="0.25">
      <c r="B36" s="29" t="s">
        <v>13</v>
      </c>
      <c r="C36" s="57">
        <v>0.65</v>
      </c>
    </row>
    <row r="37" spans="2:6" x14ac:dyDescent="0.25">
      <c r="B37" s="29" t="s">
        <v>14</v>
      </c>
      <c r="C37" s="57">
        <v>0.55000000000000004</v>
      </c>
    </row>
  </sheetData>
  <mergeCells count="2">
    <mergeCell ref="D10:P10"/>
    <mergeCell ref="B6:B8"/>
  </mergeCells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D26C-975A-4031-9DC1-9AD1640377D5}">
  <sheetPr codeName="Feuil5"/>
  <dimension ref="F17:G17"/>
  <sheetViews>
    <sheetView workbookViewId="0">
      <selection activeCell="D21" sqref="D21"/>
    </sheetView>
  </sheetViews>
  <sheetFormatPr baseColWidth="10" defaultRowHeight="15" x14ac:dyDescent="0.25"/>
  <cols>
    <col min="6" max="6" width="48.5703125" bestFit="1" customWidth="1"/>
    <col min="7" max="7" width="24.5703125" bestFit="1" customWidth="1"/>
  </cols>
  <sheetData>
    <row r="17" spans="6:7" ht="26.25" x14ac:dyDescent="0.4">
      <c r="F17" s="95" t="s">
        <v>105</v>
      </c>
      <c r="G17" s="95" t="s">
        <v>104</v>
      </c>
    </row>
  </sheetData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Screw_Table_User</vt:lpstr>
      <vt:lpstr>User_Screw_Compute</vt:lpstr>
      <vt:lpstr>Table_Metier</vt:lpstr>
      <vt:lpstr>Table_Abaque</vt:lpstr>
      <vt:lpstr>MOTDEPASSE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BOUTON Cedric</dc:creator>
  <cp:lastModifiedBy>GUI Maxime (renexter)</cp:lastModifiedBy>
  <dcterms:created xsi:type="dcterms:W3CDTF">2017-04-21T12:21:45Z</dcterms:created>
  <dcterms:modified xsi:type="dcterms:W3CDTF">2024-07-12T15:32:43Z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1c0902-ed92-4fed-896d-2e7725de02d4_Enabled">
    <vt:lpwstr>true</vt:lpwstr>
  </property>
  <property fmtid="{D5CDD505-2E9C-101B-9397-08002B2CF9AE}" pid="3" name="MSIP_Label_fd1c0902-ed92-4fed-896d-2e7725de02d4_SetDate">
    <vt:lpwstr>2022-10-10T13:01:42Z</vt:lpwstr>
  </property>
  <property fmtid="{D5CDD505-2E9C-101B-9397-08002B2CF9AE}" pid="4" name="MSIP_Label_fd1c0902-ed92-4fed-896d-2e7725de02d4_Method">
    <vt:lpwstr>Standard</vt:lpwstr>
  </property>
  <property fmtid="{D5CDD505-2E9C-101B-9397-08002B2CF9AE}" pid="5" name="MSIP_Label_fd1c0902-ed92-4fed-896d-2e7725de02d4_Name">
    <vt:lpwstr>Anyone (not protected)</vt:lpwstr>
  </property>
  <property fmtid="{D5CDD505-2E9C-101B-9397-08002B2CF9AE}" pid="6" name="MSIP_Label_fd1c0902-ed92-4fed-896d-2e7725de02d4_SiteId">
    <vt:lpwstr>d6b0bbee-7cd9-4d60-bce6-4a67b543e2ae</vt:lpwstr>
  </property>
  <property fmtid="{D5CDD505-2E9C-101B-9397-08002B2CF9AE}" pid="7" name="MSIP_Label_fd1c0902-ed92-4fed-896d-2e7725de02d4_ActionId">
    <vt:lpwstr>0c42424a-3bf0-4798-8d09-4c62f1fc9d4c</vt:lpwstr>
  </property>
  <property fmtid="{D5CDD505-2E9C-101B-9397-08002B2CF9AE}" pid="8" name="MSIP_Label_fd1c0902-ed92-4fed-896d-2e7725de02d4_ContentBits">
    <vt:lpwstr>2</vt:lpwstr>
  </property>
</Properties>
</file>