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HoangAnh\RENNGHE\"/>
    </mc:Choice>
  </mc:AlternateContent>
  <xr:revisionPtr revIDLastSave="0" documentId="13_ncr:1_{EEF33E4B-1BBE-4446-9E47-294860F40D99}" xr6:coauthVersionLast="47" xr6:coauthVersionMax="47" xr10:uidLastSave="{00000000-0000-0000-0000-000000000000}"/>
  <bookViews>
    <workbookView xWindow="-120" yWindow="-120" windowWidth="24240" windowHeight="13140" activeTab="7" xr2:uid="{00000000-000D-0000-FFFF-FFFF00000000}"/>
  </bookViews>
  <sheets>
    <sheet name="8102024" sheetId="1" r:id="rId1"/>
    <sheet name="15102024" sheetId="2" r:id="rId2"/>
    <sheet name="22102024" sheetId="3" r:id="rId3"/>
    <sheet name="29102024" sheetId="4" r:id="rId4"/>
    <sheet name="05112024" sheetId="5" r:id="rId5"/>
    <sheet name="12112024" sheetId="6" r:id="rId6"/>
    <sheet name="19112024" sheetId="7" r:id="rId7"/>
    <sheet name="26112024" sheetId="8" r:id="rId8"/>
    <sheet name="03122024" sheetId="9" r:id="rId9"/>
  </sheets>
  <definedNames>
    <definedName name="_xlnm._FilterDatabase" localSheetId="0" hidden="1">'8102024'!$A$1:$D$97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7" i="9" l="1"/>
  <c r="I97" i="9"/>
  <c r="J96" i="9"/>
  <c r="I96" i="9"/>
  <c r="J95" i="9"/>
  <c r="I95" i="9"/>
  <c r="J94" i="9"/>
  <c r="I94" i="9"/>
  <c r="J93" i="9"/>
  <c r="I93" i="9"/>
  <c r="J92" i="9"/>
  <c r="I92" i="9"/>
  <c r="J91" i="9"/>
  <c r="I91" i="9"/>
  <c r="J90" i="9"/>
  <c r="I90" i="9"/>
  <c r="J89" i="9"/>
  <c r="I89" i="9"/>
  <c r="J88" i="9"/>
  <c r="I88" i="9"/>
  <c r="J86" i="9"/>
  <c r="I86" i="9"/>
  <c r="J78" i="9"/>
  <c r="I75" i="9"/>
  <c r="I74" i="9"/>
  <c r="J67" i="9"/>
  <c r="I67" i="9"/>
  <c r="J66" i="9"/>
  <c r="I66" i="9"/>
  <c r="J65" i="9"/>
  <c r="I65" i="9"/>
  <c r="I64" i="9"/>
  <c r="I63" i="9"/>
  <c r="I62" i="9"/>
  <c r="I61" i="9"/>
  <c r="I60" i="9"/>
  <c r="I59" i="9"/>
  <c r="J58" i="9"/>
  <c r="I58" i="9"/>
  <c r="J57" i="9"/>
  <c r="I57" i="9"/>
  <c r="J56" i="9"/>
  <c r="I55" i="9"/>
  <c r="I54" i="9"/>
  <c r="I53" i="9"/>
  <c r="I49" i="9"/>
  <c r="I48" i="9"/>
  <c r="I47" i="9"/>
  <c r="J46" i="9"/>
  <c r="I46" i="9"/>
  <c r="J45" i="9"/>
  <c r="I45" i="9"/>
  <c r="J44" i="9"/>
  <c r="I44" i="9"/>
  <c r="J43" i="9"/>
  <c r="I43" i="9"/>
  <c r="H43" i="9"/>
  <c r="J42" i="9"/>
  <c r="I42" i="9"/>
  <c r="H42" i="9"/>
  <c r="J41" i="9"/>
  <c r="I41" i="9"/>
  <c r="H41" i="9"/>
  <c r="J40" i="9"/>
  <c r="I40" i="9"/>
  <c r="J39" i="9"/>
  <c r="I39" i="9"/>
  <c r="J38" i="9"/>
  <c r="I38" i="9"/>
  <c r="J37" i="9"/>
  <c r="I37" i="9"/>
  <c r="J36" i="9"/>
  <c r="I36" i="9"/>
  <c r="J35" i="9"/>
  <c r="I35" i="9"/>
  <c r="I34" i="9"/>
  <c r="I33" i="9"/>
  <c r="I32" i="9"/>
  <c r="I31" i="9"/>
  <c r="I30" i="9"/>
  <c r="I29" i="9"/>
  <c r="J22" i="9"/>
  <c r="I22" i="9"/>
  <c r="J21" i="9"/>
  <c r="I21" i="9"/>
  <c r="J20" i="9"/>
  <c r="I20" i="9"/>
  <c r="J19" i="9"/>
  <c r="I19" i="9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I5" i="9"/>
  <c r="J4" i="9"/>
  <c r="I4" i="9"/>
  <c r="J3" i="9"/>
  <c r="I3" i="9"/>
  <c r="J2" i="9"/>
  <c r="I2" i="9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75" i="8"/>
  <c r="I75" i="8"/>
  <c r="J74" i="8"/>
  <c r="I74" i="8"/>
  <c r="I71" i="8"/>
  <c r="J67" i="8"/>
  <c r="I67" i="8"/>
  <c r="J66" i="8"/>
  <c r="I66" i="8"/>
  <c r="J65" i="8"/>
  <c r="I65" i="8"/>
  <c r="J61" i="8"/>
  <c r="I61" i="8"/>
  <c r="J60" i="8"/>
  <c r="I60" i="8"/>
  <c r="J59" i="8"/>
  <c r="I59" i="8"/>
  <c r="J58" i="8"/>
  <c r="I58" i="8"/>
  <c r="J57" i="8"/>
  <c r="I57" i="8"/>
  <c r="J56" i="8"/>
  <c r="I56" i="8"/>
  <c r="J52" i="8"/>
  <c r="I52" i="8"/>
  <c r="J51" i="8"/>
  <c r="I51" i="8"/>
  <c r="J50" i="8"/>
  <c r="I50" i="8"/>
  <c r="I49" i="8"/>
  <c r="I48" i="8"/>
  <c r="I47" i="8"/>
  <c r="J46" i="8"/>
  <c r="I46" i="8"/>
  <c r="I45" i="8"/>
  <c r="J44" i="8"/>
  <c r="I44" i="8"/>
  <c r="J43" i="8"/>
  <c r="I43" i="8"/>
  <c r="H43" i="8"/>
  <c r="J42" i="8"/>
  <c r="I42" i="8"/>
  <c r="H42" i="8"/>
  <c r="J41" i="8"/>
  <c r="I41" i="8"/>
  <c r="H41" i="8"/>
  <c r="J40" i="8"/>
  <c r="I40" i="8"/>
  <c r="J39" i="8"/>
  <c r="I39" i="8"/>
  <c r="J38" i="8"/>
  <c r="I38" i="8"/>
  <c r="J37" i="8"/>
  <c r="I37" i="8"/>
  <c r="J36" i="8"/>
  <c r="I36" i="8"/>
  <c r="J35" i="8"/>
  <c r="I35" i="8"/>
  <c r="J34" i="8"/>
  <c r="I34" i="8"/>
  <c r="I33" i="8"/>
  <c r="J32" i="8"/>
  <c r="I32" i="8"/>
  <c r="J31" i="8"/>
  <c r="I31" i="8"/>
  <c r="J30" i="8"/>
  <c r="I30" i="8"/>
  <c r="J29" i="8"/>
  <c r="I29" i="8"/>
  <c r="J22" i="8"/>
  <c r="I22" i="8"/>
  <c r="J21" i="8"/>
  <c r="I21" i="8"/>
  <c r="J20" i="8"/>
  <c r="I20" i="8"/>
  <c r="J19" i="8"/>
  <c r="I19" i="8"/>
  <c r="J18" i="8"/>
  <c r="I18" i="8"/>
  <c r="J17" i="8"/>
  <c r="I17" i="8"/>
  <c r="J16" i="8"/>
  <c r="I16" i="8"/>
  <c r="J15" i="8"/>
  <c r="I15" i="8"/>
  <c r="J14" i="8"/>
  <c r="I14" i="8"/>
  <c r="J13" i="8"/>
  <c r="I13" i="8"/>
  <c r="J12" i="8"/>
  <c r="I12" i="8"/>
  <c r="J11" i="8"/>
  <c r="I11" i="8"/>
  <c r="J6" i="8"/>
  <c r="J5" i="8"/>
  <c r="J4" i="8"/>
  <c r="I4" i="8"/>
  <c r="J3" i="8"/>
  <c r="I3" i="8"/>
  <c r="J2" i="8"/>
  <c r="I2" i="8"/>
  <c r="J97" i="7"/>
  <c r="I97" i="7"/>
  <c r="J96" i="7"/>
  <c r="I96" i="7"/>
  <c r="J95" i="7"/>
  <c r="I95" i="7"/>
  <c r="J94" i="7"/>
  <c r="I94" i="7"/>
  <c r="J93" i="7"/>
  <c r="I93" i="7"/>
  <c r="J92" i="7"/>
  <c r="I92" i="7"/>
  <c r="J91" i="7"/>
  <c r="I91" i="7"/>
  <c r="J90" i="7"/>
  <c r="I90" i="7"/>
  <c r="J89" i="7"/>
  <c r="I89" i="7"/>
  <c r="J88" i="7"/>
  <c r="I88" i="7"/>
  <c r="I86" i="7"/>
  <c r="I75" i="7"/>
  <c r="I74" i="7"/>
  <c r="J70" i="7"/>
  <c r="I70" i="7"/>
  <c r="J69" i="7"/>
  <c r="I69" i="7"/>
  <c r="J67" i="7"/>
  <c r="I67" i="7"/>
  <c r="J66" i="7"/>
  <c r="I66" i="7"/>
  <c r="J65" i="7"/>
  <c r="I65" i="7"/>
  <c r="I64" i="7"/>
  <c r="I63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I55" i="7"/>
  <c r="I54" i="7"/>
  <c r="I53" i="7"/>
  <c r="J49" i="7"/>
  <c r="I49" i="7"/>
  <c r="J48" i="7"/>
  <c r="I48" i="7"/>
  <c r="J47" i="7"/>
  <c r="I47" i="7"/>
  <c r="J46" i="7"/>
  <c r="I46" i="7"/>
  <c r="I45" i="7"/>
  <c r="J44" i="7"/>
  <c r="I44" i="7"/>
  <c r="J43" i="7"/>
  <c r="I43" i="7"/>
  <c r="H43" i="7"/>
  <c r="J42" i="7"/>
  <c r="I42" i="7"/>
  <c r="H42" i="7"/>
  <c r="J41" i="7"/>
  <c r="I41" i="7"/>
  <c r="H41" i="7"/>
  <c r="J40" i="7"/>
  <c r="I40" i="7"/>
  <c r="J39" i="7"/>
  <c r="I39" i="7"/>
  <c r="J38" i="7"/>
  <c r="I38" i="7"/>
  <c r="J37" i="7"/>
  <c r="I37" i="7"/>
  <c r="J36" i="7"/>
  <c r="I36" i="7"/>
  <c r="J35" i="7"/>
  <c r="I35" i="7"/>
  <c r="I34" i="7"/>
  <c r="I33" i="7"/>
  <c r="I32" i="7"/>
  <c r="J31" i="7"/>
  <c r="I31" i="7"/>
  <c r="J30" i="7"/>
  <c r="I30" i="7"/>
  <c r="J29" i="7"/>
  <c r="I29" i="7"/>
  <c r="J22" i="7"/>
  <c r="I22" i="7"/>
  <c r="J21" i="7"/>
  <c r="I21" i="7"/>
  <c r="J20" i="7"/>
  <c r="I20" i="7"/>
  <c r="J19" i="7"/>
  <c r="I19" i="7"/>
  <c r="H19" i="7"/>
  <c r="J18" i="7"/>
  <c r="I18" i="7"/>
  <c r="H18" i="7"/>
  <c r="J17" i="7"/>
  <c r="I17" i="7"/>
  <c r="H17" i="7"/>
  <c r="J16" i="7"/>
  <c r="I16" i="7"/>
  <c r="J15" i="7"/>
  <c r="I15" i="7"/>
  <c r="J14" i="7"/>
  <c r="I14" i="7"/>
  <c r="J13" i="7"/>
  <c r="I13" i="7"/>
  <c r="J12" i="7"/>
  <c r="I12" i="7"/>
  <c r="J11" i="7"/>
  <c r="I11" i="7"/>
  <c r="I7" i="7"/>
  <c r="I6" i="7"/>
  <c r="I5" i="7"/>
  <c r="J4" i="7"/>
  <c r="I4" i="7"/>
  <c r="J3" i="7"/>
  <c r="I3" i="7"/>
  <c r="J2" i="7"/>
  <c r="I2" i="7"/>
  <c r="I94" i="6"/>
  <c r="I93" i="6"/>
  <c r="I92" i="6"/>
  <c r="J91" i="6"/>
  <c r="I91" i="6"/>
  <c r="J90" i="6"/>
  <c r="I90" i="6"/>
  <c r="J89" i="6"/>
  <c r="I89" i="6"/>
  <c r="J88" i="6"/>
  <c r="I88" i="6"/>
  <c r="I86" i="6"/>
  <c r="I79" i="6"/>
  <c r="I78" i="6"/>
  <c r="I77" i="6"/>
  <c r="I75" i="6"/>
  <c r="I74" i="6"/>
  <c r="J70" i="6"/>
  <c r="I70" i="6"/>
  <c r="I69" i="6"/>
  <c r="I68" i="6"/>
  <c r="I67" i="6"/>
  <c r="J66" i="6"/>
  <c r="I66" i="6"/>
  <c r="J65" i="6"/>
  <c r="I65" i="6"/>
  <c r="I64" i="6"/>
  <c r="I63" i="6"/>
  <c r="I62" i="6"/>
  <c r="I61" i="6"/>
  <c r="J60" i="6"/>
  <c r="I60" i="6"/>
  <c r="J59" i="6"/>
  <c r="I59" i="6"/>
  <c r="I58" i="6"/>
  <c r="J57" i="6"/>
  <c r="I57" i="6"/>
  <c r="J56" i="6"/>
  <c r="I56" i="6"/>
  <c r="I55" i="6"/>
  <c r="I54" i="6"/>
  <c r="I53" i="6"/>
  <c r="I49" i="6"/>
  <c r="J48" i="6"/>
  <c r="I48" i="6"/>
  <c r="I47" i="6"/>
  <c r="I46" i="6"/>
  <c r="I45" i="6"/>
  <c r="I44" i="6"/>
  <c r="I43" i="6"/>
  <c r="I42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I34" i="6"/>
  <c r="I33" i="6"/>
  <c r="I32" i="6"/>
  <c r="I31" i="6"/>
  <c r="I30" i="6"/>
  <c r="I29" i="6"/>
  <c r="J22" i="6"/>
  <c r="I22" i="6"/>
  <c r="J21" i="6"/>
  <c r="I21" i="6"/>
  <c r="J20" i="6"/>
  <c r="I20" i="6"/>
  <c r="I19" i="6"/>
  <c r="H19" i="6"/>
  <c r="I18" i="6"/>
  <c r="H18" i="6"/>
  <c r="I17" i="6"/>
  <c r="H17" i="6"/>
  <c r="I16" i="6"/>
  <c r="I15" i="6"/>
  <c r="I14" i="6"/>
  <c r="I13" i="6"/>
  <c r="I12" i="6"/>
  <c r="I11" i="6"/>
  <c r="J7" i="6"/>
  <c r="I7" i="6"/>
  <c r="J6" i="6"/>
  <c r="I6" i="6"/>
  <c r="J5" i="6"/>
  <c r="I5" i="6"/>
  <c r="I4" i="6"/>
  <c r="I2" i="6"/>
  <c r="H75" i="5"/>
  <c r="H74" i="5"/>
  <c r="H73" i="5"/>
  <c r="H72" i="5"/>
  <c r="H71" i="5"/>
  <c r="H70" i="5"/>
  <c r="H69" i="5"/>
  <c r="H68" i="5"/>
  <c r="H67" i="5"/>
  <c r="H66" i="5"/>
  <c r="H65" i="5"/>
  <c r="H58" i="5"/>
  <c r="H57" i="5"/>
  <c r="H56" i="5"/>
  <c r="H52" i="5"/>
  <c r="H51" i="5"/>
  <c r="H50" i="5"/>
  <c r="H49" i="5"/>
  <c r="H48" i="5"/>
  <c r="H47" i="5"/>
  <c r="H45" i="5"/>
  <c r="H44" i="5"/>
  <c r="H31" i="5"/>
  <c r="G31" i="5"/>
  <c r="H30" i="5"/>
  <c r="G30" i="5"/>
  <c r="H29" i="5"/>
  <c r="G29" i="5"/>
  <c r="H28" i="5"/>
  <c r="H27" i="5"/>
  <c r="H26" i="5"/>
  <c r="H13" i="5"/>
  <c r="G13" i="5"/>
  <c r="H12" i="5"/>
  <c r="G12" i="5"/>
  <c r="H11" i="5"/>
  <c r="G11" i="5"/>
  <c r="H10" i="5"/>
  <c r="H9" i="5"/>
  <c r="H8" i="5"/>
  <c r="H7" i="5"/>
  <c r="H6" i="5"/>
  <c r="H5" i="5"/>
  <c r="H2" i="5"/>
  <c r="I97" i="4"/>
  <c r="I96" i="4"/>
  <c r="I95" i="4"/>
  <c r="I94" i="4"/>
  <c r="I93" i="4"/>
  <c r="I92" i="4"/>
  <c r="I91" i="4"/>
  <c r="I90" i="4"/>
  <c r="I89" i="4"/>
  <c r="I88" i="4"/>
  <c r="I87" i="4"/>
  <c r="I86" i="4"/>
  <c r="I70" i="4"/>
  <c r="I69" i="4"/>
  <c r="I68" i="4"/>
  <c r="I67" i="4"/>
  <c r="I66" i="4"/>
  <c r="I65" i="4"/>
  <c r="I49" i="4"/>
  <c r="I48" i="4"/>
  <c r="I47" i="4"/>
  <c r="I46" i="4"/>
  <c r="I45" i="4"/>
  <c r="I44" i="4"/>
  <c r="I43" i="4"/>
  <c r="H43" i="4"/>
  <c r="I42" i="4"/>
  <c r="H42" i="4"/>
  <c r="I41" i="4"/>
  <c r="I40" i="4"/>
  <c r="I39" i="4"/>
  <c r="I38" i="4"/>
  <c r="I37" i="4"/>
  <c r="I34" i="4"/>
  <c r="I33" i="4"/>
  <c r="I32" i="4"/>
  <c r="I22" i="4"/>
  <c r="I21" i="4"/>
  <c r="I20" i="4"/>
  <c r="I19" i="4"/>
  <c r="I18" i="4"/>
  <c r="I17" i="4"/>
  <c r="I16" i="4"/>
  <c r="I15" i="4"/>
  <c r="I14" i="4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<sst xmlns="http://schemas.openxmlformats.org/spreadsheetml/2006/main" count="1741" uniqueCount="25">
  <si>
    <t>Block</t>
  </si>
  <si>
    <t>CT</t>
  </si>
  <si>
    <t>Chiều cao cây</t>
  </si>
  <si>
    <t>Số lá thật</t>
  </si>
  <si>
    <t>I</t>
  </si>
  <si>
    <t>CT1</t>
  </si>
  <si>
    <t>Khối</t>
  </si>
  <si>
    <t>Trung bình</t>
  </si>
  <si>
    <t>Độ lệch chuẩn</t>
  </si>
  <si>
    <t>ĐC</t>
  </si>
  <si>
    <t>CT2</t>
  </si>
  <si>
    <t>CT3</t>
  </si>
  <si>
    <t>II</t>
  </si>
  <si>
    <t>III</t>
  </si>
  <si>
    <t>IV</t>
  </si>
  <si>
    <t>V</t>
  </si>
  <si>
    <t>VI</t>
  </si>
  <si>
    <t>VII</t>
  </si>
  <si>
    <t>VIII</t>
  </si>
  <si>
    <t>Chu vi gốc</t>
  </si>
  <si>
    <t>SPAD lá già</t>
  </si>
  <si>
    <t>SPAD lá non</t>
  </si>
  <si>
    <t>Số cụm hoa</t>
  </si>
  <si>
    <t>Số nụ hoa</t>
  </si>
  <si>
    <t>Số quả 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</si>
</sst>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0.0"/>
  </numFmts>
  <fonts count="16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&quot;Aptos Narrow&quot;"/>
    </font>
    <font>
      <b/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sz val="11"/>
      <color rgb="FF000000"/>
      <name val="Arial"/>
    </font>
    <font>
      <sz val="11"/>
      <color theme="1"/>
      <name val="Arial"/>
    </font>
    <font>
      <i/>
      <sz val="10"/>
      <color theme="1"/>
      <name val="Arial"/>
    </font>
    <font>
      <b/>
      <sz val="11"/>
      <color rgb="FF081C36"/>
      <name val="SegoeuiPc"/>
    </font>
    <font>
      <sz val="10"/>
      <color rgb="FF000000"/>
      <name val="Arial"/>
    </font>
    <font>
      <b/>
      <sz val="10"/>
      <color rgb="FF000000"/>
      <name val="Arial"/>
    </font>
    <font>
      <sz val="9"/>
      <color rgb="FF1155CC"/>
      <name val="Google Sans Mono"/>
    </font>
    <font>
      <sz val="9"/>
      <color theme="1"/>
      <name val="Google Sans Mono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4" xfId="0" applyFont="1" applyBorder="1"/>
    <xf numFmtId="0" fontId="4" fillId="0" borderId="5" xfId="0" applyFont="1" applyBorder="1"/>
    <xf numFmtId="0" fontId="7" fillId="0" borderId="5" xfId="0" applyFont="1" applyBorder="1"/>
    <xf numFmtId="0" fontId="7" fillId="0" borderId="5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/>
    <xf numFmtId="0" fontId="11" fillId="3" borderId="0" xfId="0" applyFont="1" applyFill="1" applyAlignment="1">
      <alignment horizontal="center"/>
    </xf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3" fillId="6" borderId="0" xfId="0" applyFont="1" applyFill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3" fontId="12" fillId="0" borderId="0" xfId="0" applyNumberFormat="1" applyFont="1" applyAlignment="1">
      <alignment horizontal="center"/>
    </xf>
    <xf numFmtId="165" fontId="3" fillId="2" borderId="0" xfId="0" applyNumberFormat="1" applyFont="1" applyFill="1" applyAlignment="1">
      <alignment horizontal="center"/>
    </xf>
    <xf numFmtId="4" fontId="3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4" fontId="14" fillId="3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4" fontId="3" fillId="6" borderId="0" xfId="0" applyNumberFormat="1" applyFont="1" applyFill="1" applyAlignment="1">
      <alignment horizontal="center"/>
    </xf>
    <xf numFmtId="4" fontId="15" fillId="3" borderId="0" xfId="0" applyNumberFormat="1" applyFont="1" applyFill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2" xfId="0" applyFont="1" applyBorder="1"/>
    <xf numFmtId="0" fontId="9" fillId="0" borderId="0" xfId="0" applyNumberFormat="1" applyFont="1" applyAlignment="1">
      <alignment horizontal="center"/>
    </xf>
    <xf numFmtId="0" fontId="9" fillId="2" borderId="0" xfId="0" applyNumberFormat="1" applyFont="1" applyFill="1" applyAlignment="1">
      <alignment horizontal="center"/>
    </xf>
    <xf numFmtId="0" fontId="9" fillId="3" borderId="0" xfId="0" applyNumberFormat="1" applyFont="1" applyFill="1" applyAlignment="1">
      <alignment horizontal="center"/>
    </xf>
    <xf numFmtId="0" fontId="9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9"/>
  <sheetViews>
    <sheetView workbookViewId="0">
      <pane ySplit="1" topLeftCell="A8" activePane="bottomLeft" state="frozen"/>
      <selection pane="bottomLeft" activeCell="J25" sqref="H25:J25"/>
    </sheetView>
  </sheetViews>
  <sheetFormatPr defaultColWidth="12.5703125" defaultRowHeight="15.75" customHeight="1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>
      <c r="A2" s="3" t="s">
        <v>4</v>
      </c>
      <c r="B2" s="3" t="s">
        <v>5</v>
      </c>
      <c r="C2" s="3">
        <v>8.3000000000000007</v>
      </c>
      <c r="D2" s="3">
        <v>4</v>
      </c>
      <c r="E2" s="2"/>
      <c r="F2" s="2"/>
      <c r="G2" s="4" t="s">
        <v>6</v>
      </c>
      <c r="H2" s="5"/>
      <c r="I2" s="44" t="s">
        <v>2</v>
      </c>
      <c r="J2" s="45"/>
      <c r="K2" s="44" t="s">
        <v>3</v>
      </c>
      <c r="L2" s="4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>
      <c r="A3" s="3" t="s">
        <v>4</v>
      </c>
      <c r="B3" s="3" t="s">
        <v>5</v>
      </c>
      <c r="C3" s="3">
        <v>7</v>
      </c>
      <c r="D3" s="3">
        <v>4</v>
      </c>
      <c r="E3" s="2"/>
      <c r="F3" s="2"/>
      <c r="G3" s="6"/>
      <c r="H3" s="7"/>
      <c r="I3" s="8" t="s">
        <v>7</v>
      </c>
      <c r="J3" s="8" t="s">
        <v>8</v>
      </c>
      <c r="K3" s="8" t="s">
        <v>7</v>
      </c>
      <c r="L3" s="8" t="s">
        <v>8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>
      <c r="A4" s="3" t="s">
        <v>4</v>
      </c>
      <c r="B4" s="3" t="s">
        <v>5</v>
      </c>
      <c r="C4" s="3">
        <v>7.5</v>
      </c>
      <c r="D4" s="3">
        <v>4</v>
      </c>
      <c r="E4" s="2"/>
      <c r="F4" s="2"/>
      <c r="G4" s="6" t="s">
        <v>4</v>
      </c>
      <c r="H4" s="7" t="s">
        <v>9</v>
      </c>
      <c r="I4" s="9">
        <f>AVERAGE(C11:C13)</f>
        <v>8.5</v>
      </c>
      <c r="J4" s="10">
        <v>9.2899999999999991</v>
      </c>
      <c r="K4" s="9">
        <v>16.329999999999998</v>
      </c>
      <c r="L4" s="11">
        <v>1.1499999999999999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>
      <c r="A5" s="12" t="s">
        <v>4</v>
      </c>
      <c r="B5" s="12" t="s">
        <v>10</v>
      </c>
      <c r="C5" s="12">
        <v>9.5</v>
      </c>
      <c r="D5" s="12">
        <v>4</v>
      </c>
      <c r="E5" s="2"/>
      <c r="F5" s="2"/>
      <c r="G5" s="6"/>
      <c r="H5" s="7" t="s">
        <v>5</v>
      </c>
      <c r="I5" s="9">
        <f>AVERAGE(C2:C4)</f>
        <v>7.6000000000000005</v>
      </c>
      <c r="J5" s="11">
        <v>5</v>
      </c>
      <c r="K5" s="9">
        <v>14.33</v>
      </c>
      <c r="L5" s="11">
        <v>1.1499999999999999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12" t="s">
        <v>4</v>
      </c>
      <c r="B6" s="12" t="s">
        <v>10</v>
      </c>
      <c r="C6" s="12">
        <v>9.6999999999999993</v>
      </c>
      <c r="D6" s="12">
        <v>4</v>
      </c>
      <c r="E6" s="2"/>
      <c r="F6" s="2"/>
      <c r="G6" s="6"/>
      <c r="H6" s="7" t="s">
        <v>10</v>
      </c>
      <c r="I6" s="9">
        <f>AVERAGE(C5:C7)</f>
        <v>9.7666666666666657</v>
      </c>
      <c r="J6" s="9">
        <v>4.3600000000000003</v>
      </c>
      <c r="K6" s="9">
        <v>18</v>
      </c>
      <c r="L6" s="11">
        <v>1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>
      <c r="A7" s="12" t="s">
        <v>4</v>
      </c>
      <c r="B7" s="12" t="s">
        <v>10</v>
      </c>
      <c r="C7" s="12">
        <v>10.1</v>
      </c>
      <c r="D7" s="12">
        <v>4</v>
      </c>
      <c r="E7" s="2"/>
      <c r="F7" s="2"/>
      <c r="G7" s="6"/>
      <c r="H7" s="7" t="s">
        <v>11</v>
      </c>
      <c r="I7" s="9">
        <f>AVERAGE(C8:C10)</f>
        <v>8.9</v>
      </c>
      <c r="J7" s="9">
        <v>8.19</v>
      </c>
      <c r="K7" s="9">
        <v>15</v>
      </c>
      <c r="L7" s="11">
        <v>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12" t="s">
        <v>4</v>
      </c>
      <c r="B8" s="12" t="s">
        <v>11</v>
      </c>
      <c r="C8" s="12">
        <v>8.3000000000000007</v>
      </c>
      <c r="D8" s="12">
        <v>3</v>
      </c>
      <c r="E8" s="2"/>
      <c r="F8" s="2"/>
      <c r="G8" s="6" t="s">
        <v>12</v>
      </c>
      <c r="H8" s="7" t="s">
        <v>9</v>
      </c>
      <c r="I8" s="9">
        <f>AVERAGE(C23:C25)</f>
        <v>8.6666666666666661</v>
      </c>
      <c r="J8" s="9">
        <v>8.66</v>
      </c>
      <c r="K8" s="9">
        <v>16.329999999999998</v>
      </c>
      <c r="L8" s="11">
        <v>1.53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>
      <c r="A9" s="12" t="s">
        <v>4</v>
      </c>
      <c r="B9" s="12" t="s">
        <v>11</v>
      </c>
      <c r="C9" s="12">
        <v>8.5</v>
      </c>
      <c r="D9" s="12">
        <v>4</v>
      </c>
      <c r="E9" s="2"/>
      <c r="F9" s="2"/>
      <c r="G9" s="6"/>
      <c r="H9" s="7" t="s">
        <v>5</v>
      </c>
      <c r="I9" s="9">
        <f>AVERAGE(C14:C16)</f>
        <v>7.333333333333333</v>
      </c>
      <c r="J9" s="11">
        <v>9.64</v>
      </c>
      <c r="K9" s="9">
        <v>13.33</v>
      </c>
      <c r="L9" s="11">
        <v>3.21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>
      <c r="A10" s="12" t="s">
        <v>4</v>
      </c>
      <c r="B10" s="12" t="s">
        <v>11</v>
      </c>
      <c r="C10" s="12">
        <v>9.9</v>
      </c>
      <c r="D10" s="12">
        <v>4</v>
      </c>
      <c r="E10" s="2"/>
      <c r="F10" s="2"/>
      <c r="G10" s="6"/>
      <c r="H10" s="7" t="s">
        <v>10</v>
      </c>
      <c r="I10" s="9">
        <f>AVERAGE(C17:C19)</f>
        <v>7.166666666666667</v>
      </c>
      <c r="J10" s="9">
        <v>14.5</v>
      </c>
      <c r="K10" s="9">
        <v>15</v>
      </c>
      <c r="L10" s="11">
        <v>1.73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>
      <c r="A11" s="3" t="s">
        <v>4</v>
      </c>
      <c r="B11" s="3" t="s">
        <v>9</v>
      </c>
      <c r="C11" s="3">
        <v>10.199999999999999</v>
      </c>
      <c r="D11" s="3">
        <v>4</v>
      </c>
      <c r="E11" s="2"/>
      <c r="F11" s="2"/>
      <c r="G11" s="6"/>
      <c r="H11" s="7" t="s">
        <v>11</v>
      </c>
      <c r="I11" s="9">
        <f>AVERAGE(C20:C22)</f>
        <v>8.5666666666666664</v>
      </c>
      <c r="J11" s="9">
        <v>2.65</v>
      </c>
      <c r="K11" s="9">
        <v>19.329999999999998</v>
      </c>
      <c r="L11" s="11">
        <v>1.53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>
      <c r="A12" s="3" t="s">
        <v>4</v>
      </c>
      <c r="B12" s="3" t="s">
        <v>9</v>
      </c>
      <c r="C12" s="3">
        <v>7.8</v>
      </c>
      <c r="D12" s="3">
        <v>4</v>
      </c>
      <c r="E12" s="2"/>
      <c r="F12" s="2"/>
      <c r="G12" s="6" t="s">
        <v>13</v>
      </c>
      <c r="H12" s="7" t="s">
        <v>9</v>
      </c>
      <c r="I12" s="9">
        <f t="shared" ref="I12:I35" si="0">AVERAGE(C19:C21)</f>
        <v>8.4666666666666668</v>
      </c>
      <c r="J12" s="9">
        <v>16.260000000000002</v>
      </c>
      <c r="K12" s="9">
        <v>15.5</v>
      </c>
      <c r="L12" s="11">
        <v>0.71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>
      <c r="A13" s="3" t="s">
        <v>4</v>
      </c>
      <c r="B13" s="3" t="s">
        <v>9</v>
      </c>
      <c r="C13" s="3">
        <v>7.5</v>
      </c>
      <c r="D13" s="3">
        <v>4</v>
      </c>
      <c r="E13" s="2"/>
      <c r="F13" s="2"/>
      <c r="G13" s="6"/>
      <c r="H13" s="7" t="s">
        <v>5</v>
      </c>
      <c r="I13" s="9">
        <f t="shared" si="0"/>
        <v>8.5666666666666664</v>
      </c>
      <c r="J13" s="9">
        <v>3.51</v>
      </c>
      <c r="K13" s="9">
        <v>18</v>
      </c>
      <c r="L13" s="11">
        <v>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>
      <c r="A14" s="12" t="s">
        <v>12</v>
      </c>
      <c r="B14" s="12" t="s">
        <v>5</v>
      </c>
      <c r="C14" s="12">
        <v>7.5</v>
      </c>
      <c r="D14" s="12">
        <v>4</v>
      </c>
      <c r="E14" s="2"/>
      <c r="F14" s="2"/>
      <c r="G14" s="6"/>
      <c r="H14" s="7" t="s">
        <v>10</v>
      </c>
      <c r="I14" s="9">
        <f t="shared" si="0"/>
        <v>8.8333333333333339</v>
      </c>
      <c r="J14" s="9">
        <v>13.23</v>
      </c>
      <c r="K14" s="9">
        <v>14</v>
      </c>
      <c r="L14" s="11">
        <v>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>
      <c r="A15" s="12" t="s">
        <v>12</v>
      </c>
      <c r="B15" s="12" t="s">
        <v>5</v>
      </c>
      <c r="C15" s="12">
        <v>7</v>
      </c>
      <c r="D15" s="12">
        <v>4</v>
      </c>
      <c r="E15" s="2"/>
      <c r="F15" s="2"/>
      <c r="G15" s="6"/>
      <c r="H15" s="7" t="s">
        <v>11</v>
      </c>
      <c r="I15" s="9">
        <f t="shared" si="0"/>
        <v>8.2666666666666675</v>
      </c>
      <c r="J15" s="9">
        <v>9.66</v>
      </c>
      <c r="K15" s="9">
        <v>15.33</v>
      </c>
      <c r="L15" s="11">
        <v>2.08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12" t="s">
        <v>12</v>
      </c>
      <c r="B16" s="12" t="s">
        <v>5</v>
      </c>
      <c r="C16" s="12">
        <v>7.5</v>
      </c>
      <c r="D16" s="12">
        <v>4</v>
      </c>
      <c r="E16" s="2"/>
      <c r="F16" s="2"/>
      <c r="G16" s="6" t="s">
        <v>14</v>
      </c>
      <c r="H16" s="7" t="s">
        <v>9</v>
      </c>
      <c r="I16" s="9">
        <f t="shared" si="0"/>
        <v>8.6666666666666661</v>
      </c>
      <c r="J16" s="9">
        <v>1.1100000000000001</v>
      </c>
      <c r="K16" s="9">
        <v>14.33</v>
      </c>
      <c r="L16" s="11">
        <v>2.08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3" t="s">
        <v>12</v>
      </c>
      <c r="B17" s="3" t="s">
        <v>10</v>
      </c>
      <c r="C17" s="3">
        <v>7.5</v>
      </c>
      <c r="D17" s="3">
        <v>4</v>
      </c>
      <c r="E17" s="2"/>
      <c r="F17" s="2"/>
      <c r="G17" s="6"/>
      <c r="H17" s="7" t="s">
        <v>5</v>
      </c>
      <c r="I17" s="9">
        <f t="shared" si="0"/>
        <v>8.8666666666666671</v>
      </c>
      <c r="J17" s="9">
        <v>6.24</v>
      </c>
      <c r="K17" s="9">
        <v>17.670000000000002</v>
      </c>
      <c r="L17" s="11">
        <v>1.1499999999999999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>
      <c r="A18" s="3" t="s">
        <v>12</v>
      </c>
      <c r="B18" s="3" t="s">
        <v>10</v>
      </c>
      <c r="C18" s="3">
        <v>6.5</v>
      </c>
      <c r="D18" s="3">
        <v>4</v>
      </c>
      <c r="E18" s="2"/>
      <c r="F18" s="2"/>
      <c r="G18" s="6"/>
      <c r="H18" s="7" t="s">
        <v>10</v>
      </c>
      <c r="I18" s="9">
        <f t="shared" si="0"/>
        <v>9.3333333333333339</v>
      </c>
      <c r="J18" s="11">
        <v>8.14</v>
      </c>
      <c r="K18" s="9">
        <v>16.329999999999998</v>
      </c>
      <c r="L18" s="11">
        <v>1.53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>
      <c r="A19" s="3" t="s">
        <v>12</v>
      </c>
      <c r="B19" s="3" t="s">
        <v>10</v>
      </c>
      <c r="C19" s="3">
        <v>7.5</v>
      </c>
      <c r="D19" s="3">
        <v>4</v>
      </c>
      <c r="E19" s="2"/>
      <c r="F19" s="2"/>
      <c r="G19" s="6"/>
      <c r="H19" s="7" t="s">
        <v>11</v>
      </c>
      <c r="I19" s="9">
        <f t="shared" si="0"/>
        <v>9.4</v>
      </c>
      <c r="J19" s="9">
        <v>2</v>
      </c>
      <c r="K19" s="9">
        <v>15.33</v>
      </c>
      <c r="L19" s="11">
        <v>2.08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>
      <c r="A20" s="3" t="s">
        <v>12</v>
      </c>
      <c r="B20" s="3" t="s">
        <v>11</v>
      </c>
      <c r="C20" s="3">
        <v>8.1999999999999993</v>
      </c>
      <c r="D20" s="3">
        <v>4</v>
      </c>
      <c r="E20" s="2"/>
      <c r="F20" s="2"/>
      <c r="G20" s="6" t="s">
        <v>15</v>
      </c>
      <c r="H20" s="7" t="s">
        <v>9</v>
      </c>
      <c r="I20" s="9">
        <f t="shared" si="0"/>
        <v>8.3000000000000007</v>
      </c>
      <c r="J20" s="9">
        <v>5.51</v>
      </c>
      <c r="K20" s="9">
        <v>16</v>
      </c>
      <c r="L20" s="11">
        <v>1.73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>
      <c r="A21" s="3" t="s">
        <v>12</v>
      </c>
      <c r="B21" s="3" t="s">
        <v>11</v>
      </c>
      <c r="C21" s="3">
        <v>9.6999999999999993</v>
      </c>
      <c r="D21" s="3">
        <v>4</v>
      </c>
      <c r="E21" s="2"/>
      <c r="F21" s="2"/>
      <c r="G21" s="6"/>
      <c r="H21" s="7" t="s">
        <v>5</v>
      </c>
      <c r="I21" s="9">
        <f t="shared" si="0"/>
        <v>7.3999999999999995</v>
      </c>
      <c r="J21" s="9">
        <v>4.04</v>
      </c>
      <c r="K21" s="9">
        <v>14.67</v>
      </c>
      <c r="L21" s="11">
        <v>0.57999999999999996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3" t="s">
        <v>12</v>
      </c>
      <c r="B22" s="3" t="s">
        <v>11</v>
      </c>
      <c r="C22" s="3">
        <v>7.8</v>
      </c>
      <c r="D22" s="3">
        <v>4</v>
      </c>
      <c r="E22" s="2"/>
      <c r="F22" s="2"/>
      <c r="G22" s="6"/>
      <c r="H22" s="7" t="s">
        <v>10</v>
      </c>
      <c r="I22" s="9">
        <f t="shared" si="0"/>
        <v>6.833333333333333</v>
      </c>
      <c r="J22" s="9">
        <v>4.9000000000000004</v>
      </c>
      <c r="K22" s="9">
        <v>17.329999999999998</v>
      </c>
      <c r="L22" s="11">
        <v>1.53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12" t="s">
        <v>12</v>
      </c>
      <c r="B23" s="12" t="s">
        <v>9</v>
      </c>
      <c r="C23" s="12">
        <v>9</v>
      </c>
      <c r="D23" s="12">
        <v>4</v>
      </c>
      <c r="E23" s="2"/>
      <c r="F23" s="2"/>
      <c r="G23" s="6"/>
      <c r="H23" s="7" t="s">
        <v>11</v>
      </c>
      <c r="I23" s="9">
        <f t="shared" si="0"/>
        <v>7.5666666666666664</v>
      </c>
      <c r="J23" s="9">
        <v>12.34</v>
      </c>
      <c r="K23" s="9">
        <v>17</v>
      </c>
      <c r="L23" s="11">
        <v>4.3600000000000003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12" t="s">
        <v>12</v>
      </c>
      <c r="B24" s="12" t="s">
        <v>9</v>
      </c>
      <c r="C24" s="12">
        <v>8</v>
      </c>
      <c r="D24" s="12">
        <v>4</v>
      </c>
      <c r="E24" s="2"/>
      <c r="F24" s="2"/>
      <c r="G24" s="6" t="s">
        <v>16</v>
      </c>
      <c r="H24" s="7" t="s">
        <v>9</v>
      </c>
      <c r="I24" s="9">
        <f t="shared" si="0"/>
        <v>8.2666666666666675</v>
      </c>
      <c r="J24" s="9">
        <v>2.08</v>
      </c>
      <c r="K24" s="9">
        <v>16.670000000000002</v>
      </c>
      <c r="L24" s="11">
        <v>2.52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12" t="s">
        <v>12</v>
      </c>
      <c r="B25" s="12" t="s">
        <v>9</v>
      </c>
      <c r="C25" s="12">
        <v>9</v>
      </c>
      <c r="D25" s="12">
        <v>5</v>
      </c>
      <c r="E25" s="2"/>
      <c r="F25" s="2"/>
      <c r="G25" s="6"/>
      <c r="H25" s="7" t="s">
        <v>5</v>
      </c>
      <c r="I25" s="9">
        <f t="shared" si="0"/>
        <v>8.2666666666666675</v>
      </c>
      <c r="J25" s="9">
        <v>0.57999999999999996</v>
      </c>
      <c r="K25" s="9">
        <v>15.33</v>
      </c>
      <c r="L25" s="11">
        <v>0.57999999999999996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3" t="s">
        <v>13</v>
      </c>
      <c r="B26" s="3" t="s">
        <v>5</v>
      </c>
      <c r="C26" s="3">
        <v>9.6</v>
      </c>
      <c r="D26" s="3">
        <v>4</v>
      </c>
      <c r="E26" s="2"/>
      <c r="F26" s="2"/>
      <c r="G26" s="6"/>
      <c r="H26" s="7" t="s">
        <v>10</v>
      </c>
      <c r="I26" s="9">
        <f t="shared" si="0"/>
        <v>8.15</v>
      </c>
      <c r="J26" s="9">
        <v>11.14</v>
      </c>
      <c r="K26" s="9">
        <v>15</v>
      </c>
      <c r="L26" s="11">
        <v>3.61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3" t="s">
        <v>13</v>
      </c>
      <c r="B27" s="3" t="s">
        <v>5</v>
      </c>
      <c r="C27" s="3">
        <v>9.4</v>
      </c>
      <c r="D27" s="3">
        <v>4</v>
      </c>
      <c r="E27" s="2"/>
      <c r="F27" s="2"/>
      <c r="G27" s="6"/>
      <c r="H27" s="7" t="s">
        <v>11</v>
      </c>
      <c r="I27" s="9">
        <f t="shared" si="0"/>
        <v>7.5</v>
      </c>
      <c r="J27" s="11">
        <v>2</v>
      </c>
      <c r="K27" s="9">
        <v>14.67</v>
      </c>
      <c r="L27" s="11">
        <v>0.57999999999999996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3" t="s">
        <v>13</v>
      </c>
      <c r="B28" s="3" t="s">
        <v>5</v>
      </c>
      <c r="C28" s="3">
        <v>9.1999999999999993</v>
      </c>
      <c r="D28" s="3">
        <v>4</v>
      </c>
      <c r="E28" s="2"/>
      <c r="F28" s="2"/>
      <c r="G28" s="6" t="s">
        <v>17</v>
      </c>
      <c r="H28" s="7" t="s">
        <v>9</v>
      </c>
      <c r="I28" s="9" t="e">
        <f t="shared" si="0"/>
        <v>#DIV/0!</v>
      </c>
      <c r="J28" s="9">
        <v>4</v>
      </c>
      <c r="K28" s="9">
        <v>15</v>
      </c>
      <c r="L28" s="11">
        <v>2.65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12" t="s">
        <v>13</v>
      </c>
      <c r="B29" s="12" t="s">
        <v>10</v>
      </c>
      <c r="C29" s="12">
        <v>6.3</v>
      </c>
      <c r="D29" s="12">
        <v>4</v>
      </c>
      <c r="E29" s="2"/>
      <c r="F29" s="2"/>
      <c r="G29" s="6"/>
      <c r="H29" s="7" t="s">
        <v>5</v>
      </c>
      <c r="I29" s="9">
        <f t="shared" si="0"/>
        <v>9</v>
      </c>
      <c r="J29" s="9">
        <v>9.19</v>
      </c>
      <c r="K29" s="9">
        <v>13.33</v>
      </c>
      <c r="L29" s="11">
        <v>0.57999999999999996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12" t="s">
        <v>13</v>
      </c>
      <c r="B30" s="12" t="s">
        <v>10</v>
      </c>
      <c r="C30" s="12">
        <v>6.7</v>
      </c>
      <c r="D30" s="12">
        <v>3</v>
      </c>
      <c r="E30" s="2"/>
      <c r="F30" s="2"/>
      <c r="G30" s="6"/>
      <c r="H30" s="7" t="s">
        <v>10</v>
      </c>
      <c r="I30" s="9">
        <f t="shared" si="0"/>
        <v>9</v>
      </c>
      <c r="J30" s="9">
        <v>16.39</v>
      </c>
      <c r="K30" s="9">
        <v>12.67</v>
      </c>
      <c r="L30" s="11">
        <v>1.53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">
      <c r="A31" s="12" t="s">
        <v>13</v>
      </c>
      <c r="B31" s="12" t="s">
        <v>10</v>
      </c>
      <c r="C31" s="12">
        <v>7.5</v>
      </c>
      <c r="D31" s="12">
        <v>4</v>
      </c>
      <c r="E31" s="2"/>
      <c r="F31" s="2"/>
      <c r="G31" s="6"/>
      <c r="H31" s="7" t="s">
        <v>11</v>
      </c>
      <c r="I31" s="9">
        <f t="shared" si="0"/>
        <v>9</v>
      </c>
      <c r="J31" s="9">
        <v>2.52</v>
      </c>
      <c r="K31" s="9">
        <v>13.67</v>
      </c>
      <c r="L31" s="11">
        <v>1.1499999999999999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">
      <c r="A32" s="12" t="s">
        <v>13</v>
      </c>
      <c r="B32" s="12" t="s">
        <v>11</v>
      </c>
      <c r="C32" s="12">
        <v>8.5</v>
      </c>
      <c r="D32" s="12">
        <v>4</v>
      </c>
      <c r="E32" s="2"/>
      <c r="F32" s="2"/>
      <c r="G32" s="6" t="s">
        <v>18</v>
      </c>
      <c r="H32" s="7" t="s">
        <v>9</v>
      </c>
      <c r="I32" s="9">
        <f t="shared" si="0"/>
        <v>8.8333333333333339</v>
      </c>
      <c r="J32" s="9">
        <v>0.71</v>
      </c>
      <c r="K32" s="9">
        <v>14.33</v>
      </c>
      <c r="L32" s="11">
        <v>0.57999999999999996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">
      <c r="A33" s="12" t="s">
        <v>13</v>
      </c>
      <c r="B33" s="12" t="s">
        <v>11</v>
      </c>
      <c r="C33" s="12">
        <v>8.8000000000000007</v>
      </c>
      <c r="D33" s="12">
        <v>4</v>
      </c>
      <c r="E33" s="2"/>
      <c r="F33" s="2"/>
      <c r="G33" s="6"/>
      <c r="H33" s="7" t="s">
        <v>5</v>
      </c>
      <c r="I33" s="9">
        <f t="shared" si="0"/>
        <v>8.6666666666666661</v>
      </c>
      <c r="J33" s="9">
        <v>8.66</v>
      </c>
      <c r="K33" s="9">
        <v>15.33</v>
      </c>
      <c r="L33" s="11">
        <v>0.57999999999999996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">
      <c r="A34" s="12" t="s">
        <v>13</v>
      </c>
      <c r="B34" s="12" t="s">
        <v>11</v>
      </c>
      <c r="C34" s="12">
        <v>7.5</v>
      </c>
      <c r="D34" s="12">
        <v>3</v>
      </c>
      <c r="E34" s="2"/>
      <c r="F34" s="2"/>
      <c r="G34" s="6"/>
      <c r="H34" s="7" t="s">
        <v>10</v>
      </c>
      <c r="I34" s="9">
        <f t="shared" si="0"/>
        <v>9</v>
      </c>
      <c r="J34" s="9">
        <v>14.73</v>
      </c>
      <c r="K34" s="9">
        <v>16.670000000000002</v>
      </c>
      <c r="L34" s="11">
        <v>2.31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">
      <c r="A35" s="3" t="s">
        <v>13</v>
      </c>
      <c r="B35" s="3" t="s">
        <v>9</v>
      </c>
      <c r="C35" s="3"/>
      <c r="D35" s="3"/>
      <c r="E35" s="2"/>
      <c r="F35" s="2"/>
      <c r="G35" s="6"/>
      <c r="H35" s="7" t="s">
        <v>11</v>
      </c>
      <c r="I35" s="9">
        <f t="shared" si="0"/>
        <v>8.5</v>
      </c>
      <c r="J35" s="9">
        <v>11.5</v>
      </c>
      <c r="K35" s="9">
        <v>14</v>
      </c>
      <c r="L35" s="10">
        <v>1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>
      <c r="A36" s="3" t="s">
        <v>13</v>
      </c>
      <c r="B36" s="3" t="s">
        <v>9</v>
      </c>
      <c r="C36" s="3"/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>
      <c r="A37" s="3" t="s">
        <v>13</v>
      </c>
      <c r="B37" s="3" t="s">
        <v>9</v>
      </c>
      <c r="C37" s="3"/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>
      <c r="A38" s="12" t="s">
        <v>14</v>
      </c>
      <c r="B38" s="12" t="s">
        <v>5</v>
      </c>
      <c r="C38" s="12">
        <v>9</v>
      </c>
      <c r="D38" s="12">
        <v>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25" ht="12.75">
      <c r="A39" s="12" t="s">
        <v>14</v>
      </c>
      <c r="B39" s="12" t="s">
        <v>5</v>
      </c>
      <c r="C39" s="12">
        <v>9</v>
      </c>
      <c r="D39" s="12">
        <v>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25" ht="12.75">
      <c r="A40" s="12" t="s">
        <v>14</v>
      </c>
      <c r="B40" s="12" t="s">
        <v>5</v>
      </c>
      <c r="C40" s="12">
        <v>9</v>
      </c>
      <c r="D40" s="12">
        <v>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25" ht="12.75">
      <c r="A41" s="13" t="s">
        <v>14</v>
      </c>
      <c r="B41" s="13" t="s">
        <v>10</v>
      </c>
      <c r="C41" s="13">
        <v>8.5</v>
      </c>
      <c r="D41" s="13">
        <v>4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25" ht="12.75">
      <c r="A42" s="13" t="s">
        <v>14</v>
      </c>
      <c r="B42" s="13" t="s">
        <v>10</v>
      </c>
      <c r="C42" s="13">
        <v>8.5</v>
      </c>
      <c r="D42" s="13">
        <v>4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25" ht="12.75">
      <c r="A43" s="13" t="s">
        <v>14</v>
      </c>
      <c r="B43" s="13" t="s">
        <v>10</v>
      </c>
      <c r="C43" s="13">
        <v>10</v>
      </c>
      <c r="D43" s="13">
        <v>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25" ht="12.75">
      <c r="A44" s="13" t="s">
        <v>14</v>
      </c>
      <c r="B44" s="13" t="s">
        <v>11</v>
      </c>
      <c r="C44" s="13">
        <v>7</v>
      </c>
      <c r="D44" s="13">
        <v>4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25" ht="12.75">
      <c r="A45" s="13" t="s">
        <v>14</v>
      </c>
      <c r="B45" s="13" t="s">
        <v>11</v>
      </c>
      <c r="C45" s="13">
        <v>7.3</v>
      </c>
      <c r="D45" s="13">
        <v>3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25" ht="12.75">
      <c r="A46" s="13" t="s">
        <v>14</v>
      </c>
      <c r="B46" s="13" t="s">
        <v>11</v>
      </c>
      <c r="C46" s="13">
        <v>7.1</v>
      </c>
      <c r="D46" s="13">
        <v>4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25" ht="12.75">
      <c r="A47" s="12" t="s">
        <v>14</v>
      </c>
      <c r="B47" s="12" t="s">
        <v>9</v>
      </c>
      <c r="C47" s="12">
        <v>7.3</v>
      </c>
      <c r="D47" s="12">
        <v>3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25" ht="12.75">
      <c r="A48" s="12" t="s">
        <v>14</v>
      </c>
      <c r="B48" s="12" t="s">
        <v>9</v>
      </c>
      <c r="C48" s="12">
        <v>7.9</v>
      </c>
      <c r="D48" s="12">
        <v>3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2.75">
      <c r="A49" s="12" t="s">
        <v>14</v>
      </c>
      <c r="B49" s="12" t="s">
        <v>9</v>
      </c>
      <c r="C49" s="12">
        <v>8.1</v>
      </c>
      <c r="D49" s="12">
        <v>3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2.75">
      <c r="A50" s="12" t="s">
        <v>15</v>
      </c>
      <c r="B50" s="12" t="s">
        <v>5</v>
      </c>
      <c r="C50" s="12">
        <v>7</v>
      </c>
      <c r="D50" s="12">
        <v>4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2.75">
      <c r="A51" s="12" t="s">
        <v>15</v>
      </c>
      <c r="B51" s="12" t="s">
        <v>5</v>
      </c>
      <c r="C51" s="12">
        <v>7</v>
      </c>
      <c r="D51" s="12">
        <v>3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2.75">
      <c r="A52" s="12" t="s">
        <v>15</v>
      </c>
      <c r="B52" s="12" t="s">
        <v>5</v>
      </c>
      <c r="C52" s="12">
        <v>8</v>
      </c>
      <c r="D52" s="12">
        <v>3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2.75">
      <c r="A53" s="12" t="s">
        <v>15</v>
      </c>
      <c r="B53" s="12" t="s">
        <v>10</v>
      </c>
      <c r="C53" s="12"/>
      <c r="D53" s="1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2.75">
      <c r="A54" s="12" t="s">
        <v>15</v>
      </c>
      <c r="B54" s="12" t="s">
        <v>10</v>
      </c>
      <c r="C54" s="12"/>
      <c r="D54" s="1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2.75">
      <c r="A55" s="12" t="s">
        <v>15</v>
      </c>
      <c r="B55" s="12" t="s">
        <v>10</v>
      </c>
      <c r="C55" s="12"/>
      <c r="D55" s="1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2.75">
      <c r="A56" s="3" t="s">
        <v>15</v>
      </c>
      <c r="B56" s="3" t="s">
        <v>11</v>
      </c>
      <c r="C56" s="3">
        <v>8.3000000000000007</v>
      </c>
      <c r="D56" s="3">
        <v>4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2.75">
      <c r="A57" s="3" t="s">
        <v>15</v>
      </c>
      <c r="B57" s="3" t="s">
        <v>11</v>
      </c>
      <c r="C57" s="3">
        <v>8.1</v>
      </c>
      <c r="D57" s="3">
        <v>4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2.75">
      <c r="A58" s="3" t="s">
        <v>15</v>
      </c>
      <c r="B58" s="3" t="s">
        <v>11</v>
      </c>
      <c r="C58" s="3">
        <v>7.9</v>
      </c>
      <c r="D58" s="3">
        <v>3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2.75">
      <c r="A59" s="3" t="s">
        <v>15</v>
      </c>
      <c r="B59" s="3" t="s">
        <v>9</v>
      </c>
      <c r="C59" s="3">
        <v>7.5</v>
      </c>
      <c r="D59" s="3">
        <v>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2.75">
      <c r="A60" s="3" t="s">
        <v>15</v>
      </c>
      <c r="B60" s="3" t="s">
        <v>9</v>
      </c>
      <c r="C60" s="3">
        <v>7.5</v>
      </c>
      <c r="D60" s="3">
        <v>3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2.75">
      <c r="A61" s="3" t="s">
        <v>15</v>
      </c>
      <c r="B61" s="3" t="s">
        <v>9</v>
      </c>
      <c r="C61" s="3">
        <v>7</v>
      </c>
      <c r="D61" s="3">
        <v>3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2.75">
      <c r="A62" s="3" t="s">
        <v>16</v>
      </c>
      <c r="B62" s="3" t="s">
        <v>5</v>
      </c>
      <c r="C62" s="3">
        <v>8.5</v>
      </c>
      <c r="D62" s="3">
        <v>4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2.75">
      <c r="A63" s="3" t="s">
        <v>16</v>
      </c>
      <c r="B63" s="3" t="s">
        <v>5</v>
      </c>
      <c r="C63" s="3">
        <v>7.5</v>
      </c>
      <c r="D63" s="3">
        <v>3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2.75">
      <c r="A64" s="3" t="s">
        <v>16</v>
      </c>
      <c r="B64" s="3" t="s">
        <v>5</v>
      </c>
      <c r="C64" s="3">
        <v>8.9</v>
      </c>
      <c r="D64" s="3">
        <v>4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25" ht="12.75">
      <c r="A65" s="3" t="s">
        <v>16</v>
      </c>
      <c r="B65" s="3" t="s">
        <v>10</v>
      </c>
      <c r="C65" s="3">
        <v>8.1999999999999993</v>
      </c>
      <c r="D65" s="3">
        <v>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25" ht="12.75">
      <c r="A66" s="3" t="s">
        <v>16</v>
      </c>
      <c r="B66" s="3" t="s">
        <v>10</v>
      </c>
      <c r="C66" s="3">
        <v>6.4</v>
      </c>
      <c r="D66" s="3">
        <v>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25" ht="12.75">
      <c r="A67" s="3" t="s">
        <v>16</v>
      </c>
      <c r="B67" s="3" t="s">
        <v>10</v>
      </c>
      <c r="C67" s="3">
        <v>7.6</v>
      </c>
      <c r="D67" s="3">
        <v>3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25" ht="12.75">
      <c r="A68" s="12" t="s">
        <v>16</v>
      </c>
      <c r="B68" s="12" t="s">
        <v>11</v>
      </c>
      <c r="C68" s="12"/>
      <c r="D68" s="1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25" ht="12.75">
      <c r="A69" s="12" t="s">
        <v>16</v>
      </c>
      <c r="B69" s="12" t="s">
        <v>11</v>
      </c>
      <c r="C69" s="12"/>
      <c r="D69" s="1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25" ht="12.75">
      <c r="A70" s="12" t="s">
        <v>16</v>
      </c>
      <c r="B70" s="12" t="s">
        <v>11</v>
      </c>
      <c r="C70" s="12"/>
      <c r="D70" s="1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25" ht="12.75">
      <c r="A71" s="12" t="s">
        <v>16</v>
      </c>
      <c r="B71" s="12" t="s">
        <v>9</v>
      </c>
      <c r="C71" s="12">
        <v>8</v>
      </c>
      <c r="D71" s="12">
        <v>3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25" ht="12.75">
      <c r="A72" s="12" t="s">
        <v>16</v>
      </c>
      <c r="B72" s="12" t="s">
        <v>9</v>
      </c>
      <c r="C72" s="12">
        <v>10</v>
      </c>
      <c r="D72" s="12">
        <v>3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25" ht="12.75">
      <c r="A73" s="12" t="s">
        <v>16</v>
      </c>
      <c r="B73" s="12" t="s">
        <v>9</v>
      </c>
      <c r="C73" s="12">
        <v>7</v>
      </c>
      <c r="D73" s="12">
        <v>4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25" ht="12.75">
      <c r="A74" s="12" t="s">
        <v>17</v>
      </c>
      <c r="B74" s="12" t="s">
        <v>5</v>
      </c>
      <c r="C74" s="12">
        <v>7.3</v>
      </c>
      <c r="D74" s="12">
        <v>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25" ht="12.75">
      <c r="A75" s="12" t="s">
        <v>17</v>
      </c>
      <c r="B75" s="12" t="s">
        <v>5</v>
      </c>
      <c r="C75" s="12">
        <v>7.9</v>
      </c>
      <c r="D75" s="12">
        <v>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>
      <c r="A76" s="12" t="s">
        <v>17</v>
      </c>
      <c r="B76" s="12" t="s">
        <v>5</v>
      </c>
      <c r="C76" s="12">
        <v>6.2</v>
      </c>
      <c r="D76" s="12">
        <v>4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>
      <c r="A77" s="3" t="s">
        <v>17</v>
      </c>
      <c r="B77" s="3" t="s">
        <v>10</v>
      </c>
      <c r="C77" s="3">
        <v>8.5</v>
      </c>
      <c r="D77" s="3">
        <v>4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>
      <c r="A78" s="3" t="s">
        <v>17</v>
      </c>
      <c r="B78" s="3" t="s">
        <v>10</v>
      </c>
      <c r="C78" s="3">
        <v>8</v>
      </c>
      <c r="D78" s="3">
        <v>3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>
      <c r="A79" s="3" t="s">
        <v>17</v>
      </c>
      <c r="B79" s="3" t="s">
        <v>10</v>
      </c>
      <c r="C79" s="3">
        <v>8</v>
      </c>
      <c r="D79" s="3">
        <v>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>
      <c r="A80" s="12" t="s">
        <v>17</v>
      </c>
      <c r="B80" s="12" t="s">
        <v>11</v>
      </c>
      <c r="C80" s="12">
        <v>7</v>
      </c>
      <c r="D80" s="12">
        <v>3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>
      <c r="A81" s="12" t="s">
        <v>17</v>
      </c>
      <c r="B81" s="12" t="s">
        <v>11</v>
      </c>
      <c r="C81" s="12">
        <v>7.5</v>
      </c>
      <c r="D81" s="12">
        <v>3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>
      <c r="A82" s="12" t="s">
        <v>17</v>
      </c>
      <c r="B82" s="12" t="s">
        <v>11</v>
      </c>
      <c r="C82" s="12">
        <v>7.5</v>
      </c>
      <c r="D82" s="12">
        <v>4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>
      <c r="A83" s="3" t="s">
        <v>17</v>
      </c>
      <c r="B83" s="3" t="s">
        <v>9</v>
      </c>
      <c r="C83" s="3">
        <v>7.2</v>
      </c>
      <c r="D83" s="3">
        <v>4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>
      <c r="A84" s="3" t="s">
        <v>17</v>
      </c>
      <c r="B84" s="3" t="s">
        <v>9</v>
      </c>
      <c r="C84" s="3">
        <v>7.6</v>
      </c>
      <c r="D84" s="3">
        <v>4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>
      <c r="A85" s="3" t="s">
        <v>17</v>
      </c>
      <c r="B85" s="3" t="s">
        <v>9</v>
      </c>
      <c r="C85" s="3">
        <v>7.7</v>
      </c>
      <c r="D85" s="3">
        <v>4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>
      <c r="A86" s="3" t="s">
        <v>18</v>
      </c>
      <c r="B86" s="3" t="s">
        <v>5</v>
      </c>
      <c r="C86" s="3">
        <v>7</v>
      </c>
      <c r="D86" s="3">
        <v>4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>
      <c r="A87" s="3" t="s">
        <v>18</v>
      </c>
      <c r="B87" s="3" t="s">
        <v>5</v>
      </c>
      <c r="C87" s="3">
        <v>7</v>
      </c>
      <c r="D87" s="3">
        <v>4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>
      <c r="A88" s="3" t="s">
        <v>18</v>
      </c>
      <c r="B88" s="3" t="s">
        <v>5</v>
      </c>
      <c r="C88" s="3">
        <v>7</v>
      </c>
      <c r="D88" s="3">
        <v>4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>
      <c r="A89" s="12" t="s">
        <v>18</v>
      </c>
      <c r="B89" s="12" t="s">
        <v>10</v>
      </c>
      <c r="C89" s="12">
        <v>6.7</v>
      </c>
      <c r="D89" s="12">
        <v>4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>
      <c r="A90" s="12" t="s">
        <v>18</v>
      </c>
      <c r="B90" s="12" t="s">
        <v>10</v>
      </c>
      <c r="C90" s="12">
        <v>6.4</v>
      </c>
      <c r="D90" s="12">
        <v>4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>
      <c r="A91" s="12" t="s">
        <v>18</v>
      </c>
      <c r="B91" s="12" t="s">
        <v>10</v>
      </c>
      <c r="C91" s="12">
        <v>8</v>
      </c>
      <c r="D91" s="12">
        <v>3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>
      <c r="A92" s="12" t="s">
        <v>18</v>
      </c>
      <c r="B92" s="12" t="s">
        <v>11</v>
      </c>
      <c r="C92" s="12">
        <v>6</v>
      </c>
      <c r="D92" s="12">
        <v>4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>
      <c r="A93" s="12" t="s">
        <v>18</v>
      </c>
      <c r="B93" s="12" t="s">
        <v>11</v>
      </c>
      <c r="C93" s="12">
        <v>7</v>
      </c>
      <c r="D93" s="12">
        <v>3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>
      <c r="A94" s="12" t="s">
        <v>18</v>
      </c>
      <c r="B94" s="12" t="s">
        <v>11</v>
      </c>
      <c r="C94" s="12">
        <v>7.5</v>
      </c>
      <c r="D94" s="12">
        <v>4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>
      <c r="A95" s="3" t="s">
        <v>18</v>
      </c>
      <c r="B95" s="3" t="s">
        <v>9</v>
      </c>
      <c r="C95" s="3">
        <v>8.4</v>
      </c>
      <c r="D95" s="3">
        <v>4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>
      <c r="A96" s="3" t="s">
        <v>18</v>
      </c>
      <c r="B96" s="3" t="s">
        <v>9</v>
      </c>
      <c r="C96" s="3">
        <v>7</v>
      </c>
      <c r="D96" s="3">
        <v>3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>
      <c r="A97" s="3" t="s">
        <v>18</v>
      </c>
      <c r="B97" s="3" t="s">
        <v>9</v>
      </c>
      <c r="C97" s="3">
        <v>9</v>
      </c>
      <c r="D97" s="3">
        <v>3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</sheetData>
  <autoFilter ref="A1:D97" xr:uid="{00000000-0009-0000-0000-000000000000}"/>
  <mergeCells count="2">
    <mergeCell ref="I2:J2"/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99"/>
  <sheetViews>
    <sheetView workbookViewId="0">
      <pane ySplit="1" topLeftCell="A2" activePane="bottomLeft" state="frozen"/>
      <selection pane="bottomLeft" activeCell="D19" sqref="D19"/>
    </sheetView>
  </sheetViews>
  <sheetFormatPr defaultColWidth="12.5703125" defaultRowHeight="15.75" customHeight="1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19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>
      <c r="A2" s="3" t="s">
        <v>4</v>
      </c>
      <c r="B2" s="3" t="s">
        <v>5</v>
      </c>
      <c r="C2" s="3">
        <v>17.8</v>
      </c>
      <c r="D2" s="3">
        <v>6</v>
      </c>
      <c r="E2" s="3">
        <v>1.6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>
      <c r="A3" s="3" t="s">
        <v>4</v>
      </c>
      <c r="B3" s="3" t="s">
        <v>5</v>
      </c>
      <c r="C3" s="3">
        <v>17</v>
      </c>
      <c r="D3" s="3">
        <v>6</v>
      </c>
      <c r="E3" s="3">
        <v>1.7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>
      <c r="A4" s="3" t="s">
        <v>4</v>
      </c>
      <c r="B4" s="3" t="s">
        <v>5</v>
      </c>
      <c r="C4" s="3">
        <v>16.3</v>
      </c>
      <c r="D4" s="3">
        <v>6</v>
      </c>
      <c r="E4" s="3">
        <v>1.5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>
      <c r="A5" s="12" t="s">
        <v>12</v>
      </c>
      <c r="B5" s="12" t="s">
        <v>5</v>
      </c>
      <c r="C5" s="12">
        <v>17</v>
      </c>
      <c r="D5" s="12">
        <v>7</v>
      </c>
      <c r="E5" s="12">
        <v>1.5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>
      <c r="A6" s="12" t="s">
        <v>12</v>
      </c>
      <c r="B6" s="12" t="s">
        <v>5</v>
      </c>
      <c r="C6" s="12">
        <v>16.5</v>
      </c>
      <c r="D6" s="12">
        <v>7</v>
      </c>
      <c r="E6" s="12">
        <v>1.4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>
      <c r="A7" s="12" t="s">
        <v>12</v>
      </c>
      <c r="B7" s="12" t="s">
        <v>5</v>
      </c>
      <c r="C7" s="12">
        <v>17</v>
      </c>
      <c r="D7" s="12">
        <v>7</v>
      </c>
      <c r="E7" s="12">
        <v>1.5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>
      <c r="A8" s="3" t="s">
        <v>16</v>
      </c>
      <c r="B8" s="3" t="s">
        <v>5</v>
      </c>
      <c r="C8" s="3">
        <v>17.5</v>
      </c>
      <c r="D8" s="3">
        <v>7</v>
      </c>
      <c r="E8" s="3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>
      <c r="A9" s="3" t="s">
        <v>16</v>
      </c>
      <c r="B9" s="3" t="s">
        <v>5</v>
      </c>
      <c r="C9" s="3">
        <v>16.5</v>
      </c>
      <c r="D9" s="3">
        <v>5</v>
      </c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>
      <c r="A10" s="3" t="s">
        <v>16</v>
      </c>
      <c r="B10" s="3" t="s">
        <v>5</v>
      </c>
      <c r="C10" s="3">
        <v>19</v>
      </c>
      <c r="D10" s="3">
        <v>7</v>
      </c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>
      <c r="A11" s="12" t="s">
        <v>17</v>
      </c>
      <c r="B11" s="12" t="s">
        <v>5</v>
      </c>
      <c r="C11" s="12">
        <v>17.5</v>
      </c>
      <c r="D11" s="12">
        <v>5</v>
      </c>
      <c r="E11" s="14">
        <v>1.3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>
      <c r="A12" s="12" t="s">
        <v>17</v>
      </c>
      <c r="B12" s="12" t="s">
        <v>5</v>
      </c>
      <c r="C12" s="12">
        <v>17.5</v>
      </c>
      <c r="D12" s="12">
        <v>6</v>
      </c>
      <c r="E12" s="14">
        <v>1.26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>
      <c r="A13" s="12" t="s">
        <v>17</v>
      </c>
      <c r="B13" s="12" t="s">
        <v>5</v>
      </c>
      <c r="C13" s="12">
        <v>16.5</v>
      </c>
      <c r="D13" s="12">
        <v>6</v>
      </c>
      <c r="E13" s="14">
        <v>1.3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>
      <c r="A14" s="15" t="s">
        <v>13</v>
      </c>
      <c r="B14" s="15" t="s">
        <v>5</v>
      </c>
      <c r="C14" s="15">
        <v>19.2</v>
      </c>
      <c r="D14" s="15">
        <v>9</v>
      </c>
      <c r="E14" s="15">
        <v>1.3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A15" s="15" t="s">
        <v>13</v>
      </c>
      <c r="B15" s="15" t="s">
        <v>5</v>
      </c>
      <c r="C15" s="15">
        <v>20.2</v>
      </c>
      <c r="D15" s="15">
        <v>8</v>
      </c>
      <c r="E15" s="15">
        <v>1.2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>
      <c r="A16" s="15" t="s">
        <v>13</v>
      </c>
      <c r="B16" s="15" t="s">
        <v>5</v>
      </c>
      <c r="C16" s="15">
        <v>19.8</v>
      </c>
      <c r="D16" s="15">
        <v>8</v>
      </c>
      <c r="E16" s="15">
        <v>1.4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A17" s="16" t="s">
        <v>14</v>
      </c>
      <c r="B17" s="16" t="s">
        <v>5</v>
      </c>
      <c r="C17" s="16">
        <v>16</v>
      </c>
      <c r="D17" s="16">
        <v>7</v>
      </c>
      <c r="E17" s="16">
        <v>0.8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>
      <c r="A18" s="16" t="s">
        <v>14</v>
      </c>
      <c r="B18" s="16" t="s">
        <v>5</v>
      </c>
      <c r="C18" s="16">
        <v>16</v>
      </c>
      <c r="D18" s="16">
        <v>7</v>
      </c>
      <c r="E18" s="16">
        <v>0.9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>
      <c r="A19" s="16" t="s">
        <v>14</v>
      </c>
      <c r="B19" s="16" t="s">
        <v>5</v>
      </c>
      <c r="C19" s="16">
        <v>14</v>
      </c>
      <c r="D19" s="16">
        <v>6</v>
      </c>
      <c r="E19" s="16">
        <v>0.9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>
      <c r="A20" s="16" t="s">
        <v>15</v>
      </c>
      <c r="B20" s="16" t="s">
        <v>5</v>
      </c>
      <c r="C20" s="16">
        <v>16</v>
      </c>
      <c r="D20" s="16">
        <v>7</v>
      </c>
      <c r="E20" s="16">
        <v>1.6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16" t="s">
        <v>15</v>
      </c>
      <c r="B21" s="16" t="s">
        <v>5</v>
      </c>
      <c r="C21" s="16">
        <v>15</v>
      </c>
      <c r="D21" s="16">
        <v>6</v>
      </c>
      <c r="E21" s="16">
        <v>1.3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16" t="s">
        <v>15</v>
      </c>
      <c r="B22" s="16" t="s">
        <v>5</v>
      </c>
      <c r="C22" s="16">
        <v>14</v>
      </c>
      <c r="D22" s="16">
        <v>5</v>
      </c>
      <c r="E22" s="16">
        <v>1.2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15" t="s">
        <v>18</v>
      </c>
      <c r="B23" s="15" t="s">
        <v>5</v>
      </c>
      <c r="C23" s="15">
        <v>15</v>
      </c>
      <c r="D23" s="15">
        <v>6</v>
      </c>
      <c r="E23" s="15">
        <v>1.4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15" t="s">
        <v>18</v>
      </c>
      <c r="B24" s="15" t="s">
        <v>5</v>
      </c>
      <c r="C24" s="15">
        <v>15</v>
      </c>
      <c r="D24" s="15">
        <v>7</v>
      </c>
      <c r="E24" s="15">
        <v>1.4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>
      <c r="A25" s="15" t="s">
        <v>18</v>
      </c>
      <c r="B25" s="15" t="s">
        <v>5</v>
      </c>
      <c r="C25" s="17">
        <v>16</v>
      </c>
      <c r="D25" s="17">
        <v>7</v>
      </c>
      <c r="E25" s="17">
        <v>1.5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>
      <c r="A26" s="3" t="s">
        <v>12</v>
      </c>
      <c r="B26" s="3" t="s">
        <v>10</v>
      </c>
      <c r="C26" s="3">
        <v>16.5</v>
      </c>
      <c r="D26" s="3">
        <v>6</v>
      </c>
      <c r="E26" s="3">
        <v>1.6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3" t="s">
        <v>12</v>
      </c>
      <c r="B27" s="3" t="s">
        <v>10</v>
      </c>
      <c r="C27" s="3">
        <v>15</v>
      </c>
      <c r="D27" s="3">
        <v>6</v>
      </c>
      <c r="E27" s="3">
        <v>1.5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>
      <c r="A28" s="3" t="s">
        <v>12</v>
      </c>
      <c r="B28" s="3" t="s">
        <v>10</v>
      </c>
      <c r="C28" s="3">
        <v>17</v>
      </c>
      <c r="D28" s="3">
        <v>7</v>
      </c>
      <c r="E28" s="3">
        <v>1.5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>
      <c r="A29" s="12" t="s">
        <v>13</v>
      </c>
      <c r="B29" s="12" t="s">
        <v>10</v>
      </c>
      <c r="C29" s="12">
        <v>12</v>
      </c>
      <c r="D29" s="12">
        <v>7</v>
      </c>
      <c r="E29" s="12">
        <v>1.2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>
      <c r="A30" s="12" t="s">
        <v>13</v>
      </c>
      <c r="B30" s="12" t="s">
        <v>10</v>
      </c>
      <c r="C30" s="12">
        <v>15.5</v>
      </c>
      <c r="D30" s="12">
        <v>6</v>
      </c>
      <c r="E30" s="12">
        <v>1.4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>
      <c r="A31" s="12" t="s">
        <v>13</v>
      </c>
      <c r="B31" s="12" t="s">
        <v>10</v>
      </c>
      <c r="C31" s="12">
        <v>16</v>
      </c>
      <c r="D31" s="12">
        <v>6</v>
      </c>
      <c r="E31" s="12">
        <v>1.4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>
      <c r="A32" s="12" t="s">
        <v>15</v>
      </c>
      <c r="B32" s="12" t="s">
        <v>10</v>
      </c>
      <c r="C32" s="12"/>
      <c r="D32" s="12"/>
      <c r="E32" s="1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>
      <c r="A33" s="12" t="s">
        <v>15</v>
      </c>
      <c r="B33" s="12" t="s">
        <v>10</v>
      </c>
      <c r="C33" s="12"/>
      <c r="D33" s="12"/>
      <c r="E33" s="1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>
      <c r="A34" s="12" t="s">
        <v>15</v>
      </c>
      <c r="B34" s="12" t="s">
        <v>10</v>
      </c>
      <c r="C34" s="12"/>
      <c r="D34" s="12"/>
      <c r="E34" s="1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>
      <c r="A35" s="16" t="s">
        <v>4</v>
      </c>
      <c r="B35" s="16" t="s">
        <v>10</v>
      </c>
      <c r="C35" s="16">
        <v>19</v>
      </c>
      <c r="D35" s="16">
        <v>6</v>
      </c>
      <c r="E35" s="16">
        <v>1.7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>
      <c r="A36" s="16" t="s">
        <v>4</v>
      </c>
      <c r="B36" s="16" t="s">
        <v>10</v>
      </c>
      <c r="C36" s="16">
        <v>17</v>
      </c>
      <c r="D36" s="16">
        <v>8</v>
      </c>
      <c r="E36" s="16">
        <v>1.5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>
      <c r="A37" s="16" t="s">
        <v>4</v>
      </c>
      <c r="B37" s="16" t="s">
        <v>10</v>
      </c>
      <c r="C37" s="16">
        <v>19</v>
      </c>
      <c r="D37" s="16">
        <v>8</v>
      </c>
      <c r="E37" s="16">
        <v>1.6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>
      <c r="A38" s="17" t="s">
        <v>14</v>
      </c>
      <c r="B38" s="17" t="s">
        <v>10</v>
      </c>
      <c r="C38" s="15">
        <v>16.8</v>
      </c>
      <c r="D38" s="15">
        <v>6</v>
      </c>
      <c r="E38" s="15">
        <v>1.6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>
      <c r="A39" s="17" t="s">
        <v>14</v>
      </c>
      <c r="B39" s="17" t="s">
        <v>10</v>
      </c>
      <c r="C39" s="15">
        <v>15.6</v>
      </c>
      <c r="D39" s="15">
        <v>6</v>
      </c>
      <c r="E39" s="15">
        <v>1.4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>
      <c r="A40" s="17" t="s">
        <v>14</v>
      </c>
      <c r="B40" s="17" t="s">
        <v>10</v>
      </c>
      <c r="C40" s="15">
        <v>18.399999999999999</v>
      </c>
      <c r="D40" s="15">
        <v>6</v>
      </c>
      <c r="E40" s="15">
        <v>1.5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>
      <c r="A41" s="15" t="s">
        <v>16</v>
      </c>
      <c r="B41" s="15" t="s">
        <v>10</v>
      </c>
      <c r="C41" s="15">
        <v>14.5</v>
      </c>
      <c r="D41" s="15">
        <v>5</v>
      </c>
      <c r="E41" s="15">
        <v>1.3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>
      <c r="A42" s="15" t="s">
        <v>16</v>
      </c>
      <c r="B42" s="15" t="s">
        <v>10</v>
      </c>
      <c r="C42" s="15">
        <v>15.7</v>
      </c>
      <c r="D42" s="15">
        <v>5</v>
      </c>
      <c r="E42" s="15">
        <v>1.5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>
      <c r="A43" s="15" t="s">
        <v>16</v>
      </c>
      <c r="B43" s="15" t="s">
        <v>10</v>
      </c>
      <c r="C43" s="15">
        <v>15.5</v>
      </c>
      <c r="D43" s="15">
        <v>6</v>
      </c>
      <c r="E43" s="15">
        <v>1.3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>
      <c r="A44" s="15" t="s">
        <v>17</v>
      </c>
      <c r="B44" s="15" t="s">
        <v>10</v>
      </c>
      <c r="C44" s="15">
        <v>16</v>
      </c>
      <c r="D44" s="15">
        <v>6</v>
      </c>
      <c r="E44" s="15">
        <v>1.5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>
      <c r="A45" s="15" t="s">
        <v>17</v>
      </c>
      <c r="B45" s="15" t="s">
        <v>10</v>
      </c>
      <c r="C45" s="15">
        <v>16</v>
      </c>
      <c r="D45" s="15">
        <v>6</v>
      </c>
      <c r="E45" s="15">
        <v>1.5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>
      <c r="A46" s="15" t="s">
        <v>17</v>
      </c>
      <c r="B46" s="15" t="s">
        <v>10</v>
      </c>
      <c r="C46" s="15">
        <v>16</v>
      </c>
      <c r="D46" s="15">
        <v>6</v>
      </c>
      <c r="E46" s="15">
        <v>1.5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>
      <c r="A47" s="18" t="s">
        <v>18</v>
      </c>
      <c r="B47" s="18" t="s">
        <v>10</v>
      </c>
      <c r="C47" s="18">
        <v>14.3</v>
      </c>
      <c r="D47" s="18">
        <v>6</v>
      </c>
      <c r="E47" s="18">
        <v>1.2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>
      <c r="A48" s="18" t="s">
        <v>18</v>
      </c>
      <c r="B48" s="18" t="s">
        <v>10</v>
      </c>
      <c r="C48" s="18">
        <v>14</v>
      </c>
      <c r="D48" s="18">
        <v>6</v>
      </c>
      <c r="E48" s="18">
        <v>1.4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>
      <c r="A49" s="18" t="s">
        <v>18</v>
      </c>
      <c r="B49" s="18" t="s">
        <v>10</v>
      </c>
      <c r="C49" s="18">
        <v>14.7</v>
      </c>
      <c r="D49" s="18">
        <v>6</v>
      </c>
      <c r="E49" s="18">
        <v>1.3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>
      <c r="A50" s="12" t="s">
        <v>4</v>
      </c>
      <c r="B50" s="12" t="s">
        <v>11</v>
      </c>
      <c r="C50" s="12">
        <v>18.100000000000001</v>
      </c>
      <c r="D50" s="12">
        <v>6</v>
      </c>
      <c r="E50" s="12">
        <v>1.8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>
      <c r="A51" s="12" t="s">
        <v>4</v>
      </c>
      <c r="B51" s="12" t="s">
        <v>11</v>
      </c>
      <c r="C51" s="12">
        <v>17.2</v>
      </c>
      <c r="D51" s="12">
        <v>7</v>
      </c>
      <c r="E51" s="12">
        <v>1.9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>
      <c r="A52" s="12" t="s">
        <v>4</v>
      </c>
      <c r="B52" s="12" t="s">
        <v>11</v>
      </c>
      <c r="C52" s="12">
        <v>16.3</v>
      </c>
      <c r="D52" s="12">
        <v>6</v>
      </c>
      <c r="E52" s="12">
        <v>1.4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>
      <c r="A53" s="13" t="s">
        <v>14</v>
      </c>
      <c r="B53" s="13" t="s">
        <v>11</v>
      </c>
      <c r="C53" s="13">
        <v>15</v>
      </c>
      <c r="D53" s="13">
        <v>7</v>
      </c>
      <c r="E53" s="3">
        <v>1.5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>
      <c r="A54" s="13" t="s">
        <v>14</v>
      </c>
      <c r="B54" s="13" t="s">
        <v>11</v>
      </c>
      <c r="C54" s="13">
        <v>16</v>
      </c>
      <c r="D54" s="13">
        <v>7</v>
      </c>
      <c r="E54" s="3">
        <v>1.4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>
      <c r="A55" s="13" t="s">
        <v>14</v>
      </c>
      <c r="B55" s="13" t="s">
        <v>11</v>
      </c>
      <c r="C55" s="13">
        <v>15</v>
      </c>
      <c r="D55" s="13">
        <v>6</v>
      </c>
      <c r="E55" s="3">
        <v>1.6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>
      <c r="A56" s="3" t="s">
        <v>15</v>
      </c>
      <c r="B56" s="3" t="s">
        <v>11</v>
      </c>
      <c r="C56" s="3">
        <v>18.8</v>
      </c>
      <c r="D56" s="3">
        <v>6</v>
      </c>
      <c r="E56" s="3">
        <v>1.5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>
      <c r="A57" s="3" t="s">
        <v>15</v>
      </c>
      <c r="B57" s="3" t="s">
        <v>11</v>
      </c>
      <c r="C57" s="3">
        <v>17.100000000000001</v>
      </c>
      <c r="D57" s="3">
        <v>8</v>
      </c>
      <c r="E57" s="3">
        <v>1.4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>
      <c r="A58" s="3" t="s">
        <v>15</v>
      </c>
      <c r="B58" s="3" t="s">
        <v>11</v>
      </c>
      <c r="C58" s="3">
        <v>15.2</v>
      </c>
      <c r="D58" s="3">
        <v>6</v>
      </c>
      <c r="E58" s="3">
        <v>1.3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>
      <c r="A59" s="12" t="s">
        <v>16</v>
      </c>
      <c r="B59" s="12" t="s">
        <v>11</v>
      </c>
      <c r="C59" s="12"/>
      <c r="D59" s="12"/>
      <c r="E59" s="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>
      <c r="A60" s="12" t="s">
        <v>16</v>
      </c>
      <c r="B60" s="12" t="s">
        <v>11</v>
      </c>
      <c r="C60" s="12"/>
      <c r="D60" s="12"/>
      <c r="E60" s="1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>
      <c r="A61" s="12" t="s">
        <v>16</v>
      </c>
      <c r="B61" s="12" t="s">
        <v>11</v>
      </c>
      <c r="C61" s="12"/>
      <c r="D61" s="12"/>
      <c r="E61" s="1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>
      <c r="A62" s="12" t="s">
        <v>18</v>
      </c>
      <c r="B62" s="12" t="s">
        <v>11</v>
      </c>
      <c r="C62" s="12">
        <v>14</v>
      </c>
      <c r="D62" s="12">
        <v>7</v>
      </c>
      <c r="E62" s="14">
        <v>1.2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>
      <c r="A63" s="12" t="s">
        <v>18</v>
      </c>
      <c r="B63" s="12" t="s">
        <v>11</v>
      </c>
      <c r="C63" s="12">
        <v>13</v>
      </c>
      <c r="D63" s="12">
        <v>6</v>
      </c>
      <c r="E63" s="14">
        <v>1.2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>
      <c r="A64" s="12" t="s">
        <v>18</v>
      </c>
      <c r="B64" s="12" t="s">
        <v>11</v>
      </c>
      <c r="C64" s="12">
        <v>16</v>
      </c>
      <c r="D64" s="12">
        <v>6</v>
      </c>
      <c r="E64" s="14">
        <v>1.3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>
      <c r="A65" s="15" t="s">
        <v>12</v>
      </c>
      <c r="B65" s="15" t="s">
        <v>11</v>
      </c>
      <c r="C65" s="15">
        <v>18.5</v>
      </c>
      <c r="D65" s="15">
        <v>7</v>
      </c>
      <c r="E65" s="15">
        <v>1.5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>
      <c r="A66" s="15" t="s">
        <v>12</v>
      </c>
      <c r="B66" s="15" t="s">
        <v>11</v>
      </c>
      <c r="C66" s="15">
        <v>18.600000000000001</v>
      </c>
      <c r="D66" s="15">
        <v>8</v>
      </c>
      <c r="E66" s="15">
        <v>1.8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>
      <c r="A67" s="15" t="s">
        <v>12</v>
      </c>
      <c r="B67" s="15" t="s">
        <v>11</v>
      </c>
      <c r="C67" s="15">
        <v>15.5</v>
      </c>
      <c r="D67" s="15">
        <v>7</v>
      </c>
      <c r="E67" s="15">
        <v>1.6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>
      <c r="A68" s="16" t="s">
        <v>13</v>
      </c>
      <c r="B68" s="16" t="s">
        <v>11</v>
      </c>
      <c r="C68" s="16">
        <v>17.5</v>
      </c>
      <c r="D68" s="16">
        <v>8</v>
      </c>
      <c r="E68" s="16">
        <v>1.5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>
      <c r="A69" s="16" t="s">
        <v>13</v>
      </c>
      <c r="B69" s="16" t="s">
        <v>11</v>
      </c>
      <c r="C69" s="16">
        <v>18</v>
      </c>
      <c r="D69" s="16">
        <v>8</v>
      </c>
      <c r="E69" s="16">
        <v>1.4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>
      <c r="A70" s="16" t="s">
        <v>13</v>
      </c>
      <c r="B70" s="16" t="s">
        <v>11</v>
      </c>
      <c r="C70" s="16">
        <v>14.5</v>
      </c>
      <c r="D70" s="16">
        <v>6</v>
      </c>
      <c r="E70" s="16">
        <v>1.4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>
      <c r="A71" s="18" t="s">
        <v>17</v>
      </c>
      <c r="B71" s="18" t="s">
        <v>11</v>
      </c>
      <c r="C71" s="18">
        <v>16</v>
      </c>
      <c r="D71" s="18">
        <v>5</v>
      </c>
      <c r="E71" s="18">
        <v>1.4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>
      <c r="A72" s="18" t="s">
        <v>17</v>
      </c>
      <c r="B72" s="18" t="s">
        <v>11</v>
      </c>
      <c r="C72" s="18">
        <v>16</v>
      </c>
      <c r="D72" s="18">
        <v>6</v>
      </c>
      <c r="E72" s="18">
        <v>1.5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>
      <c r="A73" s="18" t="s">
        <v>17</v>
      </c>
      <c r="B73" s="18" t="s">
        <v>11</v>
      </c>
      <c r="C73" s="18">
        <v>16</v>
      </c>
      <c r="D73" s="18">
        <v>6</v>
      </c>
      <c r="E73" s="18">
        <v>1.5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>
      <c r="A74" s="3" t="s">
        <v>13</v>
      </c>
      <c r="B74" s="3" t="s">
        <v>9</v>
      </c>
      <c r="C74" s="3"/>
      <c r="D74" s="3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>
      <c r="A75" s="3" t="s">
        <v>13</v>
      </c>
      <c r="B75" s="3" t="s">
        <v>9</v>
      </c>
      <c r="C75" s="3"/>
      <c r="D75" s="3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>
      <c r="A76" s="3" t="s">
        <v>13</v>
      </c>
      <c r="B76" s="3" t="s">
        <v>9</v>
      </c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>
      <c r="A77" s="12" t="s">
        <v>14</v>
      </c>
      <c r="B77" s="12" t="s">
        <v>9</v>
      </c>
      <c r="C77" s="12">
        <v>16.8</v>
      </c>
      <c r="D77" s="12">
        <v>7</v>
      </c>
      <c r="E77" s="12">
        <v>1.2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>
      <c r="A78" s="12" t="s">
        <v>14</v>
      </c>
      <c r="B78" s="12" t="s">
        <v>9</v>
      </c>
      <c r="C78" s="12">
        <v>16.899999999999999</v>
      </c>
      <c r="D78" s="12">
        <v>7</v>
      </c>
      <c r="E78" s="12">
        <v>1.4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>
      <c r="A79" s="12" t="s">
        <v>14</v>
      </c>
      <c r="B79" s="12" t="s">
        <v>9</v>
      </c>
      <c r="C79" s="12">
        <v>15.3</v>
      </c>
      <c r="D79" s="12">
        <v>6</v>
      </c>
      <c r="E79" s="12">
        <v>1.6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>
      <c r="A80" s="3" t="s">
        <v>17</v>
      </c>
      <c r="B80" s="3" t="s">
        <v>9</v>
      </c>
      <c r="C80" s="3">
        <v>16</v>
      </c>
      <c r="D80" s="3">
        <v>6</v>
      </c>
      <c r="E80" s="3">
        <v>1.6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>
      <c r="A81" s="3" t="s">
        <v>17</v>
      </c>
      <c r="B81" s="3" t="s">
        <v>9</v>
      </c>
      <c r="C81" s="3">
        <v>18.100000000000001</v>
      </c>
      <c r="D81" s="3">
        <v>6</v>
      </c>
      <c r="E81" s="3">
        <v>1.5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>
      <c r="A82" s="3" t="s">
        <v>17</v>
      </c>
      <c r="B82" s="3" t="s">
        <v>9</v>
      </c>
      <c r="C82" s="3">
        <v>15.5</v>
      </c>
      <c r="D82" s="3">
        <v>6</v>
      </c>
      <c r="E82" s="3">
        <v>1.5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>
      <c r="A83" s="3" t="s">
        <v>18</v>
      </c>
      <c r="B83" s="3" t="s">
        <v>9</v>
      </c>
      <c r="C83" s="3">
        <v>19.5</v>
      </c>
      <c r="D83" s="3">
        <v>7</v>
      </c>
      <c r="E83" s="3">
        <v>1.3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>
      <c r="A84" s="3" t="s">
        <v>18</v>
      </c>
      <c r="B84" s="3" t="s">
        <v>9</v>
      </c>
      <c r="C84" s="3">
        <v>17.8</v>
      </c>
      <c r="D84" s="3">
        <v>6</v>
      </c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>
      <c r="A85" s="3" t="s">
        <v>18</v>
      </c>
      <c r="B85" s="3" t="s">
        <v>9</v>
      </c>
      <c r="C85" s="3">
        <v>16.399999999999999</v>
      </c>
      <c r="D85" s="3">
        <v>6</v>
      </c>
      <c r="E85" s="1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>
      <c r="A86" s="15" t="s">
        <v>4</v>
      </c>
      <c r="B86" s="15" t="s">
        <v>9</v>
      </c>
      <c r="C86" s="15">
        <v>15</v>
      </c>
      <c r="D86" s="15">
        <v>6</v>
      </c>
      <c r="E86" s="15">
        <v>1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>
      <c r="A87" s="15" t="s">
        <v>4</v>
      </c>
      <c r="B87" s="15" t="s">
        <v>9</v>
      </c>
      <c r="C87" s="15">
        <v>16</v>
      </c>
      <c r="D87" s="15">
        <v>6</v>
      </c>
      <c r="E87" s="15">
        <v>1.8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>
      <c r="A88" s="15" t="s">
        <v>4</v>
      </c>
      <c r="B88" s="15" t="s">
        <v>9</v>
      </c>
      <c r="C88" s="15">
        <v>18</v>
      </c>
      <c r="D88" s="15">
        <v>7</v>
      </c>
      <c r="E88" s="15">
        <v>1.5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>
      <c r="A89" s="16" t="s">
        <v>12</v>
      </c>
      <c r="B89" s="16" t="s">
        <v>9</v>
      </c>
      <c r="C89" s="16">
        <v>22</v>
      </c>
      <c r="D89" s="16">
        <v>7</v>
      </c>
      <c r="E89" s="16">
        <v>1.5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>
      <c r="A90" s="16" t="s">
        <v>12</v>
      </c>
      <c r="B90" s="16" t="s">
        <v>9</v>
      </c>
      <c r="C90" s="16">
        <v>17</v>
      </c>
      <c r="D90" s="16">
        <v>6</v>
      </c>
      <c r="E90" s="16">
        <v>1.5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>
      <c r="A91" s="16" t="s">
        <v>12</v>
      </c>
      <c r="B91" s="16" t="s">
        <v>9</v>
      </c>
      <c r="C91" s="16">
        <v>20</v>
      </c>
      <c r="D91" s="16">
        <v>9</v>
      </c>
      <c r="E91" s="16">
        <v>1.7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>
      <c r="A92" s="15" t="s">
        <v>15</v>
      </c>
      <c r="B92" s="15" t="s">
        <v>9</v>
      </c>
      <c r="C92" s="15">
        <v>15</v>
      </c>
      <c r="D92" s="15">
        <v>6</v>
      </c>
      <c r="E92" s="15">
        <v>1.5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>
      <c r="A93" s="15" t="s">
        <v>15</v>
      </c>
      <c r="B93" s="15" t="s">
        <v>9</v>
      </c>
      <c r="C93" s="15">
        <v>16</v>
      </c>
      <c r="D93" s="15">
        <v>6</v>
      </c>
      <c r="E93" s="15">
        <v>1.5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>
      <c r="A94" s="15" t="s">
        <v>15</v>
      </c>
      <c r="B94" s="15" t="s">
        <v>9</v>
      </c>
      <c r="C94" s="15">
        <v>17</v>
      </c>
      <c r="D94" s="15">
        <v>6</v>
      </c>
      <c r="E94" s="15">
        <v>1.6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>
      <c r="A95" s="16" t="s">
        <v>16</v>
      </c>
      <c r="B95" s="16" t="s">
        <v>9</v>
      </c>
      <c r="C95" s="16">
        <v>16</v>
      </c>
      <c r="D95" s="16">
        <v>5</v>
      </c>
      <c r="E95" s="16">
        <v>1.1000000000000001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>
      <c r="A96" s="16" t="s">
        <v>16</v>
      </c>
      <c r="B96" s="16" t="s">
        <v>9</v>
      </c>
      <c r="C96" s="16">
        <v>17</v>
      </c>
      <c r="D96" s="16">
        <v>5</v>
      </c>
      <c r="E96" s="16">
        <v>1.2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>
      <c r="A97" s="16" t="s">
        <v>16</v>
      </c>
      <c r="B97" s="16" t="s">
        <v>9</v>
      </c>
      <c r="C97" s="16">
        <v>15</v>
      </c>
      <c r="D97" s="16">
        <v>7</v>
      </c>
      <c r="E97" s="16">
        <v>1.1000000000000001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19</v>
      </c>
      <c r="F1" s="3" t="s">
        <v>20</v>
      </c>
      <c r="G1" s="3" t="s">
        <v>21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2"/>
      <c r="V1" s="2"/>
      <c r="W1" s="2"/>
      <c r="X1" s="2"/>
      <c r="Y1" s="2"/>
    </row>
    <row r="2" spans="1:25">
      <c r="A2" s="3" t="s">
        <v>4</v>
      </c>
      <c r="B2" s="3" t="s">
        <v>5</v>
      </c>
      <c r="C2" s="3">
        <v>50</v>
      </c>
      <c r="D2" s="3">
        <v>11</v>
      </c>
      <c r="E2" s="3">
        <v>3</v>
      </c>
      <c r="F2" s="3">
        <v>41.3</v>
      </c>
      <c r="G2" s="3">
        <v>38.6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>
      <c r="A3" s="3" t="s">
        <v>4</v>
      </c>
      <c r="B3" s="3" t="s">
        <v>5</v>
      </c>
      <c r="C3" s="3">
        <v>48</v>
      </c>
      <c r="D3" s="3">
        <v>11</v>
      </c>
      <c r="E3" s="3">
        <v>2.8</v>
      </c>
      <c r="F3" s="3">
        <v>45</v>
      </c>
      <c r="G3" s="3">
        <v>39.6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>
      <c r="A4" s="3" t="s">
        <v>4</v>
      </c>
      <c r="B4" s="3" t="s">
        <v>5</v>
      </c>
      <c r="C4" s="3">
        <v>53</v>
      </c>
      <c r="D4" s="3">
        <v>11</v>
      </c>
      <c r="E4" s="3">
        <v>2.6</v>
      </c>
      <c r="F4" s="3">
        <v>44.1</v>
      </c>
      <c r="G4" s="3">
        <v>38.4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>
      <c r="A5" s="12" t="s">
        <v>12</v>
      </c>
      <c r="B5" s="12" t="s">
        <v>5</v>
      </c>
      <c r="C5" s="12">
        <v>50</v>
      </c>
      <c r="D5" s="12">
        <v>9</v>
      </c>
      <c r="E5" s="12">
        <v>3.5</v>
      </c>
      <c r="F5" s="12">
        <v>40.5</v>
      </c>
      <c r="G5" s="12">
        <v>39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>
      <c r="A6" s="12" t="s">
        <v>12</v>
      </c>
      <c r="B6" s="12" t="s">
        <v>5</v>
      </c>
      <c r="C6" s="12">
        <v>43</v>
      </c>
      <c r="D6" s="12">
        <v>8</v>
      </c>
      <c r="E6" s="12">
        <v>3</v>
      </c>
      <c r="F6" s="12">
        <v>39.799999999999997</v>
      </c>
      <c r="G6" s="12">
        <v>42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>
      <c r="A7" s="12" t="s">
        <v>12</v>
      </c>
      <c r="B7" s="12" t="s">
        <v>5</v>
      </c>
      <c r="C7" s="12">
        <v>45</v>
      </c>
      <c r="D7" s="12">
        <v>8</v>
      </c>
      <c r="E7" s="12">
        <v>3</v>
      </c>
      <c r="F7" s="12">
        <v>36.4</v>
      </c>
      <c r="G7" s="12">
        <v>33.700000000000003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>
      <c r="A8" s="3" t="s">
        <v>16</v>
      </c>
      <c r="B8" s="3" t="s">
        <v>5</v>
      </c>
      <c r="C8" s="3">
        <v>43.5</v>
      </c>
      <c r="D8" s="3">
        <v>10</v>
      </c>
      <c r="E8" s="3">
        <v>2.5</v>
      </c>
      <c r="F8" s="3">
        <v>41</v>
      </c>
      <c r="G8" s="3">
        <v>40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>
      <c r="A9" s="3" t="s">
        <v>16</v>
      </c>
      <c r="B9" s="3" t="s">
        <v>5</v>
      </c>
      <c r="C9" s="3">
        <v>41.5</v>
      </c>
      <c r="D9" s="3">
        <v>11</v>
      </c>
      <c r="E9" s="3">
        <v>2</v>
      </c>
      <c r="F9" s="3">
        <v>40</v>
      </c>
      <c r="G9" s="3">
        <v>39.799999999999997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>
      <c r="A10" s="3" t="s">
        <v>16</v>
      </c>
      <c r="B10" s="3" t="s">
        <v>5</v>
      </c>
      <c r="C10" s="3">
        <v>46.3</v>
      </c>
      <c r="D10" s="3">
        <v>9</v>
      </c>
      <c r="E10" s="3">
        <v>2.2999999999999998</v>
      </c>
      <c r="F10" s="3">
        <v>42.2</v>
      </c>
      <c r="G10" s="3">
        <v>41.7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>
      <c r="A11" s="12" t="s">
        <v>17</v>
      </c>
      <c r="B11" s="12" t="s">
        <v>5</v>
      </c>
      <c r="C11" s="12">
        <v>39</v>
      </c>
      <c r="D11" s="12">
        <v>9</v>
      </c>
      <c r="E11" s="12">
        <v>2</v>
      </c>
      <c r="F11" s="12">
        <v>37.799999999999997</v>
      </c>
      <c r="G11" s="12">
        <v>32.5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>
      <c r="A12" s="12" t="s">
        <v>17</v>
      </c>
      <c r="B12" s="12" t="s">
        <v>5</v>
      </c>
      <c r="C12" s="12">
        <v>40.5</v>
      </c>
      <c r="D12" s="12">
        <v>9</v>
      </c>
      <c r="E12" s="12">
        <v>2.2999999999999998</v>
      </c>
      <c r="F12" s="12">
        <v>38.200000000000003</v>
      </c>
      <c r="G12" s="12">
        <v>31.2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>
      <c r="A13" s="12" t="s">
        <v>17</v>
      </c>
      <c r="B13" s="12" t="s">
        <v>5</v>
      </c>
      <c r="C13" s="12">
        <v>41</v>
      </c>
      <c r="D13" s="12">
        <v>10</v>
      </c>
      <c r="E13" s="12">
        <v>2.2000000000000002</v>
      </c>
      <c r="F13" s="12">
        <v>37.299999999999997</v>
      </c>
      <c r="G13" s="12">
        <v>31.8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>
      <c r="A14" s="3" t="s">
        <v>13</v>
      </c>
      <c r="B14" s="3" t="s">
        <v>5</v>
      </c>
      <c r="C14" s="3">
        <v>48.6</v>
      </c>
      <c r="D14" s="3">
        <v>11</v>
      </c>
      <c r="E14" s="3">
        <v>2.1</v>
      </c>
      <c r="F14" s="3">
        <v>41.9</v>
      </c>
      <c r="G14" s="3">
        <v>43.4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A15" s="3" t="s">
        <v>13</v>
      </c>
      <c r="B15" s="3" t="s">
        <v>5</v>
      </c>
      <c r="C15" s="3">
        <v>47.8</v>
      </c>
      <c r="D15" s="3">
        <v>10</v>
      </c>
      <c r="E15" s="3">
        <v>2.2000000000000002</v>
      </c>
      <c r="F15" s="3">
        <v>46.1</v>
      </c>
      <c r="G15" s="3">
        <v>46.5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>
      <c r="A16" s="3" t="s">
        <v>13</v>
      </c>
      <c r="B16" s="3" t="s">
        <v>5</v>
      </c>
      <c r="C16" s="3">
        <v>49.8</v>
      </c>
      <c r="D16" s="3">
        <v>9</v>
      </c>
      <c r="E16" s="3">
        <v>2.2999999999999998</v>
      </c>
      <c r="F16" s="3">
        <v>41.3</v>
      </c>
      <c r="G16" s="3">
        <v>44.2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A17" s="12" t="s">
        <v>14</v>
      </c>
      <c r="B17" s="12" t="s">
        <v>5</v>
      </c>
      <c r="C17" s="12">
        <v>39</v>
      </c>
      <c r="D17" s="12">
        <v>9</v>
      </c>
      <c r="E17" s="12">
        <v>2.5</v>
      </c>
      <c r="F17" s="12">
        <v>44.3</v>
      </c>
      <c r="G17" s="12">
        <v>48.3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>
      <c r="A18" s="12" t="s">
        <v>14</v>
      </c>
      <c r="B18" s="12" t="s">
        <v>5</v>
      </c>
      <c r="C18" s="12">
        <v>35</v>
      </c>
      <c r="D18" s="12">
        <v>11</v>
      </c>
      <c r="E18" s="12">
        <v>2.5</v>
      </c>
      <c r="F18" s="12">
        <v>38.299999999999997</v>
      </c>
      <c r="G18" s="12">
        <v>47.5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>
      <c r="A19" s="12" t="s">
        <v>14</v>
      </c>
      <c r="B19" s="12" t="s">
        <v>5</v>
      </c>
      <c r="C19" s="12">
        <v>31.5</v>
      </c>
      <c r="D19" s="12">
        <v>8</v>
      </c>
      <c r="E19" s="12">
        <v>2.5</v>
      </c>
      <c r="F19" s="12">
        <v>37.799999999999997</v>
      </c>
      <c r="G19" s="12">
        <v>53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>
      <c r="A20" s="12" t="s">
        <v>15</v>
      </c>
      <c r="B20" s="12" t="s">
        <v>5</v>
      </c>
      <c r="C20" s="12">
        <v>38</v>
      </c>
      <c r="D20" s="12">
        <v>11</v>
      </c>
      <c r="E20" s="12">
        <v>2.4</v>
      </c>
      <c r="F20" s="12">
        <v>41.5</v>
      </c>
      <c r="G20" s="12">
        <v>50.1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12" t="s">
        <v>15</v>
      </c>
      <c r="B21" s="12" t="s">
        <v>5</v>
      </c>
      <c r="C21" s="12">
        <v>35</v>
      </c>
      <c r="D21" s="12">
        <v>9</v>
      </c>
      <c r="E21" s="12">
        <v>2</v>
      </c>
      <c r="F21" s="12">
        <v>34.9</v>
      </c>
      <c r="G21" s="12">
        <v>45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12" t="s">
        <v>15</v>
      </c>
      <c r="B22" s="12" t="s">
        <v>5</v>
      </c>
      <c r="C22" s="12">
        <v>32</v>
      </c>
      <c r="D22" s="12">
        <v>9</v>
      </c>
      <c r="E22" s="12">
        <v>2</v>
      </c>
      <c r="F22" s="12">
        <v>37.200000000000003</v>
      </c>
      <c r="G22" s="12">
        <v>50.8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3" t="s">
        <v>18</v>
      </c>
      <c r="B23" s="3" t="s">
        <v>5</v>
      </c>
      <c r="C23" s="3">
        <v>33</v>
      </c>
      <c r="D23" s="3">
        <v>10</v>
      </c>
      <c r="E23" s="3">
        <v>2.2999999999999998</v>
      </c>
      <c r="F23" s="3">
        <v>38.4</v>
      </c>
      <c r="G23" s="3">
        <v>42.8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3" t="s">
        <v>18</v>
      </c>
      <c r="B24" s="3" t="s">
        <v>5</v>
      </c>
      <c r="C24" s="3">
        <v>36</v>
      </c>
      <c r="D24" s="3">
        <v>9</v>
      </c>
      <c r="E24" s="3">
        <v>3</v>
      </c>
      <c r="F24" s="3">
        <v>37.9</v>
      </c>
      <c r="G24" s="3">
        <v>43.7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>
      <c r="A25" s="3" t="s">
        <v>18</v>
      </c>
      <c r="B25" s="3" t="s">
        <v>5</v>
      </c>
      <c r="C25" s="13">
        <v>37</v>
      </c>
      <c r="D25" s="13">
        <v>9</v>
      </c>
      <c r="E25" s="13">
        <v>2.4</v>
      </c>
      <c r="F25" s="3">
        <v>32.9</v>
      </c>
      <c r="G25" s="3">
        <v>43.9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>
      <c r="A26" s="3" t="s">
        <v>12</v>
      </c>
      <c r="B26" s="3" t="s">
        <v>10</v>
      </c>
      <c r="C26" s="3">
        <v>45</v>
      </c>
      <c r="D26" s="3">
        <v>10</v>
      </c>
      <c r="E26" s="3">
        <v>2.2999999999999998</v>
      </c>
      <c r="F26" s="3">
        <v>36.799999999999997</v>
      </c>
      <c r="G26" s="3">
        <v>50.5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3" t="s">
        <v>12</v>
      </c>
      <c r="B27" s="3" t="s">
        <v>10</v>
      </c>
      <c r="C27" s="3">
        <v>44</v>
      </c>
      <c r="D27" s="3">
        <v>10</v>
      </c>
      <c r="E27" s="3">
        <v>2.5</v>
      </c>
      <c r="F27" s="3">
        <v>39.5</v>
      </c>
      <c r="G27" s="3">
        <v>49.3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>
      <c r="A28" s="3" t="s">
        <v>12</v>
      </c>
      <c r="B28" s="3" t="s">
        <v>10</v>
      </c>
      <c r="C28" s="3">
        <v>45</v>
      </c>
      <c r="D28" s="3">
        <v>10</v>
      </c>
      <c r="E28" s="3">
        <v>2.2999999999999998</v>
      </c>
      <c r="F28" s="3">
        <v>44.8</v>
      </c>
      <c r="G28" s="3">
        <v>49.7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>
      <c r="A29" s="12" t="s">
        <v>13</v>
      </c>
      <c r="B29" s="12" t="s">
        <v>10</v>
      </c>
      <c r="C29" s="12">
        <v>35.6</v>
      </c>
      <c r="D29" s="12">
        <v>9</v>
      </c>
      <c r="E29" s="12">
        <v>2.5</v>
      </c>
      <c r="F29" s="12">
        <v>40.799999999999997</v>
      </c>
      <c r="G29" s="12">
        <v>40.6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>
      <c r="A30" s="12" t="s">
        <v>13</v>
      </c>
      <c r="B30" s="12" t="s">
        <v>10</v>
      </c>
      <c r="C30" s="12">
        <v>42</v>
      </c>
      <c r="D30" s="12">
        <v>8</v>
      </c>
      <c r="E30" s="12">
        <v>2.1</v>
      </c>
      <c r="F30" s="12">
        <v>40.5</v>
      </c>
      <c r="G30" s="12">
        <v>39.5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>
      <c r="A31" s="12" t="s">
        <v>13</v>
      </c>
      <c r="B31" s="12" t="s">
        <v>10</v>
      </c>
      <c r="C31" s="12">
        <v>40</v>
      </c>
      <c r="D31" s="12">
        <v>10</v>
      </c>
      <c r="E31" s="12">
        <v>1.8</v>
      </c>
      <c r="F31" s="12">
        <v>39.799999999999997</v>
      </c>
      <c r="G31" s="12">
        <v>39.799999999999997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>
      <c r="A32" s="12" t="s">
        <v>15</v>
      </c>
      <c r="B32" s="12" t="s">
        <v>10</v>
      </c>
      <c r="C32" s="12">
        <v>49.5</v>
      </c>
      <c r="D32" s="12">
        <v>12</v>
      </c>
      <c r="E32" s="12">
        <v>1.9</v>
      </c>
      <c r="F32" s="12">
        <v>43.6</v>
      </c>
      <c r="G32" s="12">
        <v>45.1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>
      <c r="A33" s="12" t="s">
        <v>15</v>
      </c>
      <c r="B33" s="12" t="s">
        <v>10</v>
      </c>
      <c r="C33" s="12">
        <v>48.5</v>
      </c>
      <c r="D33" s="12">
        <v>13</v>
      </c>
      <c r="E33" s="12">
        <v>2</v>
      </c>
      <c r="F33" s="12">
        <v>38.5</v>
      </c>
      <c r="G33" s="12">
        <v>47.7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>
      <c r="A34" s="12" t="s">
        <v>15</v>
      </c>
      <c r="B34" s="12" t="s">
        <v>10</v>
      </c>
      <c r="C34" s="12">
        <v>44.5</v>
      </c>
      <c r="D34" s="12">
        <v>11</v>
      </c>
      <c r="E34" s="12">
        <v>1.8</v>
      </c>
      <c r="F34" s="12">
        <v>33.200000000000003</v>
      </c>
      <c r="G34" s="12">
        <v>46.5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>
      <c r="A35" s="12" t="s">
        <v>4</v>
      </c>
      <c r="B35" s="12" t="s">
        <v>10</v>
      </c>
      <c r="C35" s="12">
        <v>48</v>
      </c>
      <c r="D35" s="12">
        <v>10</v>
      </c>
      <c r="E35" s="12">
        <v>2.5</v>
      </c>
      <c r="F35" s="12">
        <v>44.3</v>
      </c>
      <c r="G35" s="12">
        <v>43.6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>
      <c r="A36" s="12" t="s">
        <v>4</v>
      </c>
      <c r="B36" s="12" t="s">
        <v>10</v>
      </c>
      <c r="C36" s="12">
        <v>52</v>
      </c>
      <c r="D36" s="12">
        <v>12</v>
      </c>
      <c r="E36" s="12">
        <v>3</v>
      </c>
      <c r="F36" s="12">
        <v>39.5</v>
      </c>
      <c r="G36" s="12">
        <v>47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>
      <c r="A37" s="12" t="s">
        <v>4</v>
      </c>
      <c r="B37" s="12" t="s">
        <v>10</v>
      </c>
      <c r="C37" s="12">
        <v>45</v>
      </c>
      <c r="D37" s="12">
        <v>11</v>
      </c>
      <c r="E37" s="12">
        <v>2.5</v>
      </c>
      <c r="F37" s="12">
        <v>42.7</v>
      </c>
      <c r="G37" s="12">
        <v>48.4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>
      <c r="A38" s="13" t="s">
        <v>14</v>
      </c>
      <c r="B38" s="13" t="s">
        <v>10</v>
      </c>
      <c r="C38" s="3">
        <v>47.5</v>
      </c>
      <c r="D38" s="3">
        <v>11</v>
      </c>
      <c r="E38" s="3">
        <v>2.6</v>
      </c>
      <c r="F38" s="3">
        <v>43</v>
      </c>
      <c r="G38" s="3">
        <v>49.8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>
      <c r="A39" s="13" t="s">
        <v>14</v>
      </c>
      <c r="B39" s="13" t="s">
        <v>10</v>
      </c>
      <c r="C39" s="3">
        <v>38.5</v>
      </c>
      <c r="D39" s="3">
        <v>11</v>
      </c>
      <c r="E39" s="3">
        <v>2.6</v>
      </c>
      <c r="F39" s="3">
        <v>42.8</v>
      </c>
      <c r="G39" s="3">
        <v>50.4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>
      <c r="A40" s="13" t="s">
        <v>14</v>
      </c>
      <c r="B40" s="13" t="s">
        <v>10</v>
      </c>
      <c r="C40" s="3">
        <v>46.4</v>
      </c>
      <c r="D40" s="3">
        <v>11</v>
      </c>
      <c r="E40" s="3">
        <v>2.7</v>
      </c>
      <c r="F40" s="3">
        <v>33.799999999999997</v>
      </c>
      <c r="G40" s="3">
        <v>42.7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>
      <c r="A41" s="3" t="s">
        <v>16</v>
      </c>
      <c r="B41" s="3" t="s">
        <v>10</v>
      </c>
      <c r="C41" s="3">
        <v>33.5</v>
      </c>
      <c r="D41" s="3">
        <v>8</v>
      </c>
      <c r="E41" s="3">
        <v>1.8</v>
      </c>
      <c r="F41" s="3">
        <v>43.5</v>
      </c>
      <c r="G41" s="3">
        <v>46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>
      <c r="A42" s="3" t="s">
        <v>16</v>
      </c>
      <c r="B42" s="3" t="s">
        <v>10</v>
      </c>
      <c r="C42" s="3">
        <v>40</v>
      </c>
      <c r="D42" s="3">
        <v>10</v>
      </c>
      <c r="E42" s="3">
        <v>2</v>
      </c>
      <c r="F42" s="3">
        <v>38.799999999999997</v>
      </c>
      <c r="G42" s="3">
        <v>47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>
      <c r="A43" s="3" t="s">
        <v>16</v>
      </c>
      <c r="B43" s="3" t="s">
        <v>10</v>
      </c>
      <c r="C43" s="3">
        <v>38.799999999999997</v>
      </c>
      <c r="D43" s="3">
        <v>10</v>
      </c>
      <c r="E43" s="3">
        <v>2</v>
      </c>
      <c r="F43" s="3">
        <v>40.9</v>
      </c>
      <c r="G43" s="3">
        <v>46.7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>
      <c r="A44" s="3" t="s">
        <v>17</v>
      </c>
      <c r="B44" s="3" t="s">
        <v>10</v>
      </c>
      <c r="C44" s="3">
        <v>40</v>
      </c>
      <c r="D44" s="3">
        <v>10</v>
      </c>
      <c r="E44" s="3">
        <v>2.2999999999999998</v>
      </c>
      <c r="F44" s="3">
        <v>38.9</v>
      </c>
      <c r="G44" s="3">
        <v>43.1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>
      <c r="A45" s="3" t="s">
        <v>17</v>
      </c>
      <c r="B45" s="3" t="s">
        <v>10</v>
      </c>
      <c r="C45" s="3">
        <v>35</v>
      </c>
      <c r="D45" s="3">
        <v>10</v>
      </c>
      <c r="E45" s="3">
        <v>2.5</v>
      </c>
      <c r="F45" s="3">
        <v>39.4</v>
      </c>
      <c r="G45" s="3">
        <v>47.9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>
      <c r="A46" s="3" t="s">
        <v>17</v>
      </c>
      <c r="B46" s="3" t="s">
        <v>10</v>
      </c>
      <c r="C46" s="3">
        <v>42</v>
      </c>
      <c r="D46" s="3">
        <v>11</v>
      </c>
      <c r="E46" s="3">
        <v>2.5</v>
      </c>
      <c r="F46" s="3">
        <v>36.9</v>
      </c>
      <c r="G46" s="3">
        <v>49.2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>
      <c r="A47" s="14" t="s">
        <v>18</v>
      </c>
      <c r="B47" s="14" t="s">
        <v>10</v>
      </c>
      <c r="C47" s="14">
        <v>31</v>
      </c>
      <c r="D47" s="14">
        <v>9</v>
      </c>
      <c r="E47" s="14">
        <v>2</v>
      </c>
      <c r="F47" s="12">
        <v>34.700000000000003</v>
      </c>
      <c r="G47" s="12">
        <v>47.2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>
      <c r="A48" s="14" t="s">
        <v>18</v>
      </c>
      <c r="B48" s="14" t="s">
        <v>10</v>
      </c>
      <c r="C48" s="14">
        <v>33.5</v>
      </c>
      <c r="D48" s="14">
        <v>10</v>
      </c>
      <c r="E48" s="14">
        <v>2</v>
      </c>
      <c r="F48" s="12">
        <v>48.7</v>
      </c>
      <c r="G48" s="12">
        <v>40.799999999999997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>
      <c r="A49" s="14" t="s">
        <v>18</v>
      </c>
      <c r="B49" s="14" t="s">
        <v>10</v>
      </c>
      <c r="C49" s="14">
        <v>32</v>
      </c>
      <c r="D49" s="14">
        <v>9</v>
      </c>
      <c r="E49" s="14">
        <v>2.4</v>
      </c>
      <c r="F49" s="12">
        <v>35</v>
      </c>
      <c r="G49" s="12">
        <v>46.1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>
      <c r="A50" s="12" t="s">
        <v>4</v>
      </c>
      <c r="B50" s="12" t="s">
        <v>11</v>
      </c>
      <c r="C50" s="12">
        <v>35.5</v>
      </c>
      <c r="D50" s="12">
        <v>9</v>
      </c>
      <c r="E50" s="12">
        <v>2.4</v>
      </c>
      <c r="F50" s="12">
        <v>41.8</v>
      </c>
      <c r="G50" s="12">
        <v>37.299999999999997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>
      <c r="A51" s="12" t="s">
        <v>4</v>
      </c>
      <c r="B51" s="12" t="s">
        <v>11</v>
      </c>
      <c r="C51" s="12">
        <v>49</v>
      </c>
      <c r="D51" s="12">
        <v>11</v>
      </c>
      <c r="E51" s="12">
        <v>2.5</v>
      </c>
      <c r="F51" s="12">
        <v>41.3</v>
      </c>
      <c r="G51" s="12">
        <v>36.9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>
      <c r="A52" s="12" t="s">
        <v>4</v>
      </c>
      <c r="B52" s="12" t="s">
        <v>11</v>
      </c>
      <c r="C52" s="12">
        <v>48</v>
      </c>
      <c r="D52" s="12">
        <v>11</v>
      </c>
      <c r="E52" s="12">
        <v>2.2999999999999998</v>
      </c>
      <c r="F52" s="12">
        <v>41.6</v>
      </c>
      <c r="G52" s="12">
        <v>40.6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>
      <c r="A53" s="13" t="s">
        <v>14</v>
      </c>
      <c r="B53" s="13" t="s">
        <v>11</v>
      </c>
      <c r="C53" s="13">
        <v>40</v>
      </c>
      <c r="D53" s="13">
        <v>10</v>
      </c>
      <c r="E53" s="3">
        <v>2.2000000000000002</v>
      </c>
      <c r="F53" s="3">
        <v>41</v>
      </c>
      <c r="G53" s="3">
        <v>39.5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>
      <c r="A54" s="13" t="s">
        <v>14</v>
      </c>
      <c r="B54" s="13" t="s">
        <v>11</v>
      </c>
      <c r="C54" s="13">
        <v>40.700000000000003</v>
      </c>
      <c r="D54" s="13">
        <v>9</v>
      </c>
      <c r="E54" s="3">
        <v>2.1</v>
      </c>
      <c r="F54" s="3">
        <v>41</v>
      </c>
      <c r="G54" s="3">
        <v>40.799999999999997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>
      <c r="A55" s="13" t="s">
        <v>14</v>
      </c>
      <c r="B55" s="13" t="s">
        <v>11</v>
      </c>
      <c r="C55" s="13">
        <v>41</v>
      </c>
      <c r="D55" s="13">
        <v>9</v>
      </c>
      <c r="E55" s="3">
        <v>1.9</v>
      </c>
      <c r="F55" s="3">
        <v>40.5</v>
      </c>
      <c r="G55" s="3">
        <v>39.6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>
      <c r="A56" s="3" t="s">
        <v>15</v>
      </c>
      <c r="B56" s="3" t="s">
        <v>11</v>
      </c>
      <c r="C56" s="13">
        <v>50</v>
      </c>
      <c r="D56" s="13">
        <v>11</v>
      </c>
      <c r="E56" s="13">
        <v>2.1</v>
      </c>
      <c r="F56" s="13">
        <v>38.700000000000003</v>
      </c>
      <c r="G56" s="13">
        <v>37.6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>
      <c r="A57" s="3" t="s">
        <v>15</v>
      </c>
      <c r="B57" s="3" t="s">
        <v>11</v>
      </c>
      <c r="C57" s="13">
        <v>43</v>
      </c>
      <c r="D57" s="13">
        <v>12</v>
      </c>
      <c r="E57" s="13">
        <v>2.4</v>
      </c>
      <c r="F57" s="13">
        <v>38.4</v>
      </c>
      <c r="G57" s="13">
        <v>38.6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>
      <c r="A58" s="3" t="s">
        <v>15</v>
      </c>
      <c r="B58" s="3" t="s">
        <v>11</v>
      </c>
      <c r="C58" s="13">
        <v>37</v>
      </c>
      <c r="D58" s="13">
        <v>10</v>
      </c>
      <c r="E58" s="13">
        <v>1.9</v>
      </c>
      <c r="F58" s="13">
        <v>39.5</v>
      </c>
      <c r="G58" s="13">
        <v>38.299999999999997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>
      <c r="A59" s="12" t="s">
        <v>16</v>
      </c>
      <c r="B59" s="12" t="s">
        <v>11</v>
      </c>
      <c r="C59" s="12"/>
      <c r="D59" s="12"/>
      <c r="E59" s="19"/>
      <c r="F59" s="12"/>
      <c r="G59" s="1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>
      <c r="A60" s="12" t="s">
        <v>16</v>
      </c>
      <c r="B60" s="12" t="s">
        <v>11</v>
      </c>
      <c r="C60" s="12"/>
      <c r="D60" s="12"/>
      <c r="E60" s="19"/>
      <c r="F60" s="12"/>
      <c r="G60" s="1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>
      <c r="A61" s="12" t="s">
        <v>16</v>
      </c>
      <c r="B61" s="12" t="s">
        <v>11</v>
      </c>
      <c r="C61" s="12"/>
      <c r="D61" s="12"/>
      <c r="E61" s="19"/>
      <c r="F61" s="12"/>
      <c r="G61" s="1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>
      <c r="A62" s="12" t="s">
        <v>18</v>
      </c>
      <c r="B62" s="12" t="s">
        <v>11</v>
      </c>
      <c r="C62" s="12">
        <v>40</v>
      </c>
      <c r="D62" s="12">
        <v>9</v>
      </c>
      <c r="E62" s="12">
        <v>2</v>
      </c>
      <c r="F62" s="12">
        <v>32.299999999999997</v>
      </c>
      <c r="G62" s="12">
        <v>37.5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>
      <c r="A63" s="12" t="s">
        <v>18</v>
      </c>
      <c r="B63" s="12" t="s">
        <v>11</v>
      </c>
      <c r="C63" s="12">
        <v>30.1</v>
      </c>
      <c r="D63" s="12">
        <v>8</v>
      </c>
      <c r="E63" s="12">
        <v>1.7</v>
      </c>
      <c r="F63" s="12">
        <v>33</v>
      </c>
      <c r="G63" s="12">
        <v>37.200000000000003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>
      <c r="A64" s="12" t="s">
        <v>18</v>
      </c>
      <c r="B64" s="12" t="s">
        <v>11</v>
      </c>
      <c r="C64" s="12">
        <v>37.6</v>
      </c>
      <c r="D64" s="12">
        <v>9</v>
      </c>
      <c r="E64" s="12">
        <v>1.8</v>
      </c>
      <c r="F64" s="12">
        <v>33.6</v>
      </c>
      <c r="G64" s="12">
        <v>38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>
      <c r="A65" s="3" t="s">
        <v>12</v>
      </c>
      <c r="B65" s="3" t="s">
        <v>11</v>
      </c>
      <c r="C65" s="3">
        <v>48</v>
      </c>
      <c r="D65" s="3">
        <v>11</v>
      </c>
      <c r="E65" s="3">
        <v>2.5</v>
      </c>
      <c r="F65" s="3">
        <v>37.700000000000003</v>
      </c>
      <c r="G65" s="3">
        <v>48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>
      <c r="A66" s="3" t="s">
        <v>12</v>
      </c>
      <c r="B66" s="3" t="s">
        <v>11</v>
      </c>
      <c r="C66" s="3">
        <v>47.3</v>
      </c>
      <c r="D66" s="3">
        <v>11</v>
      </c>
      <c r="E66" s="3">
        <v>2.7</v>
      </c>
      <c r="F66" s="3">
        <v>35.700000000000003</v>
      </c>
      <c r="G66" s="3">
        <v>49.9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>
      <c r="A67" s="3" t="s">
        <v>12</v>
      </c>
      <c r="B67" s="3" t="s">
        <v>11</v>
      </c>
      <c r="C67" s="3">
        <v>44.3</v>
      </c>
      <c r="D67" s="3">
        <v>11</v>
      </c>
      <c r="E67" s="3">
        <v>2.6</v>
      </c>
      <c r="F67" s="3">
        <v>37.9</v>
      </c>
      <c r="G67" s="3">
        <v>47.1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>
      <c r="A68" s="12" t="s">
        <v>13</v>
      </c>
      <c r="B68" s="12" t="s">
        <v>11</v>
      </c>
      <c r="C68" s="12">
        <v>43</v>
      </c>
      <c r="D68" s="12">
        <v>6</v>
      </c>
      <c r="E68" s="12">
        <v>2.7</v>
      </c>
      <c r="F68" s="12">
        <v>38.799999999999997</v>
      </c>
      <c r="G68" s="12">
        <v>49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>
      <c r="A69" s="12" t="s">
        <v>13</v>
      </c>
      <c r="B69" s="12" t="s">
        <v>11</v>
      </c>
      <c r="C69" s="12">
        <v>45</v>
      </c>
      <c r="D69" s="12">
        <v>7</v>
      </c>
      <c r="E69" s="12">
        <v>2.8</v>
      </c>
      <c r="F69" s="12">
        <v>37.9</v>
      </c>
      <c r="G69" s="12">
        <v>47.5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>
      <c r="A70" s="12" t="s">
        <v>13</v>
      </c>
      <c r="B70" s="12" t="s">
        <v>11</v>
      </c>
      <c r="C70" s="12">
        <v>32</v>
      </c>
      <c r="D70" s="12">
        <v>8</v>
      </c>
      <c r="E70" s="12">
        <v>2.2000000000000002</v>
      </c>
      <c r="F70" s="12">
        <v>41.4</v>
      </c>
      <c r="G70" s="12">
        <v>42.6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>
      <c r="A71" s="14" t="s">
        <v>17</v>
      </c>
      <c r="B71" s="14" t="s">
        <v>11</v>
      </c>
      <c r="C71" s="14">
        <v>34</v>
      </c>
      <c r="D71" s="14">
        <v>10</v>
      </c>
      <c r="E71" s="14">
        <v>2.4</v>
      </c>
      <c r="F71" s="12">
        <v>35</v>
      </c>
      <c r="G71" s="12">
        <v>46.3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>
      <c r="A72" s="14" t="s">
        <v>17</v>
      </c>
      <c r="B72" s="14" t="s">
        <v>11</v>
      </c>
      <c r="C72" s="14">
        <v>39</v>
      </c>
      <c r="D72" s="14">
        <v>10</v>
      </c>
      <c r="E72" s="14">
        <v>2.5</v>
      </c>
      <c r="F72" s="12">
        <v>35</v>
      </c>
      <c r="G72" s="12">
        <v>46.7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>
      <c r="A73" s="14" t="s">
        <v>17</v>
      </c>
      <c r="B73" s="14" t="s">
        <v>11</v>
      </c>
      <c r="C73" s="14">
        <v>34</v>
      </c>
      <c r="D73" s="14">
        <v>9</v>
      </c>
      <c r="E73" s="14">
        <v>2.2999999999999998</v>
      </c>
      <c r="F73" s="12">
        <v>36.5</v>
      </c>
      <c r="G73" s="12">
        <v>46.3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>
      <c r="A74" s="3" t="s">
        <v>13</v>
      </c>
      <c r="B74" s="3" t="s">
        <v>9</v>
      </c>
      <c r="C74" s="3">
        <v>44</v>
      </c>
      <c r="D74" s="3">
        <v>11</v>
      </c>
      <c r="E74" s="3">
        <v>2</v>
      </c>
      <c r="F74" s="3">
        <v>40.299999999999997</v>
      </c>
      <c r="G74" s="3">
        <v>40.299999999999997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>
      <c r="A75" s="3" t="s">
        <v>13</v>
      </c>
      <c r="B75" s="3" t="s">
        <v>9</v>
      </c>
      <c r="C75" s="3">
        <v>42</v>
      </c>
      <c r="D75" s="3">
        <v>11</v>
      </c>
      <c r="E75" s="3">
        <v>2.2999999999999998</v>
      </c>
      <c r="F75" s="3">
        <v>39.700000000000003</v>
      </c>
      <c r="G75" s="3">
        <v>40.5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>
      <c r="A76" s="3" t="s">
        <v>13</v>
      </c>
      <c r="B76" s="3" t="s">
        <v>9</v>
      </c>
      <c r="C76" s="3">
        <v>50</v>
      </c>
      <c r="D76" s="3">
        <v>13</v>
      </c>
      <c r="E76" s="3">
        <v>2.2999999999999998</v>
      </c>
      <c r="F76" s="3">
        <v>38.700000000000003</v>
      </c>
      <c r="G76" s="3">
        <v>39.799999999999997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>
      <c r="A77" s="12" t="s">
        <v>14</v>
      </c>
      <c r="B77" s="12" t="s">
        <v>9</v>
      </c>
      <c r="C77" s="12">
        <v>39.5</v>
      </c>
      <c r="D77" s="12">
        <v>10</v>
      </c>
      <c r="E77" s="12">
        <v>3.4</v>
      </c>
      <c r="F77" s="12">
        <v>37.299999999999997</v>
      </c>
      <c r="G77" s="12">
        <v>40.5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>
      <c r="A78" s="12" t="s">
        <v>14</v>
      </c>
      <c r="B78" s="12" t="s">
        <v>9</v>
      </c>
      <c r="C78" s="12">
        <v>41.5</v>
      </c>
      <c r="D78" s="12">
        <v>10</v>
      </c>
      <c r="E78" s="12">
        <v>3.2</v>
      </c>
      <c r="F78" s="12">
        <v>35.4</v>
      </c>
      <c r="G78" s="12">
        <v>40.200000000000003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>
      <c r="A79" s="12" t="s">
        <v>14</v>
      </c>
      <c r="B79" s="12" t="s">
        <v>9</v>
      </c>
      <c r="C79" s="12">
        <v>34.5</v>
      </c>
      <c r="D79" s="12">
        <v>9</v>
      </c>
      <c r="E79" s="12">
        <v>2.7</v>
      </c>
      <c r="F79" s="12">
        <v>39.1</v>
      </c>
      <c r="G79" s="12">
        <v>41.6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>
      <c r="A80" s="3" t="s">
        <v>17</v>
      </c>
      <c r="B80" s="3" t="s">
        <v>9</v>
      </c>
      <c r="C80" s="3">
        <v>40.4</v>
      </c>
      <c r="D80" s="3">
        <v>11</v>
      </c>
      <c r="E80" s="3">
        <v>2.6</v>
      </c>
      <c r="F80" s="3">
        <v>35.799999999999997</v>
      </c>
      <c r="G80" s="3">
        <v>34.299999999999997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>
      <c r="A81" s="3" t="s">
        <v>17</v>
      </c>
      <c r="B81" s="3" t="s">
        <v>9</v>
      </c>
      <c r="C81" s="3">
        <v>43.1</v>
      </c>
      <c r="D81" s="3">
        <v>10</v>
      </c>
      <c r="E81" s="3">
        <v>1.9</v>
      </c>
      <c r="F81" s="20">
        <v>35.1</v>
      </c>
      <c r="G81" s="3">
        <v>37.5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>
      <c r="A82" s="3" t="s">
        <v>17</v>
      </c>
      <c r="B82" s="3" t="s">
        <v>9</v>
      </c>
      <c r="C82" s="3">
        <v>40.1</v>
      </c>
      <c r="D82" s="3">
        <v>10</v>
      </c>
      <c r="E82" s="3">
        <v>2.2000000000000002</v>
      </c>
      <c r="F82" s="3">
        <v>32</v>
      </c>
      <c r="G82" s="3">
        <v>37.9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>
      <c r="A83" s="3" t="s">
        <v>18</v>
      </c>
      <c r="B83" s="3" t="s">
        <v>9</v>
      </c>
      <c r="C83" s="3">
        <v>49.8</v>
      </c>
      <c r="D83" s="3">
        <v>9</v>
      </c>
      <c r="E83" s="3">
        <v>2</v>
      </c>
      <c r="F83" s="3">
        <v>34</v>
      </c>
      <c r="G83" s="3">
        <v>37.700000000000003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>
      <c r="A84" s="3" t="s">
        <v>18</v>
      </c>
      <c r="B84" s="3" t="s">
        <v>9</v>
      </c>
      <c r="C84" s="3">
        <v>43.2</v>
      </c>
      <c r="D84" s="3">
        <v>8</v>
      </c>
      <c r="E84" s="3">
        <v>1.9</v>
      </c>
      <c r="F84" s="3">
        <v>33</v>
      </c>
      <c r="G84" s="3">
        <v>36.700000000000003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>
      <c r="A85" s="3" t="s">
        <v>18</v>
      </c>
      <c r="B85" s="3" t="s">
        <v>9</v>
      </c>
      <c r="C85" s="3">
        <v>39.299999999999997</v>
      </c>
      <c r="D85" s="3">
        <v>7</v>
      </c>
      <c r="E85" s="13">
        <v>2.2999999999999998</v>
      </c>
      <c r="F85" s="3">
        <v>33.450000000000003</v>
      </c>
      <c r="G85" s="3">
        <v>35.700000000000003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>
      <c r="A86" s="3" t="s">
        <v>4</v>
      </c>
      <c r="B86" s="3" t="s">
        <v>9</v>
      </c>
      <c r="C86" s="3">
        <v>35.5</v>
      </c>
      <c r="D86" s="3">
        <v>9</v>
      </c>
      <c r="E86" s="3">
        <v>1.8</v>
      </c>
      <c r="F86" s="3">
        <v>44.1</v>
      </c>
      <c r="G86" s="3">
        <v>29.7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>
      <c r="A87" s="3" t="s">
        <v>4</v>
      </c>
      <c r="B87" s="3" t="s">
        <v>9</v>
      </c>
      <c r="C87" s="3">
        <v>42</v>
      </c>
      <c r="D87" s="3">
        <v>10</v>
      </c>
      <c r="E87" s="3">
        <v>2.5</v>
      </c>
      <c r="F87" s="3">
        <v>46.6</v>
      </c>
      <c r="G87" s="3">
        <v>40.9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>
      <c r="A88" s="3" t="s">
        <v>4</v>
      </c>
      <c r="B88" s="3" t="s">
        <v>9</v>
      </c>
      <c r="C88" s="3">
        <v>47</v>
      </c>
      <c r="D88" s="3">
        <v>10</v>
      </c>
      <c r="E88" s="3">
        <v>2</v>
      </c>
      <c r="F88" s="3">
        <v>44.3</v>
      </c>
      <c r="G88" s="3">
        <v>47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>
      <c r="A89" s="12" t="s">
        <v>12</v>
      </c>
      <c r="B89" s="12" t="s">
        <v>9</v>
      </c>
      <c r="C89" s="12">
        <v>49</v>
      </c>
      <c r="D89" s="12">
        <v>10</v>
      </c>
      <c r="E89" s="12">
        <v>2</v>
      </c>
      <c r="F89" s="12">
        <v>45.1</v>
      </c>
      <c r="G89" s="12">
        <v>43.2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>
      <c r="A90" s="12" t="s">
        <v>12</v>
      </c>
      <c r="B90" s="12" t="s">
        <v>9</v>
      </c>
      <c r="C90" s="12">
        <v>40</v>
      </c>
      <c r="D90" s="12">
        <v>8</v>
      </c>
      <c r="E90" s="12">
        <v>2</v>
      </c>
      <c r="F90" s="12">
        <v>45.1</v>
      </c>
      <c r="G90" s="12">
        <v>45.1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>
      <c r="A91" s="12" t="s">
        <v>12</v>
      </c>
      <c r="B91" s="12" t="s">
        <v>9</v>
      </c>
      <c r="C91" s="12">
        <v>51</v>
      </c>
      <c r="D91" s="12">
        <v>12</v>
      </c>
      <c r="E91" s="12">
        <v>1.7</v>
      </c>
      <c r="F91" s="12">
        <v>46.5</v>
      </c>
      <c r="G91" s="12">
        <v>42.3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>
      <c r="A92" s="3" t="s">
        <v>15</v>
      </c>
      <c r="B92" s="3" t="s">
        <v>9</v>
      </c>
      <c r="C92" s="3">
        <v>40</v>
      </c>
      <c r="D92" s="3">
        <v>10</v>
      </c>
      <c r="E92" s="3">
        <v>2.2000000000000002</v>
      </c>
      <c r="F92" s="3">
        <v>39.5</v>
      </c>
      <c r="G92" s="3">
        <v>44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>
      <c r="A93" s="3" t="s">
        <v>15</v>
      </c>
      <c r="B93" s="3" t="s">
        <v>9</v>
      </c>
      <c r="C93" s="3">
        <v>36</v>
      </c>
      <c r="D93" s="3">
        <v>10</v>
      </c>
      <c r="E93" s="3">
        <v>2</v>
      </c>
      <c r="F93" s="3">
        <v>33.5</v>
      </c>
      <c r="G93" s="3">
        <v>46.2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>
      <c r="A94" s="3" t="s">
        <v>15</v>
      </c>
      <c r="B94" s="3" t="s">
        <v>9</v>
      </c>
      <c r="C94" s="3">
        <v>36</v>
      </c>
      <c r="D94" s="3">
        <v>10</v>
      </c>
      <c r="E94" s="3">
        <v>2</v>
      </c>
      <c r="F94" s="3">
        <v>37.700000000000003</v>
      </c>
      <c r="G94" s="3">
        <v>43.9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>
      <c r="A95" s="12" t="s">
        <v>16</v>
      </c>
      <c r="B95" s="12" t="s">
        <v>9</v>
      </c>
      <c r="C95" s="12">
        <v>36</v>
      </c>
      <c r="D95" s="12">
        <v>9</v>
      </c>
      <c r="E95" s="12">
        <v>2</v>
      </c>
      <c r="F95" s="12">
        <v>34.1</v>
      </c>
      <c r="G95" s="12">
        <v>39.200000000000003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>
      <c r="A96" s="12" t="s">
        <v>16</v>
      </c>
      <c r="B96" s="12" t="s">
        <v>9</v>
      </c>
      <c r="C96" s="12">
        <v>35</v>
      </c>
      <c r="D96" s="12">
        <v>9</v>
      </c>
      <c r="E96" s="12">
        <v>3</v>
      </c>
      <c r="F96" s="12">
        <v>48.1</v>
      </c>
      <c r="G96" s="12">
        <v>45.2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>
      <c r="A97" s="12" t="s">
        <v>16</v>
      </c>
      <c r="B97" s="12" t="s">
        <v>9</v>
      </c>
      <c r="C97" s="12">
        <v>38</v>
      </c>
      <c r="D97" s="12">
        <v>9</v>
      </c>
      <c r="E97" s="12">
        <v>3</v>
      </c>
      <c r="F97" s="12">
        <v>34.299999999999997</v>
      </c>
      <c r="G97" s="12">
        <v>43.7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97"/>
  <sheetViews>
    <sheetView workbookViewId="0">
      <pane ySplit="1" topLeftCell="A74" activePane="bottomLeft" state="frozen"/>
      <selection pane="bottomLeft" activeCell="C96" sqref="C96"/>
    </sheetView>
  </sheetViews>
  <sheetFormatPr defaultColWidth="12.5703125" defaultRowHeight="15.75" customHeight="1"/>
  <sheetData>
    <row r="1" spans="1:9" ht="15.75" customHeight="1">
      <c r="A1" s="21" t="s">
        <v>0</v>
      </c>
      <c r="B1" s="21" t="s">
        <v>1</v>
      </c>
      <c r="C1" s="1" t="s">
        <v>2</v>
      </c>
      <c r="D1" s="1" t="s">
        <v>3</v>
      </c>
      <c r="E1" s="1" t="s">
        <v>19</v>
      </c>
      <c r="F1" s="22" t="s">
        <v>20</v>
      </c>
      <c r="G1" s="22" t="s">
        <v>21</v>
      </c>
      <c r="H1" s="22" t="s">
        <v>22</v>
      </c>
      <c r="I1" s="22" t="s">
        <v>23</v>
      </c>
    </row>
    <row r="2" spans="1:9">
      <c r="A2" s="23" t="s">
        <v>4</v>
      </c>
      <c r="B2" s="23" t="s">
        <v>5</v>
      </c>
      <c r="C2" s="3">
        <v>76</v>
      </c>
      <c r="D2" s="3">
        <v>13</v>
      </c>
      <c r="E2" s="3">
        <v>3</v>
      </c>
      <c r="F2" s="3">
        <v>45.1</v>
      </c>
      <c r="G2" s="3">
        <v>49.9</v>
      </c>
      <c r="H2" s="3">
        <v>3</v>
      </c>
      <c r="I2" s="3">
        <v>26</v>
      </c>
    </row>
    <row r="3" spans="1:9">
      <c r="A3" s="23" t="s">
        <v>4</v>
      </c>
      <c r="B3" s="23" t="s">
        <v>5</v>
      </c>
      <c r="C3" s="3">
        <v>84</v>
      </c>
      <c r="D3" s="3">
        <v>12</v>
      </c>
      <c r="E3" s="3">
        <v>3</v>
      </c>
      <c r="F3" s="3">
        <v>35.4</v>
      </c>
      <c r="G3" s="3">
        <v>43.9</v>
      </c>
      <c r="H3" s="3">
        <v>2</v>
      </c>
      <c r="I3" s="3">
        <v>20</v>
      </c>
    </row>
    <row r="4" spans="1:9">
      <c r="A4" s="23" t="s">
        <v>4</v>
      </c>
      <c r="B4" s="23" t="s">
        <v>5</v>
      </c>
      <c r="C4" s="3">
        <v>77</v>
      </c>
      <c r="D4" s="3">
        <v>13</v>
      </c>
      <c r="E4" s="3">
        <v>3</v>
      </c>
      <c r="F4" s="3">
        <v>35.200000000000003</v>
      </c>
      <c r="G4" s="3">
        <v>40.299999999999997</v>
      </c>
      <c r="H4" s="3">
        <v>2</v>
      </c>
      <c r="I4" s="3">
        <v>19</v>
      </c>
    </row>
    <row r="5" spans="1:9">
      <c r="A5" s="24" t="s">
        <v>12</v>
      </c>
      <c r="B5" s="24" t="s">
        <v>5</v>
      </c>
      <c r="C5" s="12">
        <v>81</v>
      </c>
      <c r="D5" s="12">
        <v>13</v>
      </c>
      <c r="E5" s="12">
        <v>4</v>
      </c>
      <c r="F5" s="12">
        <v>36.799999999999997</v>
      </c>
      <c r="G5" s="12">
        <v>40.5</v>
      </c>
      <c r="H5" s="12">
        <v>2</v>
      </c>
      <c r="I5" s="12">
        <v>13</v>
      </c>
    </row>
    <row r="6" spans="1:9">
      <c r="A6" s="24" t="s">
        <v>12</v>
      </c>
      <c r="B6" s="24" t="s">
        <v>5</v>
      </c>
      <c r="C6" s="12">
        <v>79</v>
      </c>
      <c r="D6" s="12">
        <v>11</v>
      </c>
      <c r="E6" s="12">
        <v>3.8</v>
      </c>
      <c r="F6" s="12">
        <v>38.799999999999997</v>
      </c>
      <c r="G6" s="12">
        <v>42.8</v>
      </c>
      <c r="H6" s="12">
        <v>2</v>
      </c>
      <c r="I6" s="12">
        <v>15</v>
      </c>
    </row>
    <row r="7" spans="1:9">
      <c r="A7" s="24" t="s">
        <v>12</v>
      </c>
      <c r="B7" s="24" t="s">
        <v>5</v>
      </c>
      <c r="C7" s="12">
        <v>77</v>
      </c>
      <c r="D7" s="12">
        <v>12</v>
      </c>
      <c r="E7" s="12">
        <v>3.9</v>
      </c>
      <c r="F7" s="12">
        <v>39.799999999999997</v>
      </c>
      <c r="G7" s="12">
        <v>40.799999999999997</v>
      </c>
      <c r="H7" s="12">
        <v>2</v>
      </c>
      <c r="I7" s="12">
        <v>9</v>
      </c>
    </row>
    <row r="8" spans="1:9">
      <c r="A8" s="23" t="s">
        <v>16</v>
      </c>
      <c r="B8" s="23" t="s">
        <v>5</v>
      </c>
      <c r="C8" s="3">
        <v>74.5</v>
      </c>
      <c r="D8" s="3">
        <v>14</v>
      </c>
      <c r="E8" s="3">
        <v>3</v>
      </c>
      <c r="F8" s="3">
        <v>40.9</v>
      </c>
      <c r="G8" s="3">
        <v>43.6</v>
      </c>
      <c r="H8" s="3">
        <v>2</v>
      </c>
      <c r="I8" s="3">
        <v>16</v>
      </c>
    </row>
    <row r="9" spans="1:9">
      <c r="A9" s="23" t="s">
        <v>16</v>
      </c>
      <c r="B9" s="23" t="s">
        <v>5</v>
      </c>
      <c r="C9" s="3">
        <v>70.5</v>
      </c>
      <c r="D9" s="3">
        <v>13</v>
      </c>
      <c r="E9" s="3">
        <v>2.4</v>
      </c>
      <c r="F9" s="3">
        <v>36.9</v>
      </c>
      <c r="G9" s="3">
        <v>41.2</v>
      </c>
      <c r="H9" s="3">
        <v>2</v>
      </c>
      <c r="I9" s="3">
        <v>18</v>
      </c>
    </row>
    <row r="10" spans="1:9">
      <c r="A10" s="23" t="s">
        <v>16</v>
      </c>
      <c r="B10" s="23" t="s">
        <v>5</v>
      </c>
      <c r="C10" s="3">
        <v>76.2</v>
      </c>
      <c r="D10" s="3">
        <v>13</v>
      </c>
      <c r="E10" s="3">
        <v>2.5</v>
      </c>
      <c r="F10" s="3">
        <v>37</v>
      </c>
      <c r="G10" s="3">
        <v>42.5</v>
      </c>
      <c r="H10" s="3">
        <v>2</v>
      </c>
      <c r="I10" s="3">
        <v>22</v>
      </c>
    </row>
    <row r="11" spans="1:9">
      <c r="A11" s="24" t="s">
        <v>17</v>
      </c>
      <c r="B11" s="24" t="s">
        <v>5</v>
      </c>
      <c r="C11" s="12">
        <v>68.5</v>
      </c>
      <c r="D11" s="12">
        <v>9</v>
      </c>
      <c r="E11" s="12">
        <v>3.2</v>
      </c>
      <c r="F11" s="12">
        <v>35.4</v>
      </c>
      <c r="G11" s="12">
        <v>38.799999999999997</v>
      </c>
      <c r="H11" s="12">
        <v>2</v>
      </c>
      <c r="I11" s="12">
        <v>12</v>
      </c>
    </row>
    <row r="12" spans="1:9">
      <c r="A12" s="24" t="s">
        <v>17</v>
      </c>
      <c r="B12" s="24" t="s">
        <v>5</v>
      </c>
      <c r="C12" s="12">
        <v>67.5</v>
      </c>
      <c r="D12" s="12">
        <v>10</v>
      </c>
      <c r="E12" s="12">
        <v>3.1</v>
      </c>
      <c r="F12" s="12">
        <v>36.1</v>
      </c>
      <c r="G12" s="12">
        <v>39.200000000000003</v>
      </c>
      <c r="H12" s="12">
        <v>1</v>
      </c>
      <c r="I12" s="12">
        <v>12</v>
      </c>
    </row>
    <row r="13" spans="1:9">
      <c r="A13" s="24" t="s">
        <v>17</v>
      </c>
      <c r="B13" s="24" t="s">
        <v>5</v>
      </c>
      <c r="C13" s="12">
        <v>81</v>
      </c>
      <c r="D13" s="12">
        <v>10</v>
      </c>
      <c r="E13" s="12">
        <v>3.5</v>
      </c>
      <c r="F13" s="12">
        <v>33.700000000000003</v>
      </c>
      <c r="G13" s="12">
        <v>38.299999999999997</v>
      </c>
      <c r="H13" s="12">
        <v>2</v>
      </c>
      <c r="I13" s="12">
        <v>20</v>
      </c>
    </row>
    <row r="14" spans="1:9">
      <c r="A14" s="23" t="s">
        <v>13</v>
      </c>
      <c r="B14" s="23" t="s">
        <v>5</v>
      </c>
      <c r="C14" s="3">
        <v>71.2</v>
      </c>
      <c r="D14" s="3">
        <v>13</v>
      </c>
      <c r="E14" s="3">
        <v>2.8</v>
      </c>
      <c r="F14" s="3">
        <v>40.4</v>
      </c>
      <c r="G14" s="3">
        <v>44.4</v>
      </c>
      <c r="H14" s="3">
        <v>2</v>
      </c>
      <c r="I14" s="3">
        <f>7+5</f>
        <v>12</v>
      </c>
    </row>
    <row r="15" spans="1:9">
      <c r="A15" s="23" t="s">
        <v>13</v>
      </c>
      <c r="B15" s="23" t="s">
        <v>5</v>
      </c>
      <c r="C15" s="3">
        <v>76</v>
      </c>
      <c r="D15" s="3">
        <v>13</v>
      </c>
      <c r="E15" s="3">
        <v>2.7</v>
      </c>
      <c r="F15" s="3">
        <v>43.1</v>
      </c>
      <c r="G15" s="3">
        <v>41.3</v>
      </c>
      <c r="H15" s="3">
        <v>2</v>
      </c>
      <c r="I15" s="3">
        <f>18+8</f>
        <v>26</v>
      </c>
    </row>
    <row r="16" spans="1:9">
      <c r="A16" s="23" t="s">
        <v>13</v>
      </c>
      <c r="B16" s="23" t="s">
        <v>5</v>
      </c>
      <c r="C16" s="3">
        <v>74.599999999999994</v>
      </c>
      <c r="D16" s="3">
        <v>14</v>
      </c>
      <c r="E16" s="3">
        <v>2.8</v>
      </c>
      <c r="F16" s="3">
        <v>41.2</v>
      </c>
      <c r="G16" s="3">
        <v>41.4</v>
      </c>
      <c r="H16" s="3">
        <v>3</v>
      </c>
      <c r="I16" s="3">
        <f>9+7+3</f>
        <v>19</v>
      </c>
    </row>
    <row r="17" spans="1:9">
      <c r="A17" s="24" t="s">
        <v>14</v>
      </c>
      <c r="B17" s="24" t="s">
        <v>5</v>
      </c>
      <c r="C17" s="12">
        <v>57</v>
      </c>
      <c r="D17" s="12">
        <v>18</v>
      </c>
      <c r="E17" s="12">
        <v>4.2</v>
      </c>
      <c r="F17" s="12">
        <v>36.1</v>
      </c>
      <c r="G17" s="12">
        <v>52.3</v>
      </c>
      <c r="H17" s="12">
        <v>2</v>
      </c>
      <c r="I17" s="12">
        <f>7+9+9</f>
        <v>25</v>
      </c>
    </row>
    <row r="18" spans="1:9">
      <c r="A18" s="24" t="s">
        <v>14</v>
      </c>
      <c r="B18" s="24" t="s">
        <v>5</v>
      </c>
      <c r="C18" s="12">
        <v>65</v>
      </c>
      <c r="D18" s="12">
        <v>15</v>
      </c>
      <c r="E18" s="12">
        <v>3.9</v>
      </c>
      <c r="F18" s="12">
        <v>35.4</v>
      </c>
      <c r="G18" s="12">
        <v>45.3</v>
      </c>
      <c r="H18" s="12">
        <v>1</v>
      </c>
      <c r="I18" s="12">
        <f>7+5</f>
        <v>12</v>
      </c>
    </row>
    <row r="19" spans="1:9">
      <c r="A19" s="24" t="s">
        <v>14</v>
      </c>
      <c r="B19" s="24" t="s">
        <v>5</v>
      </c>
      <c r="C19" s="12">
        <v>55</v>
      </c>
      <c r="D19" s="12">
        <v>11</v>
      </c>
      <c r="E19" s="12">
        <v>3.2</v>
      </c>
      <c r="F19" s="12">
        <v>48.8</v>
      </c>
      <c r="G19" s="12">
        <v>49.9</v>
      </c>
      <c r="H19" s="12">
        <v>1</v>
      </c>
      <c r="I19" s="12">
        <f>6+7</f>
        <v>13</v>
      </c>
    </row>
    <row r="20" spans="1:9">
      <c r="A20" s="24" t="s">
        <v>15</v>
      </c>
      <c r="B20" s="24" t="s">
        <v>5</v>
      </c>
      <c r="C20" s="12">
        <v>65</v>
      </c>
      <c r="D20" s="12">
        <v>13</v>
      </c>
      <c r="E20" s="12">
        <v>3</v>
      </c>
      <c r="F20" s="12">
        <v>35.299999999999997</v>
      </c>
      <c r="G20" s="12">
        <v>45.1</v>
      </c>
      <c r="H20" s="12">
        <v>2</v>
      </c>
      <c r="I20" s="12">
        <f>12 + 9</f>
        <v>21</v>
      </c>
    </row>
    <row r="21" spans="1:9">
      <c r="A21" s="24" t="s">
        <v>15</v>
      </c>
      <c r="B21" s="24" t="s">
        <v>5</v>
      </c>
      <c r="C21" s="12">
        <v>62</v>
      </c>
      <c r="D21" s="12">
        <v>11</v>
      </c>
      <c r="E21" s="12">
        <v>2.5</v>
      </c>
      <c r="F21" s="12">
        <v>33.700000000000003</v>
      </c>
      <c r="G21" s="12">
        <v>43.8</v>
      </c>
      <c r="H21" s="12">
        <v>2</v>
      </c>
      <c r="I21" s="12">
        <f>13 + 7</f>
        <v>20</v>
      </c>
    </row>
    <row r="22" spans="1:9">
      <c r="A22" s="24" t="s">
        <v>15</v>
      </c>
      <c r="B22" s="24" t="s">
        <v>5</v>
      </c>
      <c r="C22" s="12">
        <v>65</v>
      </c>
      <c r="D22" s="12">
        <v>11</v>
      </c>
      <c r="E22" s="12">
        <v>2.2999999999999998</v>
      </c>
      <c r="F22" s="12">
        <v>40.5</v>
      </c>
      <c r="G22" s="12">
        <v>57</v>
      </c>
      <c r="H22" s="12">
        <v>2</v>
      </c>
      <c r="I22" s="12">
        <f>4 + 4</f>
        <v>8</v>
      </c>
    </row>
    <row r="23" spans="1:9">
      <c r="A23" s="23" t="s">
        <v>18</v>
      </c>
      <c r="B23" s="23" t="s">
        <v>5</v>
      </c>
      <c r="C23" s="3">
        <v>60</v>
      </c>
      <c r="D23" s="3">
        <v>12</v>
      </c>
      <c r="E23" s="3">
        <v>2.5</v>
      </c>
      <c r="F23" s="3">
        <v>34.799999999999997</v>
      </c>
      <c r="G23" s="3">
        <v>42</v>
      </c>
      <c r="H23" s="3">
        <v>2</v>
      </c>
      <c r="I23" s="3">
        <v>12</v>
      </c>
    </row>
    <row r="24" spans="1:9">
      <c r="A24" s="23" t="s">
        <v>18</v>
      </c>
      <c r="B24" s="23" t="s">
        <v>5</v>
      </c>
      <c r="C24" s="3">
        <v>65</v>
      </c>
      <c r="D24" s="3">
        <v>12</v>
      </c>
      <c r="E24" s="3">
        <v>2.5</v>
      </c>
      <c r="F24" s="3">
        <v>36.6</v>
      </c>
      <c r="G24" s="3">
        <v>42.2</v>
      </c>
      <c r="H24" s="3">
        <v>1</v>
      </c>
      <c r="I24" s="3">
        <v>8</v>
      </c>
    </row>
    <row r="25" spans="1:9">
      <c r="A25" s="23" t="s">
        <v>18</v>
      </c>
      <c r="B25" s="23" t="s">
        <v>5</v>
      </c>
      <c r="C25" s="13">
        <v>65</v>
      </c>
      <c r="D25" s="13">
        <v>13</v>
      </c>
      <c r="E25" s="13">
        <v>2.6</v>
      </c>
      <c r="F25" s="3">
        <v>35.299999999999997</v>
      </c>
      <c r="G25" s="3">
        <v>42.1</v>
      </c>
      <c r="H25" s="3">
        <v>2</v>
      </c>
      <c r="I25" s="3">
        <v>12</v>
      </c>
    </row>
    <row r="26" spans="1:9">
      <c r="A26" s="23" t="s">
        <v>12</v>
      </c>
      <c r="B26" s="23" t="s">
        <v>10</v>
      </c>
      <c r="C26" s="3">
        <v>80</v>
      </c>
      <c r="D26" s="3">
        <v>14</v>
      </c>
      <c r="E26" s="3">
        <v>3.5</v>
      </c>
      <c r="F26" s="3">
        <v>37.200000000000003</v>
      </c>
      <c r="G26" s="3">
        <v>40.9</v>
      </c>
      <c r="H26" s="3">
        <v>3</v>
      </c>
      <c r="I26" s="3">
        <v>28</v>
      </c>
    </row>
    <row r="27" spans="1:9">
      <c r="A27" s="23" t="s">
        <v>12</v>
      </c>
      <c r="B27" s="23" t="s">
        <v>10</v>
      </c>
      <c r="C27" s="3">
        <v>69.5</v>
      </c>
      <c r="D27" s="3">
        <v>14</v>
      </c>
      <c r="E27" s="3">
        <v>3.5</v>
      </c>
      <c r="F27" s="3">
        <v>41.5</v>
      </c>
      <c r="G27" s="3">
        <v>42.3</v>
      </c>
      <c r="H27" s="3">
        <v>2</v>
      </c>
      <c r="I27" s="3">
        <v>16</v>
      </c>
    </row>
    <row r="28" spans="1:9">
      <c r="A28" s="23" t="s">
        <v>12</v>
      </c>
      <c r="B28" s="23" t="s">
        <v>10</v>
      </c>
      <c r="C28" s="3">
        <v>70.5</v>
      </c>
      <c r="D28" s="3">
        <v>13</v>
      </c>
      <c r="E28" s="3">
        <v>4</v>
      </c>
      <c r="F28" s="3">
        <v>43.3</v>
      </c>
      <c r="G28" s="3">
        <v>43.5</v>
      </c>
      <c r="H28" s="3">
        <v>2</v>
      </c>
      <c r="I28" s="3">
        <v>18</v>
      </c>
    </row>
    <row r="29" spans="1:9">
      <c r="A29" s="24" t="s">
        <v>13</v>
      </c>
      <c r="B29" s="24" t="s">
        <v>10</v>
      </c>
      <c r="C29" s="12">
        <v>65</v>
      </c>
      <c r="D29" s="12">
        <v>11</v>
      </c>
      <c r="E29" s="12">
        <v>4</v>
      </c>
      <c r="F29" s="12">
        <v>41.9</v>
      </c>
      <c r="G29" s="12">
        <v>34.4</v>
      </c>
      <c r="H29" s="12">
        <v>2</v>
      </c>
      <c r="I29" s="12">
        <v>21</v>
      </c>
    </row>
    <row r="30" spans="1:9">
      <c r="A30" s="24" t="s">
        <v>13</v>
      </c>
      <c r="B30" s="24" t="s">
        <v>10</v>
      </c>
      <c r="C30" s="12">
        <v>75</v>
      </c>
      <c r="D30" s="12">
        <v>10</v>
      </c>
      <c r="E30" s="12">
        <v>3.3</v>
      </c>
      <c r="F30" s="12">
        <v>38.200000000000003</v>
      </c>
      <c r="G30" s="12">
        <v>39.9</v>
      </c>
      <c r="H30" s="12">
        <v>2</v>
      </c>
      <c r="I30" s="12">
        <v>12</v>
      </c>
    </row>
    <row r="31" spans="1:9" ht="12.75">
      <c r="A31" s="24" t="s">
        <v>13</v>
      </c>
      <c r="B31" s="24" t="s">
        <v>10</v>
      </c>
      <c r="C31" s="12">
        <v>80</v>
      </c>
      <c r="D31" s="12">
        <v>11</v>
      </c>
      <c r="E31" s="12">
        <v>3.2</v>
      </c>
      <c r="F31" s="12">
        <v>40.5</v>
      </c>
      <c r="G31" s="12">
        <v>43.2</v>
      </c>
      <c r="H31" s="12">
        <v>1</v>
      </c>
      <c r="I31" s="12">
        <v>10</v>
      </c>
    </row>
    <row r="32" spans="1:9" ht="12.75">
      <c r="A32" s="24" t="s">
        <v>15</v>
      </c>
      <c r="B32" s="24" t="s">
        <v>10</v>
      </c>
      <c r="C32" s="12">
        <v>82</v>
      </c>
      <c r="D32" s="12">
        <v>15</v>
      </c>
      <c r="E32" s="12">
        <v>2.5</v>
      </c>
      <c r="F32" s="12">
        <v>34.9</v>
      </c>
      <c r="G32" s="12">
        <v>42.1</v>
      </c>
      <c r="H32" s="12">
        <v>2</v>
      </c>
      <c r="I32" s="12">
        <f>7+7</f>
        <v>14</v>
      </c>
    </row>
    <row r="33" spans="1:9" ht="12.75">
      <c r="A33" s="24" t="s">
        <v>15</v>
      </c>
      <c r="B33" s="24" t="s">
        <v>10</v>
      </c>
      <c r="C33" s="12">
        <v>77.5</v>
      </c>
      <c r="D33" s="12">
        <v>15</v>
      </c>
      <c r="E33" s="12">
        <v>2.6</v>
      </c>
      <c r="F33" s="12">
        <v>29.6</v>
      </c>
      <c r="G33" s="12">
        <v>44.7</v>
      </c>
      <c r="H33" s="12">
        <v>2</v>
      </c>
      <c r="I33" s="12">
        <f>10+6</f>
        <v>16</v>
      </c>
    </row>
    <row r="34" spans="1:9" ht="12.75">
      <c r="A34" s="24" t="s">
        <v>15</v>
      </c>
      <c r="B34" s="24" t="s">
        <v>10</v>
      </c>
      <c r="C34" s="12">
        <v>79</v>
      </c>
      <c r="D34" s="12">
        <v>15</v>
      </c>
      <c r="E34" s="12">
        <v>3</v>
      </c>
      <c r="F34" s="12">
        <v>34.200000000000003</v>
      </c>
      <c r="G34" s="12">
        <v>45.8</v>
      </c>
      <c r="H34" s="12">
        <v>1</v>
      </c>
      <c r="I34" s="12">
        <f>8</f>
        <v>8</v>
      </c>
    </row>
    <row r="35" spans="1:9" ht="12.75">
      <c r="A35" s="24" t="s">
        <v>4</v>
      </c>
      <c r="B35" s="24" t="s">
        <v>10</v>
      </c>
      <c r="C35" s="12">
        <v>82</v>
      </c>
      <c r="D35" s="12">
        <v>13</v>
      </c>
      <c r="E35" s="12">
        <v>2.7</v>
      </c>
      <c r="F35" s="12">
        <v>38</v>
      </c>
      <c r="G35" s="12">
        <v>50</v>
      </c>
      <c r="H35" s="12">
        <v>1</v>
      </c>
      <c r="I35" s="12">
        <v>6</v>
      </c>
    </row>
    <row r="36" spans="1:9" ht="12.75">
      <c r="A36" s="24" t="s">
        <v>4</v>
      </c>
      <c r="B36" s="24" t="s">
        <v>10</v>
      </c>
      <c r="C36" s="12">
        <v>82</v>
      </c>
      <c r="D36" s="12">
        <v>14</v>
      </c>
      <c r="E36" s="12">
        <v>2.8</v>
      </c>
      <c r="F36" s="12">
        <v>37.6</v>
      </c>
      <c r="G36" s="12">
        <v>45</v>
      </c>
      <c r="H36" s="12">
        <v>1</v>
      </c>
      <c r="I36" s="12">
        <v>12</v>
      </c>
    </row>
    <row r="37" spans="1:9" ht="12.75">
      <c r="A37" s="24" t="s">
        <v>4</v>
      </c>
      <c r="B37" s="24" t="s">
        <v>10</v>
      </c>
      <c r="C37" s="12">
        <v>72</v>
      </c>
      <c r="D37" s="12">
        <v>17</v>
      </c>
      <c r="E37" s="12">
        <v>2.5</v>
      </c>
      <c r="F37" s="12">
        <v>41.5</v>
      </c>
      <c r="G37" s="12">
        <v>45.5</v>
      </c>
      <c r="H37" s="12">
        <v>3</v>
      </c>
      <c r="I37" s="12">
        <f>9+8+8</f>
        <v>25</v>
      </c>
    </row>
    <row r="38" spans="1:9" ht="12.75">
      <c r="A38" s="25" t="s">
        <v>14</v>
      </c>
      <c r="B38" s="25" t="s">
        <v>10</v>
      </c>
      <c r="C38" s="3">
        <v>79</v>
      </c>
      <c r="D38" s="3">
        <v>13</v>
      </c>
      <c r="E38" s="3">
        <v>3.7</v>
      </c>
      <c r="F38" s="3">
        <v>44.1</v>
      </c>
      <c r="G38" s="3">
        <v>48</v>
      </c>
      <c r="H38" s="3">
        <v>2</v>
      </c>
      <c r="I38" s="3">
        <f>10+8</f>
        <v>18</v>
      </c>
    </row>
    <row r="39" spans="1:9" ht="12.75">
      <c r="A39" s="25" t="s">
        <v>14</v>
      </c>
      <c r="B39" s="25" t="s">
        <v>10</v>
      </c>
      <c r="C39" s="3">
        <v>60</v>
      </c>
      <c r="D39" s="3">
        <v>12</v>
      </c>
      <c r="E39" s="3">
        <v>3.9</v>
      </c>
      <c r="F39" s="3">
        <v>38.799999999999997</v>
      </c>
      <c r="G39" s="3">
        <v>53.4</v>
      </c>
      <c r="H39" s="3">
        <v>2</v>
      </c>
      <c r="I39" s="3">
        <f>5+6</f>
        <v>11</v>
      </c>
    </row>
    <row r="40" spans="1:9" ht="12.75">
      <c r="A40" s="25" t="s">
        <v>14</v>
      </c>
      <c r="B40" s="25" t="s">
        <v>10</v>
      </c>
      <c r="C40" s="3">
        <v>72</v>
      </c>
      <c r="D40" s="3">
        <v>12</v>
      </c>
      <c r="E40" s="3">
        <v>3.4</v>
      </c>
      <c r="F40" s="3">
        <v>38.4</v>
      </c>
      <c r="G40" s="3">
        <v>44.2</v>
      </c>
      <c r="H40" s="3">
        <v>1</v>
      </c>
      <c r="I40" s="3">
        <f>9</f>
        <v>9</v>
      </c>
    </row>
    <row r="41" spans="1:9" ht="12.75">
      <c r="A41" s="25" t="s">
        <v>16</v>
      </c>
      <c r="B41" s="25" t="s">
        <v>10</v>
      </c>
      <c r="C41" s="13">
        <v>46.5</v>
      </c>
      <c r="D41" s="13">
        <v>12</v>
      </c>
      <c r="E41" s="13">
        <v>2.9</v>
      </c>
      <c r="F41" s="13">
        <v>40</v>
      </c>
      <c r="G41" s="13">
        <v>44.3</v>
      </c>
      <c r="H41" s="13">
        <v>1</v>
      </c>
      <c r="I41" s="13">
        <f>6</f>
        <v>6</v>
      </c>
    </row>
    <row r="42" spans="1:9" ht="12.75">
      <c r="A42" s="25" t="s">
        <v>16</v>
      </c>
      <c r="B42" s="25" t="s">
        <v>10</v>
      </c>
      <c r="C42" s="13">
        <v>66.5</v>
      </c>
      <c r="D42" s="13">
        <v>16</v>
      </c>
      <c r="E42" s="13">
        <v>3</v>
      </c>
      <c r="F42" s="13">
        <v>37.299999999999997</v>
      </c>
      <c r="G42" s="13">
        <v>40.1</v>
      </c>
      <c r="H42" s="13">
        <f t="shared" ref="H42:H43" si="0">1+1</f>
        <v>2</v>
      </c>
      <c r="I42" s="13">
        <f>6+9</f>
        <v>15</v>
      </c>
    </row>
    <row r="43" spans="1:9" ht="12.75">
      <c r="A43" s="25" t="s">
        <v>16</v>
      </c>
      <c r="B43" s="25" t="s">
        <v>10</v>
      </c>
      <c r="C43" s="13">
        <v>72</v>
      </c>
      <c r="D43" s="13">
        <v>15</v>
      </c>
      <c r="E43" s="13">
        <v>3</v>
      </c>
      <c r="F43" s="13">
        <v>37</v>
      </c>
      <c r="G43" s="13">
        <v>45</v>
      </c>
      <c r="H43" s="13">
        <f t="shared" si="0"/>
        <v>2</v>
      </c>
      <c r="I43" s="13">
        <f>4 + 4</f>
        <v>8</v>
      </c>
    </row>
    <row r="44" spans="1:9" ht="12.75">
      <c r="A44" s="23" t="s">
        <v>17</v>
      </c>
      <c r="B44" s="23" t="s">
        <v>10</v>
      </c>
      <c r="C44" s="3">
        <v>62</v>
      </c>
      <c r="D44" s="3">
        <v>11</v>
      </c>
      <c r="E44" s="3">
        <v>3.6</v>
      </c>
      <c r="F44" s="3">
        <v>40.9</v>
      </c>
      <c r="G44" s="3">
        <v>47.8</v>
      </c>
      <c r="H44" s="3">
        <v>1</v>
      </c>
      <c r="I44" s="3">
        <f>7</f>
        <v>7</v>
      </c>
    </row>
    <row r="45" spans="1:9" ht="12.75">
      <c r="A45" s="23" t="s">
        <v>17</v>
      </c>
      <c r="B45" s="23" t="s">
        <v>10</v>
      </c>
      <c r="C45" s="3">
        <v>53</v>
      </c>
      <c r="D45" s="3">
        <v>10</v>
      </c>
      <c r="E45" s="3">
        <v>3.5</v>
      </c>
      <c r="F45" s="3">
        <v>39.4</v>
      </c>
      <c r="G45" s="3">
        <v>43</v>
      </c>
      <c r="H45" s="3">
        <v>2</v>
      </c>
      <c r="I45" s="3">
        <f>(6 + 4)</f>
        <v>10</v>
      </c>
    </row>
    <row r="46" spans="1:9" ht="12.75">
      <c r="A46" s="23" t="s">
        <v>17</v>
      </c>
      <c r="B46" s="23" t="s">
        <v>10</v>
      </c>
      <c r="C46" s="3">
        <v>70</v>
      </c>
      <c r="D46" s="3">
        <v>12</v>
      </c>
      <c r="E46" s="3">
        <v>3.7</v>
      </c>
      <c r="F46" s="3">
        <v>32.5</v>
      </c>
      <c r="G46" s="3">
        <v>46.4</v>
      </c>
      <c r="H46" s="3">
        <v>3</v>
      </c>
      <c r="I46" s="3">
        <f>4+5+4</f>
        <v>13</v>
      </c>
    </row>
    <row r="47" spans="1:9" ht="12.75">
      <c r="A47" s="26" t="s">
        <v>18</v>
      </c>
      <c r="B47" s="26" t="s">
        <v>10</v>
      </c>
      <c r="C47" s="14">
        <v>52</v>
      </c>
      <c r="D47" s="14">
        <v>12</v>
      </c>
      <c r="E47" s="14">
        <v>2.2999999999999998</v>
      </c>
      <c r="F47" s="12">
        <v>35.799999999999997</v>
      </c>
      <c r="G47" s="12">
        <v>37.4</v>
      </c>
      <c r="H47" s="12">
        <v>1</v>
      </c>
      <c r="I47" s="12">
        <f>8</f>
        <v>8</v>
      </c>
    </row>
    <row r="48" spans="1:9" ht="12.75">
      <c r="A48" s="26" t="s">
        <v>18</v>
      </c>
      <c r="B48" s="26" t="s">
        <v>10</v>
      </c>
      <c r="C48" s="14">
        <v>59</v>
      </c>
      <c r="D48" s="14">
        <v>13</v>
      </c>
      <c r="E48" s="14">
        <v>2.4</v>
      </c>
      <c r="F48" s="12">
        <v>35.4</v>
      </c>
      <c r="G48" s="12">
        <v>47</v>
      </c>
      <c r="H48" s="12">
        <v>1</v>
      </c>
      <c r="I48" s="12">
        <f>6</f>
        <v>6</v>
      </c>
    </row>
    <row r="49" spans="1:9" ht="12.75">
      <c r="A49" s="26" t="s">
        <v>18</v>
      </c>
      <c r="B49" s="26" t="s">
        <v>10</v>
      </c>
      <c r="C49" s="14">
        <v>56</v>
      </c>
      <c r="D49" s="14">
        <v>12</v>
      </c>
      <c r="E49" s="14">
        <v>2.6</v>
      </c>
      <c r="F49" s="12">
        <v>34.700000000000003</v>
      </c>
      <c r="G49" s="12">
        <v>44.6</v>
      </c>
      <c r="H49" s="12">
        <v>1</v>
      </c>
      <c r="I49" s="12">
        <f>5</f>
        <v>5</v>
      </c>
    </row>
    <row r="50" spans="1:9" ht="12.75">
      <c r="A50" s="24" t="s">
        <v>4</v>
      </c>
      <c r="B50" s="24" t="s">
        <v>11</v>
      </c>
      <c r="C50" s="12">
        <v>68</v>
      </c>
      <c r="D50" s="12">
        <v>13</v>
      </c>
      <c r="E50" s="12">
        <v>2.5</v>
      </c>
      <c r="F50" s="12">
        <v>39.5</v>
      </c>
      <c r="G50" s="12">
        <v>36.5</v>
      </c>
      <c r="H50" s="12">
        <v>3</v>
      </c>
      <c r="I50" s="12">
        <v>31</v>
      </c>
    </row>
    <row r="51" spans="1:9" ht="12.75">
      <c r="A51" s="24" t="s">
        <v>4</v>
      </c>
      <c r="B51" s="24" t="s">
        <v>11</v>
      </c>
      <c r="C51" s="12">
        <v>84</v>
      </c>
      <c r="D51" s="12">
        <v>16</v>
      </c>
      <c r="E51" s="12">
        <v>3.4</v>
      </c>
      <c r="F51" s="12">
        <v>37.299999999999997</v>
      </c>
      <c r="G51" s="12">
        <v>34.5</v>
      </c>
      <c r="H51" s="12">
        <v>2</v>
      </c>
      <c r="I51" s="12">
        <v>23</v>
      </c>
    </row>
    <row r="52" spans="1:9" ht="12.75">
      <c r="A52" s="24" t="s">
        <v>4</v>
      </c>
      <c r="B52" s="24" t="s">
        <v>11</v>
      </c>
      <c r="C52" s="12">
        <v>82</v>
      </c>
      <c r="D52" s="12">
        <v>13</v>
      </c>
      <c r="E52" s="12">
        <v>3.5</v>
      </c>
      <c r="F52" s="12">
        <v>39.700000000000003</v>
      </c>
      <c r="G52" s="12">
        <v>36.4</v>
      </c>
      <c r="H52" s="12">
        <v>3</v>
      </c>
      <c r="I52" s="12">
        <v>42</v>
      </c>
    </row>
    <row r="53" spans="1:9" ht="12.75">
      <c r="A53" s="25" t="s">
        <v>14</v>
      </c>
      <c r="B53" s="25" t="s">
        <v>11</v>
      </c>
      <c r="C53" s="13">
        <v>69</v>
      </c>
      <c r="D53" s="13">
        <v>12</v>
      </c>
      <c r="E53" s="3">
        <v>3</v>
      </c>
      <c r="F53" s="3">
        <v>38.9</v>
      </c>
      <c r="G53" s="3">
        <v>40.299999999999997</v>
      </c>
      <c r="H53" s="3">
        <v>2</v>
      </c>
      <c r="I53" s="3">
        <v>8</v>
      </c>
    </row>
    <row r="54" spans="1:9" ht="12.75">
      <c r="A54" s="25" t="s">
        <v>14</v>
      </c>
      <c r="B54" s="25" t="s">
        <v>11</v>
      </c>
      <c r="C54" s="13">
        <v>68</v>
      </c>
      <c r="D54" s="13">
        <v>12</v>
      </c>
      <c r="E54" s="3">
        <v>2.7</v>
      </c>
      <c r="F54" s="3">
        <v>40.5</v>
      </c>
      <c r="G54" s="3">
        <v>41.8</v>
      </c>
      <c r="H54" s="3">
        <v>2</v>
      </c>
      <c r="I54" s="3">
        <v>13</v>
      </c>
    </row>
    <row r="55" spans="1:9" ht="12.75">
      <c r="A55" s="25" t="s">
        <v>14</v>
      </c>
      <c r="B55" s="25" t="s">
        <v>11</v>
      </c>
      <c r="C55" s="13">
        <v>66</v>
      </c>
      <c r="D55" s="13">
        <v>11</v>
      </c>
      <c r="E55" s="3">
        <v>2.8</v>
      </c>
      <c r="F55" s="3">
        <v>42.3</v>
      </c>
      <c r="G55" s="3">
        <v>42</v>
      </c>
      <c r="H55" s="3">
        <v>2</v>
      </c>
      <c r="I55" s="3">
        <v>15</v>
      </c>
    </row>
    <row r="56" spans="1:9" ht="12.75">
      <c r="A56" s="23" t="s">
        <v>15</v>
      </c>
      <c r="B56" s="23" t="s">
        <v>11</v>
      </c>
      <c r="C56" s="13">
        <v>80.599999999999994</v>
      </c>
      <c r="D56" s="13">
        <v>12</v>
      </c>
      <c r="E56" s="13">
        <v>3.1</v>
      </c>
      <c r="F56" s="13">
        <v>47.9</v>
      </c>
      <c r="G56" s="13">
        <v>38.799999999999997</v>
      </c>
      <c r="H56" s="13">
        <v>2</v>
      </c>
      <c r="I56" s="13">
        <v>12</v>
      </c>
    </row>
    <row r="57" spans="1:9" ht="12.75">
      <c r="A57" s="23" t="s">
        <v>15</v>
      </c>
      <c r="B57" s="23" t="s">
        <v>11</v>
      </c>
      <c r="C57" s="13">
        <v>69</v>
      </c>
      <c r="D57" s="13">
        <v>12</v>
      </c>
      <c r="E57" s="13">
        <v>3</v>
      </c>
      <c r="F57" s="13">
        <v>40.6</v>
      </c>
      <c r="G57" s="13">
        <v>39</v>
      </c>
      <c r="H57" s="13">
        <v>3</v>
      </c>
      <c r="I57" s="13">
        <v>10</v>
      </c>
    </row>
    <row r="58" spans="1:9" ht="12.75">
      <c r="A58" s="23" t="s">
        <v>15</v>
      </c>
      <c r="B58" s="23" t="s">
        <v>11</v>
      </c>
      <c r="C58" s="13">
        <v>64.3</v>
      </c>
      <c r="D58" s="13">
        <v>10</v>
      </c>
      <c r="E58" s="13">
        <v>3.4</v>
      </c>
      <c r="F58" s="13">
        <v>39.6</v>
      </c>
      <c r="G58" s="13">
        <v>37.9</v>
      </c>
      <c r="H58" s="13">
        <v>1</v>
      </c>
      <c r="I58" s="13">
        <v>5</v>
      </c>
    </row>
    <row r="59" spans="1:9" ht="12.75">
      <c r="A59" s="24" t="s">
        <v>16</v>
      </c>
      <c r="B59" s="24" t="s">
        <v>11</v>
      </c>
      <c r="C59" s="12">
        <v>72</v>
      </c>
      <c r="D59" s="12">
        <v>14</v>
      </c>
      <c r="E59" s="12">
        <v>3</v>
      </c>
      <c r="F59" s="12">
        <v>36.5</v>
      </c>
      <c r="G59" s="12">
        <v>45.8</v>
      </c>
      <c r="H59" s="12">
        <v>1</v>
      </c>
      <c r="I59" s="24"/>
    </row>
    <row r="60" spans="1:9" ht="12.75">
      <c r="A60" s="24" t="s">
        <v>16</v>
      </c>
      <c r="B60" s="24" t="s">
        <v>11</v>
      </c>
      <c r="C60" s="12">
        <v>65</v>
      </c>
      <c r="D60" s="12">
        <v>16</v>
      </c>
      <c r="E60" s="12">
        <v>3.5</v>
      </c>
      <c r="F60" s="12">
        <v>36</v>
      </c>
      <c r="G60" s="12">
        <v>45.4</v>
      </c>
      <c r="H60" s="12">
        <v>2</v>
      </c>
      <c r="I60" s="24"/>
    </row>
    <row r="61" spans="1:9" ht="12.75">
      <c r="A61" s="24" t="s">
        <v>16</v>
      </c>
      <c r="B61" s="24" t="s">
        <v>11</v>
      </c>
      <c r="C61" s="12">
        <v>67</v>
      </c>
      <c r="D61" s="12">
        <v>15</v>
      </c>
      <c r="E61" s="12">
        <v>3</v>
      </c>
      <c r="F61" s="12">
        <v>37.700000000000003</v>
      </c>
      <c r="G61" s="12">
        <v>41.7</v>
      </c>
      <c r="H61" s="12">
        <v>2</v>
      </c>
      <c r="I61" s="24"/>
    </row>
    <row r="62" spans="1:9" ht="12.75">
      <c r="A62" s="24" t="s">
        <v>18</v>
      </c>
      <c r="B62" s="24" t="s">
        <v>11</v>
      </c>
      <c r="C62" s="12">
        <v>65</v>
      </c>
      <c r="D62" s="12">
        <v>9</v>
      </c>
      <c r="E62" s="12">
        <v>2.2999999999999998</v>
      </c>
      <c r="F62" s="12">
        <v>33.299999999999997</v>
      </c>
      <c r="G62" s="12">
        <v>40.200000000000003</v>
      </c>
      <c r="H62" s="12">
        <v>2</v>
      </c>
      <c r="I62" s="12">
        <v>14</v>
      </c>
    </row>
    <row r="63" spans="1:9" ht="12.75">
      <c r="A63" s="24" t="s">
        <v>18</v>
      </c>
      <c r="B63" s="24" t="s">
        <v>11</v>
      </c>
      <c r="C63" s="12">
        <v>51</v>
      </c>
      <c r="D63" s="12">
        <v>9</v>
      </c>
      <c r="E63" s="12">
        <v>2.2999999999999998</v>
      </c>
      <c r="F63" s="12">
        <v>34.5</v>
      </c>
      <c r="G63" s="12">
        <v>41.6</v>
      </c>
      <c r="H63" s="12">
        <v>1</v>
      </c>
      <c r="I63" s="12">
        <v>6</v>
      </c>
    </row>
    <row r="64" spans="1:9" ht="12.75">
      <c r="A64" s="24" t="s">
        <v>18</v>
      </c>
      <c r="B64" s="24" t="s">
        <v>11</v>
      </c>
      <c r="C64" s="12">
        <v>66</v>
      </c>
      <c r="D64" s="12">
        <v>11</v>
      </c>
      <c r="E64" s="12">
        <v>2.1</v>
      </c>
      <c r="F64" s="12">
        <v>32.6</v>
      </c>
      <c r="G64" s="12">
        <v>41.2</v>
      </c>
      <c r="H64" s="12">
        <v>2</v>
      </c>
      <c r="I64" s="12">
        <v>8</v>
      </c>
    </row>
    <row r="65" spans="1:9" ht="12.75">
      <c r="A65" s="23" t="s">
        <v>12</v>
      </c>
      <c r="B65" s="23" t="s">
        <v>11</v>
      </c>
      <c r="C65" s="3">
        <v>70</v>
      </c>
      <c r="D65" s="3">
        <v>15</v>
      </c>
      <c r="E65" s="3">
        <v>2.9</v>
      </c>
      <c r="F65" s="3">
        <v>34.4</v>
      </c>
      <c r="G65" s="3">
        <v>46.7</v>
      </c>
      <c r="H65" s="3">
        <v>2</v>
      </c>
      <c r="I65" s="3">
        <f>31+18</f>
        <v>49</v>
      </c>
    </row>
    <row r="66" spans="1:9" ht="12.75">
      <c r="A66" s="23" t="s">
        <v>12</v>
      </c>
      <c r="B66" s="23" t="s">
        <v>11</v>
      </c>
      <c r="C66" s="3">
        <v>81</v>
      </c>
      <c r="D66" s="3">
        <v>14</v>
      </c>
      <c r="E66" s="3">
        <v>3.2</v>
      </c>
      <c r="F66" s="3">
        <v>31.8</v>
      </c>
      <c r="G66" s="3">
        <v>47.3</v>
      </c>
      <c r="H66" s="3">
        <v>2</v>
      </c>
      <c r="I66" s="3">
        <f>10+8</f>
        <v>18</v>
      </c>
    </row>
    <row r="67" spans="1:9" ht="12.75">
      <c r="A67" s="23" t="s">
        <v>12</v>
      </c>
      <c r="B67" s="23" t="s">
        <v>11</v>
      </c>
      <c r="C67" s="3">
        <v>69</v>
      </c>
      <c r="D67" s="3">
        <v>16</v>
      </c>
      <c r="E67" s="3">
        <v>3.2</v>
      </c>
      <c r="F67" s="3">
        <v>36.200000000000003</v>
      </c>
      <c r="G67" s="3">
        <v>41.3</v>
      </c>
      <c r="H67" s="3">
        <v>2</v>
      </c>
      <c r="I67" s="3">
        <f>10+13</f>
        <v>23</v>
      </c>
    </row>
    <row r="68" spans="1:9" ht="12.75">
      <c r="A68" s="24" t="s">
        <v>13</v>
      </c>
      <c r="B68" s="24" t="s">
        <v>11</v>
      </c>
      <c r="C68" s="12">
        <v>69</v>
      </c>
      <c r="D68" s="12">
        <v>10</v>
      </c>
      <c r="E68" s="12">
        <v>3.3</v>
      </c>
      <c r="F68" s="12">
        <v>37.4</v>
      </c>
      <c r="G68" s="12">
        <v>48.8</v>
      </c>
      <c r="H68" s="12">
        <v>3</v>
      </c>
      <c r="I68" s="12">
        <f>11+8+5</f>
        <v>24</v>
      </c>
    </row>
    <row r="69" spans="1:9" ht="12.75">
      <c r="A69" s="24" t="s">
        <v>13</v>
      </c>
      <c r="B69" s="24" t="s">
        <v>11</v>
      </c>
      <c r="C69" s="12">
        <v>72.5</v>
      </c>
      <c r="D69" s="12">
        <v>10</v>
      </c>
      <c r="E69" s="12">
        <v>3.7</v>
      </c>
      <c r="F69" s="12">
        <v>38.5</v>
      </c>
      <c r="G69" s="12">
        <v>47.4</v>
      </c>
      <c r="H69" s="12">
        <v>1</v>
      </c>
      <c r="I69" s="12">
        <f>9</f>
        <v>9</v>
      </c>
    </row>
    <row r="70" spans="1:9" ht="12.75">
      <c r="A70" s="24" t="s">
        <v>13</v>
      </c>
      <c r="B70" s="24" t="s">
        <v>11</v>
      </c>
      <c r="C70" s="12">
        <v>46</v>
      </c>
      <c r="D70" s="12">
        <v>13</v>
      </c>
      <c r="E70" s="12">
        <v>3</v>
      </c>
      <c r="F70" s="12">
        <v>39.700000000000003</v>
      </c>
      <c r="G70" s="12">
        <v>43.3</v>
      </c>
      <c r="H70" s="12">
        <v>2</v>
      </c>
      <c r="I70" s="12">
        <f>3+5</f>
        <v>8</v>
      </c>
    </row>
    <row r="71" spans="1:9" ht="12.75">
      <c r="A71" s="26" t="s">
        <v>17</v>
      </c>
      <c r="B71" s="26" t="s">
        <v>11</v>
      </c>
      <c r="C71" s="14">
        <v>60</v>
      </c>
      <c r="D71" s="14">
        <v>12</v>
      </c>
      <c r="E71" s="14">
        <v>2.5</v>
      </c>
      <c r="F71" s="12">
        <v>33.9</v>
      </c>
      <c r="G71" s="12">
        <v>44.9</v>
      </c>
      <c r="H71" s="12">
        <v>1</v>
      </c>
      <c r="I71" s="12">
        <v>12</v>
      </c>
    </row>
    <row r="72" spans="1:9" ht="12.75">
      <c r="A72" s="26" t="s">
        <v>17</v>
      </c>
      <c r="B72" s="26" t="s">
        <v>11</v>
      </c>
      <c r="C72" s="14">
        <v>65</v>
      </c>
      <c r="D72" s="14">
        <v>12</v>
      </c>
      <c r="E72" s="14">
        <v>2.6</v>
      </c>
      <c r="F72" s="12">
        <v>36.799999999999997</v>
      </c>
      <c r="G72" s="12">
        <v>43</v>
      </c>
      <c r="H72" s="12">
        <v>1</v>
      </c>
      <c r="I72" s="12">
        <v>14</v>
      </c>
    </row>
    <row r="73" spans="1:9" ht="12.75">
      <c r="A73" s="26" t="s">
        <v>17</v>
      </c>
      <c r="B73" s="26" t="s">
        <v>11</v>
      </c>
      <c r="C73" s="14">
        <v>70</v>
      </c>
      <c r="D73" s="14">
        <v>12</v>
      </c>
      <c r="E73" s="14">
        <v>2.7</v>
      </c>
      <c r="F73" s="12">
        <v>37.4</v>
      </c>
      <c r="G73" s="12">
        <v>45.1</v>
      </c>
      <c r="H73" s="12">
        <v>1</v>
      </c>
      <c r="I73" s="12">
        <v>18</v>
      </c>
    </row>
    <row r="74" spans="1:9" ht="12.75">
      <c r="A74" s="23" t="s">
        <v>13</v>
      </c>
      <c r="B74" s="23" t="s">
        <v>9</v>
      </c>
      <c r="C74" s="3">
        <v>72</v>
      </c>
      <c r="D74" s="3">
        <v>12</v>
      </c>
      <c r="E74" s="3">
        <v>2.2999999999999998</v>
      </c>
      <c r="F74" s="3">
        <v>38.799999999999997</v>
      </c>
      <c r="G74" s="3">
        <v>39.5</v>
      </c>
      <c r="H74" s="3">
        <v>2</v>
      </c>
      <c r="I74" s="3">
        <v>16</v>
      </c>
    </row>
    <row r="75" spans="1:9" ht="12.75">
      <c r="A75" s="23" t="s">
        <v>13</v>
      </c>
      <c r="B75" s="23" t="s">
        <v>9</v>
      </c>
      <c r="C75" s="3">
        <v>65</v>
      </c>
      <c r="D75" s="3">
        <v>11</v>
      </c>
      <c r="E75" s="3">
        <v>2.6</v>
      </c>
      <c r="F75" s="3">
        <v>45.1</v>
      </c>
      <c r="G75" s="3">
        <v>42.5</v>
      </c>
      <c r="H75" s="3">
        <v>2</v>
      </c>
      <c r="I75" s="3">
        <v>19</v>
      </c>
    </row>
    <row r="76" spans="1:9" ht="12.75">
      <c r="A76" s="23" t="s">
        <v>13</v>
      </c>
      <c r="B76" s="23" t="s">
        <v>9</v>
      </c>
      <c r="C76" s="3">
        <v>75</v>
      </c>
      <c r="D76" s="3">
        <v>13</v>
      </c>
      <c r="E76" s="3">
        <v>2.8</v>
      </c>
      <c r="F76" s="3">
        <v>41.28</v>
      </c>
      <c r="G76" s="3">
        <v>44.7</v>
      </c>
      <c r="H76" s="3">
        <v>3</v>
      </c>
      <c r="I76" s="3">
        <v>24</v>
      </c>
    </row>
    <row r="77" spans="1:9" ht="12.75">
      <c r="A77" s="24" t="s">
        <v>14</v>
      </c>
      <c r="B77" s="24" t="s">
        <v>9</v>
      </c>
      <c r="C77" s="12">
        <v>61.4</v>
      </c>
      <c r="D77" s="12">
        <v>18</v>
      </c>
      <c r="E77" s="12">
        <v>4.3</v>
      </c>
      <c r="F77" s="12">
        <v>42</v>
      </c>
      <c r="G77" s="12">
        <v>40.1</v>
      </c>
      <c r="H77" s="12">
        <v>3</v>
      </c>
      <c r="I77" s="12">
        <v>16</v>
      </c>
    </row>
    <row r="78" spans="1:9" ht="12.75">
      <c r="A78" s="24" t="s">
        <v>14</v>
      </c>
      <c r="B78" s="24" t="s">
        <v>9</v>
      </c>
      <c r="C78" s="12">
        <v>63.7</v>
      </c>
      <c r="D78" s="12">
        <v>16</v>
      </c>
      <c r="E78" s="12">
        <v>4.0999999999999996</v>
      </c>
      <c r="F78" s="12">
        <v>41.8</v>
      </c>
      <c r="G78" s="12">
        <v>40.5</v>
      </c>
      <c r="H78" s="12">
        <v>3</v>
      </c>
      <c r="I78" s="12">
        <v>20</v>
      </c>
    </row>
    <row r="79" spans="1:9" ht="12.75">
      <c r="A79" s="24" t="s">
        <v>14</v>
      </c>
      <c r="B79" s="24" t="s">
        <v>9</v>
      </c>
      <c r="C79" s="12">
        <v>56</v>
      </c>
      <c r="D79" s="12">
        <v>14</v>
      </c>
      <c r="E79" s="12">
        <v>4.2</v>
      </c>
      <c r="F79" s="12">
        <v>42.5</v>
      </c>
      <c r="G79" s="12">
        <v>39.799999999999997</v>
      </c>
      <c r="H79" s="12">
        <v>2</v>
      </c>
      <c r="I79" s="12">
        <v>16</v>
      </c>
    </row>
    <row r="80" spans="1:9" ht="12.75">
      <c r="A80" s="23" t="s">
        <v>17</v>
      </c>
      <c r="B80" s="23" t="s">
        <v>9</v>
      </c>
      <c r="C80" s="3">
        <v>64</v>
      </c>
      <c r="D80" s="3">
        <v>14</v>
      </c>
      <c r="E80" s="3">
        <v>4.8</v>
      </c>
      <c r="F80" s="3">
        <v>35.9</v>
      </c>
      <c r="G80" s="3">
        <v>39.299999999999997</v>
      </c>
      <c r="H80" s="3">
        <v>2</v>
      </c>
      <c r="I80" s="3">
        <v>10</v>
      </c>
    </row>
    <row r="81" spans="1:9" ht="12.75">
      <c r="A81" s="23" t="s">
        <v>17</v>
      </c>
      <c r="B81" s="23" t="s">
        <v>9</v>
      </c>
      <c r="C81" s="3">
        <v>67.3</v>
      </c>
      <c r="D81" s="3">
        <v>11</v>
      </c>
      <c r="E81" s="3">
        <v>3.7</v>
      </c>
      <c r="F81" s="20">
        <v>38.799999999999997</v>
      </c>
      <c r="G81" s="3">
        <v>39.799999999999997</v>
      </c>
      <c r="H81" s="3">
        <v>2</v>
      </c>
      <c r="I81" s="3">
        <v>13</v>
      </c>
    </row>
    <row r="82" spans="1:9" ht="12.75">
      <c r="A82" s="23" t="s">
        <v>17</v>
      </c>
      <c r="B82" s="23" t="s">
        <v>9</v>
      </c>
      <c r="C82" s="3">
        <v>67.099999999999994</v>
      </c>
      <c r="D82" s="3">
        <v>11</v>
      </c>
      <c r="E82" s="3">
        <v>3.9</v>
      </c>
      <c r="F82" s="3">
        <v>36.6</v>
      </c>
      <c r="G82" s="3">
        <v>41.1</v>
      </c>
      <c r="H82" s="3">
        <v>2</v>
      </c>
      <c r="I82" s="3">
        <v>9</v>
      </c>
    </row>
    <row r="83" spans="1:9" ht="12.75">
      <c r="A83" s="23" t="s">
        <v>18</v>
      </c>
      <c r="B83" s="23" t="s">
        <v>9</v>
      </c>
      <c r="C83" s="3">
        <v>77</v>
      </c>
      <c r="D83" s="3">
        <v>12</v>
      </c>
      <c r="E83" s="3">
        <v>3</v>
      </c>
      <c r="F83" s="3">
        <v>30.6</v>
      </c>
      <c r="G83" s="3">
        <v>37.200000000000003</v>
      </c>
      <c r="H83" s="3">
        <v>2</v>
      </c>
      <c r="I83" s="3">
        <v>12</v>
      </c>
    </row>
    <row r="84" spans="1:9" ht="12.75">
      <c r="A84" s="23" t="s">
        <v>18</v>
      </c>
      <c r="B84" s="23" t="s">
        <v>9</v>
      </c>
      <c r="C84" s="3">
        <v>68</v>
      </c>
      <c r="D84" s="3">
        <v>12</v>
      </c>
      <c r="E84" s="3">
        <v>2.2000000000000002</v>
      </c>
      <c r="F84" s="3">
        <v>30.4</v>
      </c>
      <c r="G84" s="3">
        <v>39.5</v>
      </c>
      <c r="H84" s="3">
        <v>2</v>
      </c>
      <c r="I84" s="3">
        <v>8</v>
      </c>
    </row>
    <row r="85" spans="1:9" ht="12.75">
      <c r="A85" s="23" t="s">
        <v>18</v>
      </c>
      <c r="B85" s="23" t="s">
        <v>9</v>
      </c>
      <c r="C85" s="3">
        <v>61.5</v>
      </c>
      <c r="D85" s="3">
        <v>12</v>
      </c>
      <c r="E85" s="13">
        <v>2.5</v>
      </c>
      <c r="F85" s="3">
        <v>36.5</v>
      </c>
      <c r="G85" s="3">
        <v>39.799999999999997</v>
      </c>
      <c r="H85" s="3">
        <v>2</v>
      </c>
      <c r="I85" s="3">
        <v>8</v>
      </c>
    </row>
    <row r="86" spans="1:9" ht="12.75">
      <c r="A86" s="23" t="s">
        <v>4</v>
      </c>
      <c r="B86" s="23" t="s">
        <v>9</v>
      </c>
      <c r="C86" s="3">
        <v>71</v>
      </c>
      <c r="D86" s="3">
        <v>13</v>
      </c>
      <c r="E86" s="3">
        <v>2.8</v>
      </c>
      <c r="F86" s="3">
        <v>34.5</v>
      </c>
      <c r="G86" s="3">
        <v>44.1</v>
      </c>
      <c r="H86" s="3">
        <v>0</v>
      </c>
      <c r="I86" s="3">
        <f>0</f>
        <v>0</v>
      </c>
    </row>
    <row r="87" spans="1:9" ht="12.75">
      <c r="A87" s="23" t="s">
        <v>4</v>
      </c>
      <c r="B87" s="23" t="s">
        <v>9</v>
      </c>
      <c r="C87" s="3">
        <v>70</v>
      </c>
      <c r="D87" s="3">
        <v>14</v>
      </c>
      <c r="E87" s="3">
        <v>3.1</v>
      </c>
      <c r="F87" s="3">
        <v>45</v>
      </c>
      <c r="G87" s="3">
        <v>39.6</v>
      </c>
      <c r="H87" s="3">
        <v>1</v>
      </c>
      <c r="I87" s="3">
        <f>6</f>
        <v>6</v>
      </c>
    </row>
    <row r="88" spans="1:9" ht="12.75">
      <c r="A88" s="23" t="s">
        <v>4</v>
      </c>
      <c r="B88" s="23" t="s">
        <v>9</v>
      </c>
      <c r="C88" s="3">
        <v>76</v>
      </c>
      <c r="D88" s="3">
        <v>15</v>
      </c>
      <c r="E88" s="3">
        <v>3.1</v>
      </c>
      <c r="F88" s="3">
        <v>36.5</v>
      </c>
      <c r="G88" s="3">
        <v>45.9</v>
      </c>
      <c r="H88" s="3">
        <v>2</v>
      </c>
      <c r="I88" s="3">
        <f>7+6</f>
        <v>13</v>
      </c>
    </row>
    <row r="89" spans="1:9" ht="12.75">
      <c r="A89" s="24" t="s">
        <v>12</v>
      </c>
      <c r="B89" s="24" t="s">
        <v>9</v>
      </c>
      <c r="C89" s="12">
        <v>84</v>
      </c>
      <c r="D89" s="12">
        <v>13</v>
      </c>
      <c r="E89" s="12">
        <v>2.8</v>
      </c>
      <c r="F89" s="12">
        <v>37.1</v>
      </c>
      <c r="G89" s="12">
        <v>50.3</v>
      </c>
      <c r="H89" s="12">
        <v>2</v>
      </c>
      <c r="I89" s="12">
        <f>9+7</f>
        <v>16</v>
      </c>
    </row>
    <row r="90" spans="1:9" ht="12.75">
      <c r="A90" s="24" t="s">
        <v>12</v>
      </c>
      <c r="B90" s="24" t="s">
        <v>9</v>
      </c>
      <c r="C90" s="12">
        <v>72</v>
      </c>
      <c r="D90" s="12">
        <v>12</v>
      </c>
      <c r="E90" s="12">
        <v>2.4</v>
      </c>
      <c r="F90" s="12">
        <v>37.700000000000003</v>
      </c>
      <c r="G90" s="12">
        <v>48.5</v>
      </c>
      <c r="H90" s="12">
        <v>1</v>
      </c>
      <c r="I90" s="12">
        <f>8</f>
        <v>8</v>
      </c>
    </row>
    <row r="91" spans="1:9" ht="12.75">
      <c r="A91" s="24" t="s">
        <v>12</v>
      </c>
      <c r="B91" s="24" t="s">
        <v>9</v>
      </c>
      <c r="C91" s="12">
        <v>81</v>
      </c>
      <c r="D91" s="12">
        <v>15</v>
      </c>
      <c r="E91" s="12">
        <v>2.6</v>
      </c>
      <c r="F91" s="12">
        <v>38.5</v>
      </c>
      <c r="G91" s="12">
        <v>48.3</v>
      </c>
      <c r="H91" s="12">
        <v>3</v>
      </c>
      <c r="I91" s="12">
        <f>7+7+6</f>
        <v>20</v>
      </c>
    </row>
    <row r="92" spans="1:9" ht="12.75">
      <c r="A92" s="23" t="s">
        <v>15</v>
      </c>
      <c r="B92" s="23" t="s">
        <v>9</v>
      </c>
      <c r="C92" s="3">
        <v>69</v>
      </c>
      <c r="D92" s="3">
        <v>14</v>
      </c>
      <c r="E92" s="3">
        <v>2.9</v>
      </c>
      <c r="F92" s="3">
        <v>34.5</v>
      </c>
      <c r="G92" s="3">
        <v>49.1</v>
      </c>
      <c r="H92" s="3">
        <v>1</v>
      </c>
      <c r="I92" s="3">
        <f>6+3</f>
        <v>9</v>
      </c>
    </row>
    <row r="93" spans="1:9" ht="12.75">
      <c r="A93" s="23" t="s">
        <v>15</v>
      </c>
      <c r="B93" s="23" t="s">
        <v>9</v>
      </c>
      <c r="C93" s="3">
        <v>64</v>
      </c>
      <c r="D93" s="3">
        <v>13</v>
      </c>
      <c r="E93" s="3">
        <v>3</v>
      </c>
      <c r="F93" s="3">
        <v>35.1</v>
      </c>
      <c r="G93" s="3">
        <v>44.9</v>
      </c>
      <c r="H93" s="3">
        <v>1</v>
      </c>
      <c r="I93" s="3">
        <f>9+7</f>
        <v>16</v>
      </c>
    </row>
    <row r="94" spans="1:9" ht="12.75">
      <c r="A94" s="23" t="s">
        <v>15</v>
      </c>
      <c r="B94" s="23" t="s">
        <v>9</v>
      </c>
      <c r="C94" s="3">
        <v>65</v>
      </c>
      <c r="D94" s="3">
        <v>15</v>
      </c>
      <c r="E94" s="3">
        <v>3</v>
      </c>
      <c r="F94" s="3">
        <v>34.200000000000003</v>
      </c>
      <c r="G94" s="3">
        <v>54</v>
      </c>
      <c r="H94" s="3">
        <v>2</v>
      </c>
      <c r="I94" s="3">
        <f>10+14+6</f>
        <v>30</v>
      </c>
    </row>
    <row r="95" spans="1:9" ht="12.75">
      <c r="A95" s="24" t="s">
        <v>16</v>
      </c>
      <c r="B95" s="24" t="s">
        <v>9</v>
      </c>
      <c r="C95" s="12">
        <v>59</v>
      </c>
      <c r="D95" s="12">
        <v>13</v>
      </c>
      <c r="E95" s="12">
        <v>2.5</v>
      </c>
      <c r="F95" s="12">
        <v>31.8</v>
      </c>
      <c r="G95" s="12">
        <v>45.2</v>
      </c>
      <c r="H95" s="12">
        <v>3</v>
      </c>
      <c r="I95" s="12">
        <f>(5 + 6 + 5)</f>
        <v>16</v>
      </c>
    </row>
    <row r="96" spans="1:9" ht="12.75">
      <c r="A96" s="24" t="s">
        <v>16</v>
      </c>
      <c r="B96" s="24" t="s">
        <v>9</v>
      </c>
      <c r="C96" s="12">
        <v>54</v>
      </c>
      <c r="D96" s="12">
        <v>12</v>
      </c>
      <c r="E96" s="12">
        <v>2.5</v>
      </c>
      <c r="F96" s="12">
        <v>37.1</v>
      </c>
      <c r="G96" s="12">
        <v>46.9</v>
      </c>
      <c r="H96" s="12">
        <v>2</v>
      </c>
      <c r="I96" s="12">
        <f>(6 + 4)</f>
        <v>10</v>
      </c>
    </row>
    <row r="97" spans="1:9" ht="12.75">
      <c r="A97" s="24" t="s">
        <v>16</v>
      </c>
      <c r="B97" s="24" t="s">
        <v>9</v>
      </c>
      <c r="C97" s="12">
        <v>60</v>
      </c>
      <c r="D97" s="12">
        <v>16</v>
      </c>
      <c r="E97" s="12">
        <v>3</v>
      </c>
      <c r="F97" s="12">
        <v>33.5</v>
      </c>
      <c r="G97" s="12">
        <v>41.8</v>
      </c>
      <c r="H97" s="12">
        <v>3</v>
      </c>
      <c r="I97" s="12">
        <f>( 10 + 8 + 5)</f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87"/>
  <sheetViews>
    <sheetView workbookViewId="0">
      <pane ySplit="1" topLeftCell="A2" activePane="bottomLeft" state="frozen"/>
      <selection pane="bottomLeft" activeCell="C18" sqref="C18"/>
    </sheetView>
  </sheetViews>
  <sheetFormatPr defaultColWidth="12.5703125" defaultRowHeight="15.75" customHeight="1"/>
  <sheetData>
    <row r="1" spans="1:8" ht="15.75" customHeight="1">
      <c r="A1" s="1" t="s">
        <v>1</v>
      </c>
      <c r="B1" s="1" t="s">
        <v>2</v>
      </c>
      <c r="C1" s="1" t="s">
        <v>3</v>
      </c>
      <c r="D1" s="1" t="s">
        <v>19</v>
      </c>
      <c r="E1" s="22" t="s">
        <v>20</v>
      </c>
      <c r="F1" s="22" t="s">
        <v>21</v>
      </c>
      <c r="G1" s="22" t="s">
        <v>22</v>
      </c>
      <c r="H1" s="22" t="s">
        <v>23</v>
      </c>
    </row>
    <row r="2" spans="1:8" ht="12.75">
      <c r="A2" s="3" t="s">
        <v>5</v>
      </c>
      <c r="B2" s="3">
        <v>95</v>
      </c>
      <c r="C2" s="3">
        <v>15</v>
      </c>
      <c r="D2" s="3">
        <v>3</v>
      </c>
      <c r="E2" s="3">
        <v>40.700000000000003</v>
      </c>
      <c r="F2" s="3">
        <v>50.2</v>
      </c>
      <c r="G2" s="3">
        <v>3</v>
      </c>
      <c r="H2" s="3">
        <f>10+11+15</f>
        <v>36</v>
      </c>
    </row>
    <row r="3" spans="1:8" ht="12.75">
      <c r="A3" s="3" t="s">
        <v>5</v>
      </c>
      <c r="B3" s="3">
        <v>100</v>
      </c>
      <c r="C3" s="3">
        <v>13</v>
      </c>
      <c r="D3" s="3">
        <v>2.8</v>
      </c>
      <c r="E3" s="3">
        <v>38.700000000000003</v>
      </c>
      <c r="F3" s="3">
        <v>44.8</v>
      </c>
      <c r="G3" s="3">
        <v>1</v>
      </c>
      <c r="H3" s="3">
        <v>11</v>
      </c>
    </row>
    <row r="4" spans="1:8" ht="12.75">
      <c r="A4" s="3" t="s">
        <v>5</v>
      </c>
      <c r="B4" s="3">
        <v>90</v>
      </c>
      <c r="C4" s="3">
        <v>15</v>
      </c>
      <c r="D4" s="3">
        <v>3</v>
      </c>
      <c r="E4" s="3">
        <v>36.1</v>
      </c>
      <c r="F4" s="3">
        <v>45.4</v>
      </c>
      <c r="G4" s="3">
        <v>1</v>
      </c>
      <c r="H4" s="3">
        <v>11</v>
      </c>
    </row>
    <row r="5" spans="1:8" ht="12.75">
      <c r="A5" s="12" t="s">
        <v>5</v>
      </c>
      <c r="B5" s="12">
        <v>98</v>
      </c>
      <c r="C5" s="12">
        <v>17</v>
      </c>
      <c r="D5" s="12">
        <v>5</v>
      </c>
      <c r="E5" s="12">
        <v>45.2</v>
      </c>
      <c r="F5" s="12">
        <v>35</v>
      </c>
      <c r="G5" s="12">
        <v>3</v>
      </c>
      <c r="H5" s="12">
        <f>9+12+8</f>
        <v>29</v>
      </c>
    </row>
    <row r="6" spans="1:8" ht="12.75">
      <c r="A6" s="12" t="s">
        <v>5</v>
      </c>
      <c r="B6" s="12">
        <v>83</v>
      </c>
      <c r="C6" s="12">
        <v>11</v>
      </c>
      <c r="D6" s="12">
        <v>4</v>
      </c>
      <c r="E6" s="12">
        <v>48</v>
      </c>
      <c r="F6" s="12">
        <v>40</v>
      </c>
      <c r="G6" s="12">
        <v>2</v>
      </c>
      <c r="H6" s="12">
        <f>12+11</f>
        <v>23</v>
      </c>
    </row>
    <row r="7" spans="1:8" ht="12.75">
      <c r="A7" s="12" t="s">
        <v>5</v>
      </c>
      <c r="B7" s="12">
        <v>80</v>
      </c>
      <c r="C7" s="12">
        <v>12</v>
      </c>
      <c r="D7" s="12">
        <v>5</v>
      </c>
      <c r="E7" s="12">
        <v>45</v>
      </c>
      <c r="F7" s="12">
        <v>38</v>
      </c>
      <c r="G7" s="12">
        <v>2</v>
      </c>
      <c r="H7" s="12">
        <f>9+10</f>
        <v>19</v>
      </c>
    </row>
    <row r="8" spans="1:8" ht="12.75">
      <c r="A8" s="3" t="s">
        <v>5</v>
      </c>
      <c r="B8" s="3">
        <v>89</v>
      </c>
      <c r="C8" s="3">
        <v>15</v>
      </c>
      <c r="D8" s="3">
        <v>2.9</v>
      </c>
      <c r="E8" s="3">
        <v>46.1</v>
      </c>
      <c r="F8" s="3">
        <v>45.7</v>
      </c>
      <c r="G8" s="3">
        <v>4</v>
      </c>
      <c r="H8" s="3">
        <f>SUM(11+7+9+8)</f>
        <v>35</v>
      </c>
    </row>
    <row r="9" spans="1:8" ht="12.75">
      <c r="A9" s="3" t="s">
        <v>5</v>
      </c>
      <c r="B9" s="3">
        <v>90</v>
      </c>
      <c r="C9" s="3">
        <v>15</v>
      </c>
      <c r="D9" s="3">
        <v>2.8</v>
      </c>
      <c r="E9" s="3">
        <v>47.1</v>
      </c>
      <c r="F9" s="3">
        <v>46.3</v>
      </c>
      <c r="G9" s="3">
        <v>4</v>
      </c>
      <c r="H9" s="3">
        <f>SUM(7+12+8+22)</f>
        <v>49</v>
      </c>
    </row>
    <row r="10" spans="1:8" ht="12.75">
      <c r="A10" s="3" t="s">
        <v>5</v>
      </c>
      <c r="B10" s="3">
        <v>90</v>
      </c>
      <c r="C10" s="3">
        <v>16</v>
      </c>
      <c r="D10" s="3">
        <v>3</v>
      </c>
      <c r="E10" s="3">
        <v>44.6</v>
      </c>
      <c r="F10" s="3">
        <v>45.1</v>
      </c>
      <c r="G10" s="3">
        <v>5</v>
      </c>
      <c r="H10" s="3">
        <f>SUM(8+7+9+9+6)</f>
        <v>39</v>
      </c>
    </row>
    <row r="11" spans="1:8" ht="12.75">
      <c r="A11" s="12" t="s">
        <v>5</v>
      </c>
      <c r="B11" s="12">
        <v>107</v>
      </c>
      <c r="C11" s="12">
        <v>13</v>
      </c>
      <c r="D11" s="12">
        <v>3.5</v>
      </c>
      <c r="E11" s="12">
        <v>45.2</v>
      </c>
      <c r="F11" s="12">
        <v>45.1</v>
      </c>
      <c r="G11" s="12">
        <f>2+1</f>
        <v>3</v>
      </c>
      <c r="H11" s="12">
        <f>10+10+14</f>
        <v>34</v>
      </c>
    </row>
    <row r="12" spans="1:8" ht="12.75">
      <c r="A12" s="12" t="s">
        <v>5</v>
      </c>
      <c r="B12" s="12">
        <v>94</v>
      </c>
      <c r="C12" s="12">
        <v>13</v>
      </c>
      <c r="D12" s="12">
        <v>4</v>
      </c>
      <c r="E12" s="12">
        <v>46.2</v>
      </c>
      <c r="F12" s="12">
        <v>44.3</v>
      </c>
      <c r="G12" s="12">
        <f>1+1</f>
        <v>2</v>
      </c>
      <c r="H12" s="12">
        <f>12+9</f>
        <v>21</v>
      </c>
    </row>
    <row r="13" spans="1:8" ht="12.75">
      <c r="A13" s="12" t="s">
        <v>5</v>
      </c>
      <c r="B13" s="12">
        <v>89.5</v>
      </c>
      <c r="C13" s="12">
        <v>14</v>
      </c>
      <c r="D13" s="12">
        <v>4.5</v>
      </c>
      <c r="E13" s="12">
        <v>45.5</v>
      </c>
      <c r="F13" s="12">
        <v>42.5</v>
      </c>
      <c r="G13" s="12">
        <f>2+4</f>
        <v>6</v>
      </c>
      <c r="H13" s="12">
        <f>3+13+6+10+24+3</f>
        <v>59</v>
      </c>
    </row>
    <row r="14" spans="1:8" ht="14.25">
      <c r="A14" s="15" t="s">
        <v>5</v>
      </c>
      <c r="B14" s="46">
        <v>100</v>
      </c>
      <c r="C14" s="15">
        <v>18</v>
      </c>
      <c r="D14" s="46">
        <v>3.9</v>
      </c>
      <c r="E14" s="46">
        <v>40.299999999999997</v>
      </c>
      <c r="F14" s="46">
        <v>49.5</v>
      </c>
      <c r="G14" s="46">
        <v>3</v>
      </c>
      <c r="H14" s="15">
        <v>21</v>
      </c>
    </row>
    <row r="15" spans="1:8" ht="14.25">
      <c r="A15" s="15" t="s">
        <v>5</v>
      </c>
      <c r="B15" s="46">
        <v>104</v>
      </c>
      <c r="C15" s="15">
        <v>17</v>
      </c>
      <c r="D15" s="46">
        <v>3.6</v>
      </c>
      <c r="E15" s="46">
        <v>47.3</v>
      </c>
      <c r="F15" s="46">
        <v>57.3</v>
      </c>
      <c r="G15" s="46">
        <v>4</v>
      </c>
      <c r="H15" s="15">
        <v>54</v>
      </c>
    </row>
    <row r="16" spans="1:8" ht="14.25">
      <c r="A16" s="15" t="s">
        <v>5</v>
      </c>
      <c r="B16" s="46">
        <v>97</v>
      </c>
      <c r="C16" s="15">
        <v>19</v>
      </c>
      <c r="D16" s="46">
        <v>3.5</v>
      </c>
      <c r="E16" s="46">
        <v>40.200000000000003</v>
      </c>
      <c r="F16" s="46">
        <v>51.5</v>
      </c>
      <c r="G16" s="46">
        <v>3</v>
      </c>
      <c r="H16" s="15">
        <v>35</v>
      </c>
    </row>
    <row r="17" spans="1:8" ht="14.25">
      <c r="A17" s="16" t="s">
        <v>5</v>
      </c>
      <c r="B17" s="47">
        <v>73</v>
      </c>
      <c r="C17" s="16">
        <v>17</v>
      </c>
      <c r="D17" s="47">
        <v>3.9</v>
      </c>
      <c r="E17" s="47">
        <v>43.5</v>
      </c>
      <c r="F17" s="47">
        <v>48.6</v>
      </c>
      <c r="G17" s="47">
        <v>5</v>
      </c>
      <c r="H17" s="16">
        <v>55</v>
      </c>
    </row>
    <row r="18" spans="1:8" ht="14.25">
      <c r="A18" s="16" t="s">
        <v>5</v>
      </c>
      <c r="B18" s="47">
        <v>85</v>
      </c>
      <c r="C18" s="16">
        <v>19</v>
      </c>
      <c r="D18" s="47">
        <v>4</v>
      </c>
      <c r="E18" s="47">
        <v>39.1</v>
      </c>
      <c r="F18" s="47">
        <v>53.1</v>
      </c>
      <c r="G18" s="47">
        <v>3</v>
      </c>
      <c r="H18" s="16">
        <v>32</v>
      </c>
    </row>
    <row r="19" spans="1:8" ht="14.25">
      <c r="A19" s="16" t="s">
        <v>5</v>
      </c>
      <c r="B19" s="47">
        <v>76</v>
      </c>
      <c r="C19" s="16">
        <v>17</v>
      </c>
      <c r="D19" s="47">
        <v>3.7</v>
      </c>
      <c r="E19" s="47">
        <v>48.2</v>
      </c>
      <c r="F19" s="47">
        <v>54.3</v>
      </c>
      <c r="G19" s="47">
        <v>3</v>
      </c>
      <c r="H19" s="16">
        <v>32</v>
      </c>
    </row>
    <row r="20" spans="1:8" ht="14.25">
      <c r="A20" s="16" t="s">
        <v>5</v>
      </c>
      <c r="B20" s="47">
        <v>90</v>
      </c>
      <c r="C20" s="16">
        <v>14</v>
      </c>
      <c r="D20" s="47">
        <v>2.5</v>
      </c>
      <c r="E20" s="47">
        <v>40.299999999999997</v>
      </c>
      <c r="F20" s="47">
        <v>50</v>
      </c>
      <c r="G20" s="47">
        <v>3</v>
      </c>
      <c r="H20" s="16">
        <v>24</v>
      </c>
    </row>
    <row r="21" spans="1:8" ht="14.25">
      <c r="A21" s="16" t="s">
        <v>5</v>
      </c>
      <c r="B21" s="47">
        <v>85</v>
      </c>
      <c r="C21" s="16">
        <v>15</v>
      </c>
      <c r="D21" s="47">
        <v>2.6</v>
      </c>
      <c r="E21" s="47">
        <v>40.200000000000003</v>
      </c>
      <c r="F21" s="47">
        <v>48.1</v>
      </c>
      <c r="G21" s="47">
        <v>3</v>
      </c>
      <c r="H21" s="16">
        <v>36</v>
      </c>
    </row>
    <row r="22" spans="1:8" ht="14.25">
      <c r="A22" s="16" t="s">
        <v>5</v>
      </c>
      <c r="B22" s="47">
        <v>82</v>
      </c>
      <c r="C22" s="16">
        <v>15</v>
      </c>
      <c r="D22" s="47">
        <v>2.8</v>
      </c>
      <c r="E22" s="47">
        <v>38.5</v>
      </c>
      <c r="F22" s="47">
        <v>50</v>
      </c>
      <c r="G22" s="47">
        <v>4</v>
      </c>
      <c r="H22" s="16">
        <v>40</v>
      </c>
    </row>
    <row r="23" spans="1:8" ht="12.75">
      <c r="A23" s="3" t="s">
        <v>10</v>
      </c>
      <c r="B23" s="3">
        <v>76</v>
      </c>
      <c r="C23" s="3">
        <v>13</v>
      </c>
      <c r="D23" s="3">
        <v>4</v>
      </c>
      <c r="E23" s="3">
        <v>49.7</v>
      </c>
      <c r="F23" s="3">
        <v>46.2</v>
      </c>
      <c r="G23" s="3">
        <v>1</v>
      </c>
      <c r="H23" s="3">
        <v>22</v>
      </c>
    </row>
    <row r="24" spans="1:8" ht="12.75">
      <c r="A24" s="3" t="s">
        <v>10</v>
      </c>
      <c r="B24" s="3">
        <v>105</v>
      </c>
      <c r="C24" s="3">
        <v>16</v>
      </c>
      <c r="D24" s="3">
        <v>4</v>
      </c>
      <c r="E24" s="3">
        <v>48.6</v>
      </c>
      <c r="F24" s="3">
        <v>45.7</v>
      </c>
      <c r="G24" s="3">
        <v>2</v>
      </c>
      <c r="H24" s="3">
        <v>35</v>
      </c>
    </row>
    <row r="25" spans="1:8" ht="12.75">
      <c r="A25" s="3" t="s">
        <v>10</v>
      </c>
      <c r="B25" s="3">
        <v>91</v>
      </c>
      <c r="C25" s="3">
        <v>16</v>
      </c>
      <c r="D25" s="3">
        <v>4.5</v>
      </c>
      <c r="E25" s="3">
        <v>48.9</v>
      </c>
      <c r="F25" s="3">
        <v>41.1</v>
      </c>
      <c r="G25" s="3">
        <v>2</v>
      </c>
      <c r="H25" s="3">
        <v>29</v>
      </c>
    </row>
    <row r="26" spans="1:8" ht="12.75">
      <c r="A26" s="12" t="s">
        <v>10</v>
      </c>
      <c r="B26" s="12">
        <v>85</v>
      </c>
      <c r="C26" s="12">
        <v>15</v>
      </c>
      <c r="D26" s="12">
        <v>4.8</v>
      </c>
      <c r="E26" s="12">
        <v>42.1</v>
      </c>
      <c r="F26" s="12">
        <v>42.9</v>
      </c>
      <c r="G26" s="12">
        <v>4</v>
      </c>
      <c r="H26" s="12">
        <f>15+8+6+6</f>
        <v>35</v>
      </c>
    </row>
    <row r="27" spans="1:8" ht="12.75">
      <c r="A27" s="12" t="s">
        <v>10</v>
      </c>
      <c r="B27" s="12">
        <v>105</v>
      </c>
      <c r="C27" s="12">
        <v>14</v>
      </c>
      <c r="D27" s="12">
        <v>3.7</v>
      </c>
      <c r="E27" s="12">
        <v>43.5</v>
      </c>
      <c r="F27" s="12">
        <v>39.4</v>
      </c>
      <c r="G27" s="12">
        <v>3</v>
      </c>
      <c r="H27" s="12">
        <f>12+8+7</f>
        <v>27</v>
      </c>
    </row>
    <row r="28" spans="1:8" ht="12.75">
      <c r="A28" s="12" t="s">
        <v>10</v>
      </c>
      <c r="B28" s="12">
        <v>110</v>
      </c>
      <c r="C28" s="12">
        <v>13</v>
      </c>
      <c r="D28" s="12">
        <v>3.9</v>
      </c>
      <c r="E28" s="12">
        <v>36.5</v>
      </c>
      <c r="F28" s="12">
        <v>42.3</v>
      </c>
      <c r="G28" s="12">
        <v>3</v>
      </c>
      <c r="H28" s="12">
        <f>10+5+6</f>
        <v>21</v>
      </c>
    </row>
    <row r="29" spans="1:8" ht="12.75">
      <c r="A29" s="12" t="s">
        <v>10</v>
      </c>
      <c r="B29" s="12">
        <v>105</v>
      </c>
      <c r="C29" s="12">
        <v>16</v>
      </c>
      <c r="D29" s="12">
        <v>3.3</v>
      </c>
      <c r="E29" s="12">
        <v>42.4</v>
      </c>
      <c r="F29" s="12">
        <v>56.8</v>
      </c>
      <c r="G29" s="12">
        <f>1+1+1</f>
        <v>3</v>
      </c>
      <c r="H29" s="12">
        <f>14+11+12</f>
        <v>37</v>
      </c>
    </row>
    <row r="30" spans="1:8" ht="12.75">
      <c r="A30" s="12" t="s">
        <v>10</v>
      </c>
      <c r="B30" s="12">
        <v>97.7</v>
      </c>
      <c r="C30" s="12">
        <v>19</v>
      </c>
      <c r="D30" s="12">
        <v>3.5</v>
      </c>
      <c r="E30" s="12">
        <v>39.700000000000003</v>
      </c>
      <c r="F30" s="12">
        <v>50</v>
      </c>
      <c r="G30" s="12">
        <f>1+1+1+1+1</f>
        <v>5</v>
      </c>
      <c r="H30" s="12">
        <f>22+13+18+9+7</f>
        <v>69</v>
      </c>
    </row>
    <row r="31" spans="1:8" ht="12.75">
      <c r="A31" s="12" t="s">
        <v>10</v>
      </c>
      <c r="B31" s="12">
        <v>107</v>
      </c>
      <c r="C31" s="12">
        <v>17</v>
      </c>
      <c r="D31" s="12">
        <v>3.7</v>
      </c>
      <c r="E31" s="12">
        <v>36.299999999999997</v>
      </c>
      <c r="F31" s="12">
        <v>53</v>
      </c>
      <c r="G31" s="12">
        <f>1+1+1</f>
        <v>3</v>
      </c>
      <c r="H31" s="12">
        <f>12+18+7</f>
        <v>37</v>
      </c>
    </row>
    <row r="32" spans="1:8" ht="14.25">
      <c r="A32" s="16" t="s">
        <v>10</v>
      </c>
      <c r="B32" s="47">
        <v>104</v>
      </c>
      <c r="C32" s="16">
        <v>17</v>
      </c>
      <c r="D32" s="47">
        <v>3</v>
      </c>
      <c r="E32" s="47">
        <v>48.2</v>
      </c>
      <c r="F32" s="47">
        <v>52.7</v>
      </c>
      <c r="G32" s="47">
        <v>3</v>
      </c>
      <c r="H32" s="16">
        <v>33</v>
      </c>
    </row>
    <row r="33" spans="1:8" ht="14.25">
      <c r="A33" s="16" t="s">
        <v>10</v>
      </c>
      <c r="B33" s="47">
        <v>105</v>
      </c>
      <c r="C33" s="16">
        <v>18</v>
      </c>
      <c r="D33" s="47">
        <v>3.5</v>
      </c>
      <c r="E33" s="47">
        <v>37.6</v>
      </c>
      <c r="F33" s="47">
        <v>53.7</v>
      </c>
      <c r="G33" s="47">
        <v>3</v>
      </c>
      <c r="H33" s="16">
        <v>43</v>
      </c>
    </row>
    <row r="34" spans="1:8" ht="14.25">
      <c r="A34" s="16" t="s">
        <v>10</v>
      </c>
      <c r="B34" s="47">
        <v>97</v>
      </c>
      <c r="C34" s="16">
        <v>19</v>
      </c>
      <c r="D34" s="47">
        <v>2.8</v>
      </c>
      <c r="E34" s="47">
        <v>44.7</v>
      </c>
      <c r="F34" s="47">
        <v>52.3</v>
      </c>
      <c r="G34" s="47">
        <v>5</v>
      </c>
      <c r="H34" s="16">
        <v>76</v>
      </c>
    </row>
    <row r="35" spans="1:8" ht="14.25">
      <c r="A35" s="17" t="s">
        <v>10</v>
      </c>
      <c r="B35" s="46">
        <v>93</v>
      </c>
      <c r="C35" s="15">
        <v>15</v>
      </c>
      <c r="D35" s="46">
        <v>3.8</v>
      </c>
      <c r="E35" s="46">
        <v>40</v>
      </c>
      <c r="F35" s="46">
        <v>52.8</v>
      </c>
      <c r="G35" s="46">
        <v>3</v>
      </c>
      <c r="H35" s="15">
        <v>36</v>
      </c>
    </row>
    <row r="36" spans="1:8" ht="14.25">
      <c r="A36" s="17" t="s">
        <v>10</v>
      </c>
      <c r="B36" s="46">
        <v>78</v>
      </c>
      <c r="C36" s="15">
        <v>16</v>
      </c>
      <c r="D36" s="46">
        <v>3.8</v>
      </c>
      <c r="E36" s="46">
        <v>43.9</v>
      </c>
      <c r="F36" s="46">
        <v>58.6</v>
      </c>
      <c r="G36" s="46">
        <v>3</v>
      </c>
      <c r="H36" s="15">
        <v>40</v>
      </c>
    </row>
    <row r="37" spans="1:8" ht="14.25">
      <c r="A37" s="17" t="s">
        <v>10</v>
      </c>
      <c r="B37" s="46">
        <v>91</v>
      </c>
      <c r="C37" s="15">
        <v>18</v>
      </c>
      <c r="D37" s="46">
        <v>3.8</v>
      </c>
      <c r="E37" s="46">
        <v>36.700000000000003</v>
      </c>
      <c r="F37" s="46">
        <v>49.4</v>
      </c>
      <c r="G37" s="46">
        <v>1</v>
      </c>
      <c r="H37" s="15">
        <v>27</v>
      </c>
    </row>
    <row r="38" spans="1:8" ht="14.25">
      <c r="A38" s="17" t="s">
        <v>10</v>
      </c>
      <c r="B38" s="48">
        <v>69.7</v>
      </c>
      <c r="C38" s="17">
        <v>14</v>
      </c>
      <c r="D38" s="48">
        <v>3.1</v>
      </c>
      <c r="E38" s="48">
        <v>41.1</v>
      </c>
      <c r="F38" s="48">
        <v>48.2</v>
      </c>
      <c r="G38" s="48">
        <v>3</v>
      </c>
      <c r="H38" s="17">
        <v>29</v>
      </c>
    </row>
    <row r="39" spans="1:8" ht="14.25">
      <c r="A39" s="17" t="s">
        <v>10</v>
      </c>
      <c r="B39" s="48">
        <v>90.2</v>
      </c>
      <c r="C39" s="17">
        <v>12</v>
      </c>
      <c r="D39" s="48">
        <v>3.7</v>
      </c>
      <c r="E39" s="48">
        <v>38.6</v>
      </c>
      <c r="F39" s="48">
        <v>55.8</v>
      </c>
      <c r="G39" s="48">
        <v>3</v>
      </c>
      <c r="H39" s="17">
        <v>21</v>
      </c>
    </row>
    <row r="40" spans="1:8" ht="14.25">
      <c r="A40" s="17" t="s">
        <v>10</v>
      </c>
      <c r="B40" s="48">
        <v>87.5</v>
      </c>
      <c r="C40" s="17">
        <v>19</v>
      </c>
      <c r="D40" s="48">
        <v>3</v>
      </c>
      <c r="E40" s="48">
        <v>38.200000000000003</v>
      </c>
      <c r="F40" s="48">
        <v>49.9</v>
      </c>
      <c r="G40" s="48">
        <v>3</v>
      </c>
      <c r="H40" s="17">
        <v>27</v>
      </c>
    </row>
    <row r="41" spans="1:8" ht="14.25">
      <c r="A41" s="15" t="s">
        <v>10</v>
      </c>
      <c r="B41" s="46">
        <v>75.5</v>
      </c>
      <c r="C41" s="15">
        <v>13</v>
      </c>
      <c r="D41" s="46">
        <v>4.2</v>
      </c>
      <c r="E41" s="46">
        <v>55.2</v>
      </c>
      <c r="F41" s="49">
        <v>34.200000000000003</v>
      </c>
      <c r="G41" s="46">
        <v>4</v>
      </c>
      <c r="H41" s="15">
        <v>33</v>
      </c>
    </row>
    <row r="42" spans="1:8" ht="14.25">
      <c r="A42" s="15" t="s">
        <v>10</v>
      </c>
      <c r="B42" s="46">
        <v>63</v>
      </c>
      <c r="C42" s="15">
        <v>11</v>
      </c>
      <c r="D42" s="46">
        <v>5.2</v>
      </c>
      <c r="E42" s="46">
        <v>41.1</v>
      </c>
      <c r="F42" s="49">
        <v>34.5</v>
      </c>
      <c r="G42" s="46">
        <v>3</v>
      </c>
      <c r="H42" s="15">
        <v>26</v>
      </c>
    </row>
    <row r="43" spans="1:8" ht="14.25">
      <c r="A43" s="15" t="s">
        <v>10</v>
      </c>
      <c r="B43" s="46">
        <v>95.5</v>
      </c>
      <c r="C43" s="15">
        <v>14</v>
      </c>
      <c r="D43" s="46">
        <v>4.5999999999999996</v>
      </c>
      <c r="E43" s="46">
        <v>36.4</v>
      </c>
      <c r="F43" s="49">
        <v>52.6</v>
      </c>
      <c r="G43" s="46">
        <v>4</v>
      </c>
      <c r="H43" s="15">
        <v>45</v>
      </c>
    </row>
    <row r="44" spans="1:8" ht="12.75">
      <c r="A44" s="12" t="s">
        <v>11</v>
      </c>
      <c r="B44" s="12">
        <v>91</v>
      </c>
      <c r="C44" s="12">
        <v>15</v>
      </c>
      <c r="D44" s="12">
        <v>3.8</v>
      </c>
      <c r="E44" s="12">
        <v>44.2</v>
      </c>
      <c r="F44" s="12">
        <v>46.7</v>
      </c>
      <c r="G44" s="12">
        <v>2</v>
      </c>
      <c r="H44" s="12">
        <f>23+20</f>
        <v>43</v>
      </c>
    </row>
    <row r="45" spans="1:8" ht="12.75">
      <c r="A45" s="12" t="s">
        <v>11</v>
      </c>
      <c r="B45" s="12">
        <v>102</v>
      </c>
      <c r="C45" s="12">
        <v>17</v>
      </c>
      <c r="D45" s="12">
        <v>4.2</v>
      </c>
      <c r="E45" s="12">
        <v>37.9</v>
      </c>
      <c r="F45" s="12">
        <v>44.1</v>
      </c>
      <c r="G45" s="12">
        <v>3</v>
      </c>
      <c r="H45" s="12">
        <f>13+16+7</f>
        <v>36</v>
      </c>
    </row>
    <row r="46" spans="1:8" ht="12.75">
      <c r="A46" s="12" t="s">
        <v>11</v>
      </c>
      <c r="B46" s="12">
        <v>86</v>
      </c>
      <c r="C46" s="12">
        <v>13</v>
      </c>
      <c r="D46" s="12">
        <v>3.8</v>
      </c>
      <c r="E46" s="12">
        <v>39.1</v>
      </c>
      <c r="F46" s="12">
        <v>60</v>
      </c>
      <c r="G46" s="12">
        <v>1</v>
      </c>
      <c r="H46" s="12">
        <v>15</v>
      </c>
    </row>
    <row r="47" spans="1:8" ht="12.75">
      <c r="A47" s="13" t="s">
        <v>11</v>
      </c>
      <c r="B47" s="13">
        <v>92</v>
      </c>
      <c r="C47" s="13">
        <v>17</v>
      </c>
      <c r="D47" s="3">
        <v>4.2</v>
      </c>
      <c r="E47" s="3">
        <v>42.8</v>
      </c>
      <c r="F47" s="3">
        <v>43.5</v>
      </c>
      <c r="G47" s="3">
        <v>3</v>
      </c>
      <c r="H47" s="3">
        <f>10+6+14</f>
        <v>30</v>
      </c>
    </row>
    <row r="48" spans="1:8" ht="12.75">
      <c r="A48" s="13" t="s">
        <v>11</v>
      </c>
      <c r="B48" s="13">
        <v>94</v>
      </c>
      <c r="C48" s="13">
        <v>16</v>
      </c>
      <c r="D48" s="3">
        <v>3.8</v>
      </c>
      <c r="E48" s="3">
        <v>42.5</v>
      </c>
      <c r="F48" s="3">
        <v>43.6</v>
      </c>
      <c r="G48" s="3">
        <v>3</v>
      </c>
      <c r="H48" s="3">
        <f>10+8+10</f>
        <v>28</v>
      </c>
    </row>
    <row r="49" spans="1:8" ht="12.75">
      <c r="A49" s="13" t="s">
        <v>11</v>
      </c>
      <c r="B49" s="13">
        <v>90</v>
      </c>
      <c r="C49" s="13">
        <v>13</v>
      </c>
      <c r="D49" s="3">
        <v>4.0999999999999996</v>
      </c>
      <c r="E49" s="3">
        <v>42.8</v>
      </c>
      <c r="F49" s="3">
        <v>43.4</v>
      </c>
      <c r="G49" s="3">
        <v>3</v>
      </c>
      <c r="H49" s="3">
        <f>27+10+10</f>
        <v>47</v>
      </c>
    </row>
    <row r="50" spans="1:8" ht="12.75">
      <c r="A50" s="3" t="s">
        <v>11</v>
      </c>
      <c r="B50" s="13">
        <v>110</v>
      </c>
      <c r="C50" s="13">
        <v>15</v>
      </c>
      <c r="D50" s="13">
        <v>3.6</v>
      </c>
      <c r="E50" s="13">
        <v>45.4</v>
      </c>
      <c r="F50" s="13">
        <v>45.2</v>
      </c>
      <c r="G50" s="13">
        <v>3</v>
      </c>
      <c r="H50" s="13">
        <f>33+13+11</f>
        <v>57</v>
      </c>
    </row>
    <row r="51" spans="1:8" ht="12.75">
      <c r="A51" s="3" t="s">
        <v>11</v>
      </c>
      <c r="B51" s="13">
        <v>103</v>
      </c>
      <c r="C51" s="13">
        <v>22</v>
      </c>
      <c r="D51" s="13">
        <v>3.5</v>
      </c>
      <c r="E51" s="13">
        <v>42.9</v>
      </c>
      <c r="F51" s="13">
        <v>45.2</v>
      </c>
      <c r="G51" s="13">
        <v>8</v>
      </c>
      <c r="H51" s="13">
        <f>26+1+12+8+12+11+11+8+6</f>
        <v>95</v>
      </c>
    </row>
    <row r="52" spans="1:8" ht="12.75">
      <c r="A52" s="3" t="s">
        <v>11</v>
      </c>
      <c r="B52" s="13">
        <v>86</v>
      </c>
      <c r="C52" s="13">
        <v>14</v>
      </c>
      <c r="D52" s="13">
        <v>3.1</v>
      </c>
      <c r="E52" s="13">
        <v>43</v>
      </c>
      <c r="F52" s="13">
        <v>41.6</v>
      </c>
      <c r="G52" s="13">
        <v>2</v>
      </c>
      <c r="H52" s="13">
        <f>8+9</f>
        <v>17</v>
      </c>
    </row>
    <row r="53" spans="1:8" ht="12.75">
      <c r="A53" s="12" t="s">
        <v>11</v>
      </c>
      <c r="B53" s="12">
        <v>92</v>
      </c>
      <c r="C53" s="12">
        <v>15</v>
      </c>
      <c r="D53" s="12">
        <v>3.5</v>
      </c>
      <c r="E53" s="12">
        <v>42.3</v>
      </c>
      <c r="F53" s="12">
        <v>49.9</v>
      </c>
      <c r="G53" s="12">
        <v>4</v>
      </c>
      <c r="H53" s="12">
        <v>46</v>
      </c>
    </row>
    <row r="54" spans="1:8" ht="12.75">
      <c r="A54" s="12" t="s">
        <v>11</v>
      </c>
      <c r="B54" s="12">
        <v>90</v>
      </c>
      <c r="C54" s="12">
        <v>15</v>
      </c>
      <c r="D54" s="12">
        <v>3.2</v>
      </c>
      <c r="E54" s="12">
        <v>42.3</v>
      </c>
      <c r="F54" s="12">
        <v>56.3</v>
      </c>
      <c r="G54" s="12">
        <v>4</v>
      </c>
      <c r="H54" s="12">
        <v>50</v>
      </c>
    </row>
    <row r="55" spans="1:8" ht="12.75">
      <c r="A55" s="12" t="s">
        <v>11</v>
      </c>
      <c r="B55" s="12">
        <v>88</v>
      </c>
      <c r="C55" s="12">
        <v>14</v>
      </c>
      <c r="D55" s="12">
        <v>3.8</v>
      </c>
      <c r="E55" s="12">
        <v>39.299999999999997</v>
      </c>
      <c r="F55" s="12">
        <v>47.3</v>
      </c>
      <c r="G55" s="12">
        <v>3</v>
      </c>
      <c r="H55" s="12">
        <v>33</v>
      </c>
    </row>
    <row r="56" spans="1:8" ht="12.75">
      <c r="A56" s="12" t="s">
        <v>11</v>
      </c>
      <c r="B56" s="12">
        <v>84</v>
      </c>
      <c r="C56" s="12">
        <v>15</v>
      </c>
      <c r="D56" s="12">
        <v>3.5</v>
      </c>
      <c r="E56" s="12">
        <v>43.7</v>
      </c>
      <c r="F56" s="12">
        <v>42.1</v>
      </c>
      <c r="G56" s="12">
        <v>2</v>
      </c>
      <c r="H56" s="12">
        <f>10+6</f>
        <v>16</v>
      </c>
    </row>
    <row r="57" spans="1:8" ht="12.75">
      <c r="A57" s="12" t="s">
        <v>11</v>
      </c>
      <c r="B57" s="12">
        <v>72</v>
      </c>
      <c r="C57" s="12">
        <v>13</v>
      </c>
      <c r="D57" s="12">
        <v>3.5</v>
      </c>
      <c r="E57" s="12">
        <v>43.5</v>
      </c>
      <c r="F57" s="12">
        <v>43.2</v>
      </c>
      <c r="G57" s="12">
        <v>2</v>
      </c>
      <c r="H57" s="12">
        <f>9+7</f>
        <v>16</v>
      </c>
    </row>
    <row r="58" spans="1:8" ht="12.75">
      <c r="A58" s="12" t="s">
        <v>11</v>
      </c>
      <c r="B58" s="12">
        <v>95</v>
      </c>
      <c r="C58" s="12">
        <v>14</v>
      </c>
      <c r="D58" s="12">
        <v>2.8</v>
      </c>
      <c r="E58" s="12">
        <v>42.9</v>
      </c>
      <c r="F58" s="12">
        <v>42.5</v>
      </c>
      <c r="G58" s="12">
        <v>2</v>
      </c>
      <c r="H58" s="12">
        <f>10+7</f>
        <v>17</v>
      </c>
    </row>
    <row r="59" spans="1:8" ht="14.25">
      <c r="A59" s="15" t="s">
        <v>11</v>
      </c>
      <c r="B59" s="46">
        <v>91</v>
      </c>
      <c r="C59" s="15">
        <v>18</v>
      </c>
      <c r="D59" s="46">
        <v>3.2</v>
      </c>
      <c r="E59" s="46">
        <v>38.700000000000003</v>
      </c>
      <c r="F59" s="46">
        <v>57.1</v>
      </c>
      <c r="G59" s="46">
        <v>4</v>
      </c>
      <c r="H59" s="15">
        <v>93</v>
      </c>
    </row>
    <row r="60" spans="1:8" ht="14.25">
      <c r="A60" s="15" t="s">
        <v>11</v>
      </c>
      <c r="B60" s="46">
        <v>92</v>
      </c>
      <c r="C60" s="15">
        <v>19</v>
      </c>
      <c r="D60" s="46">
        <v>3.9</v>
      </c>
      <c r="E60" s="46">
        <v>35.6</v>
      </c>
      <c r="F60" s="46">
        <v>53</v>
      </c>
      <c r="G60" s="46">
        <v>3</v>
      </c>
      <c r="H60" s="15">
        <v>43</v>
      </c>
    </row>
    <row r="61" spans="1:8" ht="14.25">
      <c r="A61" s="15" t="s">
        <v>11</v>
      </c>
      <c r="B61" s="46">
        <v>87</v>
      </c>
      <c r="C61" s="15">
        <v>21</v>
      </c>
      <c r="D61" s="46">
        <v>3.7</v>
      </c>
      <c r="E61" s="46">
        <v>39.700000000000003</v>
      </c>
      <c r="F61" s="46">
        <v>50.6</v>
      </c>
      <c r="G61" s="46">
        <v>4</v>
      </c>
      <c r="H61" s="15">
        <v>12</v>
      </c>
    </row>
    <row r="62" spans="1:8" ht="14.25">
      <c r="A62" s="16" t="s">
        <v>11</v>
      </c>
      <c r="B62" s="47">
        <v>83.5</v>
      </c>
      <c r="C62" s="16">
        <v>13</v>
      </c>
      <c r="D62" s="47">
        <v>4.8</v>
      </c>
      <c r="E62" s="47">
        <v>38.1</v>
      </c>
      <c r="F62" s="47">
        <v>50.3</v>
      </c>
      <c r="G62" s="47">
        <v>5</v>
      </c>
      <c r="H62" s="16">
        <v>39</v>
      </c>
    </row>
    <row r="63" spans="1:8" ht="14.25">
      <c r="A63" s="16" t="s">
        <v>11</v>
      </c>
      <c r="B63" s="47">
        <v>96</v>
      </c>
      <c r="C63" s="16">
        <v>17</v>
      </c>
      <c r="D63" s="47">
        <v>4.8</v>
      </c>
      <c r="E63" s="47">
        <v>38.9</v>
      </c>
      <c r="F63" s="47">
        <v>55.5</v>
      </c>
      <c r="G63" s="47">
        <v>5</v>
      </c>
      <c r="H63" s="16">
        <v>46</v>
      </c>
    </row>
    <row r="64" spans="1:8" ht="14.25">
      <c r="A64" s="16" t="s">
        <v>11</v>
      </c>
      <c r="B64" s="47">
        <v>77</v>
      </c>
      <c r="C64" s="16">
        <v>16</v>
      </c>
      <c r="D64" s="47">
        <v>4</v>
      </c>
      <c r="E64" s="47">
        <v>43.3</v>
      </c>
      <c r="F64" s="47">
        <v>49.8</v>
      </c>
      <c r="G64" s="47">
        <v>5</v>
      </c>
      <c r="H64" s="16">
        <v>50</v>
      </c>
    </row>
    <row r="65" spans="1:8" ht="12.75">
      <c r="A65" s="3" t="s">
        <v>9</v>
      </c>
      <c r="B65" s="3">
        <v>99</v>
      </c>
      <c r="C65" s="3">
        <v>16</v>
      </c>
      <c r="D65" s="3">
        <v>3</v>
      </c>
      <c r="E65" s="3">
        <v>38.6</v>
      </c>
      <c r="F65" s="3">
        <v>30</v>
      </c>
      <c r="G65" s="3">
        <v>2</v>
      </c>
      <c r="H65" s="3">
        <f>16+21</f>
        <v>37</v>
      </c>
    </row>
    <row r="66" spans="1:8" ht="12.75">
      <c r="A66" s="3" t="s">
        <v>9</v>
      </c>
      <c r="B66" s="3">
        <v>76</v>
      </c>
      <c r="C66" s="3">
        <v>15</v>
      </c>
      <c r="D66" s="3">
        <v>3.6</v>
      </c>
      <c r="E66" s="3">
        <v>43</v>
      </c>
      <c r="F66" s="3">
        <v>41.2</v>
      </c>
      <c r="G66" s="3">
        <v>2</v>
      </c>
      <c r="H66" s="3">
        <f>19+7</f>
        <v>26</v>
      </c>
    </row>
    <row r="67" spans="1:8" ht="12.75">
      <c r="A67" s="12" t="s">
        <v>9</v>
      </c>
      <c r="B67" s="12">
        <v>88.5</v>
      </c>
      <c r="C67" s="12">
        <v>15</v>
      </c>
      <c r="D67" s="12">
        <v>4.4000000000000004</v>
      </c>
      <c r="E67" s="12">
        <v>45.1</v>
      </c>
      <c r="F67" s="12">
        <v>42.9</v>
      </c>
      <c r="G67" s="12">
        <v>4</v>
      </c>
      <c r="H67" s="12">
        <f>7+6+8+4</f>
        <v>25</v>
      </c>
    </row>
    <row r="68" spans="1:8" ht="12.75">
      <c r="A68" s="12" t="s">
        <v>9</v>
      </c>
      <c r="B68" s="12">
        <v>87.1</v>
      </c>
      <c r="C68" s="12">
        <v>12</v>
      </c>
      <c r="D68" s="12">
        <v>4.3</v>
      </c>
      <c r="E68" s="12">
        <v>46.2</v>
      </c>
      <c r="F68" s="12">
        <v>41.4</v>
      </c>
      <c r="G68" s="12">
        <v>3</v>
      </c>
      <c r="H68" s="12">
        <f>17+14+7</f>
        <v>38</v>
      </c>
    </row>
    <row r="69" spans="1:8" ht="12.75">
      <c r="A69" s="12" t="s">
        <v>9</v>
      </c>
      <c r="B69" s="12">
        <v>86.3</v>
      </c>
      <c r="C69" s="12">
        <v>16</v>
      </c>
      <c r="D69" s="12">
        <v>4.2</v>
      </c>
      <c r="E69" s="12">
        <v>45.7</v>
      </c>
      <c r="F69" s="12">
        <v>40.299999999999997</v>
      </c>
      <c r="G69" s="12">
        <v>3</v>
      </c>
      <c r="H69" s="12">
        <f>13+15+5</f>
        <v>33</v>
      </c>
    </row>
    <row r="70" spans="1:8" ht="12.75">
      <c r="A70" s="3" t="s">
        <v>9</v>
      </c>
      <c r="B70" s="3">
        <v>89</v>
      </c>
      <c r="C70" s="3">
        <v>18</v>
      </c>
      <c r="D70" s="3">
        <v>3.7</v>
      </c>
      <c r="E70" s="3">
        <v>39.6</v>
      </c>
      <c r="F70" s="3">
        <v>43.9</v>
      </c>
      <c r="G70" s="3">
        <v>3</v>
      </c>
      <c r="H70" s="3">
        <f>11+12+11</f>
        <v>34</v>
      </c>
    </row>
    <row r="71" spans="1:8" ht="12.75">
      <c r="A71" s="3" t="s">
        <v>9</v>
      </c>
      <c r="B71" s="3">
        <v>93</v>
      </c>
      <c r="C71" s="3">
        <v>14</v>
      </c>
      <c r="D71" s="3">
        <v>2.8</v>
      </c>
      <c r="E71" s="20">
        <v>40.700000000000003</v>
      </c>
      <c r="F71" s="3">
        <v>48.6</v>
      </c>
      <c r="G71" s="3">
        <v>4</v>
      </c>
      <c r="H71" s="3">
        <f>14+13+12+8</f>
        <v>47</v>
      </c>
    </row>
    <row r="72" spans="1:8" ht="12.75">
      <c r="A72" s="3" t="s">
        <v>9</v>
      </c>
      <c r="B72" s="3">
        <v>97</v>
      </c>
      <c r="C72" s="3">
        <v>13</v>
      </c>
      <c r="D72" s="3">
        <v>2.9</v>
      </c>
      <c r="E72" s="3">
        <v>40.4</v>
      </c>
      <c r="F72" s="3">
        <v>43.2</v>
      </c>
      <c r="G72" s="3">
        <v>3</v>
      </c>
      <c r="H72" s="3">
        <f>12+12+9</f>
        <v>33</v>
      </c>
    </row>
    <row r="73" spans="1:8" ht="12.75">
      <c r="A73" s="3" t="s">
        <v>9</v>
      </c>
      <c r="B73" s="3">
        <v>90</v>
      </c>
      <c r="C73" s="3">
        <v>14</v>
      </c>
      <c r="D73" s="3">
        <v>3</v>
      </c>
      <c r="E73" s="3">
        <v>45.3</v>
      </c>
      <c r="F73" s="3">
        <v>45</v>
      </c>
      <c r="G73" s="3">
        <v>3</v>
      </c>
      <c r="H73" s="3">
        <f>SUM(7+10+10)</f>
        <v>27</v>
      </c>
    </row>
    <row r="74" spans="1:8" ht="12.75">
      <c r="A74" s="3" t="s">
        <v>9</v>
      </c>
      <c r="B74" s="3">
        <v>91</v>
      </c>
      <c r="C74" s="3">
        <v>14</v>
      </c>
      <c r="D74" s="3">
        <v>2.9</v>
      </c>
      <c r="E74" s="3">
        <v>46.2</v>
      </c>
      <c r="F74" s="3">
        <v>46.3</v>
      </c>
      <c r="G74" s="3">
        <v>2</v>
      </c>
      <c r="H74" s="3">
        <f>SUM(9+10)</f>
        <v>19</v>
      </c>
    </row>
    <row r="75" spans="1:8" ht="12.75">
      <c r="A75" s="3" t="s">
        <v>9</v>
      </c>
      <c r="B75" s="3">
        <v>92.5</v>
      </c>
      <c r="C75" s="3">
        <v>15</v>
      </c>
      <c r="D75" s="13">
        <v>2.95</v>
      </c>
      <c r="E75" s="3">
        <v>44</v>
      </c>
      <c r="F75" s="3">
        <v>45.2</v>
      </c>
      <c r="G75" s="3">
        <v>2</v>
      </c>
      <c r="H75" s="3">
        <f>SUM(7+15)</f>
        <v>22</v>
      </c>
    </row>
    <row r="76" spans="1:8" ht="14.25">
      <c r="A76" s="15" t="s">
        <v>9</v>
      </c>
      <c r="B76" s="46">
        <v>96</v>
      </c>
      <c r="C76" s="15">
        <v>17</v>
      </c>
      <c r="D76" s="46">
        <v>3.1</v>
      </c>
      <c r="E76" s="46">
        <v>34</v>
      </c>
      <c r="F76" s="46">
        <v>45</v>
      </c>
      <c r="G76" s="46">
        <v>1</v>
      </c>
      <c r="H76" s="15">
        <v>11</v>
      </c>
    </row>
    <row r="77" spans="1:8" ht="14.25">
      <c r="A77" s="15" t="s">
        <v>9</v>
      </c>
      <c r="B77" s="46">
        <v>83</v>
      </c>
      <c r="C77" s="15">
        <v>15</v>
      </c>
      <c r="D77" s="46">
        <v>3.9</v>
      </c>
      <c r="E77" s="46">
        <v>44.5</v>
      </c>
      <c r="F77" s="46">
        <v>43.1</v>
      </c>
      <c r="G77" s="46">
        <v>1</v>
      </c>
      <c r="H77" s="15">
        <v>14</v>
      </c>
    </row>
    <row r="78" spans="1:8" ht="14.25">
      <c r="A78" s="15" t="s">
        <v>9</v>
      </c>
      <c r="B78" s="46">
        <v>101</v>
      </c>
      <c r="C78" s="15">
        <v>17</v>
      </c>
      <c r="D78" s="46">
        <v>3.5</v>
      </c>
      <c r="E78" s="46">
        <v>39.5</v>
      </c>
      <c r="F78" s="46">
        <v>50.2</v>
      </c>
      <c r="G78" s="46">
        <v>4</v>
      </c>
      <c r="H78" s="15">
        <v>42</v>
      </c>
    </row>
    <row r="79" spans="1:8" ht="14.25">
      <c r="A79" s="16" t="s">
        <v>9</v>
      </c>
      <c r="B79" s="47">
        <v>109</v>
      </c>
      <c r="C79" s="16">
        <v>16</v>
      </c>
      <c r="D79" s="47">
        <v>3.2</v>
      </c>
      <c r="E79" s="47">
        <v>43.6</v>
      </c>
      <c r="F79" s="47">
        <v>59.4</v>
      </c>
      <c r="G79" s="47">
        <v>4</v>
      </c>
      <c r="H79" s="16">
        <v>42</v>
      </c>
    </row>
    <row r="80" spans="1:8" ht="14.25">
      <c r="A80" s="16" t="s">
        <v>9</v>
      </c>
      <c r="B80" s="47">
        <v>94</v>
      </c>
      <c r="C80" s="16">
        <v>15</v>
      </c>
      <c r="D80" s="47">
        <v>3</v>
      </c>
      <c r="E80" s="47">
        <v>43.1</v>
      </c>
      <c r="F80" s="47">
        <v>60.3</v>
      </c>
      <c r="G80" s="47">
        <v>2</v>
      </c>
      <c r="H80" s="16">
        <v>40</v>
      </c>
    </row>
    <row r="81" spans="1:8" ht="14.25">
      <c r="A81" s="16" t="s">
        <v>9</v>
      </c>
      <c r="B81" s="47">
        <v>94</v>
      </c>
      <c r="C81" s="16">
        <v>18</v>
      </c>
      <c r="D81" s="47">
        <v>3</v>
      </c>
      <c r="E81" s="47">
        <v>42.4</v>
      </c>
      <c r="F81" s="47">
        <v>58.8</v>
      </c>
      <c r="G81" s="47">
        <v>5</v>
      </c>
      <c r="H81" s="16">
        <v>68</v>
      </c>
    </row>
    <row r="82" spans="1:8" ht="14.25">
      <c r="A82" s="15" t="s">
        <v>9</v>
      </c>
      <c r="B82" s="46">
        <v>94</v>
      </c>
      <c r="C82" s="15">
        <v>15</v>
      </c>
      <c r="D82" s="46">
        <v>2.6</v>
      </c>
      <c r="E82" s="46">
        <v>33.5</v>
      </c>
      <c r="F82" s="46">
        <v>49.8</v>
      </c>
      <c r="G82" s="46">
        <v>2</v>
      </c>
      <c r="H82" s="15">
        <v>10</v>
      </c>
    </row>
    <row r="83" spans="1:8" ht="14.25">
      <c r="A83" s="15" t="s">
        <v>9</v>
      </c>
      <c r="B83" s="46">
        <v>84</v>
      </c>
      <c r="C83" s="15">
        <v>15</v>
      </c>
      <c r="D83" s="46">
        <v>3</v>
      </c>
      <c r="E83" s="46">
        <v>40</v>
      </c>
      <c r="F83" s="46">
        <v>55.6</v>
      </c>
      <c r="G83" s="46">
        <v>3</v>
      </c>
      <c r="H83" s="15">
        <v>33</v>
      </c>
    </row>
    <row r="84" spans="1:8" ht="14.25">
      <c r="A84" s="15" t="s">
        <v>9</v>
      </c>
      <c r="B84" s="46">
        <v>93</v>
      </c>
      <c r="C84" s="15">
        <v>18</v>
      </c>
      <c r="D84" s="46">
        <v>3</v>
      </c>
      <c r="E84" s="46">
        <v>46.1</v>
      </c>
      <c r="F84" s="46">
        <v>59.1</v>
      </c>
      <c r="G84" s="46">
        <v>4</v>
      </c>
      <c r="H84" s="15">
        <v>52</v>
      </c>
    </row>
    <row r="85" spans="1:8" ht="14.25">
      <c r="A85" s="16" t="s">
        <v>9</v>
      </c>
      <c r="B85" s="47">
        <v>81</v>
      </c>
      <c r="C85" s="16">
        <v>17</v>
      </c>
      <c r="D85" s="47">
        <v>4</v>
      </c>
      <c r="E85" s="47">
        <v>36.200000000000003</v>
      </c>
      <c r="F85" s="47">
        <v>50.3</v>
      </c>
      <c r="G85" s="47">
        <v>4</v>
      </c>
      <c r="H85" s="16">
        <v>39</v>
      </c>
    </row>
    <row r="86" spans="1:8" ht="14.25">
      <c r="A86" s="16" t="s">
        <v>9</v>
      </c>
      <c r="B86" s="47">
        <v>82</v>
      </c>
      <c r="C86" s="16">
        <v>14</v>
      </c>
      <c r="D86" s="47">
        <v>4</v>
      </c>
      <c r="E86" s="47">
        <v>44</v>
      </c>
      <c r="F86" s="47">
        <v>49.4</v>
      </c>
      <c r="G86" s="47">
        <v>3</v>
      </c>
      <c r="H86" s="16">
        <v>23</v>
      </c>
    </row>
    <row r="87" spans="1:8" ht="14.25">
      <c r="A87" s="16" t="s">
        <v>9</v>
      </c>
      <c r="B87" s="47">
        <v>85</v>
      </c>
      <c r="C87" s="16">
        <v>19</v>
      </c>
      <c r="D87" s="47">
        <v>4.3</v>
      </c>
      <c r="E87" s="47">
        <v>39.4</v>
      </c>
      <c r="F87" s="47">
        <v>49.8</v>
      </c>
      <c r="G87" s="47">
        <v>4</v>
      </c>
      <c r="H87" s="16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9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sheetData>
    <row r="1" spans="1:10" ht="15.75" customHeight="1">
      <c r="A1" s="21" t="s">
        <v>0</v>
      </c>
      <c r="B1" s="21" t="s">
        <v>1</v>
      </c>
      <c r="C1" s="1" t="s">
        <v>2</v>
      </c>
      <c r="D1" s="1" t="s">
        <v>3</v>
      </c>
      <c r="E1" s="1" t="s">
        <v>19</v>
      </c>
      <c r="F1" s="22" t="s">
        <v>20</v>
      </c>
      <c r="G1" s="22" t="s">
        <v>21</v>
      </c>
      <c r="H1" s="22" t="s">
        <v>22</v>
      </c>
      <c r="I1" s="22" t="s">
        <v>23</v>
      </c>
      <c r="J1" s="22" t="s">
        <v>24</v>
      </c>
    </row>
    <row r="2" spans="1:10">
      <c r="A2" s="23" t="s">
        <v>4</v>
      </c>
      <c r="B2" s="23" t="s">
        <v>5</v>
      </c>
      <c r="C2" s="3">
        <v>122</v>
      </c>
      <c r="D2" s="3">
        <v>20</v>
      </c>
      <c r="E2" s="3">
        <v>3</v>
      </c>
      <c r="F2" s="3">
        <v>45.6</v>
      </c>
      <c r="G2" s="3">
        <v>55.7</v>
      </c>
      <c r="H2" s="3">
        <v>5</v>
      </c>
      <c r="I2" s="3">
        <f>19+10+15+9+9</f>
        <v>62</v>
      </c>
      <c r="J2" s="3">
        <v>16</v>
      </c>
    </row>
    <row r="3" spans="1:10">
      <c r="A3" s="23" t="s">
        <v>4</v>
      </c>
      <c r="B3" s="23" t="s">
        <v>5</v>
      </c>
      <c r="C3" s="3">
        <v>102</v>
      </c>
      <c r="D3" s="3">
        <v>18</v>
      </c>
      <c r="E3" s="3">
        <v>3</v>
      </c>
      <c r="F3" s="3">
        <v>45.9</v>
      </c>
      <c r="G3" s="3">
        <v>49.9</v>
      </c>
      <c r="H3" s="3">
        <v>1</v>
      </c>
      <c r="I3" s="3">
        <v>9</v>
      </c>
      <c r="J3" s="3">
        <v>6</v>
      </c>
    </row>
    <row r="4" spans="1:10">
      <c r="A4" s="23" t="s">
        <v>4</v>
      </c>
      <c r="B4" s="23" t="s">
        <v>5</v>
      </c>
      <c r="C4" s="3">
        <v>112</v>
      </c>
      <c r="D4" s="3">
        <v>19</v>
      </c>
      <c r="E4" s="3">
        <v>3.2</v>
      </c>
      <c r="F4" s="3">
        <v>42.1</v>
      </c>
      <c r="G4" s="3">
        <v>53.3</v>
      </c>
      <c r="H4" s="3">
        <v>3</v>
      </c>
      <c r="I4" s="3">
        <f>8+9+7</f>
        <v>24</v>
      </c>
      <c r="J4" s="3">
        <v>3</v>
      </c>
    </row>
    <row r="5" spans="1:10">
      <c r="A5" s="24" t="s">
        <v>12</v>
      </c>
      <c r="B5" s="24" t="s">
        <v>5</v>
      </c>
      <c r="C5" s="12">
        <v>132</v>
      </c>
      <c r="D5" s="12">
        <v>20</v>
      </c>
      <c r="E5" s="12">
        <v>6.5</v>
      </c>
      <c r="F5" s="12">
        <v>49.1</v>
      </c>
      <c r="G5" s="12">
        <v>53.4</v>
      </c>
      <c r="H5" s="12">
        <v>2</v>
      </c>
      <c r="I5" s="12">
        <f>32+18</f>
        <v>50</v>
      </c>
      <c r="J5" s="12">
        <f>2+3</f>
        <v>5</v>
      </c>
    </row>
    <row r="6" spans="1:10">
      <c r="A6" s="24" t="s">
        <v>12</v>
      </c>
      <c r="B6" s="24" t="s">
        <v>5</v>
      </c>
      <c r="C6" s="12">
        <v>86</v>
      </c>
      <c r="D6" s="12">
        <v>12</v>
      </c>
      <c r="E6" s="12">
        <v>4.5</v>
      </c>
      <c r="F6" s="12">
        <v>57.2</v>
      </c>
      <c r="G6" s="12">
        <v>47.2</v>
      </c>
      <c r="H6" s="12">
        <v>2</v>
      </c>
      <c r="I6" s="12">
        <f>28+22</f>
        <v>50</v>
      </c>
      <c r="J6" s="12">
        <f>4+4</f>
        <v>8</v>
      </c>
    </row>
    <row r="7" spans="1:10">
      <c r="A7" s="24" t="s">
        <v>12</v>
      </c>
      <c r="B7" s="24" t="s">
        <v>5</v>
      </c>
      <c r="C7" s="12">
        <v>122</v>
      </c>
      <c r="D7" s="12">
        <v>16</v>
      </c>
      <c r="E7" s="12">
        <v>5</v>
      </c>
      <c r="F7" s="12">
        <v>53.2</v>
      </c>
      <c r="G7" s="12">
        <v>48.5</v>
      </c>
      <c r="H7" s="12">
        <v>2</v>
      </c>
      <c r="I7" s="12">
        <f>14+9</f>
        <v>23</v>
      </c>
      <c r="J7" s="12">
        <f>1+0</f>
        <v>1</v>
      </c>
    </row>
    <row r="8" spans="1:10">
      <c r="A8" s="23" t="s">
        <v>16</v>
      </c>
      <c r="B8" s="23" t="s">
        <v>5</v>
      </c>
      <c r="C8" s="3">
        <v>109</v>
      </c>
      <c r="D8" s="3">
        <v>20</v>
      </c>
      <c r="E8" s="3">
        <v>5</v>
      </c>
      <c r="F8" s="3">
        <v>62.3</v>
      </c>
      <c r="G8" s="3">
        <v>40.700000000000003</v>
      </c>
      <c r="H8" s="3">
        <v>4</v>
      </c>
      <c r="I8" s="3">
        <v>50</v>
      </c>
      <c r="J8" s="3">
        <v>7</v>
      </c>
    </row>
    <row r="9" spans="1:10">
      <c r="A9" s="23" t="s">
        <v>16</v>
      </c>
      <c r="B9" s="23" t="s">
        <v>5</v>
      </c>
      <c r="C9" s="3">
        <v>106</v>
      </c>
      <c r="D9" s="3">
        <v>21</v>
      </c>
      <c r="E9" s="3">
        <v>3.3</v>
      </c>
      <c r="F9" s="3">
        <v>57.5</v>
      </c>
      <c r="G9" s="3">
        <v>43.4</v>
      </c>
      <c r="H9" s="3">
        <v>9</v>
      </c>
      <c r="I9" s="3">
        <v>71</v>
      </c>
      <c r="J9" s="3">
        <v>1</v>
      </c>
    </row>
    <row r="10" spans="1:10">
      <c r="A10" s="23" t="s">
        <v>16</v>
      </c>
      <c r="B10" s="23" t="s">
        <v>5</v>
      </c>
      <c r="C10" s="3">
        <v>117</v>
      </c>
      <c r="D10" s="3">
        <v>17</v>
      </c>
      <c r="E10" s="3">
        <v>3.5</v>
      </c>
      <c r="F10" s="3">
        <v>60.8</v>
      </c>
      <c r="G10" s="3">
        <v>46.5</v>
      </c>
      <c r="H10" s="3">
        <v>7</v>
      </c>
      <c r="I10" s="3">
        <v>97</v>
      </c>
      <c r="J10" s="3">
        <v>4</v>
      </c>
    </row>
    <row r="11" spans="1:10">
      <c r="A11" s="24" t="s">
        <v>17</v>
      </c>
      <c r="B11" s="24" t="s">
        <v>5</v>
      </c>
      <c r="C11" s="12">
        <v>121</v>
      </c>
      <c r="D11" s="12">
        <v>16</v>
      </c>
      <c r="E11" s="12">
        <v>3.98</v>
      </c>
      <c r="F11" s="12">
        <v>53.6</v>
      </c>
      <c r="G11" s="12">
        <v>44</v>
      </c>
      <c r="H11" s="12">
        <v>5</v>
      </c>
      <c r="I11" s="12">
        <f>12+13+14+14+18</f>
        <v>71</v>
      </c>
      <c r="J11" s="12">
        <v>0</v>
      </c>
    </row>
    <row r="12" spans="1:10">
      <c r="A12" s="24" t="s">
        <v>17</v>
      </c>
      <c r="B12" s="24" t="s">
        <v>5</v>
      </c>
      <c r="C12" s="12">
        <v>117</v>
      </c>
      <c r="D12" s="12">
        <v>17</v>
      </c>
      <c r="E12" s="12">
        <v>3.01</v>
      </c>
      <c r="F12" s="12">
        <v>41.9</v>
      </c>
      <c r="G12" s="12">
        <v>51.4</v>
      </c>
      <c r="H12" s="12">
        <v>4</v>
      </c>
      <c r="I12" s="12">
        <f>20+14+9+15</f>
        <v>58</v>
      </c>
      <c r="J12" s="12">
        <v>3</v>
      </c>
    </row>
    <row r="13" spans="1:10">
      <c r="A13" s="24" t="s">
        <v>17</v>
      </c>
      <c r="B13" s="24" t="s">
        <v>5</v>
      </c>
      <c r="C13" s="12">
        <v>137</v>
      </c>
      <c r="D13" s="12">
        <v>18</v>
      </c>
      <c r="E13" s="12">
        <v>4.62</v>
      </c>
      <c r="F13" s="12">
        <v>48.2</v>
      </c>
      <c r="G13" s="12">
        <v>49.2</v>
      </c>
      <c r="H13" s="12">
        <v>6</v>
      </c>
      <c r="I13" s="12">
        <f>9+19+11+11+20+15</f>
        <v>85</v>
      </c>
      <c r="J13" s="12">
        <v>7</v>
      </c>
    </row>
    <row r="14" spans="1:10">
      <c r="A14" s="23" t="s">
        <v>13</v>
      </c>
      <c r="B14" s="23" t="s">
        <v>5</v>
      </c>
      <c r="C14" s="3">
        <v>116</v>
      </c>
      <c r="D14" s="3">
        <v>20</v>
      </c>
      <c r="E14" s="3">
        <v>4.9000000000000004</v>
      </c>
      <c r="F14" s="3">
        <v>42.8</v>
      </c>
      <c r="G14" s="3">
        <v>56.2</v>
      </c>
      <c r="H14" s="3">
        <v>7</v>
      </c>
      <c r="I14" s="3">
        <f>20+12+6+23+11+6+4</f>
        <v>82</v>
      </c>
      <c r="J14" s="3">
        <v>1</v>
      </c>
    </row>
    <row r="15" spans="1:10">
      <c r="A15" s="23" t="s">
        <v>13</v>
      </c>
      <c r="B15" s="23" t="s">
        <v>5</v>
      </c>
      <c r="C15" s="3">
        <v>128</v>
      </c>
      <c r="D15" s="3">
        <v>20</v>
      </c>
      <c r="E15" s="3">
        <v>4.5999999999999996</v>
      </c>
      <c r="F15" s="3">
        <v>46.8</v>
      </c>
      <c r="G15" s="3">
        <v>60.9</v>
      </c>
      <c r="H15" s="3">
        <v>6</v>
      </c>
      <c r="I15" s="3">
        <f>23+12+10+6+10+5</f>
        <v>66</v>
      </c>
      <c r="J15" s="3">
        <v>4</v>
      </c>
    </row>
    <row r="16" spans="1:10">
      <c r="A16" s="23" t="s">
        <v>13</v>
      </c>
      <c r="B16" s="23" t="s">
        <v>5</v>
      </c>
      <c r="C16" s="3">
        <v>123</v>
      </c>
      <c r="D16" s="3">
        <v>21</v>
      </c>
      <c r="E16" s="3">
        <v>5.0999999999999996</v>
      </c>
      <c r="F16" s="3">
        <v>42.9</v>
      </c>
      <c r="G16" s="3">
        <v>54.1</v>
      </c>
      <c r="H16" s="3">
        <v>6</v>
      </c>
      <c r="I16" s="3">
        <f>11+12+11+13+12+13</f>
        <v>72</v>
      </c>
      <c r="J16" s="3">
        <v>5</v>
      </c>
    </row>
    <row r="17" spans="1:10">
      <c r="A17" s="24" t="s">
        <v>14</v>
      </c>
      <c r="B17" s="24" t="s">
        <v>5</v>
      </c>
      <c r="C17" s="12">
        <v>102</v>
      </c>
      <c r="D17" s="12">
        <v>23</v>
      </c>
      <c r="E17" s="12">
        <v>4.2</v>
      </c>
      <c r="F17" s="12">
        <v>42.9</v>
      </c>
      <c r="G17" s="12">
        <v>53.1</v>
      </c>
      <c r="H17" s="12">
        <f>1+1+1+1+1</f>
        <v>5</v>
      </c>
      <c r="I17" s="12">
        <f>11+12+13+11+11</f>
        <v>58</v>
      </c>
      <c r="J17" s="12">
        <v>6</v>
      </c>
    </row>
    <row r="18" spans="1:10">
      <c r="A18" s="24" t="s">
        <v>14</v>
      </c>
      <c r="B18" s="24" t="s">
        <v>5</v>
      </c>
      <c r="C18" s="12">
        <v>96</v>
      </c>
      <c r="D18" s="12">
        <v>21</v>
      </c>
      <c r="E18" s="12">
        <v>4.4000000000000004</v>
      </c>
      <c r="F18" s="12">
        <v>36.299999999999997</v>
      </c>
      <c r="G18" s="12">
        <v>58.1</v>
      </c>
      <c r="H18" s="12">
        <f>1+1+1+1</f>
        <v>4</v>
      </c>
      <c r="I18" s="12">
        <f>12+12+12+12</f>
        <v>48</v>
      </c>
      <c r="J18" s="12">
        <v>0</v>
      </c>
    </row>
    <row r="19" spans="1:10">
      <c r="A19" s="24" t="s">
        <v>14</v>
      </c>
      <c r="B19" s="24" t="s">
        <v>5</v>
      </c>
      <c r="C19" s="12">
        <v>101</v>
      </c>
      <c r="D19" s="12">
        <v>19</v>
      </c>
      <c r="E19" s="12">
        <v>4.5</v>
      </c>
      <c r="F19" s="12">
        <v>49.4</v>
      </c>
      <c r="G19" s="12">
        <v>57.1</v>
      </c>
      <c r="H19" s="12">
        <f>1+1+1+1+1</f>
        <v>5</v>
      </c>
      <c r="I19" s="12">
        <f>10+13+12+11+12</f>
        <v>58</v>
      </c>
      <c r="J19" s="12">
        <v>2</v>
      </c>
    </row>
    <row r="20" spans="1:10">
      <c r="A20" s="24" t="s">
        <v>15</v>
      </c>
      <c r="B20" s="24" t="s">
        <v>5</v>
      </c>
      <c r="C20" s="12">
        <v>98</v>
      </c>
      <c r="D20" s="12">
        <v>18</v>
      </c>
      <c r="E20" s="12">
        <v>3.6</v>
      </c>
      <c r="F20" s="12">
        <v>42</v>
      </c>
      <c r="G20" s="12">
        <v>64</v>
      </c>
      <c r="H20" s="12">
        <v>6</v>
      </c>
      <c r="I20" s="12">
        <f>9 + 16 + 17 + 12 + 17 + 21</f>
        <v>92</v>
      </c>
      <c r="J20" s="12">
        <f>5 + 4</f>
        <v>9</v>
      </c>
    </row>
    <row r="21" spans="1:10">
      <c r="A21" s="24" t="s">
        <v>15</v>
      </c>
      <c r="B21" s="24" t="s">
        <v>5</v>
      </c>
      <c r="C21" s="12">
        <v>104</v>
      </c>
      <c r="D21" s="12">
        <v>16</v>
      </c>
      <c r="E21" s="12">
        <v>3.2</v>
      </c>
      <c r="F21" s="12">
        <v>40.299999999999997</v>
      </c>
      <c r="G21" s="12">
        <v>60.1</v>
      </c>
      <c r="H21" s="12">
        <v>6</v>
      </c>
      <c r="I21" s="12">
        <f>15 + 1 + 12 + 28 + 12 + 10</f>
        <v>78</v>
      </c>
      <c r="J21" s="12">
        <f>2</f>
        <v>2</v>
      </c>
    </row>
    <row r="22" spans="1:10">
      <c r="A22" s="24" t="s">
        <v>15</v>
      </c>
      <c r="B22" s="24" t="s">
        <v>5</v>
      </c>
      <c r="C22" s="12">
        <v>108</v>
      </c>
      <c r="D22" s="12">
        <v>17</v>
      </c>
      <c r="E22" s="12">
        <v>3.8</v>
      </c>
      <c r="F22" s="12">
        <v>44.9</v>
      </c>
      <c r="G22" s="12">
        <v>61.9</v>
      </c>
      <c r="H22" s="12">
        <v>3</v>
      </c>
      <c r="I22" s="12">
        <f>13 + 11 + 7</f>
        <v>31</v>
      </c>
      <c r="J22" s="12">
        <f>3</f>
        <v>3</v>
      </c>
    </row>
    <row r="23" spans="1:10">
      <c r="A23" s="23" t="s">
        <v>18</v>
      </c>
      <c r="B23" s="23" t="s">
        <v>5</v>
      </c>
      <c r="C23" s="3">
        <v>108</v>
      </c>
      <c r="D23" s="3">
        <v>20</v>
      </c>
      <c r="E23" s="3">
        <v>3.5</v>
      </c>
      <c r="F23" s="3">
        <v>41.5</v>
      </c>
      <c r="G23" s="3">
        <v>53.5</v>
      </c>
      <c r="H23" s="3">
        <v>7</v>
      </c>
      <c r="I23" s="3">
        <v>67</v>
      </c>
      <c r="J23" s="3">
        <v>3</v>
      </c>
    </row>
    <row r="24" spans="1:10">
      <c r="A24" s="23" t="s">
        <v>18</v>
      </c>
      <c r="B24" s="23" t="s">
        <v>5</v>
      </c>
      <c r="C24" s="3">
        <v>110</v>
      </c>
      <c r="D24" s="3">
        <v>21</v>
      </c>
      <c r="E24" s="3">
        <v>4.2</v>
      </c>
      <c r="F24" s="3">
        <v>43.5</v>
      </c>
      <c r="G24" s="3">
        <v>58.4</v>
      </c>
      <c r="H24" s="3">
        <v>8</v>
      </c>
      <c r="I24" s="3">
        <v>51</v>
      </c>
      <c r="J24" s="3">
        <v>2</v>
      </c>
    </row>
    <row r="25" spans="1:10">
      <c r="A25" s="23" t="s">
        <v>18</v>
      </c>
      <c r="B25" s="23" t="s">
        <v>5</v>
      </c>
      <c r="C25" s="13">
        <v>109</v>
      </c>
      <c r="D25" s="13">
        <v>20</v>
      </c>
      <c r="E25" s="13">
        <v>4.5999999999999996</v>
      </c>
      <c r="F25" s="3">
        <v>41.8</v>
      </c>
      <c r="G25" s="3">
        <v>52.3</v>
      </c>
      <c r="H25" s="3">
        <v>7</v>
      </c>
      <c r="I25" s="3">
        <v>58</v>
      </c>
      <c r="J25" s="3">
        <v>2</v>
      </c>
    </row>
    <row r="26" spans="1:10">
      <c r="A26" s="23" t="s">
        <v>12</v>
      </c>
      <c r="B26" s="23" t="s">
        <v>10</v>
      </c>
      <c r="C26" s="3">
        <v>126</v>
      </c>
      <c r="D26" s="3">
        <v>22</v>
      </c>
      <c r="E26" s="3">
        <v>4.5</v>
      </c>
      <c r="F26" s="3">
        <v>49.6</v>
      </c>
      <c r="G26" s="3">
        <v>47.1</v>
      </c>
      <c r="H26" s="3">
        <v>5</v>
      </c>
      <c r="I26" s="3">
        <v>47</v>
      </c>
      <c r="J26" s="3">
        <v>7</v>
      </c>
    </row>
    <row r="27" spans="1:10">
      <c r="A27" s="23" t="s">
        <v>12</v>
      </c>
      <c r="B27" s="23" t="s">
        <v>10</v>
      </c>
      <c r="C27" s="3">
        <v>78</v>
      </c>
      <c r="D27" s="3">
        <v>13</v>
      </c>
      <c r="E27" s="3">
        <v>4</v>
      </c>
      <c r="F27" s="3">
        <v>48</v>
      </c>
      <c r="G27" s="3">
        <v>55.4</v>
      </c>
      <c r="H27" s="3">
        <v>1</v>
      </c>
      <c r="I27" s="3">
        <v>24</v>
      </c>
      <c r="J27" s="3">
        <v>3</v>
      </c>
    </row>
    <row r="28" spans="1:10">
      <c r="A28" s="23" t="s">
        <v>12</v>
      </c>
      <c r="B28" s="23" t="s">
        <v>10</v>
      </c>
      <c r="C28" s="3">
        <v>111</v>
      </c>
      <c r="D28" s="3">
        <v>20</v>
      </c>
      <c r="E28" s="3">
        <v>4.5</v>
      </c>
      <c r="F28" s="3">
        <v>44.5</v>
      </c>
      <c r="G28" s="3">
        <v>41.4</v>
      </c>
      <c r="H28" s="3">
        <v>5</v>
      </c>
      <c r="I28" s="3">
        <v>50</v>
      </c>
      <c r="J28" s="3">
        <v>0</v>
      </c>
    </row>
    <row r="29" spans="1:10">
      <c r="A29" s="24" t="s">
        <v>13</v>
      </c>
      <c r="B29" s="24" t="s">
        <v>10</v>
      </c>
      <c r="C29" s="12">
        <v>96</v>
      </c>
      <c r="D29" s="12">
        <v>20</v>
      </c>
      <c r="E29" s="12">
        <v>6.5</v>
      </c>
      <c r="F29" s="12">
        <v>45.2</v>
      </c>
      <c r="G29" s="12">
        <v>42.5</v>
      </c>
      <c r="H29" s="12">
        <v>7</v>
      </c>
      <c r="I29" s="12">
        <f>10+6+14+13+13+10+7</f>
        <v>73</v>
      </c>
      <c r="J29" s="12">
        <v>0</v>
      </c>
    </row>
    <row r="30" spans="1:10">
      <c r="A30" s="24" t="s">
        <v>13</v>
      </c>
      <c r="B30" s="24" t="s">
        <v>10</v>
      </c>
      <c r="C30" s="12">
        <v>122</v>
      </c>
      <c r="D30" s="12">
        <v>18</v>
      </c>
      <c r="E30" s="12">
        <v>4.5999999999999996</v>
      </c>
      <c r="F30" s="12">
        <v>41.6</v>
      </c>
      <c r="G30" s="12">
        <v>44.2</v>
      </c>
      <c r="H30" s="12">
        <v>4</v>
      </c>
      <c r="I30" s="12">
        <f>15+7+9+10</f>
        <v>41</v>
      </c>
      <c r="J30" s="12">
        <v>0</v>
      </c>
    </row>
    <row r="31" spans="1:10" ht="12.75">
      <c r="A31" s="24" t="s">
        <v>13</v>
      </c>
      <c r="B31" s="24" t="s">
        <v>10</v>
      </c>
      <c r="C31" s="12">
        <v>112</v>
      </c>
      <c r="D31" s="12">
        <v>21</v>
      </c>
      <c r="E31" s="12">
        <v>4.3</v>
      </c>
      <c r="F31" s="12">
        <v>44.7</v>
      </c>
      <c r="G31" s="12">
        <v>38.799999999999997</v>
      </c>
      <c r="H31" s="12">
        <v>5</v>
      </c>
      <c r="I31" s="12">
        <f>11+9+12+6+7</f>
        <v>45</v>
      </c>
      <c r="J31" s="12">
        <v>3</v>
      </c>
    </row>
    <row r="32" spans="1:10" ht="12.75">
      <c r="A32" s="24" t="s">
        <v>15</v>
      </c>
      <c r="B32" s="24" t="s">
        <v>10</v>
      </c>
      <c r="C32" s="12">
        <v>129.80000000000001</v>
      </c>
      <c r="D32" s="12">
        <v>18</v>
      </c>
      <c r="E32" s="12">
        <v>3.4</v>
      </c>
      <c r="F32" s="12">
        <v>45.9</v>
      </c>
      <c r="G32" s="12">
        <v>34.4</v>
      </c>
      <c r="H32" s="12">
        <v>5</v>
      </c>
      <c r="I32" s="12">
        <f>10+15+12+12+7</f>
        <v>56</v>
      </c>
      <c r="J32" s="12">
        <v>9</v>
      </c>
    </row>
    <row r="33" spans="1:10" ht="12.75">
      <c r="A33" s="24" t="s">
        <v>15</v>
      </c>
      <c r="B33" s="24" t="s">
        <v>10</v>
      </c>
      <c r="C33" s="12">
        <v>117.4</v>
      </c>
      <c r="D33" s="12">
        <v>17</v>
      </c>
      <c r="E33" s="12">
        <v>3.7</v>
      </c>
      <c r="F33" s="12">
        <v>43.4</v>
      </c>
      <c r="G33" s="12">
        <v>40.799999999999997</v>
      </c>
      <c r="H33" s="12">
        <v>6</v>
      </c>
      <c r="I33" s="12">
        <f>11+13+12+9+10+10</f>
        <v>65</v>
      </c>
      <c r="J33" s="12">
        <v>4</v>
      </c>
    </row>
    <row r="34" spans="1:10" ht="12.75">
      <c r="A34" s="24" t="s">
        <v>15</v>
      </c>
      <c r="B34" s="24" t="s">
        <v>10</v>
      </c>
      <c r="C34" s="12">
        <v>117.5</v>
      </c>
      <c r="D34" s="12">
        <v>19</v>
      </c>
      <c r="E34" s="12">
        <v>3.8</v>
      </c>
      <c r="F34" s="12">
        <v>39.9</v>
      </c>
      <c r="G34" s="12">
        <v>41.1</v>
      </c>
      <c r="H34" s="12">
        <v>6</v>
      </c>
      <c r="I34" s="12">
        <f>24+15+26+7+20+25</f>
        <v>117</v>
      </c>
      <c r="J34" s="12">
        <v>10</v>
      </c>
    </row>
    <row r="35" spans="1:10" ht="12.75">
      <c r="A35" s="24" t="s">
        <v>4</v>
      </c>
      <c r="B35" s="24" t="s">
        <v>10</v>
      </c>
      <c r="C35" s="12">
        <v>137</v>
      </c>
      <c r="D35" s="12">
        <v>19</v>
      </c>
      <c r="E35" s="12">
        <v>3</v>
      </c>
      <c r="F35" s="12">
        <v>48.3</v>
      </c>
      <c r="G35" s="12">
        <v>55.2</v>
      </c>
      <c r="H35" s="12">
        <v>3</v>
      </c>
      <c r="I35" s="12">
        <f>16+24+11</f>
        <v>51</v>
      </c>
      <c r="J35" s="12">
        <f t="shared" ref="J35:J36" si="0">5+0+0</f>
        <v>5</v>
      </c>
    </row>
    <row r="36" spans="1:10" ht="12.75">
      <c r="A36" s="24" t="s">
        <v>4</v>
      </c>
      <c r="B36" s="24" t="s">
        <v>10</v>
      </c>
      <c r="C36" s="12">
        <v>126</v>
      </c>
      <c r="D36" s="12">
        <v>19</v>
      </c>
      <c r="E36" s="12">
        <v>4</v>
      </c>
      <c r="F36" s="12">
        <v>41.9</v>
      </c>
      <c r="G36" s="12">
        <v>52.8</v>
      </c>
      <c r="H36" s="12">
        <v>3</v>
      </c>
      <c r="I36" s="12">
        <f>24+14+12</f>
        <v>50</v>
      </c>
      <c r="J36" s="12">
        <f t="shared" si="0"/>
        <v>5</v>
      </c>
    </row>
    <row r="37" spans="1:10" ht="12.75">
      <c r="A37" s="24" t="s">
        <v>4</v>
      </c>
      <c r="B37" s="24" t="s">
        <v>10</v>
      </c>
      <c r="C37" s="12">
        <v>104</v>
      </c>
      <c r="D37" s="12">
        <v>22</v>
      </c>
      <c r="E37" s="12">
        <v>3</v>
      </c>
      <c r="F37" s="12">
        <v>39.799999999999997</v>
      </c>
      <c r="G37" s="12">
        <v>64.8</v>
      </c>
      <c r="H37" s="12">
        <v>5</v>
      </c>
      <c r="I37" s="12">
        <f>25+20+29+13+20</f>
        <v>107</v>
      </c>
      <c r="J37" s="12">
        <f>3+6+5+1+0</f>
        <v>15</v>
      </c>
    </row>
    <row r="38" spans="1:10" ht="12.75">
      <c r="A38" s="25" t="s">
        <v>14</v>
      </c>
      <c r="B38" s="25" t="s">
        <v>10</v>
      </c>
      <c r="C38" s="3">
        <v>100</v>
      </c>
      <c r="D38" s="3">
        <v>15</v>
      </c>
      <c r="E38" s="3">
        <v>4.5</v>
      </c>
      <c r="F38" s="3">
        <v>43.8</v>
      </c>
      <c r="G38" s="3">
        <v>57.1</v>
      </c>
      <c r="H38" s="3">
        <v>3</v>
      </c>
      <c r="I38" s="3">
        <f>11+5+17</f>
        <v>33</v>
      </c>
      <c r="J38" s="3">
        <f>5+3+1</f>
        <v>9</v>
      </c>
    </row>
    <row r="39" spans="1:10" ht="12.75">
      <c r="A39" s="25" t="s">
        <v>14</v>
      </c>
      <c r="B39" s="25" t="s">
        <v>10</v>
      </c>
      <c r="C39" s="3">
        <v>109</v>
      </c>
      <c r="D39" s="3">
        <v>20</v>
      </c>
      <c r="E39" s="3">
        <v>3.6</v>
      </c>
      <c r="F39" s="3">
        <v>43</v>
      </c>
      <c r="G39" s="3">
        <v>66.900000000000006</v>
      </c>
      <c r="H39" s="3">
        <v>5</v>
      </c>
      <c r="I39" s="3">
        <f>24+17+40+16+42</f>
        <v>139</v>
      </c>
      <c r="J39" s="3">
        <f>4+0+0+0+0</f>
        <v>4</v>
      </c>
    </row>
    <row r="40" spans="1:10" ht="12.75">
      <c r="A40" s="25" t="s">
        <v>14</v>
      </c>
      <c r="B40" s="25" t="s">
        <v>10</v>
      </c>
      <c r="C40" s="3">
        <v>118</v>
      </c>
      <c r="D40" s="3">
        <v>24</v>
      </c>
      <c r="E40" s="3">
        <v>4.4000000000000004</v>
      </c>
      <c r="F40" s="3">
        <v>36.700000000000003</v>
      </c>
      <c r="G40" s="3">
        <v>55.9</v>
      </c>
      <c r="H40" s="3">
        <v>5</v>
      </c>
      <c r="I40" s="3">
        <f>15+14+36+8+8</f>
        <v>81</v>
      </c>
      <c r="J40" s="3">
        <f>2+0+0+0+0</f>
        <v>2</v>
      </c>
    </row>
    <row r="41" spans="1:10" ht="12.75">
      <c r="A41" s="25" t="s">
        <v>16</v>
      </c>
      <c r="B41" s="25" t="s">
        <v>10</v>
      </c>
      <c r="C41" s="13">
        <v>120</v>
      </c>
      <c r="D41" s="13">
        <v>18</v>
      </c>
      <c r="E41" s="13">
        <v>4.8</v>
      </c>
      <c r="F41" s="13">
        <v>41.1</v>
      </c>
      <c r="G41" s="13">
        <v>58.1</v>
      </c>
      <c r="H41" s="13">
        <v>3</v>
      </c>
      <c r="I41" s="13">
        <f>21</f>
        <v>21</v>
      </c>
      <c r="J41" s="13">
        <v>2</v>
      </c>
    </row>
    <row r="42" spans="1:10" ht="12.75">
      <c r="A42" s="25" t="s">
        <v>16</v>
      </c>
      <c r="B42" s="25" t="s">
        <v>10</v>
      </c>
      <c r="C42" s="13">
        <v>97</v>
      </c>
      <c r="D42" s="13">
        <v>19</v>
      </c>
      <c r="E42" s="13">
        <v>5</v>
      </c>
      <c r="F42" s="13">
        <v>43.3</v>
      </c>
      <c r="G42" s="13">
        <v>63.8</v>
      </c>
      <c r="H42" s="13">
        <v>3</v>
      </c>
      <c r="I42" s="13">
        <f>23</f>
        <v>23</v>
      </c>
      <c r="J42" s="13">
        <v>0</v>
      </c>
    </row>
    <row r="43" spans="1:10" ht="12.75">
      <c r="A43" s="25" t="s">
        <v>16</v>
      </c>
      <c r="B43" s="25" t="s">
        <v>10</v>
      </c>
      <c r="C43" s="13">
        <v>103</v>
      </c>
      <c r="D43" s="13">
        <v>22</v>
      </c>
      <c r="E43" s="13">
        <v>4.2</v>
      </c>
      <c r="F43" s="13">
        <v>47.1</v>
      </c>
      <c r="G43" s="13">
        <v>46.4</v>
      </c>
      <c r="H43" s="13">
        <v>2</v>
      </c>
      <c r="I43" s="13">
        <f>40</f>
        <v>40</v>
      </c>
      <c r="J43" s="13">
        <v>0</v>
      </c>
    </row>
    <row r="44" spans="1:10" ht="12.75">
      <c r="A44" s="23" t="s">
        <v>17</v>
      </c>
      <c r="B44" s="23" t="s">
        <v>10</v>
      </c>
      <c r="C44" s="3">
        <v>102</v>
      </c>
      <c r="D44" s="3">
        <v>21</v>
      </c>
      <c r="E44" s="3">
        <v>4.8</v>
      </c>
      <c r="F44" s="3">
        <v>42</v>
      </c>
      <c r="G44" s="3">
        <v>46.7</v>
      </c>
      <c r="H44" s="3">
        <v>5</v>
      </c>
      <c r="I44" s="3">
        <f>10+11+13+11+14</f>
        <v>59</v>
      </c>
      <c r="J44" s="3">
        <v>0</v>
      </c>
    </row>
    <row r="45" spans="1:10" ht="12.75">
      <c r="A45" s="23" t="s">
        <v>17</v>
      </c>
      <c r="B45" s="23" t="s">
        <v>10</v>
      </c>
      <c r="C45" s="3">
        <v>67</v>
      </c>
      <c r="D45" s="3">
        <v>20</v>
      </c>
      <c r="E45" s="3">
        <v>5.7</v>
      </c>
      <c r="F45" s="3">
        <v>47.5</v>
      </c>
      <c r="G45" s="3">
        <v>41.4</v>
      </c>
      <c r="H45" s="3">
        <v>3</v>
      </c>
      <c r="I45" s="3">
        <f>12+19+14</f>
        <v>45</v>
      </c>
      <c r="J45" s="3">
        <v>0</v>
      </c>
    </row>
    <row r="46" spans="1:10" ht="12.75">
      <c r="A46" s="23" t="s">
        <v>17</v>
      </c>
      <c r="B46" s="23" t="s">
        <v>10</v>
      </c>
      <c r="C46" s="3">
        <v>112</v>
      </c>
      <c r="D46" s="3">
        <v>19</v>
      </c>
      <c r="E46" s="3">
        <v>4.7</v>
      </c>
      <c r="F46" s="3">
        <v>38.299999999999997</v>
      </c>
      <c r="G46" s="3">
        <v>61.7</v>
      </c>
      <c r="H46" s="3">
        <v>7</v>
      </c>
      <c r="I46" s="3">
        <f>8+14+15+17+19+15+4</f>
        <v>92</v>
      </c>
      <c r="J46" s="3">
        <v>0</v>
      </c>
    </row>
    <row r="47" spans="1:10" ht="12.75">
      <c r="A47" s="24" t="s">
        <v>18</v>
      </c>
      <c r="B47" s="24" t="s">
        <v>10</v>
      </c>
      <c r="C47" s="12">
        <v>90</v>
      </c>
      <c r="D47" s="12">
        <v>18</v>
      </c>
      <c r="E47" s="12">
        <v>3</v>
      </c>
      <c r="F47" s="12">
        <v>33.9</v>
      </c>
      <c r="G47" s="12">
        <v>56</v>
      </c>
      <c r="H47" s="12">
        <v>4</v>
      </c>
      <c r="I47" s="12">
        <f>22+12+9+5</f>
        <v>48</v>
      </c>
      <c r="J47" s="12">
        <v>0</v>
      </c>
    </row>
    <row r="48" spans="1:10" ht="12.75">
      <c r="A48" s="24" t="s">
        <v>18</v>
      </c>
      <c r="B48" s="24" t="s">
        <v>10</v>
      </c>
      <c r="C48" s="12">
        <v>115</v>
      </c>
      <c r="D48" s="12">
        <v>20</v>
      </c>
      <c r="E48" s="12">
        <v>2.8</v>
      </c>
      <c r="F48" s="12">
        <v>40</v>
      </c>
      <c r="G48" s="12">
        <v>60.8</v>
      </c>
      <c r="H48" s="12">
        <v>5</v>
      </c>
      <c r="I48" s="12">
        <f>14+17+12+10+5</f>
        <v>58</v>
      </c>
      <c r="J48" s="12">
        <f>1</f>
        <v>1</v>
      </c>
    </row>
    <row r="49" spans="1:10" ht="12.75">
      <c r="A49" s="24" t="s">
        <v>18</v>
      </c>
      <c r="B49" s="24" t="s">
        <v>10</v>
      </c>
      <c r="C49" s="12">
        <v>106</v>
      </c>
      <c r="D49" s="12">
        <v>20</v>
      </c>
      <c r="E49" s="12">
        <v>3.3</v>
      </c>
      <c r="F49" s="12">
        <v>34.6</v>
      </c>
      <c r="G49" s="12">
        <v>54.9</v>
      </c>
      <c r="H49" s="12">
        <v>3</v>
      </c>
      <c r="I49" s="12">
        <f>16+20+18</f>
        <v>54</v>
      </c>
      <c r="J49" s="12">
        <v>0</v>
      </c>
    </row>
    <row r="50" spans="1:10" ht="12.75">
      <c r="A50" s="24" t="s">
        <v>4</v>
      </c>
      <c r="B50" s="24" t="s">
        <v>11</v>
      </c>
      <c r="C50" s="12">
        <v>120</v>
      </c>
      <c r="D50" s="12">
        <v>19</v>
      </c>
      <c r="E50" s="12">
        <v>4.2</v>
      </c>
      <c r="F50" s="12">
        <v>43.4</v>
      </c>
      <c r="G50" s="12">
        <v>52</v>
      </c>
      <c r="H50" s="12">
        <v>4</v>
      </c>
      <c r="I50" s="12">
        <v>61</v>
      </c>
      <c r="J50" s="12">
        <v>10</v>
      </c>
    </row>
    <row r="51" spans="1:10" ht="12.75">
      <c r="A51" s="24" t="s">
        <v>4</v>
      </c>
      <c r="B51" s="24" t="s">
        <v>11</v>
      </c>
      <c r="C51" s="12">
        <v>88</v>
      </c>
      <c r="D51" s="12">
        <v>21</v>
      </c>
      <c r="E51" s="12">
        <v>4</v>
      </c>
      <c r="F51" s="12">
        <v>42</v>
      </c>
      <c r="G51" s="12">
        <v>65.7</v>
      </c>
      <c r="H51" s="12">
        <v>5</v>
      </c>
      <c r="I51" s="12">
        <v>56</v>
      </c>
      <c r="J51" s="12">
        <v>4</v>
      </c>
    </row>
    <row r="52" spans="1:10" ht="12.75">
      <c r="A52" s="24" t="s">
        <v>4</v>
      </c>
      <c r="B52" s="24" t="s">
        <v>11</v>
      </c>
      <c r="C52" s="12">
        <v>121</v>
      </c>
      <c r="D52" s="12">
        <v>13</v>
      </c>
      <c r="E52" s="12">
        <v>3.5</v>
      </c>
      <c r="F52" s="12">
        <v>39.299999999999997</v>
      </c>
      <c r="G52" s="12">
        <v>39.5</v>
      </c>
      <c r="H52" s="12">
        <v>1</v>
      </c>
      <c r="I52" s="12">
        <v>13</v>
      </c>
      <c r="J52" s="12">
        <v>6</v>
      </c>
    </row>
    <row r="53" spans="1:10" ht="12.75">
      <c r="A53" s="25" t="s">
        <v>14</v>
      </c>
      <c r="B53" s="25" t="s">
        <v>11</v>
      </c>
      <c r="C53" s="13">
        <v>111.2</v>
      </c>
      <c r="D53" s="13">
        <v>19</v>
      </c>
      <c r="E53" s="3">
        <v>3.3</v>
      </c>
      <c r="F53" s="3">
        <v>40.5</v>
      </c>
      <c r="G53" s="3">
        <v>51.6</v>
      </c>
      <c r="H53" s="3">
        <v>4</v>
      </c>
      <c r="I53" s="3">
        <f>20+28+18+25</f>
        <v>91</v>
      </c>
      <c r="J53" s="3">
        <v>3</v>
      </c>
    </row>
    <row r="54" spans="1:10" ht="12.75">
      <c r="A54" s="25" t="s">
        <v>14</v>
      </c>
      <c r="B54" s="25" t="s">
        <v>11</v>
      </c>
      <c r="C54" s="13">
        <v>122.6</v>
      </c>
      <c r="D54" s="13">
        <v>18</v>
      </c>
      <c r="E54" s="3">
        <v>3.2</v>
      </c>
      <c r="F54" s="3">
        <v>45.2</v>
      </c>
      <c r="G54" s="3">
        <v>54.2</v>
      </c>
      <c r="H54" s="3">
        <v>5</v>
      </c>
      <c r="I54" s="3">
        <f>13+16+18+12+13</f>
        <v>72</v>
      </c>
      <c r="J54" s="3">
        <v>2</v>
      </c>
    </row>
    <row r="55" spans="1:10" ht="12.75">
      <c r="A55" s="25" t="s">
        <v>14</v>
      </c>
      <c r="B55" s="25" t="s">
        <v>11</v>
      </c>
      <c r="C55" s="13">
        <v>109.9</v>
      </c>
      <c r="D55" s="13">
        <v>20</v>
      </c>
      <c r="E55" s="3">
        <v>3.3</v>
      </c>
      <c r="F55" s="3">
        <v>41.6</v>
      </c>
      <c r="G55" s="3">
        <v>50.3</v>
      </c>
      <c r="H55" s="3">
        <v>5</v>
      </c>
      <c r="I55" s="3">
        <f>30+12+6+9+18</f>
        <v>75</v>
      </c>
      <c r="J55" s="3">
        <v>3</v>
      </c>
    </row>
    <row r="56" spans="1:10" ht="12.75">
      <c r="A56" s="23" t="s">
        <v>15</v>
      </c>
      <c r="B56" s="23" t="s">
        <v>11</v>
      </c>
      <c r="C56" s="13">
        <v>141</v>
      </c>
      <c r="D56" s="13">
        <v>21</v>
      </c>
      <c r="E56" s="13">
        <v>3.3</v>
      </c>
      <c r="F56" s="13">
        <v>45.6</v>
      </c>
      <c r="G56" s="13">
        <v>51.9</v>
      </c>
      <c r="H56" s="13">
        <v>7</v>
      </c>
      <c r="I56" s="13">
        <f>8+14+14+9+10+11+13</f>
        <v>79</v>
      </c>
      <c r="J56" s="13">
        <f>8</f>
        <v>8</v>
      </c>
    </row>
    <row r="57" spans="1:10" ht="12.75">
      <c r="A57" s="23" t="s">
        <v>15</v>
      </c>
      <c r="B57" s="23" t="s">
        <v>11</v>
      </c>
      <c r="C57" s="13">
        <v>122</v>
      </c>
      <c r="D57" s="13">
        <v>26</v>
      </c>
      <c r="E57" s="13">
        <v>2.4</v>
      </c>
      <c r="F57" s="13">
        <v>40.6</v>
      </c>
      <c r="G57" s="13">
        <v>50.8</v>
      </c>
      <c r="H57" s="13">
        <v>13</v>
      </c>
      <c r="I57" s="13">
        <f>12+14+14+4+3+10+23+10+18+14+6+12+10</f>
        <v>150</v>
      </c>
      <c r="J57" s="13">
        <f>4+5+4+1</f>
        <v>14</v>
      </c>
    </row>
    <row r="58" spans="1:10" ht="12.75">
      <c r="A58" s="23" t="s">
        <v>15</v>
      </c>
      <c r="B58" s="23" t="s">
        <v>11</v>
      </c>
      <c r="C58" s="13">
        <v>114.5</v>
      </c>
      <c r="D58" s="13">
        <v>14</v>
      </c>
      <c r="E58" s="13">
        <v>3.1</v>
      </c>
      <c r="F58" s="13">
        <v>43.3</v>
      </c>
      <c r="G58" s="13">
        <v>48.3</v>
      </c>
      <c r="H58" s="13">
        <v>3</v>
      </c>
      <c r="I58" s="13">
        <f>23+17+21</f>
        <v>61</v>
      </c>
      <c r="J58" s="13">
        <v>0</v>
      </c>
    </row>
    <row r="59" spans="1:10" ht="12.75">
      <c r="A59" s="24" t="s">
        <v>16</v>
      </c>
      <c r="B59" s="24" t="s">
        <v>11</v>
      </c>
      <c r="C59" s="12">
        <v>109</v>
      </c>
      <c r="D59" s="12">
        <v>16</v>
      </c>
      <c r="E59" s="12">
        <v>5</v>
      </c>
      <c r="F59" s="12">
        <v>40.4</v>
      </c>
      <c r="G59" s="12">
        <v>41.6</v>
      </c>
      <c r="H59" s="12">
        <v>6</v>
      </c>
      <c r="I59" s="12">
        <f>9+11+13+8+9+12</f>
        <v>62</v>
      </c>
      <c r="J59" s="12">
        <f>3+5</f>
        <v>8</v>
      </c>
    </row>
    <row r="60" spans="1:10" ht="12.75">
      <c r="A60" s="24" t="s">
        <v>16</v>
      </c>
      <c r="B60" s="24" t="s">
        <v>11</v>
      </c>
      <c r="C60" s="12">
        <v>102</v>
      </c>
      <c r="D60" s="12">
        <v>18</v>
      </c>
      <c r="E60" s="12">
        <v>4.5</v>
      </c>
      <c r="F60" s="12">
        <v>38.5</v>
      </c>
      <c r="G60" s="12">
        <v>43.3</v>
      </c>
      <c r="H60" s="12">
        <v>7</v>
      </c>
      <c r="I60" s="12">
        <f>13+14+8+14+14+12+12</f>
        <v>87</v>
      </c>
      <c r="J60" s="12">
        <f>5+4+1+1</f>
        <v>11</v>
      </c>
    </row>
    <row r="61" spans="1:10" ht="12.75">
      <c r="A61" s="24" t="s">
        <v>16</v>
      </c>
      <c r="B61" s="24" t="s">
        <v>11</v>
      </c>
      <c r="C61" s="12">
        <v>100</v>
      </c>
      <c r="D61" s="12">
        <v>16</v>
      </c>
      <c r="E61" s="12">
        <v>6</v>
      </c>
      <c r="F61" s="12">
        <v>39.799999999999997</v>
      </c>
      <c r="G61" s="12">
        <v>43.2</v>
      </c>
      <c r="H61" s="12">
        <v>4</v>
      </c>
      <c r="I61" s="12">
        <f>13+13+9+12</f>
        <v>47</v>
      </c>
      <c r="J61" s="24"/>
    </row>
    <row r="62" spans="1:10" ht="12.75">
      <c r="A62" s="24" t="s">
        <v>18</v>
      </c>
      <c r="B62" s="24" t="s">
        <v>11</v>
      </c>
      <c r="C62" s="12">
        <v>109.1</v>
      </c>
      <c r="D62" s="12">
        <v>21</v>
      </c>
      <c r="E62" s="12">
        <v>3</v>
      </c>
      <c r="F62" s="12">
        <v>36.299999999999997</v>
      </c>
      <c r="G62" s="12">
        <v>49.7</v>
      </c>
      <c r="H62" s="12">
        <v>4</v>
      </c>
      <c r="I62" s="12">
        <f>15+16+13+14</f>
        <v>58</v>
      </c>
      <c r="J62" s="12">
        <v>2</v>
      </c>
    </row>
    <row r="63" spans="1:10" ht="12.75">
      <c r="A63" s="24" t="s">
        <v>18</v>
      </c>
      <c r="B63" s="24" t="s">
        <v>11</v>
      </c>
      <c r="C63" s="12">
        <v>99.2</v>
      </c>
      <c r="D63" s="12">
        <v>17</v>
      </c>
      <c r="E63" s="12">
        <v>2.8</v>
      </c>
      <c r="F63" s="12">
        <v>39.799999999999997</v>
      </c>
      <c r="G63" s="12">
        <v>48.8</v>
      </c>
      <c r="H63" s="12">
        <v>5</v>
      </c>
      <c r="I63" s="12">
        <f>15+15+14+18+23</f>
        <v>85</v>
      </c>
      <c r="J63" s="12">
        <v>0</v>
      </c>
    </row>
    <row r="64" spans="1:10" ht="12.75">
      <c r="A64" s="24" t="s">
        <v>18</v>
      </c>
      <c r="B64" s="24" t="s">
        <v>11</v>
      </c>
      <c r="C64" s="12">
        <v>120.5</v>
      </c>
      <c r="D64" s="12">
        <v>17</v>
      </c>
      <c r="E64" s="12">
        <v>3</v>
      </c>
      <c r="F64" s="12">
        <v>40.5</v>
      </c>
      <c r="G64" s="12">
        <v>51.6</v>
      </c>
      <c r="H64" s="12">
        <v>4</v>
      </c>
      <c r="I64" s="12">
        <f>23+11+8+7</f>
        <v>49</v>
      </c>
      <c r="J64" s="12">
        <v>0</v>
      </c>
    </row>
    <row r="65" spans="1:10" ht="12.75">
      <c r="A65" s="23" t="s">
        <v>12</v>
      </c>
      <c r="B65" s="23" t="s">
        <v>11</v>
      </c>
      <c r="C65" s="3">
        <v>115</v>
      </c>
      <c r="D65" s="3">
        <v>16</v>
      </c>
      <c r="E65" s="3">
        <v>4.0999999999999996</v>
      </c>
      <c r="F65" s="3">
        <v>45</v>
      </c>
      <c r="G65" s="3">
        <v>59.5</v>
      </c>
      <c r="H65" s="3">
        <v>3</v>
      </c>
      <c r="I65" s="3">
        <f>49+24+46</f>
        <v>119</v>
      </c>
      <c r="J65" s="3">
        <f>12+4+0</f>
        <v>16</v>
      </c>
    </row>
    <row r="66" spans="1:10" ht="12.75">
      <c r="A66" s="23" t="s">
        <v>12</v>
      </c>
      <c r="B66" s="23" t="s">
        <v>11</v>
      </c>
      <c r="C66" s="3">
        <v>126</v>
      </c>
      <c r="D66" s="3">
        <v>20</v>
      </c>
      <c r="E66" s="3">
        <v>4.2</v>
      </c>
      <c r="F66" s="3">
        <v>43.8</v>
      </c>
      <c r="G66" s="3">
        <v>62.8</v>
      </c>
      <c r="H66" s="3">
        <v>3</v>
      </c>
      <c r="I66" s="3">
        <f>16+32+31</f>
        <v>79</v>
      </c>
      <c r="J66" s="3">
        <f>5+2+0</f>
        <v>7</v>
      </c>
    </row>
    <row r="67" spans="1:10" ht="12.75">
      <c r="A67" s="23" t="s">
        <v>12</v>
      </c>
      <c r="B67" s="23" t="s">
        <v>11</v>
      </c>
      <c r="C67" s="3">
        <v>105</v>
      </c>
      <c r="D67" s="3">
        <v>19</v>
      </c>
      <c r="E67" s="3">
        <v>4</v>
      </c>
      <c r="F67" s="3">
        <v>41.7</v>
      </c>
      <c r="G67" s="3">
        <v>54.5</v>
      </c>
      <c r="H67" s="3">
        <v>4</v>
      </c>
      <c r="I67" s="3">
        <f>20+17+29+24</f>
        <v>90</v>
      </c>
      <c r="J67" s="3">
        <v>0</v>
      </c>
    </row>
    <row r="68" spans="1:10" ht="12.75">
      <c r="A68" s="27" t="s">
        <v>13</v>
      </c>
      <c r="B68" s="27" t="s">
        <v>11</v>
      </c>
      <c r="C68" s="28">
        <v>91.5</v>
      </c>
      <c r="D68" s="28">
        <v>23</v>
      </c>
      <c r="E68" s="28">
        <v>3.5</v>
      </c>
      <c r="F68" s="28">
        <v>42.4</v>
      </c>
      <c r="G68" s="28">
        <v>50.9</v>
      </c>
      <c r="H68" s="28">
        <v>6</v>
      </c>
      <c r="I68" s="28">
        <f>6+6+13+8+12+13+14</f>
        <v>72</v>
      </c>
      <c r="J68" s="28">
        <v>0</v>
      </c>
    </row>
    <row r="69" spans="1:10" ht="12.75">
      <c r="A69" s="24" t="s">
        <v>13</v>
      </c>
      <c r="B69" s="24" t="s">
        <v>11</v>
      </c>
      <c r="C69" s="12">
        <v>100.5</v>
      </c>
      <c r="D69" s="12">
        <v>23</v>
      </c>
      <c r="E69" s="12">
        <v>4.2</v>
      </c>
      <c r="F69" s="12">
        <v>44.7</v>
      </c>
      <c r="G69" s="12">
        <v>64.7</v>
      </c>
      <c r="H69" s="12">
        <v>8</v>
      </c>
      <c r="I69" s="12">
        <f>14+10+10+10+13+11+11+13</f>
        <v>92</v>
      </c>
      <c r="J69" s="12">
        <v>4</v>
      </c>
    </row>
    <row r="70" spans="1:10" ht="12.75">
      <c r="A70" s="24" t="s">
        <v>13</v>
      </c>
      <c r="B70" s="24" t="s">
        <v>11</v>
      </c>
      <c r="C70" s="12">
        <v>116.5</v>
      </c>
      <c r="D70" s="12">
        <v>15</v>
      </c>
      <c r="E70" s="12">
        <v>4</v>
      </c>
      <c r="F70" s="12">
        <v>43.3</v>
      </c>
      <c r="G70" s="12">
        <v>59</v>
      </c>
      <c r="H70" s="12">
        <v>5</v>
      </c>
      <c r="I70" s="12">
        <f>15+12+12+11+15</f>
        <v>65</v>
      </c>
      <c r="J70" s="12">
        <f>2+2+1</f>
        <v>5</v>
      </c>
    </row>
    <row r="71" spans="1:10" ht="12.75">
      <c r="A71" s="24" t="s">
        <v>17</v>
      </c>
      <c r="B71" s="24" t="s">
        <v>11</v>
      </c>
      <c r="C71" s="12">
        <v>105</v>
      </c>
      <c r="D71" s="12">
        <v>19</v>
      </c>
      <c r="E71" s="12">
        <v>4</v>
      </c>
      <c r="F71" s="12">
        <v>40.4</v>
      </c>
      <c r="G71" s="12">
        <v>58.6</v>
      </c>
      <c r="H71" s="12">
        <v>5</v>
      </c>
      <c r="I71" s="12">
        <v>64</v>
      </c>
      <c r="J71" s="12">
        <v>2</v>
      </c>
    </row>
    <row r="72" spans="1:10" ht="12.75">
      <c r="A72" s="24" t="s">
        <v>17</v>
      </c>
      <c r="B72" s="24" t="s">
        <v>11</v>
      </c>
      <c r="C72" s="12">
        <v>102</v>
      </c>
      <c r="D72" s="12">
        <v>20</v>
      </c>
      <c r="E72" s="12">
        <v>4.2</v>
      </c>
      <c r="F72" s="12">
        <v>41.2</v>
      </c>
      <c r="G72" s="12">
        <v>53.6</v>
      </c>
      <c r="H72" s="12">
        <v>6</v>
      </c>
      <c r="I72" s="12">
        <v>52</v>
      </c>
      <c r="J72" s="12">
        <v>0</v>
      </c>
    </row>
    <row r="73" spans="1:10" ht="12.75">
      <c r="A73" s="24" t="s">
        <v>17</v>
      </c>
      <c r="B73" s="24" t="s">
        <v>11</v>
      </c>
      <c r="C73" s="12">
        <v>110</v>
      </c>
      <c r="D73" s="12">
        <v>20</v>
      </c>
      <c r="E73" s="12">
        <v>3.8</v>
      </c>
      <c r="F73" s="12">
        <v>43.6</v>
      </c>
      <c r="G73" s="12">
        <v>55.3</v>
      </c>
      <c r="H73" s="12">
        <v>6</v>
      </c>
      <c r="I73" s="12">
        <v>58</v>
      </c>
      <c r="J73" s="12">
        <v>1</v>
      </c>
    </row>
    <row r="74" spans="1:10" ht="12.75">
      <c r="A74" s="23" t="s">
        <v>13</v>
      </c>
      <c r="B74" s="23" t="s">
        <v>9</v>
      </c>
      <c r="C74" s="3">
        <v>124</v>
      </c>
      <c r="D74" s="3">
        <v>19</v>
      </c>
      <c r="E74" s="3">
        <v>3.5</v>
      </c>
      <c r="F74" s="3">
        <v>43.8</v>
      </c>
      <c r="G74" s="3">
        <v>41.1</v>
      </c>
      <c r="H74" s="3">
        <v>4</v>
      </c>
      <c r="I74" s="3">
        <f>19+19+11+9</f>
        <v>58</v>
      </c>
      <c r="J74" s="3">
        <v>2</v>
      </c>
    </row>
    <row r="75" spans="1:10" ht="12.75">
      <c r="A75" s="23" t="s">
        <v>13</v>
      </c>
      <c r="B75" s="23" t="s">
        <v>9</v>
      </c>
      <c r="C75" s="3">
        <v>104</v>
      </c>
      <c r="D75" s="3">
        <v>16</v>
      </c>
      <c r="E75" s="3">
        <v>3.9</v>
      </c>
      <c r="F75" s="3">
        <v>43.3</v>
      </c>
      <c r="G75" s="3">
        <v>32.4</v>
      </c>
      <c r="H75" s="3">
        <v>2</v>
      </c>
      <c r="I75" s="3">
        <f>23+17</f>
        <v>40</v>
      </c>
      <c r="J75" s="3">
        <v>8</v>
      </c>
    </row>
    <row r="76" spans="1:10" ht="12.75">
      <c r="A76" s="29" t="s">
        <v>13</v>
      </c>
      <c r="B76" s="29" t="s">
        <v>9</v>
      </c>
      <c r="C76" s="29"/>
      <c r="D76" s="29"/>
      <c r="E76" s="29"/>
      <c r="F76" s="29"/>
      <c r="G76" s="29"/>
      <c r="H76" s="29"/>
      <c r="I76" s="29"/>
      <c r="J76" s="29"/>
    </row>
    <row r="77" spans="1:10" ht="12.75">
      <c r="A77" s="24" t="s">
        <v>14</v>
      </c>
      <c r="B77" s="24" t="s">
        <v>9</v>
      </c>
      <c r="C77" s="12">
        <v>127.3</v>
      </c>
      <c r="D77" s="12">
        <v>17</v>
      </c>
      <c r="E77" s="12">
        <v>4.7</v>
      </c>
      <c r="F77" s="12">
        <v>43.8</v>
      </c>
      <c r="G77" s="12">
        <v>49.7</v>
      </c>
      <c r="H77" s="12">
        <v>6</v>
      </c>
      <c r="I77" s="12">
        <f>2+12+11+12+10+14</f>
        <v>61</v>
      </c>
      <c r="J77" s="12">
        <v>2</v>
      </c>
    </row>
    <row r="78" spans="1:10" ht="12.75">
      <c r="A78" s="24" t="s">
        <v>14</v>
      </c>
      <c r="B78" s="24" t="s">
        <v>9</v>
      </c>
      <c r="C78" s="12">
        <v>124.6</v>
      </c>
      <c r="D78" s="12">
        <v>18</v>
      </c>
      <c r="E78" s="12">
        <v>4.0999999999999996</v>
      </c>
      <c r="F78" s="12">
        <v>41.6</v>
      </c>
      <c r="G78" s="12">
        <v>44.8</v>
      </c>
      <c r="H78" s="12">
        <v>10</v>
      </c>
      <c r="I78" s="12">
        <f>32+17+16+8+6+4+10+8+4+7</f>
        <v>112</v>
      </c>
      <c r="J78" s="12">
        <v>7</v>
      </c>
    </row>
    <row r="79" spans="1:10" ht="12.75">
      <c r="A79" s="24" t="s">
        <v>14</v>
      </c>
      <c r="B79" s="24" t="s">
        <v>9</v>
      </c>
      <c r="C79" s="12">
        <v>118.2</v>
      </c>
      <c r="D79" s="12">
        <v>18</v>
      </c>
      <c r="E79" s="12">
        <v>4.4000000000000004</v>
      </c>
      <c r="F79" s="12">
        <v>46.4</v>
      </c>
      <c r="G79" s="12">
        <v>50.1</v>
      </c>
      <c r="H79" s="12">
        <v>6</v>
      </c>
      <c r="I79" s="12">
        <f>14+13+16+24+10+11</f>
        <v>88</v>
      </c>
      <c r="J79" s="12">
        <v>3</v>
      </c>
    </row>
    <row r="80" spans="1:10" ht="12.75">
      <c r="A80" s="23" t="s">
        <v>17</v>
      </c>
      <c r="B80" s="23" t="s">
        <v>9</v>
      </c>
      <c r="C80" s="3">
        <v>108.5</v>
      </c>
      <c r="D80" s="3">
        <v>21</v>
      </c>
      <c r="E80" s="3">
        <v>3.8</v>
      </c>
      <c r="F80" s="3">
        <v>41.6</v>
      </c>
      <c r="G80" s="3">
        <v>50.3</v>
      </c>
      <c r="H80" s="3">
        <v>7</v>
      </c>
      <c r="I80" s="3">
        <v>104</v>
      </c>
      <c r="J80" s="3">
        <v>0</v>
      </c>
    </row>
    <row r="81" spans="1:10" ht="12.75">
      <c r="A81" s="23" t="s">
        <v>17</v>
      </c>
      <c r="B81" s="23" t="s">
        <v>9</v>
      </c>
      <c r="C81" s="3">
        <v>130.80000000000001</v>
      </c>
      <c r="D81" s="3">
        <v>18</v>
      </c>
      <c r="E81" s="3">
        <v>3</v>
      </c>
      <c r="F81" s="20">
        <v>44.9</v>
      </c>
      <c r="G81" s="3">
        <v>49.8</v>
      </c>
      <c r="H81" s="3">
        <v>5</v>
      </c>
      <c r="I81" s="3">
        <v>74</v>
      </c>
      <c r="J81" s="3">
        <v>2</v>
      </c>
    </row>
    <row r="82" spans="1:10" ht="12.75">
      <c r="A82" s="23" t="s">
        <v>17</v>
      </c>
      <c r="B82" s="23" t="s">
        <v>9</v>
      </c>
      <c r="C82" s="3">
        <v>124.1</v>
      </c>
      <c r="D82" s="3">
        <v>16</v>
      </c>
      <c r="E82" s="3">
        <v>4.0999999999999996</v>
      </c>
      <c r="F82" s="3">
        <v>45.1</v>
      </c>
      <c r="G82" s="3">
        <v>47.6</v>
      </c>
      <c r="H82" s="3">
        <v>4</v>
      </c>
      <c r="I82" s="3">
        <v>59</v>
      </c>
      <c r="J82" s="3">
        <v>0</v>
      </c>
    </row>
    <row r="83" spans="1:10" ht="12.75">
      <c r="A83" s="23" t="s">
        <v>18</v>
      </c>
      <c r="B83" s="23" t="s">
        <v>9</v>
      </c>
      <c r="C83" s="3">
        <v>104</v>
      </c>
      <c r="D83" s="3">
        <v>16</v>
      </c>
      <c r="E83" s="3">
        <v>3.8</v>
      </c>
      <c r="F83" s="3">
        <v>52.1</v>
      </c>
      <c r="G83" s="3">
        <v>36.6</v>
      </c>
      <c r="H83" s="3">
        <v>5</v>
      </c>
      <c r="I83" s="3">
        <v>56</v>
      </c>
      <c r="J83" s="3">
        <v>3</v>
      </c>
    </row>
    <row r="84" spans="1:10" ht="12.75">
      <c r="A84" s="23" t="s">
        <v>18</v>
      </c>
      <c r="B84" s="23" t="s">
        <v>9</v>
      </c>
      <c r="C84" s="3">
        <v>115</v>
      </c>
      <c r="D84" s="3">
        <v>13</v>
      </c>
      <c r="E84" s="3">
        <v>3.7</v>
      </c>
      <c r="F84" s="3">
        <v>37.299999999999997</v>
      </c>
      <c r="G84" s="3">
        <v>37.299999999999997</v>
      </c>
      <c r="H84" s="3">
        <v>3</v>
      </c>
      <c r="I84" s="3">
        <v>43</v>
      </c>
      <c r="J84" s="3">
        <v>0</v>
      </c>
    </row>
    <row r="85" spans="1:10" ht="12.75">
      <c r="A85" s="23" t="s">
        <v>18</v>
      </c>
      <c r="B85" s="23" t="s">
        <v>9</v>
      </c>
      <c r="C85" s="3">
        <v>104</v>
      </c>
      <c r="D85" s="3">
        <v>13</v>
      </c>
      <c r="E85" s="13">
        <v>4</v>
      </c>
      <c r="F85" s="3">
        <v>46.4</v>
      </c>
      <c r="G85" s="3">
        <v>46.4</v>
      </c>
      <c r="H85" s="3">
        <v>4</v>
      </c>
      <c r="I85" s="3">
        <v>32</v>
      </c>
      <c r="J85" s="3">
        <v>0</v>
      </c>
    </row>
    <row r="86" spans="1:10" ht="12.75">
      <c r="A86" s="23" t="s">
        <v>4</v>
      </c>
      <c r="B86" s="23" t="s">
        <v>9</v>
      </c>
      <c r="C86" s="3">
        <v>115</v>
      </c>
      <c r="D86" s="3">
        <v>18</v>
      </c>
      <c r="E86" s="3">
        <v>3.6</v>
      </c>
      <c r="F86" s="3">
        <v>37.4</v>
      </c>
      <c r="G86" s="3">
        <v>56.5</v>
      </c>
      <c r="H86" s="3">
        <v>6</v>
      </c>
      <c r="I86" s="3">
        <f>1+10+8+26+8+10</f>
        <v>63</v>
      </c>
      <c r="J86" s="3">
        <v>0</v>
      </c>
    </row>
    <row r="87" spans="1:10" ht="12.75">
      <c r="A87" s="23" t="s">
        <v>4</v>
      </c>
      <c r="B87" s="23" t="s">
        <v>9</v>
      </c>
      <c r="C87" s="3">
        <v>75</v>
      </c>
      <c r="D87" s="3">
        <v>11</v>
      </c>
      <c r="E87" s="3">
        <v>3.7</v>
      </c>
      <c r="F87" s="3">
        <v>41.1</v>
      </c>
      <c r="G87" s="3">
        <v>49</v>
      </c>
      <c r="H87" s="3">
        <v>1</v>
      </c>
      <c r="I87" s="3">
        <v>20</v>
      </c>
      <c r="J87" s="3">
        <v>0</v>
      </c>
    </row>
    <row r="88" spans="1:10" ht="12.75">
      <c r="A88" s="23" t="s">
        <v>4</v>
      </c>
      <c r="B88" s="23" t="s">
        <v>9</v>
      </c>
      <c r="C88" s="3">
        <v>122</v>
      </c>
      <c r="D88" s="3">
        <v>19</v>
      </c>
      <c r="E88" s="3">
        <v>3.5</v>
      </c>
      <c r="F88" s="3">
        <v>43.9</v>
      </c>
      <c r="G88" s="3">
        <v>58.1</v>
      </c>
      <c r="H88" s="3">
        <v>6</v>
      </c>
      <c r="I88" s="3">
        <f>14+15+11+13+10+8+7</f>
        <v>78</v>
      </c>
      <c r="J88" s="3">
        <f>8+4</f>
        <v>12</v>
      </c>
    </row>
    <row r="89" spans="1:10" ht="12.75">
      <c r="A89" s="24" t="s">
        <v>12</v>
      </c>
      <c r="B89" s="24" t="s">
        <v>9</v>
      </c>
      <c r="C89" s="12">
        <v>138</v>
      </c>
      <c r="D89" s="12">
        <v>19</v>
      </c>
      <c r="E89" s="12">
        <v>3.5</v>
      </c>
      <c r="F89" s="12">
        <v>46.6</v>
      </c>
      <c r="G89" s="12">
        <v>61.6</v>
      </c>
      <c r="H89" s="12">
        <v>5</v>
      </c>
      <c r="I89" s="12">
        <f>10+11+12+10+4</f>
        <v>47</v>
      </c>
      <c r="J89" s="12">
        <f>6+3</f>
        <v>9</v>
      </c>
    </row>
    <row r="90" spans="1:10" ht="12.75">
      <c r="A90" s="24" t="s">
        <v>12</v>
      </c>
      <c r="B90" s="24" t="s">
        <v>9</v>
      </c>
      <c r="C90" s="12">
        <v>113</v>
      </c>
      <c r="D90" s="12">
        <v>17</v>
      </c>
      <c r="E90" s="12">
        <v>3.2</v>
      </c>
      <c r="F90" s="12">
        <v>51.3</v>
      </c>
      <c r="G90" s="12">
        <v>56.5</v>
      </c>
      <c r="H90" s="12">
        <v>4</v>
      </c>
      <c r="I90" s="12">
        <f>12+35+9+7</f>
        <v>63</v>
      </c>
      <c r="J90" s="12">
        <f>4</f>
        <v>4</v>
      </c>
    </row>
    <row r="91" spans="1:10" ht="12.75">
      <c r="A91" s="24" t="s">
        <v>12</v>
      </c>
      <c r="B91" s="24" t="s">
        <v>9</v>
      </c>
      <c r="C91" s="12">
        <v>130</v>
      </c>
      <c r="D91" s="12">
        <v>22</v>
      </c>
      <c r="E91" s="12">
        <v>3</v>
      </c>
      <c r="F91" s="12">
        <v>57.4</v>
      </c>
      <c r="G91" s="12">
        <v>57.4</v>
      </c>
      <c r="H91" s="12">
        <v>6</v>
      </c>
      <c r="I91" s="12">
        <f>42+12+28+13+10+9</f>
        <v>114</v>
      </c>
      <c r="J91" s="12">
        <f>11+4+1</f>
        <v>16</v>
      </c>
    </row>
    <row r="92" spans="1:10" ht="12.75">
      <c r="A92" s="23" t="s">
        <v>15</v>
      </c>
      <c r="B92" s="23" t="s">
        <v>9</v>
      </c>
      <c r="C92" s="3">
        <v>114</v>
      </c>
      <c r="D92" s="3">
        <v>17</v>
      </c>
      <c r="E92" s="3">
        <v>3</v>
      </c>
      <c r="F92" s="3">
        <v>38.700000000000003</v>
      </c>
      <c r="G92" s="3">
        <v>47.3</v>
      </c>
      <c r="H92" s="3">
        <v>4</v>
      </c>
      <c r="I92" s="3">
        <f>10+9+10+5</f>
        <v>34</v>
      </c>
      <c r="J92" s="3">
        <v>2</v>
      </c>
    </row>
    <row r="93" spans="1:10" ht="12.75">
      <c r="A93" s="23" t="s">
        <v>15</v>
      </c>
      <c r="B93" s="23" t="s">
        <v>9</v>
      </c>
      <c r="C93" s="3">
        <v>113</v>
      </c>
      <c r="D93" s="3">
        <v>16</v>
      </c>
      <c r="E93" s="3">
        <v>3.2</v>
      </c>
      <c r="F93" s="3">
        <v>41.6</v>
      </c>
      <c r="G93" s="3">
        <v>48</v>
      </c>
      <c r="H93" s="3">
        <v>4</v>
      </c>
      <c r="I93" s="3">
        <f>14+22+9+6</f>
        <v>51</v>
      </c>
      <c r="J93" s="3">
        <v>4</v>
      </c>
    </row>
    <row r="94" spans="1:10" ht="12.75">
      <c r="A94" s="23" t="s">
        <v>15</v>
      </c>
      <c r="B94" s="23" t="s">
        <v>9</v>
      </c>
      <c r="C94" s="3">
        <v>120</v>
      </c>
      <c r="D94" s="3">
        <v>20</v>
      </c>
      <c r="E94" s="3">
        <v>3.3</v>
      </c>
      <c r="F94" s="3">
        <v>46.1</v>
      </c>
      <c r="G94" s="3">
        <v>57.8</v>
      </c>
      <c r="H94" s="3">
        <v>6</v>
      </c>
      <c r="I94" s="3">
        <f>38+17+15+11+14+6</f>
        <v>101</v>
      </c>
      <c r="J94" s="3">
        <v>1</v>
      </c>
    </row>
    <row r="95" spans="1:10" ht="12.75">
      <c r="A95" s="24" t="s">
        <v>16</v>
      </c>
      <c r="B95" s="24" t="s">
        <v>9</v>
      </c>
      <c r="C95" s="12">
        <v>104</v>
      </c>
      <c r="D95" s="12">
        <v>19</v>
      </c>
      <c r="E95" s="12">
        <v>3</v>
      </c>
      <c r="F95" s="12">
        <v>41.6</v>
      </c>
      <c r="G95" s="12">
        <v>54.5</v>
      </c>
      <c r="H95" s="12">
        <v>5</v>
      </c>
      <c r="I95" s="12">
        <v>62</v>
      </c>
      <c r="J95" s="12">
        <v>1</v>
      </c>
    </row>
    <row r="96" spans="1:10" ht="12.75">
      <c r="A96" s="24" t="s">
        <v>16</v>
      </c>
      <c r="B96" s="24" t="s">
        <v>9</v>
      </c>
      <c r="C96" s="12">
        <v>111</v>
      </c>
      <c r="D96" s="12">
        <v>20</v>
      </c>
      <c r="E96" s="12">
        <v>4</v>
      </c>
      <c r="F96" s="12">
        <v>37.5</v>
      </c>
      <c r="G96" s="12">
        <v>50.6</v>
      </c>
      <c r="H96" s="12">
        <v>6</v>
      </c>
      <c r="I96" s="12">
        <v>72</v>
      </c>
      <c r="J96" s="12">
        <v>0</v>
      </c>
    </row>
    <row r="97" spans="1:10" ht="12.75">
      <c r="A97" s="24" t="s">
        <v>16</v>
      </c>
      <c r="B97" s="24" t="s">
        <v>9</v>
      </c>
      <c r="C97" s="12">
        <v>109</v>
      </c>
      <c r="D97" s="12">
        <v>22</v>
      </c>
      <c r="E97" s="12">
        <v>3.7</v>
      </c>
      <c r="F97" s="12">
        <v>41.8</v>
      </c>
      <c r="G97" s="12">
        <v>57.2</v>
      </c>
      <c r="H97" s="12">
        <v>6</v>
      </c>
      <c r="I97" s="12">
        <v>65</v>
      </c>
      <c r="J97" s="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9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sheetData>
    <row r="1" spans="1:10" ht="15.75" customHeight="1">
      <c r="A1" s="21" t="s">
        <v>0</v>
      </c>
      <c r="B1" s="21" t="s">
        <v>1</v>
      </c>
      <c r="C1" s="1" t="s">
        <v>2</v>
      </c>
      <c r="D1" s="1" t="s">
        <v>3</v>
      </c>
      <c r="E1" s="1" t="s">
        <v>19</v>
      </c>
      <c r="F1" s="22" t="s">
        <v>20</v>
      </c>
      <c r="G1" s="22" t="s">
        <v>21</v>
      </c>
      <c r="H1" s="22" t="s">
        <v>22</v>
      </c>
      <c r="I1" s="22" t="s">
        <v>23</v>
      </c>
      <c r="J1" s="22" t="s">
        <v>24</v>
      </c>
    </row>
    <row r="2" spans="1:10">
      <c r="A2" s="23" t="s">
        <v>4</v>
      </c>
      <c r="B2" s="23" t="s">
        <v>5</v>
      </c>
      <c r="C2" s="3">
        <v>147</v>
      </c>
      <c r="D2" s="3">
        <v>25</v>
      </c>
      <c r="E2" s="3">
        <v>3.5</v>
      </c>
      <c r="F2" s="3">
        <v>47.7</v>
      </c>
      <c r="G2" s="3">
        <v>59</v>
      </c>
      <c r="H2" s="3">
        <v>8</v>
      </c>
      <c r="I2" s="3">
        <f>8+6+20+12+15+7+13+7</f>
        <v>88</v>
      </c>
      <c r="J2" s="3">
        <f>12+14+10+7</f>
        <v>43</v>
      </c>
    </row>
    <row r="3" spans="1:10">
      <c r="A3" s="23" t="s">
        <v>4</v>
      </c>
      <c r="B3" s="23" t="s">
        <v>5</v>
      </c>
      <c r="C3" s="3">
        <v>120</v>
      </c>
      <c r="D3" s="3">
        <v>20</v>
      </c>
      <c r="E3" s="3">
        <v>3.8</v>
      </c>
      <c r="F3" s="3">
        <v>52.4</v>
      </c>
      <c r="G3" s="3">
        <v>44.6</v>
      </c>
      <c r="H3" s="3">
        <v>3</v>
      </c>
      <c r="I3" s="3">
        <f>5+15+20</f>
        <v>40</v>
      </c>
      <c r="J3" s="3">
        <f>10</f>
        <v>10</v>
      </c>
    </row>
    <row r="4" spans="1:10">
      <c r="A4" s="23" t="s">
        <v>4</v>
      </c>
      <c r="B4" s="23" t="s">
        <v>5</v>
      </c>
      <c r="C4" s="3">
        <v>148</v>
      </c>
      <c r="D4" s="3">
        <v>25</v>
      </c>
      <c r="E4" s="3">
        <v>3.8</v>
      </c>
      <c r="F4" s="3">
        <v>46.2</v>
      </c>
      <c r="G4" s="3">
        <v>48.1</v>
      </c>
      <c r="H4" s="3">
        <v>6</v>
      </c>
      <c r="I4" s="3">
        <f>2+11+10+7+8+5</f>
        <v>43</v>
      </c>
      <c r="J4" s="3">
        <f>10+2</f>
        <v>12</v>
      </c>
    </row>
    <row r="5" spans="1:10">
      <c r="A5" s="24" t="s">
        <v>12</v>
      </c>
      <c r="B5" s="24" t="s">
        <v>5</v>
      </c>
      <c r="C5" s="12">
        <v>150</v>
      </c>
      <c r="D5" s="12">
        <v>21</v>
      </c>
      <c r="E5" s="12">
        <v>5</v>
      </c>
      <c r="F5" s="12">
        <v>51</v>
      </c>
      <c r="G5" s="12">
        <v>49.7</v>
      </c>
      <c r="H5" s="12">
        <v>6</v>
      </c>
      <c r="I5" s="12">
        <f>5+11+8+14+8+9</f>
        <v>55</v>
      </c>
      <c r="J5" s="12">
        <v>19</v>
      </c>
    </row>
    <row r="6" spans="1:10">
      <c r="A6" s="24" t="s">
        <v>12</v>
      </c>
      <c r="B6" s="24" t="s">
        <v>5</v>
      </c>
      <c r="C6" s="12">
        <v>120</v>
      </c>
      <c r="D6" s="12">
        <v>12</v>
      </c>
      <c r="E6" s="12">
        <v>4.5999999999999996</v>
      </c>
      <c r="F6" s="12">
        <v>58.6</v>
      </c>
      <c r="G6" s="12">
        <v>45.7</v>
      </c>
      <c r="H6" s="12">
        <v>4</v>
      </c>
      <c r="I6" s="12">
        <f>8+7+12</f>
        <v>27</v>
      </c>
      <c r="J6" s="12">
        <v>16</v>
      </c>
    </row>
    <row r="7" spans="1:10">
      <c r="A7" s="24" t="s">
        <v>12</v>
      </c>
      <c r="B7" s="24" t="s">
        <v>5</v>
      </c>
      <c r="C7" s="12">
        <v>159</v>
      </c>
      <c r="D7" s="12">
        <v>19</v>
      </c>
      <c r="E7" s="12">
        <v>5</v>
      </c>
      <c r="F7" s="12">
        <v>56.9</v>
      </c>
      <c r="G7" s="12">
        <v>34.6</v>
      </c>
      <c r="H7" s="12">
        <v>4</v>
      </c>
      <c r="I7" s="12">
        <f>4+7+6+8+9+5</f>
        <v>39</v>
      </c>
      <c r="J7" s="12">
        <v>8</v>
      </c>
    </row>
    <row r="8" spans="1:10">
      <c r="A8" s="23" t="s">
        <v>16</v>
      </c>
      <c r="B8" s="23" t="s">
        <v>5</v>
      </c>
      <c r="C8" s="3">
        <v>133</v>
      </c>
      <c r="D8" s="3">
        <v>24</v>
      </c>
      <c r="E8" s="3">
        <v>5</v>
      </c>
      <c r="F8" s="3">
        <v>41.6</v>
      </c>
      <c r="G8" s="3">
        <v>49.1</v>
      </c>
      <c r="H8" s="3">
        <v>7</v>
      </c>
      <c r="I8" s="3">
        <v>49</v>
      </c>
      <c r="J8" s="3">
        <v>31</v>
      </c>
    </row>
    <row r="9" spans="1:10">
      <c r="A9" s="23" t="s">
        <v>16</v>
      </c>
      <c r="B9" s="23" t="s">
        <v>5</v>
      </c>
      <c r="C9" s="3">
        <v>135</v>
      </c>
      <c r="D9" s="3">
        <v>20</v>
      </c>
      <c r="E9" s="3">
        <v>4.0999999999999996</v>
      </c>
      <c r="F9" s="3">
        <v>42.8</v>
      </c>
      <c r="G9" s="3">
        <v>48.3</v>
      </c>
      <c r="H9" s="3">
        <v>6</v>
      </c>
      <c r="I9" s="3">
        <v>47</v>
      </c>
      <c r="J9" s="3">
        <v>26</v>
      </c>
    </row>
    <row r="10" spans="1:10">
      <c r="A10" s="23" t="s">
        <v>16</v>
      </c>
      <c r="B10" s="23" t="s">
        <v>5</v>
      </c>
      <c r="C10" s="3">
        <v>148</v>
      </c>
      <c r="D10" s="3">
        <v>23</v>
      </c>
      <c r="E10" s="3">
        <v>3.8</v>
      </c>
      <c r="F10" s="3">
        <v>46.4</v>
      </c>
      <c r="G10" s="3">
        <v>49.7</v>
      </c>
      <c r="H10" s="3">
        <v>7</v>
      </c>
      <c r="I10" s="3">
        <v>43</v>
      </c>
      <c r="J10" s="3">
        <v>28</v>
      </c>
    </row>
    <row r="11" spans="1:10">
      <c r="A11" s="24" t="s">
        <v>17</v>
      </c>
      <c r="B11" s="24" t="s">
        <v>5</v>
      </c>
      <c r="C11" s="12">
        <v>170</v>
      </c>
      <c r="D11" s="12">
        <v>20</v>
      </c>
      <c r="E11" s="12">
        <v>3.4</v>
      </c>
      <c r="F11" s="12">
        <v>58</v>
      </c>
      <c r="G11" s="12">
        <v>50.2</v>
      </c>
      <c r="H11" s="12">
        <v>6</v>
      </c>
      <c r="I11" s="12">
        <f>5+7+13+10+12+12</f>
        <v>59</v>
      </c>
      <c r="J11" s="12">
        <f>8+7+1+6+5</f>
        <v>27</v>
      </c>
    </row>
    <row r="12" spans="1:10">
      <c r="A12" s="24" t="s">
        <v>17</v>
      </c>
      <c r="B12" s="24" t="s">
        <v>5</v>
      </c>
      <c r="C12" s="12">
        <v>172</v>
      </c>
      <c r="D12" s="12">
        <v>17</v>
      </c>
      <c r="E12" s="12">
        <v>3.6</v>
      </c>
      <c r="F12" s="12">
        <v>59.8</v>
      </c>
      <c r="G12" s="12">
        <v>46.6</v>
      </c>
      <c r="H12" s="12">
        <v>3</v>
      </c>
      <c r="I12" s="12">
        <f>18+17+12</f>
        <v>47</v>
      </c>
      <c r="J12" s="12">
        <f>3+9</f>
        <v>12</v>
      </c>
    </row>
    <row r="13" spans="1:10">
      <c r="A13" s="24" t="s">
        <v>17</v>
      </c>
      <c r="B13" s="24" t="s">
        <v>5</v>
      </c>
      <c r="C13" s="12">
        <v>192</v>
      </c>
      <c r="D13" s="12">
        <v>18</v>
      </c>
      <c r="E13" s="12">
        <v>5.2</v>
      </c>
      <c r="F13" s="12">
        <v>51.5</v>
      </c>
      <c r="G13" s="12">
        <v>48</v>
      </c>
      <c r="H13" s="12">
        <v>8</v>
      </c>
      <c r="I13" s="12">
        <f>12+11+5+5+12+10+5+7</f>
        <v>67</v>
      </c>
      <c r="J13" s="12">
        <f>9+18+9+5</f>
        <v>41</v>
      </c>
    </row>
    <row r="14" spans="1:10">
      <c r="A14" s="23" t="s">
        <v>13</v>
      </c>
      <c r="B14" s="23" t="s">
        <v>5</v>
      </c>
      <c r="C14" s="3">
        <v>132</v>
      </c>
      <c r="D14" s="3">
        <v>23</v>
      </c>
      <c r="E14" s="3">
        <v>4.8</v>
      </c>
      <c r="F14" s="3">
        <v>42.7</v>
      </c>
      <c r="G14" s="3">
        <v>56.3</v>
      </c>
      <c r="H14" s="3">
        <v>9</v>
      </c>
      <c r="I14" s="3">
        <f>26+34+13+17+16+16+13+14+10</f>
        <v>159</v>
      </c>
      <c r="J14" s="3">
        <f>10+4+2</f>
        <v>16</v>
      </c>
    </row>
    <row r="15" spans="1:10">
      <c r="A15" s="23" t="s">
        <v>13</v>
      </c>
      <c r="B15" s="23" t="s">
        <v>5</v>
      </c>
      <c r="C15" s="3">
        <v>163</v>
      </c>
      <c r="D15" s="3">
        <v>21</v>
      </c>
      <c r="E15" s="3">
        <v>5.4</v>
      </c>
      <c r="F15" s="3">
        <v>49.2</v>
      </c>
      <c r="G15" s="3">
        <v>62.8</v>
      </c>
      <c r="H15" s="3">
        <v>7</v>
      </c>
      <c r="I15" s="3">
        <f>36+28+16+15+17+22+15</f>
        <v>149</v>
      </c>
      <c r="J15" s="3">
        <f>14+11+4+2</f>
        <v>31</v>
      </c>
    </row>
    <row r="16" spans="1:10">
      <c r="A16" s="23" t="s">
        <v>13</v>
      </c>
      <c r="B16" s="23" t="s">
        <v>5</v>
      </c>
      <c r="C16" s="3">
        <v>129</v>
      </c>
      <c r="D16" s="3">
        <v>20</v>
      </c>
      <c r="E16" s="3">
        <v>5.6</v>
      </c>
      <c r="F16" s="3">
        <v>45.7</v>
      </c>
      <c r="G16" s="3">
        <v>53.5</v>
      </c>
      <c r="H16" s="3">
        <v>7</v>
      </c>
      <c r="I16" s="3">
        <f>34+20+15+16+19+16+26</f>
        <v>146</v>
      </c>
      <c r="J16" s="3">
        <f>20+7+8+1</f>
        <v>36</v>
      </c>
    </row>
    <row r="17" spans="1:10">
      <c r="A17" s="24" t="s">
        <v>14</v>
      </c>
      <c r="B17" s="24" t="s">
        <v>5</v>
      </c>
      <c r="C17" s="12">
        <v>129</v>
      </c>
      <c r="D17" s="12">
        <v>21</v>
      </c>
      <c r="E17" s="12">
        <v>4.8</v>
      </c>
      <c r="F17" s="12">
        <v>45.6</v>
      </c>
      <c r="G17" s="12">
        <v>58.7</v>
      </c>
      <c r="H17" s="12">
        <f>1+1+1+1+1+1</f>
        <v>6</v>
      </c>
      <c r="I17" s="12">
        <f>13+14+12+14+15+15</f>
        <v>83</v>
      </c>
      <c r="J17" s="12">
        <f>8+9+4+0+0+0</f>
        <v>21</v>
      </c>
    </row>
    <row r="18" spans="1:10">
      <c r="A18" s="24" t="s">
        <v>14</v>
      </c>
      <c r="B18" s="24" t="s">
        <v>5</v>
      </c>
      <c r="C18" s="12">
        <v>123</v>
      </c>
      <c r="D18" s="12">
        <v>24</v>
      </c>
      <c r="E18" s="12">
        <v>6</v>
      </c>
      <c r="F18" s="12">
        <v>43.8</v>
      </c>
      <c r="G18" s="12">
        <v>66.400000000000006</v>
      </c>
      <c r="H18" s="12">
        <f t="shared" ref="H18:H19" si="0">1+1+1+1+1</f>
        <v>5</v>
      </c>
      <c r="I18" s="12">
        <f>9+45+43+10+31</f>
        <v>138</v>
      </c>
      <c r="J18" s="12">
        <f>10+10+0+0+0</f>
        <v>20</v>
      </c>
    </row>
    <row r="19" spans="1:10">
      <c r="A19" s="24" t="s">
        <v>14</v>
      </c>
      <c r="B19" s="24" t="s">
        <v>5</v>
      </c>
      <c r="C19" s="12">
        <v>135</v>
      </c>
      <c r="D19" s="12">
        <v>26</v>
      </c>
      <c r="E19" s="12">
        <v>3.5</v>
      </c>
      <c r="F19" s="12">
        <v>51.8</v>
      </c>
      <c r="G19" s="12">
        <v>57.8</v>
      </c>
      <c r="H19" s="12">
        <f t="shared" si="0"/>
        <v>5</v>
      </c>
      <c r="I19" s="12">
        <f>18+14+14+28+18</f>
        <v>92</v>
      </c>
      <c r="J19" s="12">
        <f>16+7+1+0+0</f>
        <v>24</v>
      </c>
    </row>
    <row r="20" spans="1:10">
      <c r="A20" s="24" t="s">
        <v>15</v>
      </c>
      <c r="B20" s="24" t="s">
        <v>5</v>
      </c>
      <c r="C20" s="12">
        <v>125</v>
      </c>
      <c r="D20" s="12">
        <v>24</v>
      </c>
      <c r="E20" s="12">
        <v>3</v>
      </c>
      <c r="F20" s="12">
        <v>40</v>
      </c>
      <c r="G20" s="12">
        <v>62.3</v>
      </c>
      <c r="H20" s="12">
        <v>10</v>
      </c>
      <c r="I20" s="12">
        <f>6+9+16+10+15+31+41+12+23+16</f>
        <v>179</v>
      </c>
      <c r="J20" s="12">
        <f>10+6+2</f>
        <v>18</v>
      </c>
    </row>
    <row r="21" spans="1:10">
      <c r="A21" s="24" t="s">
        <v>15</v>
      </c>
      <c r="B21" s="24" t="s">
        <v>5</v>
      </c>
      <c r="C21" s="12">
        <v>130</v>
      </c>
      <c r="D21" s="12">
        <v>27</v>
      </c>
      <c r="E21" s="12">
        <v>3.3</v>
      </c>
      <c r="F21" s="12">
        <v>38.299999999999997</v>
      </c>
      <c r="G21" s="12">
        <v>57</v>
      </c>
      <c r="H21" s="12">
        <v>8</v>
      </c>
      <c r="I21" s="12">
        <f>10+10+8+15+17+16+9+16</f>
        <v>101</v>
      </c>
      <c r="J21" s="12">
        <f>14+5+2</f>
        <v>21</v>
      </c>
    </row>
    <row r="22" spans="1:10">
      <c r="A22" s="24" t="s">
        <v>15</v>
      </c>
      <c r="B22" s="24" t="s">
        <v>5</v>
      </c>
      <c r="C22" s="12">
        <v>145</v>
      </c>
      <c r="D22" s="12">
        <v>19</v>
      </c>
      <c r="E22" s="12">
        <v>3.5</v>
      </c>
      <c r="F22" s="12">
        <v>49.9</v>
      </c>
      <c r="G22" s="12">
        <v>70.900000000000006</v>
      </c>
      <c r="H22" s="12">
        <v>7</v>
      </c>
      <c r="I22" s="12">
        <f>9+11+15+14+6+12+14</f>
        <v>81</v>
      </c>
      <c r="J22" s="12">
        <f>7+6+3</f>
        <v>16</v>
      </c>
    </row>
    <row r="23" spans="1:10">
      <c r="A23" s="23" t="s">
        <v>18</v>
      </c>
      <c r="B23" s="23" t="s">
        <v>5</v>
      </c>
      <c r="C23" s="3">
        <v>146</v>
      </c>
      <c r="D23" s="3">
        <v>20</v>
      </c>
      <c r="E23" s="3">
        <v>4</v>
      </c>
      <c r="F23" s="3">
        <v>38.9</v>
      </c>
      <c r="G23" s="3">
        <v>52.4</v>
      </c>
      <c r="H23" s="3">
        <v>6</v>
      </c>
      <c r="I23" s="3">
        <v>80</v>
      </c>
      <c r="J23" s="3">
        <v>6</v>
      </c>
    </row>
    <row r="24" spans="1:10">
      <c r="A24" s="23" t="s">
        <v>18</v>
      </c>
      <c r="B24" s="23" t="s">
        <v>5</v>
      </c>
      <c r="C24" s="3">
        <v>150</v>
      </c>
      <c r="D24" s="3">
        <v>19</v>
      </c>
      <c r="E24" s="3">
        <v>3.5</v>
      </c>
      <c r="F24" s="3">
        <v>40.299999999999997</v>
      </c>
      <c r="G24" s="3">
        <v>56.7</v>
      </c>
      <c r="H24" s="3">
        <v>10</v>
      </c>
      <c r="I24" s="3">
        <v>129</v>
      </c>
      <c r="J24" s="3">
        <v>19</v>
      </c>
    </row>
    <row r="25" spans="1:10">
      <c r="A25" s="23" t="s">
        <v>18</v>
      </c>
      <c r="B25" s="23" t="s">
        <v>5</v>
      </c>
      <c r="C25" s="13">
        <v>145</v>
      </c>
      <c r="D25" s="13">
        <v>20</v>
      </c>
      <c r="E25" s="13">
        <v>3.6</v>
      </c>
      <c r="F25" s="3">
        <v>40.6</v>
      </c>
      <c r="G25" s="3">
        <v>53.6</v>
      </c>
      <c r="H25" s="3">
        <v>8</v>
      </c>
      <c r="I25" s="3">
        <v>101</v>
      </c>
      <c r="J25" s="3">
        <v>10</v>
      </c>
    </row>
    <row r="26" spans="1:10">
      <c r="A26" s="23" t="s">
        <v>12</v>
      </c>
      <c r="B26" s="23" t="s">
        <v>10</v>
      </c>
      <c r="C26" s="3">
        <v>168</v>
      </c>
      <c r="D26" s="3">
        <v>25</v>
      </c>
      <c r="E26" s="3">
        <v>4.3</v>
      </c>
      <c r="F26" s="3">
        <v>48.5</v>
      </c>
      <c r="G26" s="3">
        <v>57.2</v>
      </c>
      <c r="H26" s="3">
        <v>8</v>
      </c>
      <c r="I26" s="3">
        <v>55</v>
      </c>
      <c r="J26" s="3">
        <v>24</v>
      </c>
    </row>
    <row r="27" spans="1:10">
      <c r="A27" s="23" t="s">
        <v>12</v>
      </c>
      <c r="B27" s="23" t="s">
        <v>10</v>
      </c>
      <c r="C27" s="3">
        <v>78</v>
      </c>
      <c r="D27" s="3">
        <v>14</v>
      </c>
      <c r="E27" s="3">
        <v>4.5999999999999996</v>
      </c>
      <c r="F27" s="3">
        <v>60.1</v>
      </c>
      <c r="G27" s="3">
        <v>45.1</v>
      </c>
      <c r="H27" s="3">
        <v>2</v>
      </c>
      <c r="I27" s="3">
        <v>21</v>
      </c>
      <c r="J27" s="3">
        <v>19</v>
      </c>
    </row>
    <row r="28" spans="1:10">
      <c r="A28" s="23" t="s">
        <v>12</v>
      </c>
      <c r="B28" s="23" t="s">
        <v>10</v>
      </c>
      <c r="C28" s="3">
        <v>145</v>
      </c>
      <c r="D28" s="3">
        <v>23</v>
      </c>
      <c r="E28" s="3">
        <v>4</v>
      </c>
      <c r="F28" s="3">
        <v>51.6</v>
      </c>
      <c r="G28" s="3">
        <v>57.2</v>
      </c>
      <c r="H28" s="3">
        <v>7</v>
      </c>
      <c r="I28" s="3">
        <v>72</v>
      </c>
      <c r="J28" s="3">
        <v>15</v>
      </c>
    </row>
    <row r="29" spans="1:10">
      <c r="A29" s="24" t="s">
        <v>13</v>
      </c>
      <c r="B29" s="24" t="s">
        <v>10</v>
      </c>
      <c r="C29" s="12">
        <v>114</v>
      </c>
      <c r="D29" s="12">
        <v>24</v>
      </c>
      <c r="E29" s="12">
        <v>7</v>
      </c>
      <c r="F29" s="12">
        <v>43.9</v>
      </c>
      <c r="G29" s="12">
        <v>50.6</v>
      </c>
      <c r="H29" s="12">
        <v>7</v>
      </c>
      <c r="I29" s="12">
        <f>144+18+8+11+9+6+11</f>
        <v>207</v>
      </c>
      <c r="J29" s="12">
        <f>10+10</f>
        <v>20</v>
      </c>
    </row>
    <row r="30" spans="1:10">
      <c r="A30" s="24" t="s">
        <v>13</v>
      </c>
      <c r="B30" s="24" t="s">
        <v>10</v>
      </c>
      <c r="C30" s="12">
        <v>155</v>
      </c>
      <c r="D30" s="12">
        <v>22</v>
      </c>
      <c r="E30" s="12">
        <v>6</v>
      </c>
      <c r="F30" s="12">
        <v>46.8</v>
      </c>
      <c r="G30" s="12">
        <v>54.9</v>
      </c>
      <c r="H30" s="12">
        <v>6</v>
      </c>
      <c r="I30" s="12">
        <f>6+9+7+5+12+6</f>
        <v>45</v>
      </c>
      <c r="J30" s="12">
        <f>10+6+4</f>
        <v>20</v>
      </c>
    </row>
    <row r="31" spans="1:10" ht="12.75">
      <c r="A31" s="24" t="s">
        <v>13</v>
      </c>
      <c r="B31" s="24" t="s">
        <v>10</v>
      </c>
      <c r="C31" s="12">
        <v>142</v>
      </c>
      <c r="D31" s="12">
        <v>23</v>
      </c>
      <c r="E31" s="12">
        <v>5.5</v>
      </c>
      <c r="F31" s="12">
        <v>50.6</v>
      </c>
      <c r="G31" s="12">
        <v>59.5</v>
      </c>
      <c r="H31" s="12">
        <v>8</v>
      </c>
      <c r="I31" s="12">
        <f>12+11+12+7+14+8+10+10</f>
        <v>84</v>
      </c>
      <c r="J31" s="12">
        <f>10+7</f>
        <v>17</v>
      </c>
    </row>
    <row r="32" spans="1:10" ht="12.75">
      <c r="A32" s="24" t="s">
        <v>15</v>
      </c>
      <c r="B32" s="24" t="s">
        <v>10</v>
      </c>
      <c r="C32" s="12">
        <v>159.1</v>
      </c>
      <c r="D32" s="12">
        <v>20</v>
      </c>
      <c r="E32" s="12">
        <v>3.6</v>
      </c>
      <c r="F32" s="12">
        <v>51.5</v>
      </c>
      <c r="G32" s="12">
        <v>44.9</v>
      </c>
      <c r="H32" s="12">
        <v>6</v>
      </c>
      <c r="I32" s="12">
        <f>1+9+9+13+11+15</f>
        <v>58</v>
      </c>
      <c r="J32" s="12">
        <v>35</v>
      </c>
    </row>
    <row r="33" spans="1:10" ht="12.75">
      <c r="A33" s="24" t="s">
        <v>15</v>
      </c>
      <c r="B33" s="24" t="s">
        <v>10</v>
      </c>
      <c r="C33" s="12">
        <v>183.3</v>
      </c>
      <c r="D33" s="12">
        <v>21</v>
      </c>
      <c r="E33" s="12">
        <v>4.0999999999999996</v>
      </c>
      <c r="F33" s="12">
        <v>50.7</v>
      </c>
      <c r="G33" s="12">
        <v>43.7</v>
      </c>
      <c r="H33" s="12">
        <v>9</v>
      </c>
      <c r="I33" s="12">
        <f>2+10+13+10+14+18+21+9+8</f>
        <v>105</v>
      </c>
      <c r="J33" s="12">
        <v>17</v>
      </c>
    </row>
    <row r="34" spans="1:10" ht="12.75">
      <c r="A34" s="24" t="s">
        <v>15</v>
      </c>
      <c r="B34" s="24" t="s">
        <v>10</v>
      </c>
      <c r="C34" s="12">
        <v>138.80000000000001</v>
      </c>
      <c r="D34" s="12">
        <v>20</v>
      </c>
      <c r="E34" s="12">
        <v>3.8</v>
      </c>
      <c r="F34" s="12">
        <v>48</v>
      </c>
      <c r="G34" s="12">
        <v>35.1</v>
      </c>
      <c r="H34" s="12">
        <v>7</v>
      </c>
      <c r="I34" s="12">
        <f>26+11+11+18+29+28+36</f>
        <v>159</v>
      </c>
      <c r="J34" s="12">
        <v>30</v>
      </c>
    </row>
    <row r="35" spans="1:10" ht="12.75">
      <c r="A35" s="24" t="s">
        <v>4</v>
      </c>
      <c r="B35" s="24" t="s">
        <v>10</v>
      </c>
      <c r="C35" s="12">
        <v>155</v>
      </c>
      <c r="D35" s="12">
        <v>25</v>
      </c>
      <c r="E35" s="12">
        <v>4</v>
      </c>
      <c r="F35" s="12">
        <v>45.5</v>
      </c>
      <c r="G35" s="12">
        <v>54.1</v>
      </c>
      <c r="H35" s="12">
        <v>6</v>
      </c>
      <c r="I35" s="12">
        <f>15+20+17+27+12+9</f>
        <v>100</v>
      </c>
      <c r="J35" s="12">
        <f>9+11+1</f>
        <v>21</v>
      </c>
    </row>
    <row r="36" spans="1:10" ht="12.75">
      <c r="A36" s="24" t="s">
        <v>4</v>
      </c>
      <c r="B36" s="24" t="s">
        <v>10</v>
      </c>
      <c r="C36" s="12">
        <v>161</v>
      </c>
      <c r="D36" s="12">
        <v>32</v>
      </c>
      <c r="E36" s="12">
        <v>4.3</v>
      </c>
      <c r="F36" s="12">
        <v>39.5</v>
      </c>
      <c r="G36" s="12">
        <v>49.6</v>
      </c>
      <c r="H36" s="12">
        <v>6</v>
      </c>
      <c r="I36" s="12">
        <f>16+13+35+10+11+24</f>
        <v>109</v>
      </c>
      <c r="J36" s="12">
        <f>11+3+2</f>
        <v>16</v>
      </c>
    </row>
    <row r="37" spans="1:10" ht="12.75">
      <c r="A37" s="24" t="s">
        <v>4</v>
      </c>
      <c r="B37" s="24" t="s">
        <v>10</v>
      </c>
      <c r="C37" s="12">
        <v>143</v>
      </c>
      <c r="D37" s="12">
        <v>29</v>
      </c>
      <c r="E37" s="12">
        <v>4</v>
      </c>
      <c r="F37" s="12">
        <v>37.700000000000003</v>
      </c>
      <c r="G37" s="12">
        <v>57.3</v>
      </c>
      <c r="H37" s="12">
        <v>7</v>
      </c>
      <c r="I37" s="12">
        <f>12+17+34+11+23+13+12</f>
        <v>122</v>
      </c>
      <c r="J37" s="12">
        <f>17+14+22+7+3</f>
        <v>63</v>
      </c>
    </row>
    <row r="38" spans="1:10" ht="12.75">
      <c r="A38" s="25" t="s">
        <v>14</v>
      </c>
      <c r="B38" s="25" t="s">
        <v>10</v>
      </c>
      <c r="C38" s="3">
        <v>119</v>
      </c>
      <c r="D38" s="3">
        <v>17</v>
      </c>
      <c r="E38" s="3">
        <v>4.5</v>
      </c>
      <c r="F38" s="3">
        <v>40.700000000000003</v>
      </c>
      <c r="G38" s="3">
        <v>51.9</v>
      </c>
      <c r="H38" s="3">
        <v>3</v>
      </c>
      <c r="I38" s="3">
        <f>5+12+22</f>
        <v>39</v>
      </c>
      <c r="J38" s="3">
        <f>8+11+0</f>
        <v>19</v>
      </c>
    </row>
    <row r="39" spans="1:10" ht="12.75">
      <c r="A39" s="25" t="s">
        <v>14</v>
      </c>
      <c r="B39" s="25" t="s">
        <v>10</v>
      </c>
      <c r="C39" s="3">
        <v>141</v>
      </c>
      <c r="D39" s="3">
        <v>22</v>
      </c>
      <c r="E39" s="3">
        <v>4</v>
      </c>
      <c r="F39" s="3">
        <v>48.5</v>
      </c>
      <c r="G39" s="3">
        <v>67.2</v>
      </c>
      <c r="H39" s="3">
        <v>7</v>
      </c>
      <c r="I39" s="3">
        <f>34+65+19+38+38+12+14</f>
        <v>220</v>
      </c>
      <c r="J39" s="3">
        <f>12+9+6+1+0+0</f>
        <v>28</v>
      </c>
    </row>
    <row r="40" spans="1:10" ht="12.75">
      <c r="A40" s="25" t="s">
        <v>14</v>
      </c>
      <c r="B40" s="25" t="s">
        <v>10</v>
      </c>
      <c r="C40" s="3">
        <v>173.2</v>
      </c>
      <c r="D40" s="3">
        <v>24</v>
      </c>
      <c r="E40" s="3">
        <v>4.4000000000000004</v>
      </c>
      <c r="F40" s="3">
        <v>37.799999999999997</v>
      </c>
      <c r="G40" s="3">
        <v>51.7</v>
      </c>
      <c r="H40" s="3">
        <v>3</v>
      </c>
      <c r="I40" s="3">
        <f>32+50+47</f>
        <v>129</v>
      </c>
      <c r="J40" s="3">
        <f>14+14+2</f>
        <v>30</v>
      </c>
    </row>
    <row r="41" spans="1:10" ht="12.75">
      <c r="A41" s="25" t="s">
        <v>16</v>
      </c>
      <c r="B41" s="25" t="s">
        <v>10</v>
      </c>
      <c r="C41" s="13">
        <v>131</v>
      </c>
      <c r="D41" s="13">
        <v>16</v>
      </c>
      <c r="E41" s="13">
        <v>3.5</v>
      </c>
      <c r="F41" s="13">
        <v>47.8</v>
      </c>
      <c r="G41" s="13">
        <v>55.3</v>
      </c>
      <c r="H41" s="13">
        <f>1+1+1+1+1+1+1+1</f>
        <v>8</v>
      </c>
      <c r="I41" s="13">
        <f>25+9+6+5+20+14+14+8</f>
        <v>101</v>
      </c>
      <c r="J41" s="13">
        <f>9+6+7</f>
        <v>22</v>
      </c>
    </row>
    <row r="42" spans="1:10" ht="12.75">
      <c r="A42" s="25" t="s">
        <v>16</v>
      </c>
      <c r="B42" s="25" t="s">
        <v>10</v>
      </c>
      <c r="C42" s="13">
        <v>92</v>
      </c>
      <c r="D42" s="13">
        <v>14</v>
      </c>
      <c r="E42" s="13">
        <v>4</v>
      </c>
      <c r="F42" s="13">
        <v>39.5</v>
      </c>
      <c r="G42" s="13">
        <v>57.2</v>
      </c>
      <c r="H42" s="13">
        <f>1+1+1+1</f>
        <v>4</v>
      </c>
      <c r="I42" s="13">
        <f>10+14+8+11</f>
        <v>43</v>
      </c>
      <c r="J42" s="13">
        <f>9+8+9</f>
        <v>26</v>
      </c>
    </row>
    <row r="43" spans="1:10" ht="12.75">
      <c r="A43" s="25" t="s">
        <v>16</v>
      </c>
      <c r="B43" s="25" t="s">
        <v>10</v>
      </c>
      <c r="C43" s="13">
        <v>140</v>
      </c>
      <c r="D43" s="13">
        <v>19</v>
      </c>
      <c r="E43" s="13">
        <v>4</v>
      </c>
      <c r="F43" s="13">
        <v>52.2</v>
      </c>
      <c r="G43" s="13">
        <v>53</v>
      </c>
      <c r="H43" s="13">
        <f>1+1+1+1+1+1+1+1</f>
        <v>8</v>
      </c>
      <c r="I43" s="13">
        <f>15+15+14+17+10+28+25+16</f>
        <v>140</v>
      </c>
      <c r="J43" s="13">
        <f>6+5</f>
        <v>11</v>
      </c>
    </row>
    <row r="44" spans="1:10" ht="12.75">
      <c r="A44" s="23" t="s">
        <v>17</v>
      </c>
      <c r="B44" s="23" t="s">
        <v>10</v>
      </c>
      <c r="C44" s="3">
        <v>121.2</v>
      </c>
      <c r="D44" s="3">
        <v>23</v>
      </c>
      <c r="E44" s="3">
        <v>4.8</v>
      </c>
      <c r="F44" s="3">
        <v>40.5</v>
      </c>
      <c r="G44" s="3">
        <v>56.6</v>
      </c>
      <c r="H44" s="3">
        <v>8</v>
      </c>
      <c r="I44" s="3">
        <f>13+12+15+19+11+16+12+6</f>
        <v>104</v>
      </c>
      <c r="J44" s="3">
        <f>2+4+7</f>
        <v>13</v>
      </c>
    </row>
    <row r="45" spans="1:10" ht="12.75">
      <c r="A45" s="27" t="s">
        <v>17</v>
      </c>
      <c r="B45" s="27" t="s">
        <v>10</v>
      </c>
      <c r="C45" s="28">
        <v>86.8</v>
      </c>
      <c r="D45" s="28">
        <v>17</v>
      </c>
      <c r="E45" s="28">
        <v>6</v>
      </c>
      <c r="F45" s="28">
        <v>42.6</v>
      </c>
      <c r="G45" s="28">
        <v>45.5</v>
      </c>
      <c r="H45" s="28">
        <v>3</v>
      </c>
      <c r="I45" s="28">
        <f>12+10+11</f>
        <v>33</v>
      </c>
      <c r="J45" s="28">
        <v>0</v>
      </c>
    </row>
    <row r="46" spans="1:10" ht="12.75">
      <c r="A46" s="23" t="s">
        <v>17</v>
      </c>
      <c r="B46" s="23" t="s">
        <v>10</v>
      </c>
      <c r="C46" s="3">
        <v>130.19999999999999</v>
      </c>
      <c r="D46" s="3">
        <v>23</v>
      </c>
      <c r="E46" s="3">
        <v>5.0999999999999996</v>
      </c>
      <c r="F46" s="3">
        <v>38.299999999999997</v>
      </c>
      <c r="G46" s="3">
        <v>60.7</v>
      </c>
      <c r="H46" s="3">
        <v>11</v>
      </c>
      <c r="I46" s="3">
        <f>16+17+15+18+10+23+20+30+23+24+23-17</f>
        <v>202</v>
      </c>
      <c r="J46" s="3">
        <f>2+4+6+5</f>
        <v>17</v>
      </c>
    </row>
    <row r="47" spans="1:10" ht="12.75">
      <c r="A47" s="24" t="s">
        <v>18</v>
      </c>
      <c r="B47" s="24" t="s">
        <v>10</v>
      </c>
      <c r="C47" s="12">
        <v>115</v>
      </c>
      <c r="D47" s="12">
        <v>20</v>
      </c>
      <c r="E47" s="12">
        <v>4</v>
      </c>
      <c r="F47" s="12">
        <v>40.1</v>
      </c>
      <c r="G47" s="12">
        <v>53.1</v>
      </c>
      <c r="H47" s="12">
        <v>6</v>
      </c>
      <c r="I47" s="12">
        <f>43+17+23+15+10+5</f>
        <v>113</v>
      </c>
      <c r="J47" s="12">
        <f>18+3</f>
        <v>21</v>
      </c>
    </row>
    <row r="48" spans="1:10" ht="12.75">
      <c r="A48" s="24" t="s">
        <v>18</v>
      </c>
      <c r="B48" s="24" t="s">
        <v>10</v>
      </c>
      <c r="C48" s="12">
        <v>150</v>
      </c>
      <c r="D48" s="12">
        <v>20</v>
      </c>
      <c r="E48" s="12">
        <v>4</v>
      </c>
      <c r="F48" s="12">
        <v>40.5</v>
      </c>
      <c r="G48" s="12">
        <v>57.6</v>
      </c>
      <c r="H48" s="12">
        <v>6</v>
      </c>
      <c r="I48" s="12">
        <f>14+23+13+17+15+20</f>
        <v>102</v>
      </c>
      <c r="J48" s="12">
        <f>6+3</f>
        <v>9</v>
      </c>
    </row>
    <row r="49" spans="1:10" ht="12.75">
      <c r="A49" s="24" t="s">
        <v>18</v>
      </c>
      <c r="B49" s="24" t="s">
        <v>10</v>
      </c>
      <c r="C49" s="12">
        <v>130</v>
      </c>
      <c r="D49" s="12">
        <v>21</v>
      </c>
      <c r="E49" s="12">
        <v>4</v>
      </c>
      <c r="F49" s="12">
        <v>36.799999999999997</v>
      </c>
      <c r="G49" s="12">
        <v>60.2</v>
      </c>
      <c r="H49" s="12">
        <v>6</v>
      </c>
      <c r="I49" s="12">
        <f>17+30+30+17+15+10</f>
        <v>119</v>
      </c>
      <c r="J49" s="12">
        <f>5+3+2</f>
        <v>10</v>
      </c>
    </row>
    <row r="50" spans="1:10" ht="12.75">
      <c r="A50" s="24" t="s">
        <v>4</v>
      </c>
      <c r="B50" s="24" t="s">
        <v>11</v>
      </c>
      <c r="C50" s="12">
        <v>148</v>
      </c>
      <c r="D50" s="12">
        <v>22</v>
      </c>
      <c r="E50" s="12">
        <v>4.5</v>
      </c>
      <c r="F50" s="12">
        <v>51.3</v>
      </c>
      <c r="G50" s="12">
        <v>54.6</v>
      </c>
      <c r="H50" s="12">
        <v>7</v>
      </c>
      <c r="I50" s="12">
        <v>45</v>
      </c>
      <c r="J50" s="12">
        <v>47</v>
      </c>
    </row>
    <row r="51" spans="1:10" ht="12.75">
      <c r="A51" s="24" t="s">
        <v>4</v>
      </c>
      <c r="B51" s="24" t="s">
        <v>11</v>
      </c>
      <c r="C51" s="12">
        <v>143</v>
      </c>
      <c r="D51" s="12">
        <v>23</v>
      </c>
      <c r="E51" s="12">
        <v>4.2</v>
      </c>
      <c r="F51" s="12">
        <v>50.9</v>
      </c>
      <c r="G51" s="12">
        <v>52.9</v>
      </c>
      <c r="H51" s="12">
        <v>10</v>
      </c>
      <c r="I51" s="12">
        <v>63</v>
      </c>
      <c r="J51" s="12">
        <v>45</v>
      </c>
    </row>
    <row r="52" spans="1:10" ht="12.75">
      <c r="A52" s="24" t="s">
        <v>4</v>
      </c>
      <c r="B52" s="24" t="s">
        <v>11</v>
      </c>
      <c r="C52" s="12">
        <v>86</v>
      </c>
      <c r="D52" s="12">
        <v>12</v>
      </c>
      <c r="E52" s="12">
        <v>3.8</v>
      </c>
      <c r="F52" s="12">
        <v>49.5</v>
      </c>
      <c r="G52" s="12">
        <v>54.5</v>
      </c>
      <c r="H52" s="12">
        <v>2</v>
      </c>
      <c r="I52" s="12">
        <v>20</v>
      </c>
      <c r="J52" s="12">
        <v>13</v>
      </c>
    </row>
    <row r="53" spans="1:10" ht="12.75">
      <c r="A53" s="25" t="s">
        <v>14</v>
      </c>
      <c r="B53" s="25" t="s">
        <v>11</v>
      </c>
      <c r="C53" s="13">
        <v>145.30000000000001</v>
      </c>
      <c r="D53" s="13">
        <v>24</v>
      </c>
      <c r="E53" s="3">
        <v>3.4</v>
      </c>
      <c r="F53" s="3">
        <v>40.5</v>
      </c>
      <c r="G53" s="3">
        <v>54.5</v>
      </c>
      <c r="H53" s="3">
        <v>6</v>
      </c>
      <c r="I53" s="3">
        <f>14+24+13+10+8+30</f>
        <v>99</v>
      </c>
      <c r="J53" s="3">
        <v>32</v>
      </c>
    </row>
    <row r="54" spans="1:10" ht="12.75">
      <c r="A54" s="25" t="s">
        <v>14</v>
      </c>
      <c r="B54" s="25" t="s">
        <v>11</v>
      </c>
      <c r="C54" s="13">
        <v>139</v>
      </c>
      <c r="D54" s="13">
        <v>24</v>
      </c>
      <c r="E54" s="3">
        <v>3.8</v>
      </c>
      <c r="F54" s="3">
        <v>45.4</v>
      </c>
      <c r="G54" s="3">
        <v>67.2</v>
      </c>
      <c r="H54" s="3">
        <v>7</v>
      </c>
      <c r="I54" s="3">
        <f>7+14+7+4+11+10+11</f>
        <v>64</v>
      </c>
      <c r="J54" s="3">
        <v>33</v>
      </c>
    </row>
    <row r="55" spans="1:10" ht="12.75">
      <c r="A55" s="25" t="s">
        <v>14</v>
      </c>
      <c r="B55" s="25" t="s">
        <v>11</v>
      </c>
      <c r="C55" s="13">
        <v>140.5</v>
      </c>
      <c r="D55" s="13">
        <v>19</v>
      </c>
      <c r="E55" s="3">
        <v>3.5</v>
      </c>
      <c r="F55" s="3">
        <v>49.9</v>
      </c>
      <c r="G55" s="3">
        <v>64.2</v>
      </c>
      <c r="H55" s="3">
        <v>6</v>
      </c>
      <c r="I55" s="3">
        <f>3+9+3+10+11+12</f>
        <v>48</v>
      </c>
      <c r="J55" s="3">
        <v>22</v>
      </c>
    </row>
    <row r="56" spans="1:10" ht="12.75">
      <c r="A56" s="23" t="s">
        <v>15</v>
      </c>
      <c r="B56" s="23" t="s">
        <v>11</v>
      </c>
      <c r="C56" s="13">
        <v>176</v>
      </c>
      <c r="D56" s="13">
        <v>27</v>
      </c>
      <c r="E56" s="13">
        <v>3.3</v>
      </c>
      <c r="F56" s="13">
        <v>47.7</v>
      </c>
      <c r="G56" s="13">
        <v>49.6</v>
      </c>
      <c r="H56" s="13">
        <v>11</v>
      </c>
      <c r="I56" s="13">
        <f>18+5+10+11+15+12+11+7+14+13+9</f>
        <v>125</v>
      </c>
      <c r="J56" s="13">
        <f>23+11+7+3</f>
        <v>44</v>
      </c>
    </row>
    <row r="57" spans="1:10" ht="12.75">
      <c r="A57" s="23" t="s">
        <v>15</v>
      </c>
      <c r="B57" s="23" t="s">
        <v>11</v>
      </c>
      <c r="C57" s="13">
        <v>150</v>
      </c>
      <c r="D57" s="13">
        <v>37</v>
      </c>
      <c r="E57" s="13">
        <v>3.6</v>
      </c>
      <c r="F57" s="13">
        <v>43.2</v>
      </c>
      <c r="G57" s="13">
        <v>48.7</v>
      </c>
      <c r="H57" s="13">
        <v>17</v>
      </c>
      <c r="I57" s="13">
        <f>18+7+8+9+13+18+12+11+5+13+21+14+9+19+14+10+12</f>
        <v>213</v>
      </c>
      <c r="J57" s="13">
        <f>11+9+4+10+7</f>
        <v>41</v>
      </c>
    </row>
    <row r="58" spans="1:10" ht="12.75">
      <c r="A58" s="23" t="s">
        <v>15</v>
      </c>
      <c r="B58" s="23" t="s">
        <v>11</v>
      </c>
      <c r="C58" s="13">
        <v>145</v>
      </c>
      <c r="D58" s="13">
        <v>20</v>
      </c>
      <c r="E58" s="13">
        <v>3.6</v>
      </c>
      <c r="F58" s="13">
        <v>46.6</v>
      </c>
      <c r="G58" s="13">
        <v>42.4</v>
      </c>
      <c r="H58" s="13">
        <v>5</v>
      </c>
      <c r="I58" s="13">
        <f>28+26+24+11+12</f>
        <v>101</v>
      </c>
      <c r="J58" s="13">
        <f>6+2</f>
        <v>8</v>
      </c>
    </row>
    <row r="59" spans="1:10" ht="12.75">
      <c r="A59" s="24" t="s">
        <v>16</v>
      </c>
      <c r="B59" s="24" t="s">
        <v>11</v>
      </c>
      <c r="C59" s="12">
        <v>140</v>
      </c>
      <c r="D59" s="12">
        <v>20</v>
      </c>
      <c r="E59" s="12">
        <v>6.5</v>
      </c>
      <c r="F59" s="12">
        <v>60.6</v>
      </c>
      <c r="G59" s="12">
        <v>41.6</v>
      </c>
      <c r="H59" s="12">
        <v>7</v>
      </c>
      <c r="I59" s="12">
        <f>5+4+5+6+5+4+2</f>
        <v>31</v>
      </c>
      <c r="J59" s="12">
        <f>5+5+4+11+9</f>
        <v>34</v>
      </c>
    </row>
    <row r="60" spans="1:10" ht="12.75">
      <c r="A60" s="24" t="s">
        <v>16</v>
      </c>
      <c r="B60" s="24" t="s">
        <v>11</v>
      </c>
      <c r="C60" s="12">
        <v>121</v>
      </c>
      <c r="D60" s="12">
        <v>20</v>
      </c>
      <c r="E60" s="12">
        <v>6</v>
      </c>
      <c r="F60" s="12">
        <v>56.8</v>
      </c>
      <c r="G60" s="12">
        <v>46.6</v>
      </c>
      <c r="H60" s="12">
        <v>7</v>
      </c>
      <c r="I60" s="12">
        <f>4+7+5+5+11+8+5</f>
        <v>45</v>
      </c>
      <c r="J60" s="12">
        <f>4+6+10+8+11</f>
        <v>39</v>
      </c>
    </row>
    <row r="61" spans="1:10" ht="12.75">
      <c r="A61" s="24" t="s">
        <v>16</v>
      </c>
      <c r="B61" s="24" t="s">
        <v>11</v>
      </c>
      <c r="C61" s="12">
        <v>128</v>
      </c>
      <c r="D61" s="12">
        <v>25</v>
      </c>
      <c r="E61" s="12">
        <v>5.5</v>
      </c>
      <c r="F61" s="12">
        <v>54.7</v>
      </c>
      <c r="G61" s="12">
        <v>37.799999999999997</v>
      </c>
      <c r="H61" s="12">
        <v>6</v>
      </c>
      <c r="I61" s="12">
        <f>4+6+5+4+5+4</f>
        <v>28</v>
      </c>
      <c r="J61" s="12">
        <f>3+5+4</f>
        <v>12</v>
      </c>
    </row>
    <row r="62" spans="1:10" ht="12.75">
      <c r="A62" s="24" t="s">
        <v>18</v>
      </c>
      <c r="B62" s="24" t="s">
        <v>11</v>
      </c>
      <c r="C62" s="12">
        <v>140.5</v>
      </c>
      <c r="D62" s="12">
        <v>23</v>
      </c>
      <c r="E62" s="12">
        <v>3</v>
      </c>
      <c r="F62" s="12">
        <v>35.299999999999997</v>
      </c>
      <c r="G62" s="12">
        <v>49.2</v>
      </c>
      <c r="H62" s="12">
        <v>11</v>
      </c>
      <c r="I62" s="12">
        <f>10+14+14+8+8+13+13+12+13+10+12</f>
        <v>127</v>
      </c>
      <c r="J62" s="12">
        <v>9</v>
      </c>
    </row>
    <row r="63" spans="1:10" ht="12.75">
      <c r="A63" s="24" t="s">
        <v>18</v>
      </c>
      <c r="B63" s="24" t="s">
        <v>11</v>
      </c>
      <c r="C63" s="12">
        <v>124.3</v>
      </c>
      <c r="D63" s="12">
        <v>24</v>
      </c>
      <c r="E63" s="12">
        <v>3</v>
      </c>
      <c r="F63" s="12">
        <v>43.1</v>
      </c>
      <c r="G63" s="12">
        <v>50.5</v>
      </c>
      <c r="H63" s="12">
        <v>9</v>
      </c>
      <c r="I63" s="12">
        <f>7+12+14+12+12+16+16+12+12</f>
        <v>113</v>
      </c>
      <c r="J63" s="12">
        <v>5</v>
      </c>
    </row>
    <row r="64" spans="1:10" ht="12.75">
      <c r="A64" s="24" t="s">
        <v>18</v>
      </c>
      <c r="B64" s="24" t="s">
        <v>11</v>
      </c>
      <c r="C64" s="12">
        <v>146.30000000000001</v>
      </c>
      <c r="D64" s="12">
        <v>20</v>
      </c>
      <c r="E64" s="12">
        <v>3.1</v>
      </c>
      <c r="F64" s="12">
        <v>41.5</v>
      </c>
      <c r="G64" s="12">
        <v>58</v>
      </c>
      <c r="H64" s="12">
        <v>7</v>
      </c>
      <c r="I64" s="12">
        <f>9+10+8+13+15+10+31</f>
        <v>96</v>
      </c>
      <c r="J64" s="12">
        <v>13</v>
      </c>
    </row>
    <row r="65" spans="1:10" ht="12.75">
      <c r="A65" s="23" t="s">
        <v>12</v>
      </c>
      <c r="B65" s="23" t="s">
        <v>11</v>
      </c>
      <c r="C65" s="3">
        <v>152</v>
      </c>
      <c r="D65" s="3">
        <v>25</v>
      </c>
      <c r="E65" s="3">
        <v>4.3</v>
      </c>
      <c r="F65" s="3">
        <v>46.9</v>
      </c>
      <c r="G65" s="3">
        <v>59.7</v>
      </c>
      <c r="H65" s="3">
        <v>9</v>
      </c>
      <c r="I65" s="3">
        <f>60+21+18+10+14+16+10+12+12</f>
        <v>173</v>
      </c>
      <c r="J65" s="3">
        <f>20+18+6+6+2+0+0+0+0</f>
        <v>52</v>
      </c>
    </row>
    <row r="66" spans="1:10" ht="12.75">
      <c r="A66" s="23" t="s">
        <v>12</v>
      </c>
      <c r="B66" s="23" t="s">
        <v>11</v>
      </c>
      <c r="C66" s="3">
        <v>158</v>
      </c>
      <c r="D66" s="3">
        <v>19</v>
      </c>
      <c r="E66" s="3">
        <v>4.9000000000000004</v>
      </c>
      <c r="F66" s="3">
        <v>50.9</v>
      </c>
      <c r="G66" s="3">
        <v>59.3</v>
      </c>
      <c r="H66" s="3">
        <v>6</v>
      </c>
      <c r="I66" s="3">
        <f>10+35+17+20+36+25</f>
        <v>143</v>
      </c>
      <c r="J66" s="3">
        <f>14+12+3+2+0+0</f>
        <v>31</v>
      </c>
    </row>
    <row r="67" spans="1:10" ht="12.75">
      <c r="A67" s="23" t="s">
        <v>12</v>
      </c>
      <c r="B67" s="23" t="s">
        <v>11</v>
      </c>
      <c r="C67" s="3">
        <v>111</v>
      </c>
      <c r="D67" s="3">
        <v>18</v>
      </c>
      <c r="E67" s="3">
        <v>4</v>
      </c>
      <c r="F67" s="3">
        <v>42.4</v>
      </c>
      <c r="G67" s="3">
        <v>53.7</v>
      </c>
      <c r="H67" s="3">
        <v>5</v>
      </c>
      <c r="I67" s="3">
        <f>22+14+10+14+12</f>
        <v>72</v>
      </c>
      <c r="J67" s="3">
        <f>16+1+5+0+0</f>
        <v>22</v>
      </c>
    </row>
    <row r="68" spans="1:10" ht="12.75">
      <c r="A68" s="27" t="s">
        <v>13</v>
      </c>
      <c r="B68" s="27" t="s">
        <v>11</v>
      </c>
      <c r="C68" s="27"/>
      <c r="D68" s="27"/>
      <c r="E68" s="27"/>
      <c r="F68" s="27"/>
      <c r="G68" s="27"/>
      <c r="H68" s="27"/>
      <c r="I68" s="27"/>
      <c r="J68" s="27"/>
    </row>
    <row r="69" spans="1:10" ht="12.75">
      <c r="A69" s="24" t="s">
        <v>13</v>
      </c>
      <c r="B69" s="24" t="s">
        <v>11</v>
      </c>
      <c r="C69" s="12">
        <v>143</v>
      </c>
      <c r="D69" s="12">
        <v>27</v>
      </c>
      <c r="E69" s="12">
        <v>4.5</v>
      </c>
      <c r="F69" s="12">
        <v>45.6</v>
      </c>
      <c r="G69" s="12">
        <v>59.4</v>
      </c>
      <c r="H69" s="12">
        <v>9</v>
      </c>
      <c r="I69" s="12">
        <f>8+20+16+19+14+21+10+12+13</f>
        <v>133</v>
      </c>
      <c r="J69" s="12">
        <f>10+6+4+2</f>
        <v>22</v>
      </c>
    </row>
    <row r="70" spans="1:10" ht="12.75">
      <c r="A70" s="24" t="s">
        <v>13</v>
      </c>
      <c r="B70" s="24" t="s">
        <v>11</v>
      </c>
      <c r="C70" s="12">
        <v>127.4</v>
      </c>
      <c r="D70" s="12">
        <v>23</v>
      </c>
      <c r="E70" s="12">
        <v>4.0999999999999996</v>
      </c>
      <c r="F70" s="12">
        <v>46.2</v>
      </c>
      <c r="G70" s="12">
        <v>50.8</v>
      </c>
      <c r="H70" s="12">
        <v>5</v>
      </c>
      <c r="I70" s="12">
        <f>24+10+11+10+40</f>
        <v>95</v>
      </c>
      <c r="J70" s="12">
        <f>3+7+4+2</f>
        <v>16</v>
      </c>
    </row>
    <row r="71" spans="1:10" ht="12.75">
      <c r="A71" s="24" t="s">
        <v>17</v>
      </c>
      <c r="B71" s="24" t="s">
        <v>11</v>
      </c>
      <c r="C71" s="12">
        <v>135</v>
      </c>
      <c r="D71" s="12">
        <v>20</v>
      </c>
      <c r="E71" s="12">
        <v>4</v>
      </c>
      <c r="F71" s="12">
        <v>42.5</v>
      </c>
      <c r="G71" s="12">
        <v>53.9</v>
      </c>
      <c r="H71" s="12">
        <v>8</v>
      </c>
      <c r="I71" s="12">
        <v>115</v>
      </c>
      <c r="J71" s="12">
        <v>9</v>
      </c>
    </row>
    <row r="72" spans="1:10" ht="12.75">
      <c r="A72" s="24" t="s">
        <v>17</v>
      </c>
      <c r="B72" s="24" t="s">
        <v>11</v>
      </c>
      <c r="C72" s="12">
        <v>149</v>
      </c>
      <c r="D72" s="12">
        <v>21</v>
      </c>
      <c r="E72" s="12">
        <v>4.2</v>
      </c>
      <c r="F72" s="12">
        <v>36.6</v>
      </c>
      <c r="G72" s="12">
        <v>61.8</v>
      </c>
      <c r="H72" s="12">
        <v>5</v>
      </c>
      <c r="I72" s="12">
        <v>92</v>
      </c>
      <c r="J72" s="12">
        <v>11</v>
      </c>
    </row>
    <row r="73" spans="1:10" ht="12.75">
      <c r="A73" s="24" t="s">
        <v>17</v>
      </c>
      <c r="B73" s="24" t="s">
        <v>11</v>
      </c>
      <c r="C73" s="12">
        <v>150</v>
      </c>
      <c r="D73" s="12">
        <v>19</v>
      </c>
      <c r="E73" s="12">
        <v>4.3</v>
      </c>
      <c r="F73" s="12">
        <v>45.2</v>
      </c>
      <c r="G73" s="12">
        <v>57.7</v>
      </c>
      <c r="H73" s="12">
        <v>6</v>
      </c>
      <c r="I73" s="12">
        <v>86</v>
      </c>
      <c r="J73" s="12">
        <v>12</v>
      </c>
    </row>
    <row r="74" spans="1:10" ht="12.75">
      <c r="A74" s="23" t="s">
        <v>13</v>
      </c>
      <c r="B74" s="23" t="s">
        <v>9</v>
      </c>
      <c r="C74" s="3">
        <v>143</v>
      </c>
      <c r="D74" s="3">
        <v>22</v>
      </c>
      <c r="E74" s="3">
        <v>3.8</v>
      </c>
      <c r="F74" s="3">
        <v>48.2</v>
      </c>
      <c r="G74" s="3">
        <v>45.4</v>
      </c>
      <c r="H74" s="3">
        <v>6</v>
      </c>
      <c r="I74" s="3">
        <f>6+18+4+11+11+8</f>
        <v>58</v>
      </c>
      <c r="J74" s="3">
        <v>20</v>
      </c>
    </row>
    <row r="75" spans="1:10" ht="12.75">
      <c r="A75" s="23" t="s">
        <v>13</v>
      </c>
      <c r="B75" s="23" t="s">
        <v>9</v>
      </c>
      <c r="C75" s="3">
        <v>134</v>
      </c>
      <c r="D75" s="3">
        <v>20</v>
      </c>
      <c r="E75" s="3">
        <v>4</v>
      </c>
      <c r="F75" s="3">
        <v>52.8</v>
      </c>
      <c r="G75" s="3">
        <v>40</v>
      </c>
      <c r="H75" s="3">
        <v>7</v>
      </c>
      <c r="I75" s="3">
        <f>12+22+16+14+6+6+11</f>
        <v>87</v>
      </c>
      <c r="J75" s="3">
        <v>25</v>
      </c>
    </row>
    <row r="76" spans="1:10" ht="12.75">
      <c r="A76" s="29" t="s">
        <v>13</v>
      </c>
      <c r="B76" s="29" t="s">
        <v>9</v>
      </c>
      <c r="C76" s="29"/>
      <c r="D76" s="29"/>
      <c r="E76" s="29"/>
      <c r="F76" s="29"/>
      <c r="G76" s="29"/>
      <c r="H76" s="29"/>
      <c r="I76" s="29"/>
      <c r="J76" s="29"/>
    </row>
    <row r="77" spans="1:10" ht="12.75">
      <c r="A77" s="24" t="s">
        <v>14</v>
      </c>
      <c r="B77" s="24" t="s">
        <v>9</v>
      </c>
      <c r="C77" s="12">
        <v>155.80000000000001</v>
      </c>
      <c r="D77" s="12">
        <v>23</v>
      </c>
      <c r="E77" s="12">
        <v>4.0999999999999996</v>
      </c>
      <c r="F77" s="12">
        <v>54.7</v>
      </c>
      <c r="G77" s="12">
        <v>45.4</v>
      </c>
      <c r="H77" s="12">
        <v>12</v>
      </c>
      <c r="I77" s="12">
        <v>82</v>
      </c>
      <c r="J77" s="12">
        <v>15</v>
      </c>
    </row>
    <row r="78" spans="1:10" ht="12.75">
      <c r="A78" s="24" t="s">
        <v>14</v>
      </c>
      <c r="B78" s="24" t="s">
        <v>9</v>
      </c>
      <c r="C78" s="12">
        <v>162.30000000000001</v>
      </c>
      <c r="D78" s="12">
        <v>23</v>
      </c>
      <c r="E78" s="12">
        <v>4.5</v>
      </c>
      <c r="F78" s="12">
        <v>56.2</v>
      </c>
      <c r="G78" s="12">
        <v>50.1</v>
      </c>
      <c r="H78" s="12">
        <v>17</v>
      </c>
      <c r="I78" s="12">
        <v>145</v>
      </c>
      <c r="J78" s="12">
        <v>24</v>
      </c>
    </row>
    <row r="79" spans="1:10" ht="12.75">
      <c r="A79" s="24" t="s">
        <v>14</v>
      </c>
      <c r="B79" s="24" t="s">
        <v>9</v>
      </c>
      <c r="C79" s="12">
        <v>149.30000000000001</v>
      </c>
      <c r="D79" s="12">
        <v>22</v>
      </c>
      <c r="E79" s="12">
        <v>4.3</v>
      </c>
      <c r="F79" s="12">
        <v>57.3</v>
      </c>
      <c r="G79" s="12">
        <v>46.6</v>
      </c>
      <c r="H79" s="12">
        <v>11</v>
      </c>
      <c r="I79" s="12">
        <v>86</v>
      </c>
      <c r="J79" s="12">
        <v>25</v>
      </c>
    </row>
    <row r="80" spans="1:10" ht="12.75">
      <c r="A80" s="23" t="s">
        <v>17</v>
      </c>
      <c r="B80" s="23" t="s">
        <v>9</v>
      </c>
      <c r="C80" s="3">
        <v>123</v>
      </c>
      <c r="D80" s="3">
        <v>28</v>
      </c>
      <c r="E80" s="3">
        <v>4.5</v>
      </c>
      <c r="F80" s="3">
        <v>54.1</v>
      </c>
      <c r="G80" s="3">
        <v>46.5</v>
      </c>
      <c r="H80" s="3">
        <v>8</v>
      </c>
      <c r="I80" s="3">
        <v>76</v>
      </c>
      <c r="J80" s="3">
        <v>15</v>
      </c>
    </row>
    <row r="81" spans="1:10" ht="12.75">
      <c r="A81" s="23" t="s">
        <v>17</v>
      </c>
      <c r="B81" s="23" t="s">
        <v>9</v>
      </c>
      <c r="C81" s="3">
        <v>150.19999999999999</v>
      </c>
      <c r="D81" s="3">
        <v>26</v>
      </c>
      <c r="E81" s="3">
        <v>4.2</v>
      </c>
      <c r="F81" s="3">
        <v>49.3</v>
      </c>
      <c r="G81" s="3">
        <v>56.5</v>
      </c>
      <c r="H81" s="3">
        <v>7</v>
      </c>
      <c r="I81" s="3">
        <v>53</v>
      </c>
      <c r="J81" s="3">
        <v>14</v>
      </c>
    </row>
    <row r="82" spans="1:10" ht="12.75">
      <c r="A82" s="23" t="s">
        <v>17</v>
      </c>
      <c r="B82" s="23" t="s">
        <v>9</v>
      </c>
      <c r="C82" s="3">
        <v>138.1</v>
      </c>
      <c r="D82" s="3">
        <v>23</v>
      </c>
      <c r="E82" s="3">
        <v>4.3</v>
      </c>
      <c r="F82" s="3">
        <v>47.7</v>
      </c>
      <c r="G82" s="3">
        <v>52.1</v>
      </c>
      <c r="H82" s="3">
        <v>8</v>
      </c>
      <c r="I82" s="3">
        <v>69</v>
      </c>
      <c r="J82" s="3">
        <v>13</v>
      </c>
    </row>
    <row r="83" spans="1:10" ht="12.75">
      <c r="A83" s="23" t="s">
        <v>18</v>
      </c>
      <c r="B83" s="23" t="s">
        <v>9</v>
      </c>
      <c r="C83" s="3">
        <v>162</v>
      </c>
      <c r="D83" s="3">
        <v>21</v>
      </c>
      <c r="E83" s="3">
        <v>4</v>
      </c>
      <c r="F83" s="3">
        <v>40</v>
      </c>
      <c r="G83" s="3">
        <v>54</v>
      </c>
      <c r="H83" s="3">
        <v>8</v>
      </c>
      <c r="I83" s="3">
        <v>52</v>
      </c>
      <c r="J83" s="3">
        <v>6</v>
      </c>
    </row>
    <row r="84" spans="1:10" ht="12.75">
      <c r="A84" s="23" t="s">
        <v>18</v>
      </c>
      <c r="B84" s="23" t="s">
        <v>9</v>
      </c>
      <c r="C84" s="3">
        <v>160</v>
      </c>
      <c r="D84" s="3">
        <v>24</v>
      </c>
      <c r="E84" s="3">
        <v>3</v>
      </c>
      <c r="F84" s="3">
        <v>45</v>
      </c>
      <c r="G84" s="3">
        <v>55.1</v>
      </c>
      <c r="H84" s="3">
        <v>6</v>
      </c>
      <c r="I84" s="3">
        <v>40</v>
      </c>
      <c r="J84" s="3">
        <v>3</v>
      </c>
    </row>
    <row r="85" spans="1:10" ht="12.75">
      <c r="A85" s="23" t="s">
        <v>18</v>
      </c>
      <c r="B85" s="23" t="s">
        <v>9</v>
      </c>
      <c r="C85" s="3">
        <v>146</v>
      </c>
      <c r="D85" s="3">
        <v>23</v>
      </c>
      <c r="E85" s="13">
        <v>3.5</v>
      </c>
      <c r="F85" s="3">
        <v>40.4</v>
      </c>
      <c r="G85" s="3">
        <v>55.8</v>
      </c>
      <c r="H85" s="3">
        <v>4</v>
      </c>
      <c r="I85" s="3">
        <v>26</v>
      </c>
      <c r="J85" s="3">
        <v>0</v>
      </c>
    </row>
    <row r="86" spans="1:10" ht="12.75">
      <c r="A86" s="23" t="s">
        <v>4</v>
      </c>
      <c r="B86" s="23" t="s">
        <v>9</v>
      </c>
      <c r="C86" s="3">
        <v>149</v>
      </c>
      <c r="D86" s="3">
        <v>29</v>
      </c>
      <c r="E86" s="3">
        <v>3</v>
      </c>
      <c r="F86" s="3">
        <v>36.200000000000003</v>
      </c>
      <c r="G86" s="3">
        <v>56</v>
      </c>
      <c r="H86" s="3">
        <v>5</v>
      </c>
      <c r="I86" s="3">
        <f>12+12+11+24+13</f>
        <v>72</v>
      </c>
      <c r="J86" s="3">
        <v>4</v>
      </c>
    </row>
    <row r="87" spans="1:10" ht="12.75">
      <c r="A87" s="27" t="s">
        <v>4</v>
      </c>
      <c r="B87" s="27" t="s">
        <v>9</v>
      </c>
      <c r="C87" s="27"/>
      <c r="D87" s="27"/>
      <c r="E87" s="27"/>
      <c r="F87" s="27"/>
      <c r="G87" s="27"/>
      <c r="H87" s="27"/>
      <c r="I87" s="27"/>
      <c r="J87" s="27"/>
    </row>
    <row r="88" spans="1:10" ht="12.75">
      <c r="A88" s="23" t="s">
        <v>4</v>
      </c>
      <c r="B88" s="23" t="s">
        <v>9</v>
      </c>
      <c r="C88" s="3">
        <v>162</v>
      </c>
      <c r="D88" s="3">
        <v>26</v>
      </c>
      <c r="E88" s="3">
        <v>4</v>
      </c>
      <c r="F88" s="3">
        <v>41.4</v>
      </c>
      <c r="G88" s="3">
        <v>56.4</v>
      </c>
      <c r="H88" s="3">
        <v>8</v>
      </c>
      <c r="I88" s="3">
        <f>11+12+5+9+9+15+13+10</f>
        <v>84</v>
      </c>
      <c r="J88" s="3">
        <f>14+6+8+7</f>
        <v>35</v>
      </c>
    </row>
    <row r="89" spans="1:10" ht="12.75">
      <c r="A89" s="24" t="s">
        <v>12</v>
      </c>
      <c r="B89" s="24" t="s">
        <v>9</v>
      </c>
      <c r="C89" s="12">
        <v>174</v>
      </c>
      <c r="D89" s="12">
        <v>20</v>
      </c>
      <c r="E89" s="12">
        <v>4.2</v>
      </c>
      <c r="F89" s="12">
        <v>46.1</v>
      </c>
      <c r="G89" s="12">
        <v>59</v>
      </c>
      <c r="H89" s="12">
        <v>7</v>
      </c>
      <c r="I89" s="12">
        <f>8+6+12+16+13+12+10+10+5</f>
        <v>92</v>
      </c>
      <c r="J89" s="12">
        <f>11+8+5+1</f>
        <v>25</v>
      </c>
    </row>
    <row r="90" spans="1:10" ht="12.75">
      <c r="A90" s="24" t="s">
        <v>12</v>
      </c>
      <c r="B90" s="24" t="s">
        <v>9</v>
      </c>
      <c r="C90" s="12">
        <v>150</v>
      </c>
      <c r="D90" s="12">
        <v>20</v>
      </c>
      <c r="E90" s="12">
        <v>4.2</v>
      </c>
      <c r="F90" s="12">
        <v>47.1</v>
      </c>
      <c r="G90" s="12">
        <v>61.9</v>
      </c>
      <c r="H90" s="12">
        <v>6</v>
      </c>
      <c r="I90" s="12">
        <f>6+31+15+14+21+32</f>
        <v>119</v>
      </c>
      <c r="J90" s="12">
        <f>9+6</f>
        <v>15</v>
      </c>
    </row>
    <row r="91" spans="1:10" ht="12.75">
      <c r="A91" s="24"/>
      <c r="B91" s="24" t="s">
        <v>9</v>
      </c>
      <c r="C91" s="12">
        <v>132</v>
      </c>
      <c r="D91" s="12">
        <v>25</v>
      </c>
      <c r="E91" s="12">
        <v>4</v>
      </c>
      <c r="F91" s="12">
        <v>45.8</v>
      </c>
      <c r="G91" s="12">
        <v>64.099999999999994</v>
      </c>
      <c r="H91" s="12">
        <v>7</v>
      </c>
      <c r="I91" s="12">
        <f>25+5+5+16+13+14+11+18</f>
        <v>107</v>
      </c>
      <c r="J91" s="12">
        <f>18+7+9+3</f>
        <v>37</v>
      </c>
    </row>
    <row r="92" spans="1:10" ht="12.75">
      <c r="A92" s="23" t="s">
        <v>15</v>
      </c>
      <c r="B92" s="23" t="s">
        <v>9</v>
      </c>
      <c r="C92" s="3">
        <v>151</v>
      </c>
      <c r="D92" s="3">
        <v>21</v>
      </c>
      <c r="E92" s="3">
        <v>3.1</v>
      </c>
      <c r="F92" s="3">
        <v>42.6</v>
      </c>
      <c r="G92" s="3">
        <v>50.9</v>
      </c>
      <c r="H92" s="3">
        <v>5</v>
      </c>
      <c r="I92" s="3">
        <f>13+14+23+9+8</f>
        <v>67</v>
      </c>
      <c r="J92" s="3">
        <f>5+1</f>
        <v>6</v>
      </c>
    </row>
    <row r="93" spans="1:10" ht="12.75">
      <c r="A93" s="23" t="s">
        <v>15</v>
      </c>
      <c r="B93" s="23" t="s">
        <v>9</v>
      </c>
      <c r="C93" s="3">
        <v>147</v>
      </c>
      <c r="D93" s="3">
        <v>20</v>
      </c>
      <c r="E93" s="3">
        <v>3.2</v>
      </c>
      <c r="F93" s="3">
        <v>41.7</v>
      </c>
      <c r="G93" s="3">
        <v>52.6</v>
      </c>
      <c r="H93" s="3">
        <v>6</v>
      </c>
      <c r="I93" s="3">
        <f>8+19+12+13+10 +7</f>
        <v>69</v>
      </c>
      <c r="J93" s="3">
        <f>12+10+13</f>
        <v>35</v>
      </c>
    </row>
    <row r="94" spans="1:10" ht="12.75">
      <c r="A94" s="23" t="s">
        <v>15</v>
      </c>
      <c r="B94" s="23" t="s">
        <v>9</v>
      </c>
      <c r="C94" s="3">
        <v>168</v>
      </c>
      <c r="D94" s="3">
        <v>22</v>
      </c>
      <c r="E94" s="3">
        <v>3.3</v>
      </c>
      <c r="F94" s="3">
        <v>45.6</v>
      </c>
      <c r="G94" s="3">
        <v>54.1</v>
      </c>
      <c r="H94" s="3">
        <v>8</v>
      </c>
      <c r="I94" s="3">
        <f>31+16+21+23+29+13+5+10</f>
        <v>148</v>
      </c>
      <c r="J94" s="3">
        <f>18+10+3+1</f>
        <v>32</v>
      </c>
    </row>
    <row r="95" spans="1:10" ht="12.75">
      <c r="A95" s="24" t="s">
        <v>16</v>
      </c>
      <c r="B95" s="24" t="s">
        <v>9</v>
      </c>
      <c r="C95" s="12">
        <v>136</v>
      </c>
      <c r="D95" s="12">
        <v>23</v>
      </c>
      <c r="E95" s="12">
        <v>3</v>
      </c>
      <c r="F95" s="12">
        <v>42.3</v>
      </c>
      <c r="G95" s="12">
        <v>55.5</v>
      </c>
      <c r="H95" s="12">
        <v>12</v>
      </c>
      <c r="I95" s="12">
        <f>SUM(8+6+7+13+9+14+13+11+7+12+9+24)</f>
        <v>133</v>
      </c>
      <c r="J95" s="12">
        <f>SUM(15 + 6 +1)</f>
        <v>22</v>
      </c>
    </row>
    <row r="96" spans="1:10" ht="12.75">
      <c r="A96" s="24" t="s">
        <v>16</v>
      </c>
      <c r="B96" s="24" t="s">
        <v>9</v>
      </c>
      <c r="C96" s="12">
        <v>147</v>
      </c>
      <c r="D96" s="12">
        <v>22</v>
      </c>
      <c r="E96" s="12">
        <v>3</v>
      </c>
      <c r="F96" s="12">
        <v>45.5</v>
      </c>
      <c r="G96" s="12">
        <v>57.7</v>
      </c>
      <c r="H96" s="12">
        <v>7</v>
      </c>
      <c r="I96" s="12">
        <f>SUM(14 +10+16+7+14+11+13)</f>
        <v>85</v>
      </c>
      <c r="J96" s="12">
        <f>SUM(4 + 4)</f>
        <v>8</v>
      </c>
    </row>
    <row r="97" spans="1:10" ht="12.75">
      <c r="A97" s="24" t="s">
        <v>16</v>
      </c>
      <c r="B97" s="24" t="s">
        <v>9</v>
      </c>
      <c r="C97" s="12">
        <v>125</v>
      </c>
      <c r="D97" s="12">
        <v>17</v>
      </c>
      <c r="E97" s="12">
        <v>4</v>
      </c>
      <c r="F97" s="12">
        <v>43.4</v>
      </c>
      <c r="G97" s="12">
        <v>55.3</v>
      </c>
      <c r="H97" s="12">
        <v>6</v>
      </c>
      <c r="I97" s="12">
        <f>SUM(5 + 27 + 7+ 15 + 15+17)</f>
        <v>86</v>
      </c>
      <c r="J97" s="12">
        <f>SUM(1 + 6 + 1 + 6 + 2)</f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999"/>
  <sheetViews>
    <sheetView tabSelected="1" workbookViewId="0">
      <pane ySplit="1" topLeftCell="A2" activePane="bottomLeft" state="frozen"/>
      <selection pane="bottomLeft" activeCell="C1" sqref="C1:C1048576"/>
    </sheetView>
  </sheetViews>
  <sheetFormatPr defaultColWidth="12.5703125" defaultRowHeight="15.75" customHeight="1"/>
  <sheetData>
    <row r="1" spans="1:2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</v>
      </c>
      <c r="F1" s="22" t="s">
        <v>20</v>
      </c>
      <c r="G1" s="22" t="s">
        <v>21</v>
      </c>
      <c r="H1" s="22" t="s">
        <v>22</v>
      </c>
      <c r="I1" s="22" t="s">
        <v>23</v>
      </c>
      <c r="J1" s="22" t="s">
        <v>24</v>
      </c>
      <c r="K1" s="30"/>
      <c r="L1" s="31"/>
      <c r="M1" s="31"/>
      <c r="N1" s="31"/>
      <c r="O1" s="22"/>
      <c r="P1" s="22"/>
      <c r="Q1" s="22"/>
      <c r="R1" s="22"/>
      <c r="S1" s="22"/>
      <c r="T1" s="2"/>
      <c r="U1" s="2"/>
      <c r="V1" s="2"/>
      <c r="W1" s="2"/>
      <c r="X1" s="2"/>
      <c r="Y1" s="2"/>
    </row>
    <row r="2" spans="1:25" ht="12.75">
      <c r="A2" s="3" t="s">
        <v>4</v>
      </c>
      <c r="B2" s="3" t="s">
        <v>5</v>
      </c>
      <c r="C2" s="32">
        <v>165</v>
      </c>
      <c r="D2" s="3">
        <v>25</v>
      </c>
      <c r="E2" s="3">
        <v>3.5</v>
      </c>
      <c r="F2" s="3">
        <v>48.1</v>
      </c>
      <c r="G2" s="3">
        <v>63.2</v>
      </c>
      <c r="H2" s="3">
        <v>7</v>
      </c>
      <c r="I2" s="3">
        <f>3+3+40+7+10+16+8</f>
        <v>87</v>
      </c>
      <c r="J2" s="3">
        <f>29+13+16+10+6+1</f>
        <v>75</v>
      </c>
      <c r="K2" s="30"/>
      <c r="L2" s="30"/>
      <c r="M2" s="33"/>
      <c r="N2" s="33"/>
      <c r="O2" s="33"/>
      <c r="P2" s="33"/>
      <c r="Q2" s="33"/>
      <c r="R2" s="30"/>
      <c r="S2" s="33"/>
      <c r="T2" s="2"/>
      <c r="U2" s="2"/>
      <c r="V2" s="2"/>
      <c r="W2" s="2"/>
      <c r="X2" s="2"/>
      <c r="Y2" s="2"/>
    </row>
    <row r="3" spans="1:25" ht="12.75">
      <c r="A3" s="3" t="s">
        <v>4</v>
      </c>
      <c r="B3" s="3" t="s">
        <v>5</v>
      </c>
      <c r="C3" s="32">
        <v>131</v>
      </c>
      <c r="D3" s="3">
        <v>18</v>
      </c>
      <c r="E3" s="3">
        <v>4</v>
      </c>
      <c r="F3" s="3">
        <v>52.5</v>
      </c>
      <c r="G3" s="3">
        <v>54.6</v>
      </c>
      <c r="H3" s="3">
        <v>3</v>
      </c>
      <c r="I3" s="3">
        <f>2+16+65</f>
        <v>83</v>
      </c>
      <c r="J3" s="3">
        <f>11</f>
        <v>11</v>
      </c>
      <c r="K3" s="30"/>
      <c r="L3" s="33"/>
      <c r="M3" s="33"/>
      <c r="N3" s="33"/>
      <c r="O3" s="33"/>
      <c r="P3" s="33"/>
      <c r="Q3" s="33"/>
      <c r="R3" s="30"/>
      <c r="S3" s="33"/>
      <c r="T3" s="2"/>
      <c r="U3" s="2"/>
      <c r="V3" s="2"/>
      <c r="W3" s="2"/>
      <c r="X3" s="2"/>
      <c r="Y3" s="2"/>
    </row>
    <row r="4" spans="1:25" ht="12.75">
      <c r="A4" s="3" t="s">
        <v>4</v>
      </c>
      <c r="B4" s="3" t="s">
        <v>5</v>
      </c>
      <c r="C4" s="32">
        <v>178</v>
      </c>
      <c r="D4" s="3">
        <v>27</v>
      </c>
      <c r="E4" s="3">
        <v>4</v>
      </c>
      <c r="F4" s="3">
        <v>49.6</v>
      </c>
      <c r="G4" s="3">
        <v>59.7</v>
      </c>
      <c r="H4" s="3">
        <v>9</v>
      </c>
      <c r="I4" s="3">
        <f>15+26+9+12+11+13+7+5+11</f>
        <v>109</v>
      </c>
      <c r="J4" s="3">
        <f>10+7+6+3</f>
        <v>26</v>
      </c>
      <c r="K4" s="30"/>
      <c r="L4" s="30"/>
      <c r="M4" s="30"/>
      <c r="N4" s="30"/>
      <c r="O4" s="30"/>
      <c r="P4" s="30"/>
      <c r="Q4" s="30"/>
      <c r="R4" s="30"/>
      <c r="S4" s="30"/>
      <c r="T4" s="2"/>
      <c r="U4" s="2"/>
      <c r="V4" s="2"/>
      <c r="W4" s="2"/>
      <c r="X4" s="2"/>
      <c r="Y4" s="2"/>
    </row>
    <row r="5" spans="1:25" ht="12.75">
      <c r="A5" s="12" t="s">
        <v>12</v>
      </c>
      <c r="B5" s="12" t="s">
        <v>5</v>
      </c>
      <c r="C5" s="34">
        <v>165</v>
      </c>
      <c r="D5" s="12">
        <v>22</v>
      </c>
      <c r="E5" s="12">
        <v>5.0999999999999996</v>
      </c>
      <c r="F5" s="12">
        <v>54.1</v>
      </c>
      <c r="G5" s="12">
        <v>42.4</v>
      </c>
      <c r="H5" s="12">
        <v>9</v>
      </c>
      <c r="I5" s="12">
        <v>68</v>
      </c>
      <c r="J5" s="12">
        <f>3+9+18</f>
        <v>30</v>
      </c>
      <c r="K5" s="30"/>
      <c r="L5" s="33"/>
      <c r="M5" s="33"/>
      <c r="N5" s="33"/>
      <c r="O5" s="33"/>
      <c r="P5" s="33"/>
      <c r="Q5" s="33"/>
      <c r="R5" s="33"/>
      <c r="S5" s="33"/>
      <c r="T5" s="2"/>
      <c r="U5" s="2"/>
      <c r="V5" s="2"/>
      <c r="W5" s="2"/>
      <c r="X5" s="2"/>
      <c r="Y5" s="2"/>
    </row>
    <row r="6" spans="1:25" ht="12.75">
      <c r="A6" s="12" t="s">
        <v>12</v>
      </c>
      <c r="B6" s="12" t="s">
        <v>5</v>
      </c>
      <c r="C6" s="34">
        <v>127</v>
      </c>
      <c r="D6" s="12">
        <v>12</v>
      </c>
      <c r="E6" s="12">
        <v>4.5999999999999996</v>
      </c>
      <c r="F6" s="12">
        <v>54.3</v>
      </c>
      <c r="G6" s="12">
        <v>41.2</v>
      </c>
      <c r="H6" s="12">
        <v>13</v>
      </c>
      <c r="I6" s="12">
        <v>45</v>
      </c>
      <c r="J6" s="12">
        <f>23</f>
        <v>23</v>
      </c>
      <c r="K6" s="30"/>
      <c r="L6" s="33"/>
      <c r="M6" s="33"/>
      <c r="N6" s="33"/>
      <c r="O6" s="33"/>
      <c r="P6" s="33"/>
      <c r="Q6" s="33"/>
      <c r="R6" s="33"/>
      <c r="S6" s="33"/>
      <c r="T6" s="2"/>
      <c r="U6" s="2"/>
      <c r="V6" s="2"/>
      <c r="W6" s="2"/>
      <c r="X6" s="2"/>
      <c r="Y6" s="2"/>
    </row>
    <row r="7" spans="1:25" ht="12.75">
      <c r="A7" s="12" t="s">
        <v>12</v>
      </c>
      <c r="B7" s="12" t="s">
        <v>5</v>
      </c>
      <c r="C7" s="34">
        <v>169</v>
      </c>
      <c r="D7" s="12">
        <v>24</v>
      </c>
      <c r="E7" s="12">
        <v>5</v>
      </c>
      <c r="F7" s="12">
        <v>61.3</v>
      </c>
      <c r="G7" s="12">
        <v>48.5</v>
      </c>
      <c r="H7" s="12">
        <v>10</v>
      </c>
      <c r="I7" s="12">
        <v>45</v>
      </c>
      <c r="J7" s="12">
        <v>15</v>
      </c>
      <c r="K7" s="30"/>
      <c r="L7" s="30"/>
      <c r="M7" s="30"/>
      <c r="N7" s="30"/>
      <c r="O7" s="30"/>
      <c r="P7" s="30"/>
      <c r="Q7" s="30"/>
      <c r="R7" s="30"/>
      <c r="S7" s="30"/>
      <c r="T7" s="2"/>
      <c r="U7" s="2"/>
      <c r="V7" s="2"/>
      <c r="W7" s="2"/>
      <c r="X7" s="2"/>
      <c r="Y7" s="2"/>
    </row>
    <row r="8" spans="1:25" ht="12.75">
      <c r="A8" s="3" t="s">
        <v>16</v>
      </c>
      <c r="B8" s="3" t="s">
        <v>5</v>
      </c>
      <c r="C8" s="32">
        <v>167</v>
      </c>
      <c r="D8" s="3">
        <v>24</v>
      </c>
      <c r="E8" s="3">
        <v>5.5</v>
      </c>
      <c r="F8" s="3">
        <v>47.4</v>
      </c>
      <c r="G8" s="3">
        <v>52.7</v>
      </c>
      <c r="H8" s="3">
        <v>15</v>
      </c>
      <c r="I8" s="3">
        <v>66</v>
      </c>
      <c r="J8" s="3">
        <v>55</v>
      </c>
      <c r="K8" s="30"/>
      <c r="L8" s="30"/>
      <c r="M8" s="33"/>
      <c r="N8" s="30"/>
      <c r="O8" s="33"/>
      <c r="P8" s="30"/>
      <c r="Q8" s="33"/>
      <c r="R8" s="33"/>
      <c r="S8" s="33"/>
      <c r="T8" s="2"/>
      <c r="U8" s="2"/>
      <c r="V8" s="2"/>
      <c r="W8" s="2"/>
      <c r="X8" s="2"/>
      <c r="Y8" s="2"/>
    </row>
    <row r="9" spans="1:25" ht="12.75">
      <c r="A9" s="3" t="s">
        <v>16</v>
      </c>
      <c r="B9" s="3" t="s">
        <v>5</v>
      </c>
      <c r="C9" s="32">
        <v>146</v>
      </c>
      <c r="D9" s="3">
        <v>29</v>
      </c>
      <c r="E9" s="3">
        <v>5</v>
      </c>
      <c r="F9" s="3">
        <v>44</v>
      </c>
      <c r="G9" s="3">
        <v>58.3</v>
      </c>
      <c r="H9" s="3">
        <v>11</v>
      </c>
      <c r="I9" s="3">
        <v>52</v>
      </c>
      <c r="J9" s="3">
        <v>22</v>
      </c>
      <c r="K9" s="30"/>
      <c r="L9" s="33"/>
      <c r="M9" s="33"/>
      <c r="N9" s="33"/>
      <c r="O9" s="33"/>
      <c r="P9" s="33"/>
      <c r="Q9" s="33"/>
      <c r="R9" s="33"/>
      <c r="S9" s="33"/>
      <c r="T9" s="2"/>
      <c r="U9" s="2"/>
      <c r="V9" s="2"/>
      <c r="W9" s="2"/>
      <c r="X9" s="2"/>
      <c r="Y9" s="2"/>
    </row>
    <row r="10" spans="1:25" ht="12.75">
      <c r="A10" s="3" t="s">
        <v>16</v>
      </c>
      <c r="B10" s="3" t="s">
        <v>5</v>
      </c>
      <c r="C10" s="32">
        <v>143</v>
      </c>
      <c r="D10" s="3">
        <v>17</v>
      </c>
      <c r="E10" s="3">
        <v>3.2</v>
      </c>
      <c r="F10" s="3">
        <v>51</v>
      </c>
      <c r="G10" s="3">
        <v>57</v>
      </c>
      <c r="H10" s="3">
        <v>12</v>
      </c>
      <c r="I10" s="3">
        <v>55</v>
      </c>
      <c r="J10" s="3">
        <v>56</v>
      </c>
      <c r="K10" s="30"/>
      <c r="L10" s="30"/>
      <c r="M10" s="30"/>
      <c r="N10" s="30"/>
      <c r="O10" s="30"/>
      <c r="P10" s="30"/>
      <c r="Q10" s="30"/>
      <c r="R10" s="30"/>
      <c r="S10" s="30"/>
      <c r="T10" s="2"/>
      <c r="U10" s="2"/>
      <c r="V10" s="2"/>
      <c r="W10" s="2"/>
      <c r="X10" s="2"/>
      <c r="Y10" s="2"/>
    </row>
    <row r="11" spans="1:25" ht="12.75">
      <c r="A11" s="12" t="s">
        <v>17</v>
      </c>
      <c r="B11" s="12" t="s">
        <v>5</v>
      </c>
      <c r="C11" s="34">
        <v>167</v>
      </c>
      <c r="D11" s="12">
        <v>20</v>
      </c>
      <c r="E11" s="12">
        <v>3.5</v>
      </c>
      <c r="F11" s="12">
        <v>57.2</v>
      </c>
      <c r="G11" s="12">
        <v>49.8</v>
      </c>
      <c r="H11" s="12">
        <v>8</v>
      </c>
      <c r="I11" s="12">
        <f>6+6+3+7+9+7+14+8</f>
        <v>60</v>
      </c>
      <c r="J11" s="12">
        <f>10+14+7+4+10+12</f>
        <v>57</v>
      </c>
      <c r="K11" s="30"/>
      <c r="L11" s="30"/>
      <c r="M11" s="33"/>
      <c r="N11" s="33"/>
      <c r="O11" s="30"/>
      <c r="P11" s="33"/>
      <c r="Q11" s="33"/>
      <c r="R11" s="33"/>
      <c r="S11" s="33"/>
      <c r="T11" s="2"/>
      <c r="U11" s="2"/>
      <c r="V11" s="2"/>
      <c r="W11" s="2"/>
      <c r="X11" s="2"/>
      <c r="Y11" s="2"/>
    </row>
    <row r="12" spans="1:25" ht="12.75">
      <c r="A12" s="12" t="s">
        <v>17</v>
      </c>
      <c r="B12" s="12" t="s">
        <v>5</v>
      </c>
      <c r="C12" s="34">
        <v>166</v>
      </c>
      <c r="D12" s="12">
        <v>19</v>
      </c>
      <c r="E12" s="12">
        <v>3.8</v>
      </c>
      <c r="F12" s="12">
        <v>54.1</v>
      </c>
      <c r="G12" s="12">
        <v>44.4</v>
      </c>
      <c r="H12" s="12">
        <v>8</v>
      </c>
      <c r="I12" s="12">
        <f>3+4+10+14</f>
        <v>31</v>
      </c>
      <c r="J12" s="12">
        <f>14+10+11+3+1</f>
        <v>39</v>
      </c>
      <c r="K12" s="30"/>
      <c r="L12" s="33"/>
      <c r="M12" s="33"/>
      <c r="N12" s="33"/>
      <c r="O12" s="33"/>
      <c r="P12" s="33"/>
      <c r="Q12" s="33"/>
      <c r="R12" s="33"/>
      <c r="S12" s="33"/>
      <c r="T12" s="2"/>
      <c r="U12" s="2"/>
      <c r="V12" s="2"/>
      <c r="W12" s="2"/>
      <c r="X12" s="2"/>
      <c r="Y12" s="2"/>
    </row>
    <row r="13" spans="1:25" ht="12.75">
      <c r="A13" s="12" t="s">
        <v>17</v>
      </c>
      <c r="B13" s="12" t="s">
        <v>5</v>
      </c>
      <c r="C13" s="34">
        <v>204</v>
      </c>
      <c r="D13" s="12">
        <v>26</v>
      </c>
      <c r="E13" s="12">
        <v>4.3</v>
      </c>
      <c r="F13" s="12">
        <v>47.7</v>
      </c>
      <c r="G13" s="12">
        <v>46.6</v>
      </c>
      <c r="H13" s="12">
        <v>6</v>
      </c>
      <c r="I13" s="12">
        <f>3+7+8+12+10+9</f>
        <v>49</v>
      </c>
      <c r="J13" s="12">
        <f>6+7+8+3+13+28</f>
        <v>65</v>
      </c>
      <c r="K13" s="30"/>
      <c r="L13" s="30"/>
      <c r="M13" s="30"/>
      <c r="N13" s="30"/>
      <c r="O13" s="30"/>
      <c r="P13" s="30"/>
      <c r="Q13" s="30"/>
      <c r="R13" s="30"/>
      <c r="S13" s="30"/>
      <c r="T13" s="2"/>
      <c r="U13" s="2"/>
      <c r="V13" s="2"/>
      <c r="W13" s="2"/>
      <c r="X13" s="2"/>
      <c r="Y13" s="2"/>
    </row>
    <row r="14" spans="1:25" ht="14.25">
      <c r="A14" s="15" t="s">
        <v>13</v>
      </c>
      <c r="B14" s="15" t="s">
        <v>5</v>
      </c>
      <c r="C14" s="32">
        <v>166</v>
      </c>
      <c r="D14" s="35">
        <v>26</v>
      </c>
      <c r="E14" s="35">
        <v>5.0999999999999996</v>
      </c>
      <c r="F14" s="35">
        <v>47.7</v>
      </c>
      <c r="G14" s="35">
        <v>53.4</v>
      </c>
      <c r="H14" s="35">
        <v>11</v>
      </c>
      <c r="I14" s="35">
        <f>31+44+21+22+19+33+22+53+29+18+32</f>
        <v>324</v>
      </c>
      <c r="J14" s="35">
        <f>19+19+9+5+0+15+5+1+0</f>
        <v>73</v>
      </c>
      <c r="K14" s="30"/>
      <c r="L14" s="30"/>
      <c r="M14" s="33"/>
      <c r="N14" s="33"/>
      <c r="O14" s="33"/>
      <c r="P14" s="33"/>
      <c r="Q14" s="30"/>
      <c r="R14" s="33"/>
      <c r="S14" s="33"/>
      <c r="T14" s="2"/>
      <c r="U14" s="2"/>
      <c r="V14" s="2"/>
      <c r="W14" s="2"/>
      <c r="X14" s="2"/>
      <c r="Y14" s="2"/>
    </row>
    <row r="15" spans="1:25" ht="14.25">
      <c r="A15" s="15" t="s">
        <v>13</v>
      </c>
      <c r="B15" s="15" t="s">
        <v>5</v>
      </c>
      <c r="C15" s="32">
        <v>178</v>
      </c>
      <c r="D15" s="35">
        <v>23</v>
      </c>
      <c r="E15" s="35">
        <v>5.2</v>
      </c>
      <c r="F15" s="35">
        <v>46.8</v>
      </c>
      <c r="G15" s="35">
        <v>50.4</v>
      </c>
      <c r="H15" s="35">
        <v>7</v>
      </c>
      <c r="I15" s="35">
        <f>45+31+18+19+25+32+20</f>
        <v>190</v>
      </c>
      <c r="J15" s="35">
        <f>35+26+14+10+9+2+3</f>
        <v>99</v>
      </c>
      <c r="K15" s="30"/>
      <c r="L15" s="33"/>
      <c r="M15" s="33"/>
      <c r="N15" s="33"/>
      <c r="O15" s="33"/>
      <c r="P15" s="33"/>
      <c r="Q15" s="30"/>
      <c r="R15" s="33"/>
      <c r="S15" s="33"/>
      <c r="T15" s="2"/>
      <c r="U15" s="2"/>
      <c r="V15" s="2"/>
      <c r="W15" s="2"/>
      <c r="X15" s="2"/>
      <c r="Y15" s="2"/>
    </row>
    <row r="16" spans="1:25" ht="14.25">
      <c r="A16" s="15" t="s">
        <v>13</v>
      </c>
      <c r="B16" s="15" t="s">
        <v>5</v>
      </c>
      <c r="C16" s="32">
        <v>136</v>
      </c>
      <c r="D16" s="35">
        <v>22</v>
      </c>
      <c r="E16" s="35">
        <v>5.7</v>
      </c>
      <c r="F16" s="35">
        <v>52.4</v>
      </c>
      <c r="G16" s="35">
        <v>52.4</v>
      </c>
      <c r="H16" s="35">
        <v>9</v>
      </c>
      <c r="I16" s="35">
        <f>39+21+18+42+17+22+18+30+21</f>
        <v>228</v>
      </c>
      <c r="J16" s="35">
        <f>34+18+11+6+15+10+6+0</f>
        <v>100</v>
      </c>
      <c r="K16" s="30"/>
      <c r="L16" s="30"/>
      <c r="M16" s="30"/>
      <c r="N16" s="30"/>
      <c r="O16" s="30"/>
      <c r="P16" s="30"/>
      <c r="Q16" s="30"/>
      <c r="R16" s="30"/>
      <c r="S16" s="30"/>
      <c r="T16" s="2"/>
      <c r="U16" s="2"/>
      <c r="V16" s="2"/>
      <c r="W16" s="2"/>
      <c r="X16" s="2"/>
      <c r="Y16" s="2"/>
    </row>
    <row r="17" spans="1:25" ht="14.25">
      <c r="A17" s="16" t="s">
        <v>14</v>
      </c>
      <c r="B17" s="16" t="s">
        <v>5</v>
      </c>
      <c r="C17" s="32">
        <v>141</v>
      </c>
      <c r="D17" s="35">
        <v>24</v>
      </c>
      <c r="E17" s="35">
        <v>4.9000000000000004</v>
      </c>
      <c r="F17" s="35">
        <v>46.9</v>
      </c>
      <c r="G17" s="35">
        <v>54.9</v>
      </c>
      <c r="H17" s="35">
        <v>5</v>
      </c>
      <c r="I17" s="35">
        <f>4+3+8+13+15</f>
        <v>43</v>
      </c>
      <c r="J17" s="35">
        <f>12+21+8+2+0</f>
        <v>43</v>
      </c>
      <c r="K17" s="30"/>
      <c r="L17" s="33"/>
      <c r="M17" s="30"/>
      <c r="N17" s="33"/>
      <c r="O17" s="33"/>
      <c r="P17" s="33"/>
      <c r="Q17" s="30"/>
      <c r="R17" s="33"/>
      <c r="S17" s="30"/>
      <c r="T17" s="2"/>
      <c r="U17" s="2"/>
      <c r="V17" s="2"/>
      <c r="W17" s="2"/>
      <c r="X17" s="2"/>
      <c r="Y17" s="2"/>
    </row>
    <row r="18" spans="1:25" ht="14.25">
      <c r="A18" s="16" t="s">
        <v>14</v>
      </c>
      <c r="B18" s="16" t="s">
        <v>5</v>
      </c>
      <c r="C18" s="32">
        <v>144</v>
      </c>
      <c r="D18" s="35">
        <v>24</v>
      </c>
      <c r="E18" s="35">
        <v>6.2</v>
      </c>
      <c r="F18" s="35">
        <v>43.1</v>
      </c>
      <c r="G18" s="35">
        <v>61.1</v>
      </c>
      <c r="H18" s="35">
        <v>7</v>
      </c>
      <c r="I18" s="35">
        <f>2+30+19+12+8+23+17</f>
        <v>111</v>
      </c>
      <c r="J18" s="35">
        <f>17+28+2+0+9+6+0</f>
        <v>62</v>
      </c>
      <c r="K18" s="30"/>
      <c r="L18" s="33"/>
      <c r="M18" s="30"/>
      <c r="N18" s="33"/>
      <c r="O18" s="33"/>
      <c r="P18" s="33"/>
      <c r="Q18" s="30"/>
      <c r="R18" s="33"/>
      <c r="S18" s="33"/>
      <c r="T18" s="2"/>
      <c r="U18" s="2"/>
      <c r="V18" s="2"/>
      <c r="W18" s="2"/>
      <c r="X18" s="2"/>
      <c r="Y18" s="2"/>
    </row>
    <row r="19" spans="1:25" ht="14.25">
      <c r="A19" s="16" t="s">
        <v>14</v>
      </c>
      <c r="B19" s="16" t="s">
        <v>5</v>
      </c>
      <c r="C19" s="32">
        <v>172</v>
      </c>
      <c r="D19" s="35">
        <v>24</v>
      </c>
      <c r="E19" s="35">
        <v>3.8</v>
      </c>
      <c r="F19" s="35">
        <v>51.5</v>
      </c>
      <c r="G19" s="35">
        <v>55.2</v>
      </c>
      <c r="H19" s="35">
        <v>6</v>
      </c>
      <c r="I19" s="35">
        <f>9+9+8+28+0+0</f>
        <v>54</v>
      </c>
      <c r="J19" s="35">
        <f>24+11+8+7+12+22</f>
        <v>84</v>
      </c>
      <c r="K19" s="30"/>
      <c r="L19" s="30"/>
      <c r="M19" s="30"/>
      <c r="N19" s="30"/>
      <c r="O19" s="30"/>
      <c r="P19" s="30"/>
      <c r="Q19" s="30"/>
      <c r="R19" s="30"/>
      <c r="S19" s="30"/>
      <c r="T19" s="2"/>
      <c r="U19" s="2"/>
      <c r="V19" s="2"/>
      <c r="W19" s="2"/>
      <c r="X19" s="2"/>
      <c r="Y19" s="2"/>
    </row>
    <row r="20" spans="1:25" ht="14.25">
      <c r="A20" s="16" t="s">
        <v>15</v>
      </c>
      <c r="B20" s="16" t="s">
        <v>5</v>
      </c>
      <c r="C20" s="32">
        <v>142</v>
      </c>
      <c r="D20" s="35">
        <v>35</v>
      </c>
      <c r="E20" s="35">
        <v>3.8</v>
      </c>
      <c r="F20" s="35">
        <v>44.8</v>
      </c>
      <c r="G20" s="35">
        <v>56.7</v>
      </c>
      <c r="H20" s="35">
        <v>19</v>
      </c>
      <c r="I20" s="35">
        <f>1+7+2+1+28+30+27+16+12+11+18+16+15+12+15</f>
        <v>211</v>
      </c>
      <c r="J20" s="35">
        <f>13+10+9+6+3</f>
        <v>41</v>
      </c>
      <c r="K20" s="30"/>
      <c r="L20" s="30"/>
      <c r="M20" s="30"/>
      <c r="N20" s="36"/>
      <c r="O20" s="30"/>
      <c r="P20" s="33"/>
      <c r="Q20" s="33"/>
      <c r="R20" s="33"/>
      <c r="S20" s="30"/>
      <c r="T20" s="2"/>
      <c r="U20" s="2"/>
      <c r="V20" s="2"/>
      <c r="W20" s="2"/>
      <c r="X20" s="2"/>
      <c r="Y20" s="2"/>
    </row>
    <row r="21" spans="1:25" ht="14.25">
      <c r="A21" s="16" t="s">
        <v>15</v>
      </c>
      <c r="B21" s="16" t="s">
        <v>5</v>
      </c>
      <c r="C21" s="32">
        <v>160</v>
      </c>
      <c r="D21" s="35">
        <v>30</v>
      </c>
      <c r="E21" s="35">
        <v>4</v>
      </c>
      <c r="F21" s="35">
        <v>39.200000000000003</v>
      </c>
      <c r="G21" s="35">
        <v>51.8</v>
      </c>
      <c r="H21" s="35">
        <v>16</v>
      </c>
      <c r="I21" s="35">
        <f>2+1+18+14+15+9+11+13+13+9+18+6</f>
        <v>129</v>
      </c>
      <c r="J21" s="35">
        <f>23+12+1+1+7+5+8</f>
        <v>57</v>
      </c>
      <c r="K21" s="30"/>
      <c r="L21" s="33"/>
      <c r="M21" s="33"/>
      <c r="N21" s="33"/>
      <c r="O21" s="33"/>
      <c r="P21" s="33"/>
      <c r="Q21" s="33"/>
      <c r="R21" s="33"/>
      <c r="S21" s="33"/>
      <c r="T21" s="2"/>
      <c r="U21" s="2"/>
      <c r="V21" s="2"/>
      <c r="W21" s="2"/>
      <c r="X21" s="2"/>
      <c r="Y21" s="2"/>
    </row>
    <row r="22" spans="1:25" ht="14.25">
      <c r="A22" s="16" t="s">
        <v>15</v>
      </c>
      <c r="B22" s="16" t="s">
        <v>5</v>
      </c>
      <c r="C22" s="32">
        <v>160</v>
      </c>
      <c r="D22" s="35">
        <v>28</v>
      </c>
      <c r="E22" s="35">
        <v>4.8</v>
      </c>
      <c r="F22" s="35">
        <v>48.3</v>
      </c>
      <c r="G22" s="35">
        <v>63.5</v>
      </c>
      <c r="H22" s="35">
        <v>11</v>
      </c>
      <c r="I22" s="35">
        <f>3+4+12+11+15+12+14+8+9+12</f>
        <v>100</v>
      </c>
      <c r="J22" s="35">
        <f>13+10+4+1</f>
        <v>28</v>
      </c>
      <c r="K22" s="30"/>
      <c r="L22" s="30"/>
      <c r="M22" s="30"/>
      <c r="N22" s="30"/>
      <c r="O22" s="30"/>
      <c r="P22" s="30"/>
      <c r="Q22" s="30"/>
      <c r="R22" s="30"/>
      <c r="S22" s="30"/>
      <c r="T22" s="2"/>
      <c r="U22" s="2"/>
      <c r="V22" s="2"/>
      <c r="W22" s="2"/>
      <c r="X22" s="2"/>
      <c r="Y22" s="2"/>
    </row>
    <row r="23" spans="1:25" ht="14.25">
      <c r="A23" s="15" t="s">
        <v>18</v>
      </c>
      <c r="B23" s="15" t="s">
        <v>5</v>
      </c>
      <c r="C23" s="32">
        <v>165</v>
      </c>
      <c r="D23" s="35">
        <v>26</v>
      </c>
      <c r="E23" s="35">
        <v>4</v>
      </c>
      <c r="F23" s="35">
        <v>40.299999999999997</v>
      </c>
      <c r="G23" s="35">
        <v>51.1</v>
      </c>
      <c r="H23" s="35">
        <v>11</v>
      </c>
      <c r="I23" s="35">
        <v>197</v>
      </c>
      <c r="J23" s="35">
        <v>16</v>
      </c>
      <c r="K23" s="30"/>
      <c r="L23" s="33"/>
      <c r="M23" s="30"/>
      <c r="N23" s="36"/>
      <c r="O23" s="33"/>
      <c r="P23" s="33"/>
      <c r="Q23" s="33"/>
      <c r="R23" s="33"/>
      <c r="S23" s="33"/>
      <c r="T23" s="2"/>
      <c r="U23" s="2"/>
      <c r="V23" s="2"/>
      <c r="W23" s="2"/>
      <c r="X23" s="2"/>
      <c r="Y23" s="2"/>
    </row>
    <row r="24" spans="1:25" ht="14.25">
      <c r="A24" s="15" t="s">
        <v>18</v>
      </c>
      <c r="B24" s="15" t="s">
        <v>5</v>
      </c>
      <c r="C24" s="32">
        <v>168</v>
      </c>
      <c r="D24" s="35">
        <v>30</v>
      </c>
      <c r="E24" s="35">
        <v>3.8</v>
      </c>
      <c r="F24" s="35">
        <v>41.6</v>
      </c>
      <c r="G24" s="35">
        <v>51.1</v>
      </c>
      <c r="H24" s="35">
        <v>10</v>
      </c>
      <c r="I24" s="35">
        <v>101</v>
      </c>
      <c r="J24" s="35">
        <v>65</v>
      </c>
      <c r="K24" s="30"/>
      <c r="L24" s="33"/>
      <c r="M24" s="30"/>
      <c r="N24" s="33"/>
      <c r="O24" s="33"/>
      <c r="P24" s="33"/>
      <c r="Q24" s="33"/>
      <c r="R24" s="33"/>
      <c r="S24" s="33"/>
      <c r="T24" s="2"/>
      <c r="U24" s="2"/>
      <c r="V24" s="2"/>
      <c r="W24" s="2"/>
      <c r="X24" s="2"/>
      <c r="Y24" s="2"/>
    </row>
    <row r="25" spans="1:25" ht="14.25">
      <c r="A25" s="15" t="s">
        <v>18</v>
      </c>
      <c r="B25" s="15" t="s">
        <v>5</v>
      </c>
      <c r="C25" s="32">
        <v>170</v>
      </c>
      <c r="D25" s="35">
        <v>28</v>
      </c>
      <c r="E25" s="35">
        <v>4.5</v>
      </c>
      <c r="F25" s="35">
        <v>39.1</v>
      </c>
      <c r="G25" s="35">
        <v>50</v>
      </c>
      <c r="H25" s="35">
        <v>11</v>
      </c>
      <c r="I25" s="35">
        <v>129</v>
      </c>
      <c r="J25" s="35">
        <v>25</v>
      </c>
      <c r="K25" s="30"/>
      <c r="L25" s="30"/>
      <c r="M25" s="30"/>
      <c r="N25" s="30"/>
      <c r="O25" s="30"/>
      <c r="P25" s="30"/>
      <c r="Q25" s="30"/>
      <c r="R25" s="30"/>
      <c r="S25" s="30"/>
      <c r="T25" s="2"/>
      <c r="U25" s="2"/>
      <c r="V25" s="2"/>
      <c r="W25" s="2"/>
      <c r="X25" s="2"/>
      <c r="Y25" s="2"/>
    </row>
    <row r="26" spans="1:25" ht="12.75">
      <c r="A26" s="3" t="s">
        <v>12</v>
      </c>
      <c r="B26" s="3" t="s">
        <v>10</v>
      </c>
      <c r="C26" s="32">
        <v>193</v>
      </c>
      <c r="D26" s="3">
        <v>29</v>
      </c>
      <c r="E26" s="3">
        <v>4.5</v>
      </c>
      <c r="F26" s="3">
        <v>52.4</v>
      </c>
      <c r="G26" s="3">
        <v>49.2</v>
      </c>
      <c r="H26" s="3">
        <v>12</v>
      </c>
      <c r="I26" s="3">
        <v>57</v>
      </c>
      <c r="J26" s="3">
        <v>56</v>
      </c>
      <c r="K26" s="30"/>
      <c r="L26" s="33"/>
      <c r="M26" s="33"/>
      <c r="N26" s="33"/>
      <c r="O26" s="33"/>
      <c r="P26" s="33"/>
      <c r="Q26" s="33"/>
      <c r="R26" s="33"/>
      <c r="S26" s="33"/>
      <c r="T26" s="2"/>
      <c r="U26" s="2"/>
      <c r="V26" s="2"/>
      <c r="W26" s="2"/>
      <c r="X26" s="2"/>
      <c r="Y26" s="2"/>
    </row>
    <row r="27" spans="1:25" ht="12.75">
      <c r="A27" s="3" t="s">
        <v>12</v>
      </c>
      <c r="B27" s="3" t="s">
        <v>10</v>
      </c>
      <c r="C27" s="32">
        <v>78</v>
      </c>
      <c r="D27" s="3">
        <v>15</v>
      </c>
      <c r="E27" s="3">
        <v>5</v>
      </c>
      <c r="F27" s="3">
        <v>51.2</v>
      </c>
      <c r="G27" s="3">
        <v>45.6</v>
      </c>
      <c r="H27" s="3">
        <v>4</v>
      </c>
      <c r="I27" s="3">
        <v>25</v>
      </c>
      <c r="J27" s="3">
        <v>32</v>
      </c>
      <c r="K27" s="30"/>
      <c r="L27" s="33"/>
      <c r="M27" s="33"/>
      <c r="N27" s="33"/>
      <c r="O27" s="33"/>
      <c r="P27" s="33"/>
      <c r="Q27" s="33"/>
      <c r="R27" s="33"/>
      <c r="S27" s="33"/>
      <c r="T27" s="2"/>
      <c r="U27" s="2"/>
      <c r="V27" s="2"/>
      <c r="W27" s="2"/>
      <c r="X27" s="2"/>
      <c r="Y27" s="2"/>
    </row>
    <row r="28" spans="1:25" ht="12.75">
      <c r="A28" s="3" t="s">
        <v>12</v>
      </c>
      <c r="B28" s="3" t="s">
        <v>10</v>
      </c>
      <c r="C28" s="32">
        <v>168</v>
      </c>
      <c r="D28" s="3">
        <v>24</v>
      </c>
      <c r="E28" s="3">
        <v>5</v>
      </c>
      <c r="F28" s="3">
        <v>49.8</v>
      </c>
      <c r="G28" s="3">
        <v>53.2</v>
      </c>
      <c r="H28" s="3">
        <v>15</v>
      </c>
      <c r="I28" s="3">
        <v>120</v>
      </c>
      <c r="J28" s="3">
        <v>22</v>
      </c>
      <c r="K28" s="30"/>
      <c r="L28" s="30"/>
      <c r="M28" s="30"/>
      <c r="N28" s="30"/>
      <c r="O28" s="30"/>
      <c r="P28" s="30"/>
      <c r="Q28" s="30"/>
      <c r="R28" s="30"/>
      <c r="S28" s="30"/>
      <c r="T28" s="2"/>
      <c r="U28" s="2"/>
      <c r="V28" s="2"/>
      <c r="W28" s="2"/>
      <c r="X28" s="2"/>
      <c r="Y28" s="2"/>
    </row>
    <row r="29" spans="1:25" ht="12.75">
      <c r="A29" s="12" t="s">
        <v>13</v>
      </c>
      <c r="B29" s="12" t="s">
        <v>10</v>
      </c>
      <c r="C29" s="34">
        <v>140</v>
      </c>
      <c r="D29" s="12">
        <v>28</v>
      </c>
      <c r="E29" s="12">
        <v>7.1</v>
      </c>
      <c r="F29" s="12">
        <v>55.2</v>
      </c>
      <c r="G29" s="12">
        <v>47.9</v>
      </c>
      <c r="H29" s="12">
        <v>6</v>
      </c>
      <c r="I29" s="12">
        <f>16+14+9+6+12+11</f>
        <v>68</v>
      </c>
      <c r="J29" s="12">
        <f>4+9+9+8+6</f>
        <v>36</v>
      </c>
      <c r="K29" s="30"/>
      <c r="L29" s="30"/>
      <c r="M29" s="33"/>
      <c r="N29" s="36"/>
      <c r="O29" s="30"/>
      <c r="P29" s="30"/>
      <c r="Q29" s="33"/>
      <c r="R29" s="30"/>
      <c r="S29" s="30"/>
      <c r="T29" s="2"/>
      <c r="U29" s="2"/>
      <c r="V29" s="2"/>
      <c r="W29" s="2"/>
      <c r="X29" s="2"/>
      <c r="Y29" s="2"/>
    </row>
    <row r="30" spans="1:25" ht="12.75">
      <c r="A30" s="12" t="s">
        <v>13</v>
      </c>
      <c r="B30" s="12" t="s">
        <v>10</v>
      </c>
      <c r="C30" s="34">
        <v>160</v>
      </c>
      <c r="D30" s="12">
        <v>29</v>
      </c>
      <c r="E30" s="12">
        <v>6</v>
      </c>
      <c r="F30" s="12">
        <v>59.7</v>
      </c>
      <c r="G30" s="12">
        <v>37.299999999999997</v>
      </c>
      <c r="H30" s="12">
        <v>7</v>
      </c>
      <c r="I30" s="12">
        <f>1+1+5+7+11+12+8</f>
        <v>45</v>
      </c>
      <c r="J30" s="12">
        <f>9+10+13+10+6</f>
        <v>48</v>
      </c>
      <c r="K30" s="30"/>
      <c r="L30" s="30"/>
      <c r="M30" s="33"/>
      <c r="N30" s="33"/>
      <c r="O30" s="33"/>
      <c r="P30" s="33"/>
      <c r="Q30" s="33"/>
      <c r="R30" s="33"/>
      <c r="S30" s="33"/>
      <c r="T30" s="2"/>
      <c r="U30" s="2"/>
      <c r="V30" s="2"/>
      <c r="W30" s="2"/>
      <c r="X30" s="2"/>
      <c r="Y30" s="2"/>
    </row>
    <row r="31" spans="1:25" ht="12.75">
      <c r="A31" s="12" t="s">
        <v>13</v>
      </c>
      <c r="B31" s="12" t="s">
        <v>10</v>
      </c>
      <c r="C31" s="34">
        <v>150</v>
      </c>
      <c r="D31" s="12">
        <v>25</v>
      </c>
      <c r="E31" s="12">
        <v>5.5</v>
      </c>
      <c r="F31" s="12">
        <v>58.2</v>
      </c>
      <c r="G31" s="12">
        <v>51</v>
      </c>
      <c r="H31" s="12">
        <v>10</v>
      </c>
      <c r="I31" s="12">
        <f>10+12+9+7+8+5+15+8+13+13</f>
        <v>100</v>
      </c>
      <c r="J31" s="12">
        <f>12+11+13+8+4</f>
        <v>48</v>
      </c>
      <c r="K31" s="30"/>
      <c r="L31" s="30"/>
      <c r="M31" s="30"/>
      <c r="N31" s="30"/>
      <c r="O31" s="30"/>
      <c r="P31" s="30"/>
      <c r="Q31" s="30"/>
      <c r="R31" s="30"/>
      <c r="S31" s="30"/>
      <c r="T31" s="2"/>
      <c r="U31" s="2"/>
      <c r="V31" s="2"/>
      <c r="W31" s="2"/>
      <c r="X31" s="2"/>
      <c r="Y31" s="2"/>
    </row>
    <row r="32" spans="1:25" ht="12.75">
      <c r="A32" s="12" t="s">
        <v>15</v>
      </c>
      <c r="B32" s="12" t="s">
        <v>10</v>
      </c>
      <c r="C32" s="34">
        <v>172</v>
      </c>
      <c r="D32" s="12">
        <v>23</v>
      </c>
      <c r="E32" s="12">
        <v>3.6</v>
      </c>
      <c r="F32" s="12">
        <v>47.6</v>
      </c>
      <c r="G32" s="12">
        <v>46.9</v>
      </c>
      <c r="H32" s="12">
        <v>9</v>
      </c>
      <c r="I32" s="12">
        <f>7+3+5+8+11+23+11+4+11</f>
        <v>83</v>
      </c>
      <c r="J32" s="12">
        <f>15+16+12+11+7</f>
        <v>61</v>
      </c>
      <c r="K32" s="30"/>
      <c r="L32" s="33"/>
      <c r="M32" s="33"/>
      <c r="N32" s="33"/>
      <c r="O32" s="33"/>
      <c r="P32" s="30"/>
      <c r="Q32" s="33"/>
      <c r="R32" s="30"/>
      <c r="S32" s="33"/>
      <c r="T32" s="2"/>
      <c r="U32" s="2"/>
      <c r="V32" s="2"/>
      <c r="W32" s="2"/>
      <c r="X32" s="2"/>
      <c r="Y32" s="2"/>
    </row>
    <row r="33" spans="1:25" ht="12.75">
      <c r="A33" s="12" t="s">
        <v>15</v>
      </c>
      <c r="B33" s="12" t="s">
        <v>10</v>
      </c>
      <c r="C33" s="34">
        <v>185.7</v>
      </c>
      <c r="D33" s="12">
        <v>21</v>
      </c>
      <c r="E33" s="12">
        <v>4.5</v>
      </c>
      <c r="F33" s="12">
        <v>50.9</v>
      </c>
      <c r="G33" s="12">
        <v>41.5</v>
      </c>
      <c r="H33" s="12">
        <v>9</v>
      </c>
      <c r="I33" s="12">
        <f>4+6+14+13+20+11+10+10+21</f>
        <v>109</v>
      </c>
      <c r="J33" s="12">
        <v>63</v>
      </c>
      <c r="K33" s="30"/>
      <c r="L33" s="33"/>
      <c r="M33" s="33"/>
      <c r="N33" s="33"/>
      <c r="O33" s="33"/>
      <c r="P33" s="33"/>
      <c r="Q33" s="33"/>
      <c r="R33" s="33"/>
      <c r="S33" s="33"/>
      <c r="T33" s="2"/>
      <c r="U33" s="2"/>
      <c r="V33" s="2"/>
      <c r="W33" s="2"/>
      <c r="X33" s="2"/>
      <c r="Y33" s="2"/>
    </row>
    <row r="34" spans="1:25" ht="12.75">
      <c r="A34" s="12" t="s">
        <v>15</v>
      </c>
      <c r="B34" s="12" t="s">
        <v>10</v>
      </c>
      <c r="C34" s="34">
        <v>150</v>
      </c>
      <c r="D34" s="12">
        <v>20</v>
      </c>
      <c r="E34" s="12">
        <v>4</v>
      </c>
      <c r="F34" s="12">
        <v>37.6</v>
      </c>
      <c r="G34" s="12">
        <v>44.5</v>
      </c>
      <c r="H34" s="12">
        <v>10</v>
      </c>
      <c r="I34" s="12">
        <f>10+9+1+10+10+42+19+14+13+22</f>
        <v>150</v>
      </c>
      <c r="J34" s="12">
        <f>13+32</f>
        <v>45</v>
      </c>
      <c r="K34" s="30"/>
      <c r="L34" s="30"/>
      <c r="M34" s="30"/>
      <c r="N34" s="30"/>
      <c r="O34" s="30"/>
      <c r="P34" s="30"/>
      <c r="Q34" s="30"/>
      <c r="R34" s="30"/>
      <c r="S34" s="30"/>
      <c r="T34" s="2"/>
      <c r="U34" s="2"/>
      <c r="V34" s="2"/>
      <c r="W34" s="2"/>
      <c r="X34" s="2"/>
      <c r="Y34" s="2"/>
    </row>
    <row r="35" spans="1:25" ht="14.25">
      <c r="A35" s="16" t="s">
        <v>4</v>
      </c>
      <c r="B35" s="16" t="s">
        <v>10</v>
      </c>
      <c r="C35" s="32">
        <v>183</v>
      </c>
      <c r="D35" s="35">
        <v>26</v>
      </c>
      <c r="E35" s="35">
        <v>4.2</v>
      </c>
      <c r="F35" s="35">
        <v>50</v>
      </c>
      <c r="G35" s="35">
        <v>57.7</v>
      </c>
      <c r="H35" s="35">
        <v>9</v>
      </c>
      <c r="I35" s="35">
        <f>1+8+11+11+8+17+14+11+18</f>
        <v>99</v>
      </c>
      <c r="J35" s="37">
        <f>17+21+7+0+0+10+0+0+0</f>
        <v>55</v>
      </c>
      <c r="K35" s="30"/>
      <c r="L35" s="33"/>
      <c r="M35" s="30"/>
      <c r="N35" s="33"/>
      <c r="O35" s="33"/>
      <c r="P35" s="33"/>
      <c r="Q35" s="30"/>
      <c r="R35" s="30"/>
      <c r="S35" s="33"/>
      <c r="T35" s="2"/>
      <c r="U35" s="2"/>
      <c r="V35" s="2"/>
      <c r="W35" s="2"/>
      <c r="X35" s="2"/>
      <c r="Y35" s="2"/>
    </row>
    <row r="36" spans="1:25" ht="14.25">
      <c r="A36" s="16" t="s">
        <v>4</v>
      </c>
      <c r="B36" s="16" t="s">
        <v>10</v>
      </c>
      <c r="C36" s="32">
        <v>180</v>
      </c>
      <c r="D36" s="35">
        <v>34</v>
      </c>
      <c r="E36" s="35">
        <v>4.5999999999999996</v>
      </c>
      <c r="F36" s="35">
        <v>38.9</v>
      </c>
      <c r="G36" s="35">
        <v>57.5</v>
      </c>
      <c r="H36" s="35">
        <v>15</v>
      </c>
      <c r="I36" s="35">
        <f>6+14+11+13+11+9+28+9+10+9+14+10+18+8+8</f>
        <v>178</v>
      </c>
      <c r="J36" s="35">
        <f>17+11+6+0+0+0+4+0+0+0+3</f>
        <v>41</v>
      </c>
      <c r="K36" s="30"/>
      <c r="L36" s="33"/>
      <c r="M36" s="30"/>
      <c r="N36" s="33"/>
      <c r="O36" s="33"/>
      <c r="P36" s="33"/>
      <c r="Q36" s="33"/>
      <c r="R36" s="33"/>
      <c r="S36" s="33"/>
      <c r="T36" s="2"/>
      <c r="U36" s="2"/>
      <c r="V36" s="2"/>
      <c r="W36" s="2"/>
      <c r="X36" s="2"/>
      <c r="Y36" s="2"/>
    </row>
    <row r="37" spans="1:25" ht="14.25">
      <c r="A37" s="16" t="s">
        <v>4</v>
      </c>
      <c r="B37" s="16" t="s">
        <v>10</v>
      </c>
      <c r="C37" s="32">
        <v>172</v>
      </c>
      <c r="D37" s="35">
        <v>30</v>
      </c>
      <c r="E37" s="35">
        <v>4.3</v>
      </c>
      <c r="F37" s="35">
        <v>37.799999999999997</v>
      </c>
      <c r="G37" s="35">
        <v>54.7</v>
      </c>
      <c r="H37" s="35">
        <v>9</v>
      </c>
      <c r="I37" s="35">
        <f>3+10+16+25+9+4+5+11+12</f>
        <v>95</v>
      </c>
      <c r="J37" s="35">
        <f>23+20+0+36+0+12+4+0+0</f>
        <v>95</v>
      </c>
      <c r="K37" s="30"/>
      <c r="L37" s="30"/>
      <c r="M37" s="30"/>
      <c r="N37" s="30"/>
      <c r="O37" s="30"/>
      <c r="P37" s="30"/>
      <c r="Q37" s="30"/>
      <c r="R37" s="30"/>
      <c r="S37" s="30"/>
      <c r="T37" s="2"/>
      <c r="U37" s="2"/>
      <c r="V37" s="2"/>
      <c r="W37" s="2"/>
      <c r="X37" s="2"/>
      <c r="Y37" s="2"/>
    </row>
    <row r="38" spans="1:25" ht="14.25">
      <c r="A38" s="17" t="s">
        <v>14</v>
      </c>
      <c r="B38" s="17" t="s">
        <v>10</v>
      </c>
      <c r="C38" s="32">
        <v>139</v>
      </c>
      <c r="D38" s="35">
        <v>23</v>
      </c>
      <c r="E38" s="35">
        <v>4.9000000000000004</v>
      </c>
      <c r="F38" s="35">
        <v>47.1</v>
      </c>
      <c r="G38" s="35">
        <v>52.3</v>
      </c>
      <c r="H38" s="35">
        <v>5</v>
      </c>
      <c r="I38" s="35">
        <f>1+3+12+10+16</f>
        <v>42</v>
      </c>
      <c r="J38" s="35">
        <f>12+12+0+0+0</f>
        <v>24</v>
      </c>
      <c r="K38" s="30"/>
      <c r="L38" s="33"/>
      <c r="M38" s="33"/>
      <c r="N38" s="33"/>
      <c r="O38" s="33"/>
      <c r="P38" s="33"/>
      <c r="Q38" s="33"/>
      <c r="R38" s="33"/>
      <c r="S38" s="33"/>
      <c r="T38" s="2"/>
      <c r="U38" s="2"/>
      <c r="V38" s="2"/>
      <c r="W38" s="2"/>
      <c r="X38" s="2"/>
      <c r="Y38" s="2"/>
    </row>
    <row r="39" spans="1:25" ht="14.25">
      <c r="A39" s="17" t="s">
        <v>14</v>
      </c>
      <c r="B39" s="17" t="s">
        <v>10</v>
      </c>
      <c r="C39" s="32">
        <v>155</v>
      </c>
      <c r="D39" s="35">
        <v>29</v>
      </c>
      <c r="E39" s="35">
        <v>4</v>
      </c>
      <c r="F39" s="35">
        <v>47.2</v>
      </c>
      <c r="G39" s="35">
        <v>63.5</v>
      </c>
      <c r="H39" s="35">
        <v>8</v>
      </c>
      <c r="I39" s="35">
        <f>22+0+53+12+29+60+61+29</f>
        <v>266</v>
      </c>
      <c r="J39" s="35">
        <f>22+16+28+13+17+3+2+0</f>
        <v>101</v>
      </c>
      <c r="K39" s="30"/>
      <c r="L39" s="33"/>
      <c r="M39" s="33"/>
      <c r="N39" s="33"/>
      <c r="O39" s="33"/>
      <c r="P39" s="33"/>
      <c r="Q39" s="33"/>
      <c r="R39" s="33"/>
      <c r="S39" s="33"/>
      <c r="T39" s="2"/>
      <c r="U39" s="2"/>
      <c r="V39" s="2"/>
      <c r="W39" s="2"/>
      <c r="X39" s="2"/>
      <c r="Y39" s="2"/>
    </row>
    <row r="40" spans="1:25" ht="14.25">
      <c r="A40" s="17" t="s">
        <v>14</v>
      </c>
      <c r="B40" s="17" t="s">
        <v>10</v>
      </c>
      <c r="C40" s="32">
        <v>169</v>
      </c>
      <c r="D40" s="35">
        <v>30</v>
      </c>
      <c r="E40" s="35">
        <v>4.7</v>
      </c>
      <c r="F40" s="35">
        <v>41.4</v>
      </c>
      <c r="G40" s="35">
        <v>55.9</v>
      </c>
      <c r="H40" s="35">
        <v>6</v>
      </c>
      <c r="I40" s="35">
        <f>15+17+30+13+14+18</f>
        <v>107</v>
      </c>
      <c r="J40" s="35">
        <f>27+42+0+3+0+0</f>
        <v>72</v>
      </c>
      <c r="K40" s="30"/>
      <c r="L40" s="30"/>
      <c r="M40" s="30"/>
      <c r="N40" s="30"/>
      <c r="O40" s="30"/>
      <c r="P40" s="30"/>
      <c r="Q40" s="30"/>
      <c r="R40" s="30"/>
      <c r="S40" s="30"/>
      <c r="T40" s="2"/>
      <c r="U40" s="2"/>
      <c r="V40" s="2"/>
      <c r="W40" s="2"/>
      <c r="X40" s="2"/>
      <c r="Y40" s="2"/>
    </row>
    <row r="41" spans="1:25" ht="14.25">
      <c r="A41" s="17" t="s">
        <v>16</v>
      </c>
      <c r="B41" s="17" t="s">
        <v>10</v>
      </c>
      <c r="C41" s="32">
        <v>163</v>
      </c>
      <c r="D41" s="35">
        <v>21</v>
      </c>
      <c r="E41" s="35">
        <v>3.7</v>
      </c>
      <c r="F41" s="35">
        <v>46.7</v>
      </c>
      <c r="G41" s="35">
        <v>50</v>
      </c>
      <c r="H41" s="35">
        <f>1+1+1+1+1+1+1+1+1+1+1</f>
        <v>11</v>
      </c>
      <c r="I41" s="35">
        <f>4+5+12+7+9+14+16+6+24+18+29</f>
        <v>144</v>
      </c>
      <c r="J41" s="35">
        <f>12+17+4+2+9+2</f>
        <v>46</v>
      </c>
      <c r="K41" s="30"/>
      <c r="L41" s="30"/>
      <c r="M41" s="30"/>
      <c r="N41" s="30"/>
      <c r="O41" s="30"/>
      <c r="P41" s="30"/>
      <c r="Q41" s="30"/>
      <c r="R41" s="30"/>
      <c r="S41" s="33"/>
      <c r="T41" s="2"/>
      <c r="U41" s="2"/>
      <c r="V41" s="2"/>
      <c r="W41" s="2"/>
      <c r="X41" s="2"/>
      <c r="Y41" s="2"/>
    </row>
    <row r="42" spans="1:25" ht="14.25">
      <c r="A42" s="17" t="s">
        <v>16</v>
      </c>
      <c r="B42" s="17" t="s">
        <v>10</v>
      </c>
      <c r="C42" s="32">
        <v>95</v>
      </c>
      <c r="D42" s="35">
        <v>12</v>
      </c>
      <c r="E42" s="35">
        <v>4</v>
      </c>
      <c r="F42" s="35">
        <v>52</v>
      </c>
      <c r="G42" s="35">
        <v>54.3</v>
      </c>
      <c r="H42" s="35">
        <f>1+1</f>
        <v>2</v>
      </c>
      <c r="I42" s="35">
        <f>2+5</f>
        <v>7</v>
      </c>
      <c r="J42" s="35">
        <f>21+15</f>
        <v>36</v>
      </c>
      <c r="K42" s="30"/>
      <c r="L42" s="33"/>
      <c r="M42" s="33"/>
      <c r="N42" s="30"/>
      <c r="O42" s="33"/>
      <c r="P42" s="33"/>
      <c r="Q42" s="33"/>
      <c r="R42" s="33"/>
      <c r="S42" s="33"/>
      <c r="T42" s="2"/>
      <c r="U42" s="2"/>
      <c r="V42" s="2"/>
      <c r="W42" s="2"/>
      <c r="X42" s="2"/>
      <c r="Y42" s="2"/>
    </row>
    <row r="43" spans="1:25" ht="14.25">
      <c r="A43" s="17" t="s">
        <v>16</v>
      </c>
      <c r="B43" s="17" t="s">
        <v>10</v>
      </c>
      <c r="C43" s="32">
        <v>147</v>
      </c>
      <c r="D43" s="35">
        <v>21</v>
      </c>
      <c r="E43" s="35">
        <v>4.3</v>
      </c>
      <c r="F43" s="35">
        <v>43.2</v>
      </c>
      <c r="G43" s="35">
        <v>51.7</v>
      </c>
      <c r="H43" s="35">
        <f>1+1+2+2+2+2+1</f>
        <v>11</v>
      </c>
      <c r="I43" s="35">
        <f>7+12+25+26+20+14</f>
        <v>104</v>
      </c>
      <c r="J43" s="35">
        <f>15+7+4+14+7+5</f>
        <v>52</v>
      </c>
      <c r="K43" s="30"/>
      <c r="L43" s="30"/>
      <c r="M43" s="30"/>
      <c r="N43" s="30"/>
      <c r="O43" s="30"/>
      <c r="P43" s="30"/>
      <c r="Q43" s="30"/>
      <c r="R43" s="30"/>
      <c r="S43" s="30"/>
      <c r="T43" s="2"/>
      <c r="U43" s="2"/>
      <c r="V43" s="2"/>
      <c r="W43" s="2"/>
      <c r="X43" s="2"/>
      <c r="Y43" s="2"/>
    </row>
    <row r="44" spans="1:25" ht="14.25">
      <c r="A44" s="15" t="s">
        <v>17</v>
      </c>
      <c r="B44" s="15" t="s">
        <v>10</v>
      </c>
      <c r="C44" s="32">
        <v>145.4</v>
      </c>
      <c r="D44" s="35">
        <v>31</v>
      </c>
      <c r="E44" s="35">
        <v>4.8</v>
      </c>
      <c r="F44" s="35">
        <v>42</v>
      </c>
      <c r="G44" s="35">
        <v>49.7</v>
      </c>
      <c r="H44" s="35">
        <v>14</v>
      </c>
      <c r="I44" s="35">
        <f>15+9+18+7+7+7+12+15+6+20+9+12+13+11</f>
        <v>161</v>
      </c>
      <c r="J44" s="35">
        <f>6+4+9+4+1+10</f>
        <v>34</v>
      </c>
      <c r="K44" s="30"/>
      <c r="L44" s="30"/>
      <c r="M44" s="33"/>
      <c r="N44" s="36"/>
      <c r="O44" s="33"/>
      <c r="P44" s="33"/>
      <c r="Q44" s="33"/>
      <c r="R44" s="33"/>
      <c r="S44" s="33"/>
      <c r="T44" s="2"/>
      <c r="U44" s="2"/>
      <c r="V44" s="2"/>
      <c r="W44" s="2"/>
      <c r="X44" s="2"/>
      <c r="Y44" s="2"/>
    </row>
    <row r="45" spans="1:25" ht="14.25">
      <c r="A45" s="15" t="s">
        <v>17</v>
      </c>
      <c r="B45" s="15" t="s">
        <v>10</v>
      </c>
      <c r="C45" s="32">
        <v>87.2</v>
      </c>
      <c r="D45" s="35">
        <v>17</v>
      </c>
      <c r="E45" s="35">
        <v>6</v>
      </c>
      <c r="F45" s="35">
        <v>42</v>
      </c>
      <c r="G45" s="35">
        <v>45</v>
      </c>
      <c r="H45" s="35">
        <v>3</v>
      </c>
      <c r="I45" s="35">
        <f>9+11+14</f>
        <v>34</v>
      </c>
      <c r="J45" s="35">
        <v>0</v>
      </c>
      <c r="K45" s="30"/>
      <c r="L45" s="33"/>
      <c r="M45" s="33"/>
      <c r="N45" s="33"/>
      <c r="O45" s="33"/>
      <c r="P45" s="33"/>
      <c r="Q45" s="33"/>
      <c r="R45" s="33"/>
      <c r="S45" s="33"/>
      <c r="T45" s="2"/>
      <c r="U45" s="2"/>
      <c r="V45" s="2"/>
      <c r="W45" s="2"/>
      <c r="X45" s="2"/>
      <c r="Y45" s="2"/>
    </row>
    <row r="46" spans="1:25" ht="14.25">
      <c r="A46" s="15" t="s">
        <v>17</v>
      </c>
      <c r="B46" s="15" t="s">
        <v>10</v>
      </c>
      <c r="C46" s="32">
        <v>143</v>
      </c>
      <c r="D46" s="35">
        <v>25</v>
      </c>
      <c r="E46" s="35">
        <v>5.0999999999999996</v>
      </c>
      <c r="F46" s="35">
        <v>37.9</v>
      </c>
      <c r="G46" s="35">
        <v>55.2</v>
      </c>
      <c r="H46" s="35">
        <v>21</v>
      </c>
      <c r="I46" s="35">
        <f>6+12+6+8+12+10+11+12+14+10+14+10+20+9+12+14+20+6+20+5+14</f>
        <v>245</v>
      </c>
      <c r="J46" s="35">
        <f>3+6+11+6+11</f>
        <v>37</v>
      </c>
      <c r="K46" s="30"/>
      <c r="L46" s="30"/>
      <c r="M46" s="30"/>
      <c r="N46" s="30"/>
      <c r="O46" s="30"/>
      <c r="P46" s="30"/>
      <c r="Q46" s="30"/>
      <c r="R46" s="30"/>
      <c r="S46" s="30"/>
      <c r="T46" s="2"/>
      <c r="U46" s="2"/>
      <c r="V46" s="2"/>
      <c r="W46" s="2"/>
      <c r="X46" s="2"/>
      <c r="Y46" s="2"/>
    </row>
    <row r="47" spans="1:25" ht="14.25">
      <c r="A47" s="18" t="s">
        <v>18</v>
      </c>
      <c r="B47" s="18" t="s">
        <v>10</v>
      </c>
      <c r="C47" s="32">
        <v>130</v>
      </c>
      <c r="D47" s="35">
        <v>17</v>
      </c>
      <c r="E47" s="35">
        <v>4.2</v>
      </c>
      <c r="F47" s="35">
        <v>40.5</v>
      </c>
      <c r="G47" s="35">
        <v>53.9</v>
      </c>
      <c r="H47" s="35">
        <v>7</v>
      </c>
      <c r="I47" s="35">
        <f>10+10+3+11+15+27+15</f>
        <v>91</v>
      </c>
      <c r="J47" s="35">
        <v>22</v>
      </c>
      <c r="K47" s="30"/>
      <c r="L47" s="30"/>
      <c r="M47" s="33"/>
      <c r="N47" s="33"/>
      <c r="O47" s="30"/>
      <c r="P47" s="30"/>
      <c r="Q47" s="30"/>
      <c r="R47" s="33"/>
      <c r="S47" s="30"/>
      <c r="T47" s="2"/>
      <c r="U47" s="2"/>
      <c r="V47" s="2"/>
      <c r="W47" s="2"/>
      <c r="X47" s="2"/>
      <c r="Y47" s="2"/>
    </row>
    <row r="48" spans="1:25" ht="14.25">
      <c r="A48" s="18" t="s">
        <v>18</v>
      </c>
      <c r="B48" s="18" t="s">
        <v>10</v>
      </c>
      <c r="C48" s="32">
        <v>163</v>
      </c>
      <c r="D48" s="35">
        <v>17</v>
      </c>
      <c r="E48" s="35">
        <v>4.3</v>
      </c>
      <c r="F48" s="35">
        <v>44.2</v>
      </c>
      <c r="G48" s="35">
        <v>54.6</v>
      </c>
      <c r="H48" s="35">
        <v>7</v>
      </c>
      <c r="I48" s="35">
        <f>9+10+13+10+13+13+15</f>
        <v>83</v>
      </c>
      <c r="J48" s="35">
        <v>27</v>
      </c>
      <c r="K48" s="30"/>
      <c r="L48" s="33"/>
      <c r="M48" s="33"/>
      <c r="N48" s="33"/>
      <c r="O48" s="33"/>
      <c r="P48" s="30"/>
      <c r="Q48" s="30"/>
      <c r="R48" s="33"/>
      <c r="S48" s="30"/>
      <c r="T48" s="2"/>
      <c r="U48" s="2"/>
      <c r="V48" s="2"/>
      <c r="W48" s="2"/>
      <c r="X48" s="2"/>
      <c r="Y48" s="2"/>
    </row>
    <row r="49" spans="1:25" ht="14.25">
      <c r="A49" s="18" t="s">
        <v>18</v>
      </c>
      <c r="B49" s="18" t="s">
        <v>10</v>
      </c>
      <c r="C49" s="32">
        <v>160</v>
      </c>
      <c r="D49" s="35">
        <v>16</v>
      </c>
      <c r="E49" s="35">
        <v>4.5</v>
      </c>
      <c r="F49" s="35">
        <v>38.299999999999997</v>
      </c>
      <c r="G49" s="35">
        <v>55.3</v>
      </c>
      <c r="H49" s="35">
        <v>7</v>
      </c>
      <c r="I49" s="35">
        <f>10+14+7+15+14+5</f>
        <v>65</v>
      </c>
      <c r="J49" s="35">
        <v>32</v>
      </c>
      <c r="K49" s="30"/>
      <c r="L49" s="30"/>
      <c r="M49" s="30"/>
      <c r="N49" s="30"/>
      <c r="O49" s="30"/>
      <c r="P49" s="30"/>
      <c r="Q49" s="30"/>
      <c r="R49" s="30"/>
      <c r="S49" s="30"/>
      <c r="T49" s="2"/>
      <c r="U49" s="2"/>
      <c r="V49" s="2"/>
      <c r="W49" s="2"/>
      <c r="X49" s="2"/>
      <c r="Y49" s="2"/>
    </row>
    <row r="50" spans="1:25" ht="12.75">
      <c r="A50" s="12" t="s">
        <v>4</v>
      </c>
      <c r="B50" s="12" t="s">
        <v>11</v>
      </c>
      <c r="C50" s="34">
        <v>152</v>
      </c>
      <c r="D50" s="12">
        <v>22</v>
      </c>
      <c r="E50" s="12">
        <v>4</v>
      </c>
      <c r="F50" s="12">
        <v>49.8</v>
      </c>
      <c r="G50" s="12">
        <v>51</v>
      </c>
      <c r="H50" s="12">
        <v>12</v>
      </c>
      <c r="I50" s="12">
        <f>69</f>
        <v>69</v>
      </c>
      <c r="J50" s="12">
        <f>26+21+11+7+6</f>
        <v>71</v>
      </c>
      <c r="K50" s="30"/>
      <c r="L50" s="33"/>
      <c r="M50" s="33"/>
      <c r="N50" s="33"/>
      <c r="O50" s="33"/>
      <c r="P50" s="33"/>
      <c r="Q50" s="30"/>
      <c r="R50" s="33"/>
      <c r="S50" s="33"/>
      <c r="T50" s="2"/>
      <c r="U50" s="2"/>
      <c r="V50" s="2"/>
      <c r="W50" s="2"/>
      <c r="X50" s="2"/>
      <c r="Y50" s="2"/>
    </row>
    <row r="51" spans="1:25" ht="12.75">
      <c r="A51" s="12" t="s">
        <v>4</v>
      </c>
      <c r="B51" s="12" t="s">
        <v>11</v>
      </c>
      <c r="C51" s="34">
        <v>160</v>
      </c>
      <c r="D51" s="12">
        <v>27</v>
      </c>
      <c r="E51" s="12">
        <v>4</v>
      </c>
      <c r="F51" s="12">
        <v>43.5</v>
      </c>
      <c r="G51" s="12">
        <v>54.1</v>
      </c>
      <c r="H51" s="12">
        <v>5</v>
      </c>
      <c r="I51" s="12">
        <f>30+8+4+8+13</f>
        <v>63</v>
      </c>
      <c r="J51" s="12">
        <f>32+34+4+11+7</f>
        <v>88</v>
      </c>
      <c r="K51" s="30"/>
      <c r="L51" s="33"/>
      <c r="M51" s="33"/>
      <c r="N51" s="33"/>
      <c r="O51" s="33"/>
      <c r="P51" s="33"/>
      <c r="Q51" s="33"/>
      <c r="R51" s="33"/>
      <c r="S51" s="33"/>
      <c r="T51" s="2"/>
      <c r="U51" s="2"/>
      <c r="V51" s="2"/>
      <c r="W51" s="2"/>
      <c r="X51" s="2"/>
      <c r="Y51" s="2"/>
    </row>
    <row r="52" spans="1:25" ht="12.75">
      <c r="A52" s="12" t="s">
        <v>4</v>
      </c>
      <c r="B52" s="12" t="s">
        <v>11</v>
      </c>
      <c r="C52" s="34">
        <v>86</v>
      </c>
      <c r="D52" s="12">
        <v>12</v>
      </c>
      <c r="E52" s="12">
        <v>3.8</v>
      </c>
      <c r="F52" s="12">
        <v>50</v>
      </c>
      <c r="G52" s="12">
        <v>62.5</v>
      </c>
      <c r="H52" s="12">
        <v>1</v>
      </c>
      <c r="I52" s="12">
        <f>13</f>
        <v>13</v>
      </c>
      <c r="J52" s="12">
        <f>20</f>
        <v>20</v>
      </c>
      <c r="K52" s="30"/>
      <c r="L52" s="30"/>
      <c r="M52" s="30"/>
      <c r="N52" s="30"/>
      <c r="O52" s="30"/>
      <c r="P52" s="30"/>
      <c r="Q52" s="30"/>
      <c r="R52" s="30"/>
      <c r="S52" s="30"/>
      <c r="T52" s="2"/>
      <c r="U52" s="2"/>
      <c r="V52" s="2"/>
      <c r="W52" s="2"/>
      <c r="X52" s="2"/>
      <c r="Y52" s="2"/>
    </row>
    <row r="53" spans="1:25" ht="12.75">
      <c r="A53" s="13" t="s">
        <v>14</v>
      </c>
      <c r="B53" s="13" t="s">
        <v>11</v>
      </c>
      <c r="C53" s="38">
        <v>187</v>
      </c>
      <c r="D53" s="13">
        <v>32</v>
      </c>
      <c r="E53" s="3">
        <v>4</v>
      </c>
      <c r="F53" s="3">
        <v>43.1</v>
      </c>
      <c r="G53" s="3">
        <v>52.8</v>
      </c>
      <c r="H53" s="3">
        <v>14</v>
      </c>
      <c r="I53" s="3">
        <v>123</v>
      </c>
      <c r="J53" s="3">
        <v>77</v>
      </c>
      <c r="K53" s="30"/>
      <c r="L53" s="30"/>
      <c r="M53" s="30"/>
      <c r="N53" s="33"/>
      <c r="O53" s="30"/>
      <c r="P53" s="30"/>
      <c r="Q53" s="33"/>
      <c r="R53" s="33"/>
      <c r="S53" s="33"/>
      <c r="T53" s="2"/>
      <c r="U53" s="2"/>
      <c r="V53" s="2"/>
      <c r="W53" s="2"/>
      <c r="X53" s="2"/>
      <c r="Y53" s="2"/>
    </row>
    <row r="54" spans="1:25" ht="12.75">
      <c r="A54" s="13" t="s">
        <v>14</v>
      </c>
      <c r="B54" s="13" t="s">
        <v>11</v>
      </c>
      <c r="C54" s="38">
        <v>176</v>
      </c>
      <c r="D54" s="13">
        <v>17</v>
      </c>
      <c r="E54" s="3">
        <v>3.8</v>
      </c>
      <c r="F54" s="3">
        <v>43.5</v>
      </c>
      <c r="G54" s="3">
        <v>53.5</v>
      </c>
      <c r="H54" s="3">
        <v>7</v>
      </c>
      <c r="I54" s="3">
        <v>36</v>
      </c>
      <c r="J54" s="3">
        <v>65</v>
      </c>
      <c r="K54" s="30"/>
      <c r="L54" s="33"/>
      <c r="M54" s="33"/>
      <c r="N54" s="33"/>
      <c r="O54" s="33"/>
      <c r="P54" s="33"/>
      <c r="Q54" s="33"/>
      <c r="R54" s="33"/>
      <c r="S54" s="33"/>
      <c r="T54" s="2"/>
      <c r="U54" s="2"/>
      <c r="V54" s="2"/>
      <c r="W54" s="2"/>
      <c r="X54" s="2"/>
      <c r="Y54" s="2"/>
    </row>
    <row r="55" spans="1:25" ht="12.75">
      <c r="A55" s="13" t="s">
        <v>14</v>
      </c>
      <c r="B55" s="13" t="s">
        <v>11</v>
      </c>
      <c r="C55" s="38">
        <v>177</v>
      </c>
      <c r="D55" s="13">
        <v>26</v>
      </c>
      <c r="E55" s="3">
        <v>4</v>
      </c>
      <c r="F55" s="3">
        <v>47.8</v>
      </c>
      <c r="G55" s="3">
        <v>49.7</v>
      </c>
      <c r="H55" s="3">
        <v>10</v>
      </c>
      <c r="I55" s="3">
        <v>55</v>
      </c>
      <c r="J55" s="3">
        <v>48</v>
      </c>
      <c r="K55" s="30"/>
      <c r="L55" s="30"/>
      <c r="M55" s="30"/>
      <c r="N55" s="30"/>
      <c r="O55" s="30"/>
      <c r="P55" s="30"/>
      <c r="Q55" s="30"/>
      <c r="R55" s="30"/>
      <c r="S55" s="30"/>
      <c r="T55" s="2"/>
      <c r="U55" s="2"/>
      <c r="V55" s="2"/>
      <c r="W55" s="2"/>
      <c r="X55" s="2"/>
      <c r="Y55" s="2"/>
    </row>
    <row r="56" spans="1:25" ht="12.75">
      <c r="A56" s="3" t="s">
        <v>15</v>
      </c>
      <c r="B56" s="3" t="s">
        <v>11</v>
      </c>
      <c r="C56" s="38">
        <v>199</v>
      </c>
      <c r="D56" s="13">
        <v>35</v>
      </c>
      <c r="E56" s="13">
        <v>3.7</v>
      </c>
      <c r="F56" s="13">
        <v>47.8</v>
      </c>
      <c r="G56" s="13">
        <v>52</v>
      </c>
      <c r="H56" s="13">
        <v>15</v>
      </c>
      <c r="I56" s="13">
        <f>6+2+6+9+9+12+12+13+15+9+3+11+15+12+15</f>
        <v>149</v>
      </c>
      <c r="J56" s="13">
        <f>36+15+13+6+3+9+3+1</f>
        <v>86</v>
      </c>
      <c r="K56" s="30"/>
      <c r="L56" s="33"/>
      <c r="M56" s="33"/>
      <c r="N56" s="33"/>
      <c r="O56" s="30"/>
      <c r="P56" s="30"/>
      <c r="Q56" s="33"/>
      <c r="R56" s="33"/>
      <c r="S56" s="33"/>
      <c r="T56" s="2"/>
      <c r="U56" s="2"/>
      <c r="V56" s="2"/>
      <c r="W56" s="2"/>
      <c r="X56" s="2"/>
      <c r="Y56" s="2"/>
    </row>
    <row r="57" spans="1:25" ht="12.75">
      <c r="A57" s="3" t="s">
        <v>15</v>
      </c>
      <c r="B57" s="3" t="s">
        <v>11</v>
      </c>
      <c r="C57" s="38">
        <v>172</v>
      </c>
      <c r="D57" s="13">
        <v>38</v>
      </c>
      <c r="E57" s="13">
        <v>3.7</v>
      </c>
      <c r="F57" s="13">
        <v>43.4</v>
      </c>
      <c r="G57" s="13">
        <v>45.3</v>
      </c>
      <c r="H57" s="13">
        <v>20</v>
      </c>
      <c r="I57" s="13">
        <f>2+1+1+7+6+8+14+16+16+3+17+18+10+6+16+16+21+16+14+10</f>
        <v>218</v>
      </c>
      <c r="J57" s="13">
        <f>22+ 17+13+2+13+8+2+14+12+3+8</f>
        <v>114</v>
      </c>
      <c r="K57" s="30"/>
      <c r="L57" s="33"/>
      <c r="M57" s="33"/>
      <c r="N57" s="33"/>
      <c r="O57" s="33"/>
      <c r="P57" s="33"/>
      <c r="Q57" s="33"/>
      <c r="R57" s="33"/>
      <c r="S57" s="33"/>
      <c r="T57" s="2"/>
      <c r="U57" s="2"/>
      <c r="V57" s="2"/>
      <c r="W57" s="2"/>
      <c r="X57" s="2"/>
      <c r="Y57" s="2"/>
    </row>
    <row r="58" spans="1:25" ht="12.75">
      <c r="A58" s="3" t="s">
        <v>15</v>
      </c>
      <c r="B58" s="3" t="s">
        <v>11</v>
      </c>
      <c r="C58" s="38">
        <v>173</v>
      </c>
      <c r="D58" s="13">
        <v>21</v>
      </c>
      <c r="E58" s="13">
        <v>3.8</v>
      </c>
      <c r="F58" s="13">
        <v>47.7</v>
      </c>
      <c r="G58" s="13">
        <v>49.4</v>
      </c>
      <c r="H58" s="13">
        <v>6</v>
      </c>
      <c r="I58" s="13">
        <f>18+11+21+14+11+18</f>
        <v>93</v>
      </c>
      <c r="J58" s="13">
        <f>16+15+12+1</f>
        <v>44</v>
      </c>
      <c r="K58" s="30"/>
      <c r="L58" s="30"/>
      <c r="M58" s="30"/>
      <c r="N58" s="30"/>
      <c r="O58" s="30"/>
      <c r="P58" s="30"/>
      <c r="Q58" s="30"/>
      <c r="R58" s="30"/>
      <c r="S58" s="30"/>
      <c r="T58" s="2"/>
      <c r="U58" s="2"/>
      <c r="V58" s="2"/>
      <c r="W58" s="2"/>
      <c r="X58" s="2"/>
      <c r="Y58" s="2"/>
    </row>
    <row r="59" spans="1:25" ht="12.75">
      <c r="A59" s="12" t="s">
        <v>16</v>
      </c>
      <c r="B59" s="12" t="s">
        <v>11</v>
      </c>
      <c r="C59" s="34">
        <v>170</v>
      </c>
      <c r="D59" s="12">
        <v>20</v>
      </c>
      <c r="E59" s="12">
        <v>4</v>
      </c>
      <c r="F59" s="12">
        <v>62.4</v>
      </c>
      <c r="G59" s="12">
        <v>48.2</v>
      </c>
      <c r="H59" s="12">
        <v>7</v>
      </c>
      <c r="I59" s="12">
        <f>3+8+4+3+1+3+1</f>
        <v>23</v>
      </c>
      <c r="J59" s="12">
        <f>6+10+13+11+9+19+12</f>
        <v>80</v>
      </c>
      <c r="K59" s="30"/>
      <c r="L59" s="33"/>
      <c r="M59" s="33"/>
      <c r="N59" s="33"/>
      <c r="O59" s="30"/>
      <c r="P59" s="33"/>
      <c r="Q59" s="33"/>
      <c r="R59" s="33"/>
      <c r="S59" s="33"/>
      <c r="T59" s="2"/>
      <c r="U59" s="2"/>
      <c r="V59" s="2"/>
      <c r="W59" s="2"/>
      <c r="X59" s="2"/>
      <c r="Y59" s="2"/>
    </row>
    <row r="60" spans="1:25" ht="12.75">
      <c r="A60" s="12" t="s">
        <v>16</v>
      </c>
      <c r="B60" s="12" t="s">
        <v>11</v>
      </c>
      <c r="C60" s="34">
        <v>172</v>
      </c>
      <c r="D60" s="12">
        <v>23</v>
      </c>
      <c r="E60" s="12">
        <v>4</v>
      </c>
      <c r="F60" s="12">
        <v>54.8</v>
      </c>
      <c r="G60" s="12">
        <v>41.2</v>
      </c>
      <c r="H60" s="12">
        <v>11</v>
      </c>
      <c r="I60" s="12">
        <f>1+18+8+13+11+6+2+7+2+1+5</f>
        <v>74</v>
      </c>
      <c r="J60" s="12">
        <f>4+5+12+11+12+14</f>
        <v>58</v>
      </c>
      <c r="K60" s="30"/>
      <c r="L60" s="33"/>
      <c r="M60" s="33"/>
      <c r="N60" s="33"/>
      <c r="O60" s="33"/>
      <c r="P60" s="33"/>
      <c r="Q60" s="33"/>
      <c r="R60" s="33"/>
      <c r="S60" s="33"/>
      <c r="T60" s="2"/>
      <c r="U60" s="2"/>
      <c r="V60" s="2"/>
      <c r="W60" s="2"/>
      <c r="X60" s="2"/>
      <c r="Y60" s="2"/>
    </row>
    <row r="61" spans="1:25" ht="12.75">
      <c r="A61" s="12" t="s">
        <v>16</v>
      </c>
      <c r="B61" s="12" t="s">
        <v>11</v>
      </c>
      <c r="C61" s="34">
        <v>136</v>
      </c>
      <c r="D61" s="12">
        <v>18</v>
      </c>
      <c r="E61" s="12">
        <v>6.2</v>
      </c>
      <c r="F61" s="12">
        <v>53.8</v>
      </c>
      <c r="G61" s="12">
        <v>41.2</v>
      </c>
      <c r="H61" s="12">
        <v>7</v>
      </c>
      <c r="I61" s="12">
        <f>1+6+6+4+1+3+3</f>
        <v>24</v>
      </c>
      <c r="J61" s="12">
        <f>7+7+9+8+3</f>
        <v>34</v>
      </c>
      <c r="K61" s="30"/>
      <c r="L61" s="30"/>
      <c r="M61" s="30"/>
      <c r="N61" s="30"/>
      <c r="O61" s="30"/>
      <c r="P61" s="30"/>
      <c r="Q61" s="30"/>
      <c r="R61" s="30"/>
      <c r="S61" s="30"/>
      <c r="T61" s="2"/>
      <c r="U61" s="2"/>
      <c r="V61" s="2"/>
      <c r="W61" s="2"/>
      <c r="X61" s="2"/>
      <c r="Y61" s="2"/>
    </row>
    <row r="62" spans="1:25" ht="12.75">
      <c r="A62" s="12" t="s">
        <v>18</v>
      </c>
      <c r="B62" s="12" t="s">
        <v>11</v>
      </c>
      <c r="C62" s="34">
        <v>148.19999999999999</v>
      </c>
      <c r="D62" s="12">
        <v>28</v>
      </c>
      <c r="E62" s="12">
        <v>3.8</v>
      </c>
      <c r="F62" s="12">
        <v>37.799999999999997</v>
      </c>
      <c r="G62" s="12">
        <v>47.2</v>
      </c>
      <c r="H62" s="12">
        <v>27</v>
      </c>
      <c r="I62" s="12">
        <v>116</v>
      </c>
      <c r="J62" s="12">
        <v>34</v>
      </c>
      <c r="K62" s="30"/>
      <c r="L62" s="30"/>
      <c r="M62" s="33"/>
      <c r="N62" s="33"/>
      <c r="O62" s="33"/>
      <c r="P62" s="33"/>
      <c r="Q62" s="33"/>
      <c r="R62" s="30"/>
      <c r="S62" s="33"/>
      <c r="T62" s="2"/>
      <c r="U62" s="2"/>
      <c r="V62" s="2"/>
      <c r="W62" s="2"/>
      <c r="X62" s="2"/>
      <c r="Y62" s="2"/>
    </row>
    <row r="63" spans="1:25" ht="12.75">
      <c r="A63" s="12" t="s">
        <v>18</v>
      </c>
      <c r="B63" s="12" t="s">
        <v>11</v>
      </c>
      <c r="C63" s="34">
        <v>155.30000000000001</v>
      </c>
      <c r="D63" s="12">
        <v>25</v>
      </c>
      <c r="E63" s="12">
        <v>4</v>
      </c>
      <c r="F63" s="12">
        <v>40.1</v>
      </c>
      <c r="G63" s="12">
        <v>48.3</v>
      </c>
      <c r="H63" s="12">
        <v>12</v>
      </c>
      <c r="I63" s="12">
        <v>65</v>
      </c>
      <c r="J63" s="12">
        <v>32</v>
      </c>
      <c r="K63" s="30"/>
      <c r="L63" s="33"/>
      <c r="M63" s="33"/>
      <c r="N63" s="33"/>
      <c r="O63" s="33"/>
      <c r="P63" s="33"/>
      <c r="Q63" s="33"/>
      <c r="R63" s="33"/>
      <c r="S63" s="33"/>
      <c r="T63" s="2"/>
      <c r="U63" s="2"/>
      <c r="V63" s="2"/>
      <c r="W63" s="2"/>
      <c r="X63" s="2"/>
      <c r="Y63" s="2"/>
    </row>
    <row r="64" spans="1:25" ht="12.75">
      <c r="A64" s="12" t="s">
        <v>18</v>
      </c>
      <c r="B64" s="12" t="s">
        <v>11</v>
      </c>
      <c r="C64" s="34">
        <v>156.69999999999999</v>
      </c>
      <c r="D64" s="12">
        <v>26</v>
      </c>
      <c r="E64" s="12">
        <v>4</v>
      </c>
      <c r="F64" s="12">
        <v>42.3</v>
      </c>
      <c r="G64" s="12">
        <v>50.1</v>
      </c>
      <c r="H64" s="12">
        <v>11</v>
      </c>
      <c r="I64" s="12">
        <v>143</v>
      </c>
      <c r="J64" s="12">
        <v>38</v>
      </c>
      <c r="K64" s="30"/>
      <c r="L64" s="30"/>
      <c r="M64" s="30"/>
      <c r="N64" s="30"/>
      <c r="O64" s="30"/>
      <c r="P64" s="30"/>
      <c r="Q64" s="30"/>
      <c r="R64" s="30"/>
      <c r="S64" s="30"/>
      <c r="T64" s="2"/>
      <c r="U64" s="2"/>
      <c r="V64" s="2"/>
      <c r="W64" s="2"/>
      <c r="X64" s="2"/>
      <c r="Y64" s="2"/>
    </row>
    <row r="65" spans="1:25" ht="14.25">
      <c r="A65" s="15" t="s">
        <v>12</v>
      </c>
      <c r="B65" s="15" t="s">
        <v>11</v>
      </c>
      <c r="C65" s="32">
        <v>176.3</v>
      </c>
      <c r="D65" s="35">
        <v>24</v>
      </c>
      <c r="E65" s="35">
        <v>4.0999999999999996</v>
      </c>
      <c r="F65" s="35">
        <v>44.7</v>
      </c>
      <c r="G65" s="35">
        <v>53.1</v>
      </c>
      <c r="H65" s="35">
        <v>12</v>
      </c>
      <c r="I65" s="35">
        <f>14+5+21+12+11+3+6+3+13+10+30+11</f>
        <v>139</v>
      </c>
      <c r="J65" s="35">
        <f>53+0+6+0+13+14+6+1+3+0+10</f>
        <v>106</v>
      </c>
      <c r="K65" s="30"/>
      <c r="L65" s="30"/>
      <c r="M65" s="33"/>
      <c r="N65" s="33"/>
      <c r="O65" s="33"/>
      <c r="P65" s="33"/>
      <c r="Q65" s="33"/>
      <c r="R65" s="33"/>
      <c r="S65" s="33"/>
      <c r="T65" s="2"/>
      <c r="U65" s="2"/>
      <c r="V65" s="2"/>
      <c r="W65" s="2"/>
      <c r="X65" s="2"/>
      <c r="Y65" s="2"/>
    </row>
    <row r="66" spans="1:25" ht="14.25">
      <c r="A66" s="15" t="s">
        <v>12</v>
      </c>
      <c r="B66" s="15" t="s">
        <v>11</v>
      </c>
      <c r="C66" s="32">
        <v>182.3</v>
      </c>
      <c r="D66" s="35">
        <v>30</v>
      </c>
      <c r="E66" s="35">
        <v>4.2</v>
      </c>
      <c r="F66" s="35">
        <v>45.9</v>
      </c>
      <c r="G66" s="35">
        <v>61.9</v>
      </c>
      <c r="H66" s="35">
        <v>9</v>
      </c>
      <c r="I66" s="35">
        <f>2+19+9+17+32+26+17+17+36</f>
        <v>175</v>
      </c>
      <c r="J66" s="35">
        <f>20+29+10+9+0+0+2+0+0</f>
        <v>70</v>
      </c>
      <c r="K66" s="30"/>
      <c r="L66" s="33"/>
      <c r="M66" s="33"/>
      <c r="N66" s="33"/>
      <c r="O66" s="33"/>
      <c r="P66" s="33"/>
      <c r="Q66" s="33"/>
      <c r="R66" s="33"/>
      <c r="S66" s="33"/>
      <c r="T66" s="2"/>
      <c r="U66" s="2"/>
      <c r="V66" s="2"/>
      <c r="W66" s="2"/>
      <c r="X66" s="2"/>
      <c r="Y66" s="2"/>
    </row>
    <row r="67" spans="1:25" ht="14.25">
      <c r="A67" s="15" t="s">
        <v>12</v>
      </c>
      <c r="B67" s="15" t="s">
        <v>11</v>
      </c>
      <c r="C67" s="32">
        <v>122</v>
      </c>
      <c r="D67" s="35">
        <v>35</v>
      </c>
      <c r="E67" s="35">
        <v>3.9</v>
      </c>
      <c r="F67" s="35">
        <v>41.6</v>
      </c>
      <c r="G67" s="35">
        <v>52.5</v>
      </c>
      <c r="H67" s="35">
        <v>8</v>
      </c>
      <c r="I67" s="35">
        <f>19+10+46+38+12+13+18+14</f>
        <v>170</v>
      </c>
      <c r="J67" s="35">
        <f>18+18+0+4+3+4+1+0</f>
        <v>48</v>
      </c>
      <c r="K67" s="30"/>
      <c r="L67" s="30"/>
      <c r="M67" s="30"/>
      <c r="N67" s="30"/>
      <c r="O67" s="30"/>
      <c r="P67" s="30"/>
      <c r="Q67" s="30"/>
      <c r="R67" s="30"/>
      <c r="S67" s="30"/>
      <c r="T67" s="2"/>
      <c r="U67" s="2"/>
      <c r="V67" s="2"/>
      <c r="W67" s="2"/>
      <c r="X67" s="2"/>
      <c r="Y67" s="2"/>
    </row>
    <row r="68" spans="1:25" ht="14.25">
      <c r="A68" s="39" t="s">
        <v>13</v>
      </c>
      <c r="B68" s="39" t="s">
        <v>11</v>
      </c>
      <c r="C68" s="41"/>
      <c r="D68" s="42"/>
      <c r="E68" s="42"/>
      <c r="F68" s="42"/>
      <c r="G68" s="42"/>
      <c r="H68" s="42"/>
      <c r="I68" s="42"/>
      <c r="J68" s="42"/>
      <c r="K68" s="30"/>
      <c r="L68" s="30"/>
      <c r="M68" s="30"/>
      <c r="N68" s="30"/>
      <c r="O68" s="30"/>
      <c r="P68" s="30"/>
      <c r="Q68" s="30"/>
      <c r="R68" s="30"/>
      <c r="S68" s="30"/>
      <c r="T68" s="2"/>
      <c r="U68" s="2"/>
      <c r="V68" s="2"/>
      <c r="W68" s="2"/>
      <c r="X68" s="2"/>
      <c r="Y68" s="2"/>
    </row>
    <row r="69" spans="1:25" ht="14.25">
      <c r="A69" s="16" t="s">
        <v>13</v>
      </c>
      <c r="B69" s="16" t="s">
        <v>11</v>
      </c>
      <c r="C69" s="32">
        <v>135</v>
      </c>
      <c r="D69" s="35">
        <v>36</v>
      </c>
      <c r="E69" s="35">
        <v>4.5</v>
      </c>
      <c r="F69" s="35">
        <v>43.8</v>
      </c>
      <c r="G69" s="35">
        <v>59.7</v>
      </c>
      <c r="H69" s="35">
        <v>14</v>
      </c>
      <c r="I69" s="35">
        <v>128</v>
      </c>
      <c r="J69" s="35">
        <v>75</v>
      </c>
      <c r="K69" s="30"/>
      <c r="L69" s="33"/>
      <c r="M69" s="33"/>
      <c r="N69" s="33"/>
      <c r="O69" s="33"/>
      <c r="P69" s="33"/>
      <c r="Q69" s="33"/>
      <c r="R69" s="33"/>
      <c r="S69" s="33"/>
      <c r="T69" s="2"/>
      <c r="U69" s="2"/>
      <c r="V69" s="2"/>
      <c r="W69" s="2"/>
      <c r="X69" s="2"/>
      <c r="Y69" s="2"/>
    </row>
    <row r="70" spans="1:25" ht="14.25">
      <c r="A70" s="16" t="s">
        <v>13</v>
      </c>
      <c r="B70" s="16" t="s">
        <v>11</v>
      </c>
      <c r="C70" s="32">
        <v>144.5</v>
      </c>
      <c r="D70" s="35">
        <v>26</v>
      </c>
      <c r="E70" s="35">
        <v>4</v>
      </c>
      <c r="F70" s="35">
        <v>45.3</v>
      </c>
      <c r="G70" s="35">
        <v>51.6</v>
      </c>
      <c r="H70" s="35">
        <v>6</v>
      </c>
      <c r="I70" s="35">
        <v>170</v>
      </c>
      <c r="J70" s="35">
        <v>70</v>
      </c>
      <c r="K70" s="30"/>
      <c r="L70" s="30"/>
      <c r="M70" s="30"/>
      <c r="N70" s="30"/>
      <c r="O70" s="30"/>
      <c r="P70" s="30"/>
      <c r="Q70" s="30"/>
      <c r="R70" s="30"/>
      <c r="S70" s="30"/>
      <c r="T70" s="2"/>
      <c r="U70" s="2"/>
      <c r="V70" s="2"/>
      <c r="W70" s="2"/>
      <c r="X70" s="2"/>
      <c r="Y70" s="2"/>
    </row>
    <row r="71" spans="1:25" ht="14.25">
      <c r="A71" s="18" t="s">
        <v>17</v>
      </c>
      <c r="B71" s="18" t="s">
        <v>11</v>
      </c>
      <c r="C71" s="32">
        <v>169</v>
      </c>
      <c r="D71" s="35">
        <v>23</v>
      </c>
      <c r="E71" s="35">
        <v>3.1</v>
      </c>
      <c r="F71" s="35">
        <v>42.4</v>
      </c>
      <c r="G71" s="35">
        <v>54.3</v>
      </c>
      <c r="H71" s="35">
        <v>9</v>
      </c>
      <c r="I71" s="35">
        <f>98</f>
        <v>98</v>
      </c>
      <c r="J71" s="35">
        <v>45</v>
      </c>
      <c r="K71" s="30"/>
      <c r="L71" s="33"/>
      <c r="M71" s="33"/>
      <c r="N71" s="33"/>
      <c r="O71" s="33"/>
      <c r="P71" s="30"/>
      <c r="Q71" s="30"/>
      <c r="R71" s="30"/>
      <c r="S71" s="30"/>
      <c r="T71" s="2"/>
      <c r="U71" s="2"/>
      <c r="V71" s="2"/>
      <c r="W71" s="2"/>
      <c r="X71" s="2"/>
      <c r="Y71" s="2"/>
    </row>
    <row r="72" spans="1:25" ht="14.25">
      <c r="A72" s="18" t="s">
        <v>17</v>
      </c>
      <c r="B72" s="18" t="s">
        <v>11</v>
      </c>
      <c r="C72" s="32">
        <v>162</v>
      </c>
      <c r="D72" s="35">
        <v>19</v>
      </c>
      <c r="E72" s="35">
        <v>3.3</v>
      </c>
      <c r="F72" s="35">
        <v>41.8</v>
      </c>
      <c r="G72" s="35">
        <v>55.9</v>
      </c>
      <c r="H72" s="35">
        <v>5</v>
      </c>
      <c r="I72" s="35">
        <v>43</v>
      </c>
      <c r="J72" s="35">
        <v>22</v>
      </c>
      <c r="K72" s="30"/>
      <c r="L72" s="33"/>
      <c r="M72" s="33"/>
      <c r="N72" s="33"/>
      <c r="O72" s="33"/>
      <c r="P72" s="33"/>
      <c r="Q72" s="33"/>
      <c r="R72" s="33"/>
      <c r="S72" s="33"/>
      <c r="T72" s="2"/>
      <c r="U72" s="2"/>
      <c r="V72" s="2"/>
      <c r="W72" s="2"/>
      <c r="X72" s="2"/>
      <c r="Y72" s="2"/>
    </row>
    <row r="73" spans="1:25" ht="14.25">
      <c r="A73" s="18" t="s">
        <v>17</v>
      </c>
      <c r="B73" s="18" t="s">
        <v>11</v>
      </c>
      <c r="C73" s="32">
        <v>160</v>
      </c>
      <c r="D73" s="35">
        <v>29</v>
      </c>
      <c r="E73" s="35">
        <v>4</v>
      </c>
      <c r="F73" s="35">
        <v>43.1</v>
      </c>
      <c r="G73" s="35">
        <v>54.8</v>
      </c>
      <c r="H73" s="35">
        <v>10</v>
      </c>
      <c r="I73" s="35">
        <v>120</v>
      </c>
      <c r="J73" s="35">
        <v>53</v>
      </c>
      <c r="K73" s="30"/>
      <c r="L73" s="30"/>
      <c r="M73" s="30"/>
      <c r="N73" s="30"/>
      <c r="O73" s="30"/>
      <c r="P73" s="30"/>
      <c r="Q73" s="30"/>
      <c r="R73" s="30"/>
      <c r="S73" s="30"/>
      <c r="T73" s="2"/>
      <c r="U73" s="2"/>
      <c r="V73" s="2"/>
      <c r="W73" s="2"/>
      <c r="X73" s="2"/>
      <c r="Y73" s="2"/>
    </row>
    <row r="74" spans="1:25" ht="12.75">
      <c r="A74" s="3" t="s">
        <v>13</v>
      </c>
      <c r="B74" s="3" t="s">
        <v>9</v>
      </c>
      <c r="C74" s="32">
        <v>161</v>
      </c>
      <c r="D74" s="3">
        <v>23</v>
      </c>
      <c r="E74" s="3">
        <v>4</v>
      </c>
      <c r="F74" s="3">
        <v>51.5</v>
      </c>
      <c r="G74" s="3">
        <v>41.3</v>
      </c>
      <c r="H74" s="3">
        <v>7</v>
      </c>
      <c r="I74" s="3">
        <f>8+4+3+6+21+8+9</f>
        <v>59</v>
      </c>
      <c r="J74" s="3">
        <f>12+12+7+1</f>
        <v>32</v>
      </c>
      <c r="K74" s="30"/>
      <c r="L74" s="30"/>
      <c r="M74" s="30"/>
      <c r="N74" s="30"/>
      <c r="O74" s="30"/>
      <c r="P74" s="30"/>
      <c r="Q74" s="36"/>
      <c r="R74" s="30"/>
      <c r="S74" s="30"/>
      <c r="T74" s="2"/>
      <c r="U74" s="2"/>
      <c r="V74" s="2"/>
      <c r="W74" s="2"/>
      <c r="X74" s="2"/>
      <c r="Y74" s="2"/>
    </row>
    <row r="75" spans="1:25" ht="12.75">
      <c r="A75" s="3" t="s">
        <v>13</v>
      </c>
      <c r="B75" s="3" t="s">
        <v>9</v>
      </c>
      <c r="C75" s="32">
        <v>148.19999999999999</v>
      </c>
      <c r="D75" s="3">
        <v>21</v>
      </c>
      <c r="E75" s="3">
        <v>4.0999999999999996</v>
      </c>
      <c r="F75" s="3">
        <v>49.3</v>
      </c>
      <c r="G75" s="3">
        <v>46.4</v>
      </c>
      <c r="H75" s="3">
        <v>10</v>
      </c>
      <c r="I75" s="3">
        <f>9+2+17+24+13+12+14+23+12+27</f>
        <v>153</v>
      </c>
      <c r="J75" s="3">
        <f>24+10+10</f>
        <v>44</v>
      </c>
      <c r="K75" s="30"/>
      <c r="L75" s="33"/>
      <c r="M75" s="33"/>
      <c r="N75" s="33"/>
      <c r="O75" s="33"/>
      <c r="P75" s="33"/>
      <c r="Q75" s="33"/>
      <c r="R75" s="33"/>
      <c r="S75" s="33"/>
      <c r="T75" s="2"/>
      <c r="U75" s="2"/>
      <c r="V75" s="2"/>
      <c r="W75" s="2"/>
      <c r="X75" s="2"/>
      <c r="Y75" s="2"/>
    </row>
    <row r="76" spans="1:25" ht="12.75">
      <c r="A76" s="40" t="s">
        <v>13</v>
      </c>
      <c r="B76" s="40" t="s">
        <v>9</v>
      </c>
      <c r="C76" s="41"/>
      <c r="D76" s="40"/>
      <c r="E76" s="40"/>
      <c r="F76" s="40"/>
      <c r="G76" s="40"/>
      <c r="H76" s="40"/>
      <c r="I76" s="40"/>
      <c r="J76" s="40"/>
      <c r="K76" s="30"/>
      <c r="L76" s="30"/>
      <c r="M76" s="30"/>
      <c r="N76" s="30"/>
      <c r="O76" s="30"/>
      <c r="P76" s="30"/>
      <c r="Q76" s="30"/>
      <c r="R76" s="30"/>
      <c r="S76" s="30"/>
      <c r="T76" s="2"/>
      <c r="U76" s="2"/>
      <c r="V76" s="2"/>
      <c r="W76" s="2"/>
      <c r="X76" s="2"/>
      <c r="Y76" s="2"/>
    </row>
    <row r="77" spans="1:25" ht="12.75">
      <c r="A77" s="12" t="s">
        <v>14</v>
      </c>
      <c r="B77" s="12" t="s">
        <v>9</v>
      </c>
      <c r="C77" s="34">
        <v>173</v>
      </c>
      <c r="D77" s="12">
        <v>21</v>
      </c>
      <c r="E77" s="12">
        <v>4.5999999999999996</v>
      </c>
      <c r="F77" s="12">
        <v>57.9</v>
      </c>
      <c r="G77" s="12">
        <v>49.6</v>
      </c>
      <c r="H77" s="12">
        <v>14</v>
      </c>
      <c r="I77" s="12">
        <v>108</v>
      </c>
      <c r="J77" s="12">
        <v>46</v>
      </c>
      <c r="K77" s="30"/>
      <c r="L77" s="33"/>
      <c r="M77" s="33"/>
      <c r="N77" s="33"/>
      <c r="O77" s="30"/>
      <c r="P77" s="33"/>
      <c r="Q77" s="30"/>
      <c r="R77" s="33"/>
      <c r="S77" s="30"/>
      <c r="T77" s="2"/>
      <c r="U77" s="2"/>
      <c r="V77" s="2"/>
      <c r="W77" s="2"/>
      <c r="X77" s="2"/>
      <c r="Y77" s="2"/>
    </row>
    <row r="78" spans="1:25" ht="12.75">
      <c r="A78" s="12" t="s">
        <v>14</v>
      </c>
      <c r="B78" s="12" t="s">
        <v>9</v>
      </c>
      <c r="C78" s="34">
        <v>174</v>
      </c>
      <c r="D78" s="12">
        <v>22</v>
      </c>
      <c r="E78" s="12">
        <v>4.5</v>
      </c>
      <c r="F78" s="12">
        <v>53.7</v>
      </c>
      <c r="G78" s="12">
        <v>49.1</v>
      </c>
      <c r="H78" s="12">
        <v>19</v>
      </c>
      <c r="I78" s="12">
        <v>124</v>
      </c>
      <c r="J78" s="12">
        <v>50</v>
      </c>
      <c r="K78" s="30"/>
      <c r="L78" s="33"/>
      <c r="M78" s="33"/>
      <c r="N78" s="33"/>
      <c r="O78" s="33"/>
      <c r="P78" s="33"/>
      <c r="Q78" s="33"/>
      <c r="R78" s="33"/>
      <c r="S78" s="33"/>
      <c r="T78" s="2"/>
      <c r="U78" s="2"/>
      <c r="V78" s="2"/>
      <c r="W78" s="2"/>
      <c r="X78" s="2"/>
      <c r="Y78" s="2"/>
    </row>
    <row r="79" spans="1:25" ht="12.75">
      <c r="A79" s="12" t="s">
        <v>14</v>
      </c>
      <c r="B79" s="12" t="s">
        <v>9</v>
      </c>
      <c r="C79" s="34">
        <v>146</v>
      </c>
      <c r="D79" s="12">
        <v>19</v>
      </c>
      <c r="E79" s="12">
        <v>4.5999999999999996</v>
      </c>
      <c r="F79" s="12">
        <v>53.1</v>
      </c>
      <c r="G79" s="12">
        <v>50.6</v>
      </c>
      <c r="H79" s="12">
        <v>12</v>
      </c>
      <c r="I79" s="12">
        <v>115</v>
      </c>
      <c r="J79" s="12">
        <v>45</v>
      </c>
      <c r="K79" s="30"/>
      <c r="L79" s="30"/>
      <c r="M79" s="30"/>
      <c r="N79" s="30"/>
      <c r="O79" s="30"/>
      <c r="P79" s="30"/>
      <c r="Q79" s="30"/>
      <c r="R79" s="30"/>
      <c r="S79" s="30"/>
      <c r="T79" s="2"/>
      <c r="U79" s="2"/>
      <c r="V79" s="2"/>
      <c r="W79" s="2"/>
      <c r="X79" s="2"/>
      <c r="Y79" s="2"/>
    </row>
    <row r="80" spans="1:25" ht="12.75">
      <c r="A80" s="3" t="s">
        <v>17</v>
      </c>
      <c r="B80" s="3" t="s">
        <v>9</v>
      </c>
      <c r="C80" s="32">
        <v>157</v>
      </c>
      <c r="D80" s="3">
        <v>29</v>
      </c>
      <c r="E80" s="3">
        <v>4.5999999999999996</v>
      </c>
      <c r="F80" s="3">
        <v>47.3</v>
      </c>
      <c r="G80" s="3">
        <v>50.9</v>
      </c>
      <c r="H80" s="3">
        <v>16</v>
      </c>
      <c r="I80" s="3">
        <v>152</v>
      </c>
      <c r="J80" s="3">
        <v>51</v>
      </c>
      <c r="K80" s="30"/>
      <c r="L80" s="33"/>
      <c r="M80" s="30"/>
      <c r="N80" s="33"/>
      <c r="O80" s="33"/>
      <c r="P80" s="33"/>
      <c r="Q80" s="30"/>
      <c r="R80" s="30"/>
      <c r="S80" s="30"/>
      <c r="T80" s="2"/>
      <c r="U80" s="2"/>
      <c r="V80" s="2"/>
      <c r="W80" s="2"/>
      <c r="X80" s="2"/>
      <c r="Y80" s="2"/>
    </row>
    <row r="81" spans="1:25" ht="12.75">
      <c r="A81" s="3" t="s">
        <v>17</v>
      </c>
      <c r="B81" s="3" t="s">
        <v>9</v>
      </c>
      <c r="C81" s="32">
        <v>153</v>
      </c>
      <c r="D81" s="3">
        <v>21</v>
      </c>
      <c r="E81" s="3">
        <v>4.4000000000000004</v>
      </c>
      <c r="F81" s="3">
        <v>55.9</v>
      </c>
      <c r="G81" s="3">
        <v>55.4</v>
      </c>
      <c r="H81" s="3">
        <v>8</v>
      </c>
      <c r="I81" s="3">
        <v>79</v>
      </c>
      <c r="J81" s="3">
        <v>57</v>
      </c>
      <c r="K81" s="30"/>
      <c r="L81" s="33"/>
      <c r="M81" s="33"/>
      <c r="N81" s="33"/>
      <c r="O81" s="33"/>
      <c r="P81" s="33"/>
      <c r="Q81" s="33"/>
      <c r="R81" s="33"/>
      <c r="S81" s="33"/>
      <c r="T81" s="2"/>
      <c r="U81" s="2"/>
      <c r="V81" s="2"/>
      <c r="W81" s="2"/>
      <c r="X81" s="2"/>
      <c r="Y81" s="2"/>
    </row>
    <row r="82" spans="1:25" ht="12.75">
      <c r="A82" s="3" t="s">
        <v>17</v>
      </c>
      <c r="B82" s="3" t="s">
        <v>9</v>
      </c>
      <c r="C82" s="32">
        <v>156</v>
      </c>
      <c r="D82" s="3">
        <v>22</v>
      </c>
      <c r="E82" s="3">
        <v>4.3</v>
      </c>
      <c r="F82" s="3">
        <v>46</v>
      </c>
      <c r="G82" s="3">
        <v>53.7</v>
      </c>
      <c r="H82" s="3">
        <v>9</v>
      </c>
      <c r="I82" s="3">
        <v>111</v>
      </c>
      <c r="J82" s="3">
        <v>48</v>
      </c>
      <c r="K82" s="30"/>
      <c r="L82" s="30"/>
      <c r="M82" s="30"/>
      <c r="N82" s="30"/>
      <c r="O82" s="30"/>
      <c r="P82" s="30"/>
      <c r="Q82" s="30"/>
      <c r="R82" s="30"/>
      <c r="S82" s="30"/>
      <c r="T82" s="2"/>
      <c r="U82" s="2"/>
      <c r="V82" s="2"/>
      <c r="W82" s="2"/>
      <c r="X82" s="2"/>
      <c r="Y82" s="2"/>
    </row>
    <row r="83" spans="1:25" ht="12.75">
      <c r="A83" s="3" t="s">
        <v>18</v>
      </c>
      <c r="B83" s="3" t="s">
        <v>9</v>
      </c>
      <c r="C83" s="32">
        <v>194</v>
      </c>
      <c r="D83" s="3">
        <v>25</v>
      </c>
      <c r="E83" s="3">
        <v>4</v>
      </c>
      <c r="F83" s="3">
        <v>43.5</v>
      </c>
      <c r="G83" s="3">
        <v>48.7</v>
      </c>
      <c r="H83" s="3">
        <v>14</v>
      </c>
      <c r="I83" s="3">
        <v>95</v>
      </c>
      <c r="J83" s="3">
        <v>30</v>
      </c>
      <c r="K83" s="30"/>
      <c r="L83" s="30"/>
      <c r="M83" s="33"/>
      <c r="N83" s="30"/>
      <c r="O83" s="33"/>
      <c r="P83" s="33"/>
      <c r="Q83" s="30"/>
      <c r="R83" s="33"/>
      <c r="S83" s="33"/>
      <c r="T83" s="2"/>
      <c r="U83" s="2"/>
      <c r="V83" s="2"/>
      <c r="W83" s="2"/>
      <c r="X83" s="2"/>
      <c r="Y83" s="2"/>
    </row>
    <row r="84" spans="1:25" ht="12.75">
      <c r="A84" s="3" t="s">
        <v>18</v>
      </c>
      <c r="B84" s="3" t="s">
        <v>9</v>
      </c>
      <c r="C84" s="32">
        <v>182</v>
      </c>
      <c r="D84" s="3">
        <v>17</v>
      </c>
      <c r="E84" s="3">
        <v>4</v>
      </c>
      <c r="F84" s="3">
        <v>47.9</v>
      </c>
      <c r="G84" s="3">
        <v>52.5</v>
      </c>
      <c r="H84" s="3">
        <v>8</v>
      </c>
      <c r="I84" s="3">
        <v>50</v>
      </c>
      <c r="J84" s="3">
        <v>20</v>
      </c>
      <c r="K84" s="30"/>
      <c r="L84" s="33"/>
      <c r="M84" s="33"/>
      <c r="N84" s="33"/>
      <c r="O84" s="33"/>
      <c r="P84" s="33"/>
      <c r="Q84" s="33"/>
      <c r="R84" s="33"/>
      <c r="S84" s="33"/>
      <c r="T84" s="2"/>
      <c r="U84" s="2"/>
      <c r="V84" s="2"/>
      <c r="W84" s="2"/>
      <c r="X84" s="2"/>
      <c r="Y84" s="2"/>
    </row>
    <row r="85" spans="1:25" ht="12.75">
      <c r="A85" s="3" t="s">
        <v>18</v>
      </c>
      <c r="B85" s="3" t="s">
        <v>9</v>
      </c>
      <c r="C85" s="32">
        <v>179</v>
      </c>
      <c r="D85" s="3">
        <v>19</v>
      </c>
      <c r="E85" s="13">
        <v>4.0999999999999996</v>
      </c>
      <c r="F85" s="3">
        <v>50.7</v>
      </c>
      <c r="G85" s="3">
        <v>55.2</v>
      </c>
      <c r="H85" s="3">
        <v>5</v>
      </c>
      <c r="I85" s="3">
        <v>37</v>
      </c>
      <c r="J85" s="3">
        <v>14</v>
      </c>
      <c r="K85" s="30"/>
      <c r="L85" s="30"/>
      <c r="M85" s="30"/>
      <c r="N85" s="30"/>
      <c r="O85" s="30"/>
      <c r="P85" s="30"/>
      <c r="Q85" s="30"/>
      <c r="R85" s="30"/>
      <c r="S85" s="30"/>
      <c r="T85" s="2"/>
      <c r="U85" s="2"/>
      <c r="V85" s="2"/>
      <c r="W85" s="2"/>
      <c r="X85" s="2"/>
      <c r="Y85" s="2"/>
    </row>
    <row r="86" spans="1:25" ht="14.25">
      <c r="A86" s="15" t="s">
        <v>4</v>
      </c>
      <c r="B86" s="15" t="s">
        <v>9</v>
      </c>
      <c r="C86" s="32">
        <v>170</v>
      </c>
      <c r="D86" s="35">
        <v>24</v>
      </c>
      <c r="E86" s="35">
        <v>3.7</v>
      </c>
      <c r="F86" s="35">
        <v>43.3</v>
      </c>
      <c r="G86" s="35">
        <v>50.3</v>
      </c>
      <c r="H86" s="35">
        <v>15</v>
      </c>
      <c r="I86" s="35">
        <v>76</v>
      </c>
      <c r="J86" s="35">
        <v>39</v>
      </c>
      <c r="K86" s="30"/>
      <c r="L86" s="30"/>
      <c r="M86" s="36"/>
      <c r="N86" s="30"/>
      <c r="O86" s="30"/>
      <c r="P86" s="30"/>
      <c r="Q86" s="36"/>
      <c r="R86" s="30"/>
      <c r="S86" s="30"/>
      <c r="T86" s="2"/>
      <c r="U86" s="2"/>
      <c r="V86" s="2"/>
      <c r="W86" s="2"/>
      <c r="X86" s="2"/>
      <c r="Y86" s="2"/>
    </row>
    <row r="87" spans="1:25" ht="14.25">
      <c r="A87" s="39" t="s">
        <v>4</v>
      </c>
      <c r="B87" s="39" t="s">
        <v>9</v>
      </c>
      <c r="C87" s="41"/>
      <c r="D87" s="42"/>
      <c r="E87" s="42"/>
      <c r="F87" s="42"/>
      <c r="G87" s="42"/>
      <c r="H87" s="42"/>
      <c r="I87" s="42"/>
      <c r="J87" s="42"/>
      <c r="K87" s="30"/>
      <c r="L87" s="33"/>
      <c r="M87" s="33"/>
      <c r="N87" s="33"/>
      <c r="O87" s="33"/>
      <c r="P87" s="33"/>
      <c r="Q87" s="33"/>
      <c r="R87" s="33"/>
      <c r="S87" s="33"/>
      <c r="T87" s="2"/>
      <c r="U87" s="2"/>
      <c r="V87" s="2"/>
      <c r="W87" s="2"/>
      <c r="X87" s="2"/>
      <c r="Y87" s="2"/>
    </row>
    <row r="88" spans="1:25" ht="14.25">
      <c r="A88" s="15" t="s">
        <v>4</v>
      </c>
      <c r="B88" s="15" t="s">
        <v>9</v>
      </c>
      <c r="C88" s="32">
        <v>152</v>
      </c>
      <c r="D88" s="35">
        <v>27</v>
      </c>
      <c r="E88" s="35">
        <v>4</v>
      </c>
      <c r="F88" s="35">
        <v>47.4</v>
      </c>
      <c r="G88" s="35">
        <v>55</v>
      </c>
      <c r="H88" s="35">
        <v>12</v>
      </c>
      <c r="I88" s="35">
        <v>98</v>
      </c>
      <c r="J88" s="35">
        <v>76</v>
      </c>
      <c r="K88" s="30"/>
      <c r="L88" s="30"/>
      <c r="M88" s="30"/>
      <c r="N88" s="30"/>
      <c r="O88" s="30"/>
      <c r="P88" s="30"/>
      <c r="Q88" s="30"/>
      <c r="R88" s="30"/>
      <c r="S88" s="30"/>
      <c r="T88" s="2"/>
      <c r="U88" s="2"/>
      <c r="V88" s="2"/>
      <c r="W88" s="2"/>
      <c r="X88" s="2"/>
      <c r="Y88" s="2"/>
    </row>
    <row r="89" spans="1:25" ht="14.25">
      <c r="A89" s="16" t="s">
        <v>12</v>
      </c>
      <c r="B89" s="16" t="s">
        <v>9</v>
      </c>
      <c r="C89" s="32">
        <v>203</v>
      </c>
      <c r="D89" s="35">
        <v>22</v>
      </c>
      <c r="E89" s="35">
        <v>5.5</v>
      </c>
      <c r="F89" s="35">
        <v>48.2</v>
      </c>
      <c r="G89" s="35">
        <v>54.8</v>
      </c>
      <c r="H89" s="35">
        <v>10</v>
      </c>
      <c r="I89" s="35">
        <f>2+0+7+7+6+12+13+18+20</f>
        <v>85</v>
      </c>
      <c r="J89" s="35">
        <f>16+14+13+10+7+2</f>
        <v>62</v>
      </c>
      <c r="K89" s="30"/>
      <c r="L89" s="33"/>
      <c r="M89" s="33"/>
      <c r="N89" s="36"/>
      <c r="O89" s="33"/>
      <c r="P89" s="33"/>
      <c r="Q89" s="33"/>
      <c r="R89" s="33"/>
      <c r="S89" s="33"/>
      <c r="T89" s="2"/>
      <c r="U89" s="2"/>
      <c r="V89" s="2"/>
      <c r="W89" s="2"/>
      <c r="X89" s="2"/>
      <c r="Y89" s="2"/>
    </row>
    <row r="90" spans="1:25" ht="14.25">
      <c r="A90" s="16" t="s">
        <v>12</v>
      </c>
      <c r="B90" s="16" t="s">
        <v>9</v>
      </c>
      <c r="C90" s="32">
        <v>142</v>
      </c>
      <c r="D90" s="35">
        <v>25</v>
      </c>
      <c r="E90" s="35">
        <v>4.2</v>
      </c>
      <c r="F90" s="35">
        <v>47.5</v>
      </c>
      <c r="G90" s="35">
        <v>62.4</v>
      </c>
      <c r="H90" s="35">
        <v>9</v>
      </c>
      <c r="I90" s="35">
        <f>0+4+5+9+12+8+9+9+17</f>
        <v>73</v>
      </c>
      <c r="J90" s="35">
        <f>14+25+8+5+1</f>
        <v>53</v>
      </c>
      <c r="K90" s="30"/>
      <c r="L90" s="33"/>
      <c r="M90" s="33"/>
      <c r="N90" s="33"/>
      <c r="O90" s="33"/>
      <c r="P90" s="33"/>
      <c r="Q90" s="33"/>
      <c r="R90" s="33"/>
      <c r="S90" s="33"/>
      <c r="T90" s="2"/>
      <c r="U90" s="2"/>
      <c r="V90" s="2"/>
      <c r="W90" s="2"/>
      <c r="X90" s="2"/>
      <c r="Y90" s="2"/>
    </row>
    <row r="91" spans="1:25" ht="14.25">
      <c r="A91" s="16" t="s">
        <v>12</v>
      </c>
      <c r="B91" s="16" t="s">
        <v>9</v>
      </c>
      <c r="C91" s="32">
        <v>130</v>
      </c>
      <c r="D91" s="35">
        <v>26</v>
      </c>
      <c r="E91" s="35">
        <v>3.8</v>
      </c>
      <c r="F91" s="35">
        <v>43.3</v>
      </c>
      <c r="G91" s="35">
        <v>56.9</v>
      </c>
      <c r="H91" s="35">
        <v>7</v>
      </c>
      <c r="I91" s="35">
        <f>27+1+9+4+5+10+12+12+9</f>
        <v>89</v>
      </c>
      <c r="J91" s="35">
        <f>38+11+25+12+8+4+2</f>
        <v>100</v>
      </c>
      <c r="K91" s="30"/>
      <c r="L91" s="30"/>
      <c r="M91" s="30"/>
      <c r="N91" s="30"/>
      <c r="O91" s="30"/>
      <c r="P91" s="30"/>
      <c r="Q91" s="30"/>
      <c r="R91" s="30"/>
      <c r="S91" s="30"/>
      <c r="T91" s="2"/>
      <c r="U91" s="2"/>
      <c r="V91" s="2"/>
      <c r="W91" s="2"/>
      <c r="X91" s="2"/>
      <c r="Y91" s="2"/>
    </row>
    <row r="92" spans="1:25" ht="14.25">
      <c r="A92" s="15" t="s">
        <v>15</v>
      </c>
      <c r="B92" s="15" t="s">
        <v>9</v>
      </c>
      <c r="C92" s="32">
        <v>163</v>
      </c>
      <c r="D92" s="35">
        <v>27</v>
      </c>
      <c r="E92" s="35">
        <v>3.1</v>
      </c>
      <c r="F92" s="35">
        <v>42.5</v>
      </c>
      <c r="G92" s="35">
        <v>52.3</v>
      </c>
      <c r="H92" s="35">
        <v>6</v>
      </c>
      <c r="I92" s="35">
        <f>17+6+22+10+11+18</f>
        <v>84</v>
      </c>
      <c r="J92" s="35">
        <f>35+18+11+10+11</f>
        <v>85</v>
      </c>
      <c r="K92" s="30"/>
      <c r="L92" s="33"/>
      <c r="M92" s="33"/>
      <c r="N92" s="36"/>
      <c r="O92" s="33"/>
      <c r="P92" s="30"/>
      <c r="Q92" s="30"/>
      <c r="R92" s="30"/>
      <c r="S92" s="33"/>
      <c r="T92" s="2"/>
      <c r="U92" s="2"/>
      <c r="V92" s="2"/>
      <c r="W92" s="2"/>
      <c r="X92" s="2"/>
      <c r="Y92" s="2"/>
    </row>
    <row r="93" spans="1:25" ht="14.25">
      <c r="A93" s="15" t="s">
        <v>15</v>
      </c>
      <c r="B93" s="15" t="s">
        <v>9</v>
      </c>
      <c r="C93" s="32">
        <v>160</v>
      </c>
      <c r="D93" s="35">
        <v>23</v>
      </c>
      <c r="E93" s="35">
        <v>3.2</v>
      </c>
      <c r="F93" s="35">
        <v>45.4</v>
      </c>
      <c r="G93" s="35">
        <v>50.1</v>
      </c>
      <c r="H93" s="35">
        <v>7</v>
      </c>
      <c r="I93" s="35">
        <f>2+5+10+12+13+8+11</f>
        <v>61</v>
      </c>
      <c r="J93" s="35">
        <f>18+25+9+5</f>
        <v>57</v>
      </c>
      <c r="K93" s="30"/>
      <c r="L93" s="33"/>
      <c r="M93" s="33"/>
      <c r="N93" s="30"/>
      <c r="O93" s="33"/>
      <c r="P93" s="33"/>
      <c r="Q93" s="30"/>
      <c r="R93" s="33"/>
      <c r="S93" s="33"/>
      <c r="T93" s="2"/>
      <c r="U93" s="2"/>
      <c r="V93" s="2"/>
      <c r="W93" s="2"/>
      <c r="X93" s="2"/>
      <c r="Y93" s="2"/>
    </row>
    <row r="94" spans="1:25" ht="14.25">
      <c r="A94" s="15" t="s">
        <v>15</v>
      </c>
      <c r="B94" s="15" t="s">
        <v>9</v>
      </c>
      <c r="C94" s="32">
        <v>200</v>
      </c>
      <c r="D94" s="35">
        <v>32</v>
      </c>
      <c r="E94" s="35">
        <v>3.3</v>
      </c>
      <c r="F94" s="35">
        <v>46.9</v>
      </c>
      <c r="G94" s="35">
        <v>55.1</v>
      </c>
      <c r="H94" s="35">
        <v>8</v>
      </c>
      <c r="I94" s="35">
        <f>5+19+14+13+18+12+9+11</f>
        <v>101</v>
      </c>
      <c r="J94" s="35">
        <f>35+18+11+10+11</f>
        <v>85</v>
      </c>
      <c r="K94" s="30"/>
      <c r="L94" s="30"/>
      <c r="M94" s="30"/>
      <c r="N94" s="30"/>
      <c r="O94" s="30"/>
      <c r="P94" s="30"/>
      <c r="Q94" s="30"/>
      <c r="R94" s="30"/>
      <c r="S94" s="30"/>
      <c r="T94" s="2"/>
      <c r="U94" s="2"/>
      <c r="V94" s="2"/>
      <c r="W94" s="2"/>
      <c r="X94" s="2"/>
      <c r="Y94" s="2"/>
    </row>
    <row r="95" spans="1:25" ht="14.25">
      <c r="A95" s="16" t="s">
        <v>16</v>
      </c>
      <c r="B95" s="16" t="s">
        <v>9</v>
      </c>
      <c r="C95" s="32">
        <v>157</v>
      </c>
      <c r="D95" s="35">
        <v>31</v>
      </c>
      <c r="E95" s="35">
        <v>3</v>
      </c>
      <c r="F95" s="35">
        <v>42.7</v>
      </c>
      <c r="G95" s="35">
        <v>50.7</v>
      </c>
      <c r="H95" s="35">
        <v>20</v>
      </c>
      <c r="I95" s="35">
        <f>SUM(8 + 2 + 2 + 10 + 10 + 8 + 8 + 19 + 9 + 8 + 11 + 13 + 12 + 9 + 11 + 12 + 12 + 7 + 9 + 10)</f>
        <v>190</v>
      </c>
      <c r="J95" s="35">
        <f>SUM(6 + 12 + 13 + 8 + 7 + 6)</f>
        <v>52</v>
      </c>
      <c r="K95" s="30"/>
      <c r="L95" s="30"/>
      <c r="M95" s="33"/>
      <c r="N95" s="33"/>
      <c r="O95" s="33"/>
      <c r="P95" s="33"/>
      <c r="Q95" s="33"/>
      <c r="R95" s="33"/>
      <c r="S95" s="30"/>
      <c r="T95" s="2"/>
      <c r="U95" s="2"/>
      <c r="V95" s="2"/>
      <c r="W95" s="2"/>
      <c r="X95" s="2"/>
      <c r="Y95" s="2"/>
    </row>
    <row r="96" spans="1:25" ht="14.25">
      <c r="A96" s="16" t="s">
        <v>16</v>
      </c>
      <c r="B96" s="16" t="s">
        <v>9</v>
      </c>
      <c r="C96" s="32">
        <v>178</v>
      </c>
      <c r="D96" s="35">
        <v>26</v>
      </c>
      <c r="E96" s="35">
        <v>3</v>
      </c>
      <c r="F96" s="35">
        <v>43.1</v>
      </c>
      <c r="G96" s="35">
        <v>50.1</v>
      </c>
      <c r="H96" s="35">
        <v>8</v>
      </c>
      <c r="I96" s="35">
        <f>SUM(6 + 2 + 6 + 12 + 10 + 9 + 13 + 25)</f>
        <v>83</v>
      </c>
      <c r="J96" s="35">
        <f>SUM(13 + 12 + 8 + 4 + 3)</f>
        <v>40</v>
      </c>
      <c r="K96" s="30"/>
      <c r="L96" s="33"/>
      <c r="M96" s="33"/>
      <c r="N96" s="33"/>
      <c r="O96" s="33"/>
      <c r="P96" s="33"/>
      <c r="Q96" s="33"/>
      <c r="R96" s="33"/>
      <c r="S96" s="30"/>
      <c r="T96" s="2"/>
      <c r="U96" s="2"/>
      <c r="V96" s="2"/>
      <c r="W96" s="2"/>
      <c r="X96" s="2"/>
      <c r="Y96" s="2"/>
    </row>
    <row r="97" spans="1:25" ht="14.25">
      <c r="A97" s="16" t="s">
        <v>16</v>
      </c>
      <c r="B97" s="16" t="s">
        <v>9</v>
      </c>
      <c r="C97" s="32">
        <v>142</v>
      </c>
      <c r="D97" s="35">
        <v>19</v>
      </c>
      <c r="E97" s="35">
        <v>4</v>
      </c>
      <c r="F97" s="35">
        <v>42.2</v>
      </c>
      <c r="G97" s="35">
        <v>52.1</v>
      </c>
      <c r="H97" s="35">
        <v>6</v>
      </c>
      <c r="I97" s="35">
        <f>SUM(6 + 11 + 12 + 7 + 9 + 17)</f>
        <v>62</v>
      </c>
      <c r="J97" s="35">
        <f>SUM(14 + 7 + 9 + 29 + 5 )</f>
        <v>64</v>
      </c>
      <c r="K97" s="30"/>
      <c r="L97" s="30"/>
      <c r="M97" s="30"/>
      <c r="N97" s="30"/>
      <c r="O97" s="30"/>
      <c r="P97" s="30"/>
      <c r="Q97" s="30"/>
      <c r="R97" s="30"/>
      <c r="S97" s="30"/>
      <c r="T97" s="2"/>
      <c r="U97" s="2"/>
      <c r="V97" s="2"/>
      <c r="W97" s="2"/>
      <c r="X97" s="2"/>
      <c r="Y97" s="2"/>
    </row>
    <row r="98" spans="1:25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99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sheetData>
    <row r="1" spans="1:2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</v>
      </c>
      <c r="F1" s="22" t="s">
        <v>20</v>
      </c>
      <c r="G1" s="22" t="s">
        <v>21</v>
      </c>
      <c r="H1" s="22" t="s">
        <v>22</v>
      </c>
      <c r="I1" s="22" t="s">
        <v>23</v>
      </c>
      <c r="J1" s="22" t="s">
        <v>24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>
      <c r="A2" s="3" t="s">
        <v>4</v>
      </c>
      <c r="B2" s="3" t="s">
        <v>5</v>
      </c>
      <c r="C2" s="3">
        <v>173</v>
      </c>
      <c r="D2" s="3">
        <v>21</v>
      </c>
      <c r="E2" s="3">
        <v>3.5</v>
      </c>
      <c r="F2" s="3">
        <v>47.9</v>
      </c>
      <c r="G2" s="3">
        <v>56.2</v>
      </c>
      <c r="H2" s="3">
        <v>7</v>
      </c>
      <c r="I2" s="3">
        <f>4+37+3+7+10+8+7</f>
        <v>76</v>
      </c>
      <c r="J2" s="3">
        <f>31+15+22+4+5+14+10</f>
        <v>101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>
      <c r="A3" s="3" t="s">
        <v>4</v>
      </c>
      <c r="B3" s="3" t="s">
        <v>5</v>
      </c>
      <c r="C3" s="3">
        <v>141</v>
      </c>
      <c r="D3" s="3">
        <v>20</v>
      </c>
      <c r="E3" s="3">
        <v>4</v>
      </c>
      <c r="F3" s="3">
        <v>49.4</v>
      </c>
      <c r="G3" s="3">
        <v>51</v>
      </c>
      <c r="H3" s="3">
        <v>3</v>
      </c>
      <c r="I3" s="3">
        <f>15+53+28</f>
        <v>96</v>
      </c>
      <c r="J3" s="3">
        <f>14+7+6</f>
        <v>27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>
      <c r="A4" s="3" t="s">
        <v>4</v>
      </c>
      <c r="B4" s="3" t="s">
        <v>5</v>
      </c>
      <c r="C4" s="3">
        <v>192</v>
      </c>
      <c r="D4" s="3">
        <v>33</v>
      </c>
      <c r="E4" s="3">
        <v>4</v>
      </c>
      <c r="F4" s="3">
        <v>45.5</v>
      </c>
      <c r="G4" s="3">
        <v>51.4</v>
      </c>
      <c r="H4" s="3">
        <v>9</v>
      </c>
      <c r="I4" s="3">
        <f>8+7+51+7+13+8+11+12+15</f>
        <v>132</v>
      </c>
      <c r="J4" s="3">
        <f>10+12+11+6+3</f>
        <v>42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>
      <c r="A5" s="12" t="s">
        <v>12</v>
      </c>
      <c r="B5" s="12" t="s">
        <v>5</v>
      </c>
      <c r="C5" s="12">
        <v>178</v>
      </c>
      <c r="D5" s="12">
        <v>22</v>
      </c>
      <c r="E5" s="12">
        <v>5.2</v>
      </c>
      <c r="F5" s="12">
        <v>54.4</v>
      </c>
      <c r="G5" s="12">
        <v>43.4</v>
      </c>
      <c r="H5" s="12">
        <v>8</v>
      </c>
      <c r="I5" s="12">
        <f>37+14+60</f>
        <v>111</v>
      </c>
      <c r="J5" s="12">
        <v>41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>
      <c r="A6" s="12" t="s">
        <v>12</v>
      </c>
      <c r="B6" s="12" t="s">
        <v>5</v>
      </c>
      <c r="C6" s="12">
        <v>139</v>
      </c>
      <c r="D6" s="12">
        <v>14</v>
      </c>
      <c r="E6" s="12">
        <v>4.5999999999999996</v>
      </c>
      <c r="F6" s="12">
        <v>51.4</v>
      </c>
      <c r="G6" s="12">
        <v>42.6</v>
      </c>
      <c r="H6" s="12">
        <v>17</v>
      </c>
      <c r="I6" s="12">
        <v>148</v>
      </c>
      <c r="J6" s="12">
        <v>52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>
      <c r="A7" s="12" t="s">
        <v>12</v>
      </c>
      <c r="B7" s="12" t="s">
        <v>5</v>
      </c>
      <c r="C7" s="12">
        <v>221</v>
      </c>
      <c r="D7" s="12">
        <v>27</v>
      </c>
      <c r="E7" s="12">
        <v>5</v>
      </c>
      <c r="F7" s="12">
        <v>54.1</v>
      </c>
      <c r="G7" s="12">
        <v>46.2</v>
      </c>
      <c r="H7" s="12">
        <v>12</v>
      </c>
      <c r="I7" s="12">
        <v>129</v>
      </c>
      <c r="J7" s="12">
        <v>17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>
      <c r="A8" s="3" t="s">
        <v>16</v>
      </c>
      <c r="B8" s="3" t="s">
        <v>5</v>
      </c>
      <c r="C8" s="3">
        <v>178</v>
      </c>
      <c r="D8" s="3">
        <v>20</v>
      </c>
      <c r="E8" s="3">
        <v>5.0999999999999996</v>
      </c>
      <c r="F8" s="3">
        <v>51.3</v>
      </c>
      <c r="G8" s="3">
        <v>47.2</v>
      </c>
      <c r="H8" s="3">
        <v>10</v>
      </c>
      <c r="I8" s="3">
        <v>120</v>
      </c>
      <c r="J8" s="3">
        <v>51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>
      <c r="A9" s="3" t="s">
        <v>16</v>
      </c>
      <c r="B9" s="3" t="s">
        <v>5</v>
      </c>
      <c r="C9" s="3">
        <v>170</v>
      </c>
      <c r="D9" s="3">
        <v>19</v>
      </c>
      <c r="E9" s="3">
        <v>4.8</v>
      </c>
      <c r="F9" s="3">
        <v>55.3</v>
      </c>
      <c r="G9" s="3">
        <v>49.4</v>
      </c>
      <c r="H9" s="3">
        <v>15</v>
      </c>
      <c r="I9" s="3">
        <v>129</v>
      </c>
      <c r="J9" s="3">
        <v>49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>
      <c r="A10" s="3" t="s">
        <v>16</v>
      </c>
      <c r="B10" s="3" t="s">
        <v>5</v>
      </c>
      <c r="C10" s="3">
        <v>168</v>
      </c>
      <c r="D10" s="3">
        <v>18</v>
      </c>
      <c r="E10" s="3">
        <v>4.9000000000000004</v>
      </c>
      <c r="F10" s="3">
        <v>53.2</v>
      </c>
      <c r="G10" s="3">
        <v>45.4</v>
      </c>
      <c r="H10" s="3">
        <v>19</v>
      </c>
      <c r="I10" s="3">
        <v>146</v>
      </c>
      <c r="J10" s="3">
        <v>39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>
      <c r="A11" s="12" t="s">
        <v>17</v>
      </c>
      <c r="B11" s="12" t="s">
        <v>5</v>
      </c>
      <c r="C11" s="12">
        <v>227</v>
      </c>
      <c r="D11" s="12">
        <v>25</v>
      </c>
      <c r="E11" s="12">
        <v>3.7</v>
      </c>
      <c r="F11" s="12">
        <v>57.1</v>
      </c>
      <c r="G11" s="12">
        <v>49.6</v>
      </c>
      <c r="H11" s="12">
        <v>8</v>
      </c>
      <c r="I11" s="12">
        <f>3+4+6+10+9+4+6+8</f>
        <v>50</v>
      </c>
      <c r="J11" s="12">
        <f>3+13+9+14+15+16+14</f>
        <v>84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>
      <c r="A12" s="12" t="s">
        <v>17</v>
      </c>
      <c r="B12" s="12" t="s">
        <v>5</v>
      </c>
      <c r="C12" s="12">
        <v>192</v>
      </c>
      <c r="D12" s="12">
        <v>20</v>
      </c>
      <c r="E12" s="12">
        <v>3.9</v>
      </c>
      <c r="F12" s="12">
        <v>52.1</v>
      </c>
      <c r="G12" s="12">
        <v>42.7</v>
      </c>
      <c r="H12" s="12">
        <v>7</v>
      </c>
      <c r="I12" s="12">
        <f>7+5+8+11+9+14+14</f>
        <v>68</v>
      </c>
      <c r="J12" s="12">
        <f>14+22+6+7+12+1</f>
        <v>62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>
      <c r="A13" s="12" t="s">
        <v>17</v>
      </c>
      <c r="B13" s="12" t="s">
        <v>5</v>
      </c>
      <c r="C13" s="12">
        <v>224</v>
      </c>
      <c r="D13" s="12">
        <v>24</v>
      </c>
      <c r="E13" s="12">
        <v>4.4000000000000004</v>
      </c>
      <c r="F13" s="12">
        <v>51.3</v>
      </c>
      <c r="G13" s="12">
        <v>40.200000000000003</v>
      </c>
      <c r="H13" s="12">
        <v>5</v>
      </c>
      <c r="I13" s="12">
        <f>5+12+3+6+3</f>
        <v>29</v>
      </c>
      <c r="J13" s="12">
        <f>7+10+10+7+8+12+11+9+21</f>
        <v>95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>
      <c r="A14" s="15" t="s">
        <v>13</v>
      </c>
      <c r="B14" s="15" t="s">
        <v>5</v>
      </c>
      <c r="C14" s="35">
        <v>172</v>
      </c>
      <c r="D14" s="35">
        <v>26</v>
      </c>
      <c r="E14" s="35">
        <v>5.6</v>
      </c>
      <c r="F14" s="35">
        <v>46.7</v>
      </c>
      <c r="G14" s="35">
        <v>54.2</v>
      </c>
      <c r="H14" s="35">
        <v>17</v>
      </c>
      <c r="I14" s="35">
        <f>26+33+13+17+15+19+14+10+19+15+23+13+23+12+11+11+17</f>
        <v>291</v>
      </c>
      <c r="J14" s="35">
        <f>22+41+13+12+14+9+13</f>
        <v>124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A15" s="15" t="s">
        <v>13</v>
      </c>
      <c r="B15" s="15" t="s">
        <v>5</v>
      </c>
      <c r="C15" s="35">
        <v>192</v>
      </c>
      <c r="D15" s="35">
        <v>24</v>
      </c>
      <c r="E15" s="35">
        <v>5.6</v>
      </c>
      <c r="F15" s="35">
        <v>45.6</v>
      </c>
      <c r="G15" s="35">
        <v>59.8</v>
      </c>
      <c r="H15" s="35">
        <v>10</v>
      </c>
      <c r="I15" s="35">
        <f>47+33+16+22+32+31+17+13+15+14</f>
        <v>240</v>
      </c>
      <c r="J15" s="35">
        <f>40+27+38+18+12+8</f>
        <v>143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>
      <c r="A16" s="15" t="s">
        <v>13</v>
      </c>
      <c r="B16" s="15" t="s">
        <v>5</v>
      </c>
      <c r="C16" s="35">
        <v>143</v>
      </c>
      <c r="D16" s="35">
        <v>21</v>
      </c>
      <c r="E16" s="35">
        <v>6.1</v>
      </c>
      <c r="F16" s="35">
        <v>45.5</v>
      </c>
      <c r="G16" s="35">
        <v>51.1</v>
      </c>
      <c r="H16" s="35">
        <v>7</v>
      </c>
      <c r="I16" s="35">
        <f>71+20+16+19+21+38+51</f>
        <v>236</v>
      </c>
      <c r="J16" s="35">
        <f>32+20+14+17+16+14+14</f>
        <v>127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A17" s="16" t="s">
        <v>14</v>
      </c>
      <c r="B17" s="16" t="s">
        <v>5</v>
      </c>
      <c r="C17" s="35">
        <v>171</v>
      </c>
      <c r="D17" s="35">
        <v>27</v>
      </c>
      <c r="E17" s="35">
        <v>5</v>
      </c>
      <c r="F17" s="35">
        <v>40.4</v>
      </c>
      <c r="G17" s="35">
        <v>51.2</v>
      </c>
      <c r="H17" s="35">
        <v>8</v>
      </c>
      <c r="I17" s="35">
        <f>2+3+4+4+6+12+11+24</f>
        <v>66</v>
      </c>
      <c r="J17" s="35">
        <f>16+24+12+19+10+16+5</f>
        <v>102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>
      <c r="A18" s="16" t="s">
        <v>14</v>
      </c>
      <c r="B18" s="16" t="s">
        <v>5</v>
      </c>
      <c r="C18" s="35">
        <v>183</v>
      </c>
      <c r="D18" s="35">
        <v>30</v>
      </c>
      <c r="E18" s="35">
        <v>6.9</v>
      </c>
      <c r="F18" s="35">
        <v>37.799999999999997</v>
      </c>
      <c r="G18" s="35">
        <v>53.4</v>
      </c>
      <c r="H18" s="35">
        <v>9</v>
      </c>
      <c r="I18" s="35">
        <f>0+11+48+11+20+14+43</f>
        <v>147</v>
      </c>
      <c r="J18" s="35">
        <f>19+42+30+18+2+14</f>
        <v>125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>
      <c r="A19" s="16" t="s">
        <v>14</v>
      </c>
      <c r="B19" s="16" t="s">
        <v>5</v>
      </c>
      <c r="C19" s="35">
        <v>186</v>
      </c>
      <c r="D19" s="35">
        <v>29</v>
      </c>
      <c r="E19" s="35">
        <v>5.3</v>
      </c>
      <c r="F19" s="35">
        <v>43.5</v>
      </c>
      <c r="G19" s="35">
        <v>55.5</v>
      </c>
      <c r="H19" s="35">
        <v>6</v>
      </c>
      <c r="I19" s="35">
        <f>3+5+5+27+11+36</f>
        <v>87</v>
      </c>
      <c r="J19" s="35">
        <f>28+16+11+13+3</f>
        <v>71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>
      <c r="A20" s="16" t="s">
        <v>15</v>
      </c>
      <c r="B20" s="16" t="s">
        <v>5</v>
      </c>
      <c r="C20" s="35">
        <v>130</v>
      </c>
      <c r="D20" s="35">
        <v>41</v>
      </c>
      <c r="E20" s="35">
        <v>4</v>
      </c>
      <c r="F20" s="35">
        <v>41.3</v>
      </c>
      <c r="G20" s="35">
        <v>50.9</v>
      </c>
      <c r="H20" s="35">
        <v>29</v>
      </c>
      <c r="I20" s="35">
        <f>2+14+24+5+23+10+18+10+5+62+14+10+12+11+6+4+13+15+9+6+7+12+18+16+10+20</f>
        <v>356</v>
      </c>
      <c r="J20" s="35">
        <f>15+15+12+9+1+24+18+2+6+5+3</f>
        <v>110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16" t="s">
        <v>15</v>
      </c>
      <c r="B21" s="16" t="s">
        <v>5</v>
      </c>
      <c r="C21" s="35">
        <v>160</v>
      </c>
      <c r="D21" s="35">
        <v>22</v>
      </c>
      <c r="E21" s="35">
        <v>3.9</v>
      </c>
      <c r="F21" s="35">
        <v>36.6</v>
      </c>
      <c r="G21" s="35">
        <v>48.8</v>
      </c>
      <c r="H21" s="35">
        <v>20</v>
      </c>
      <c r="I21" s="35">
        <f>9+23+12+8+9+12+28+15</f>
        <v>116</v>
      </c>
      <c r="J21" s="35">
        <f>24+8+1+1+8+4+11+10+4+6</f>
        <v>77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16" t="s">
        <v>15</v>
      </c>
      <c r="B22" s="16" t="s">
        <v>5</v>
      </c>
      <c r="C22" s="35">
        <v>150</v>
      </c>
      <c r="D22" s="35">
        <v>24</v>
      </c>
      <c r="E22" s="35">
        <v>4</v>
      </c>
      <c r="F22" s="35">
        <v>46.7</v>
      </c>
      <c r="G22" s="35">
        <v>60.3</v>
      </c>
      <c r="H22" s="35">
        <v>11</v>
      </c>
      <c r="I22" s="35">
        <f>9+2+23+23+9+8+11+4+20+7+8</f>
        <v>124</v>
      </c>
      <c r="J22" s="35">
        <f>12+15+10+3</f>
        <v>40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15" t="s">
        <v>18</v>
      </c>
      <c r="B23" s="15" t="s">
        <v>5</v>
      </c>
      <c r="C23" s="35">
        <v>165</v>
      </c>
      <c r="D23" s="35">
        <v>26</v>
      </c>
      <c r="E23" s="35">
        <v>4</v>
      </c>
      <c r="F23" s="35">
        <v>41.8</v>
      </c>
      <c r="G23" s="35">
        <v>55.1</v>
      </c>
      <c r="H23" s="35">
        <v>14</v>
      </c>
      <c r="I23" s="35">
        <v>179</v>
      </c>
      <c r="J23" s="35">
        <v>42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15" t="s">
        <v>18</v>
      </c>
      <c r="B24" s="15" t="s">
        <v>5</v>
      </c>
      <c r="C24" s="35">
        <v>168</v>
      </c>
      <c r="D24" s="35">
        <v>30</v>
      </c>
      <c r="E24" s="35">
        <v>3.8</v>
      </c>
      <c r="F24" s="35">
        <v>41.5</v>
      </c>
      <c r="G24" s="35">
        <v>53.5</v>
      </c>
      <c r="H24" s="35">
        <v>15</v>
      </c>
      <c r="I24" s="35">
        <v>112</v>
      </c>
      <c r="J24" s="35">
        <v>90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>
      <c r="A25" s="15" t="s">
        <v>18</v>
      </c>
      <c r="B25" s="15" t="s">
        <v>5</v>
      </c>
      <c r="C25" s="35">
        <v>170</v>
      </c>
      <c r="D25" s="35">
        <v>28</v>
      </c>
      <c r="E25" s="35">
        <v>4.5</v>
      </c>
      <c r="F25" s="35">
        <v>43.5</v>
      </c>
      <c r="G25" s="35">
        <v>53.1</v>
      </c>
      <c r="H25" s="35">
        <v>11</v>
      </c>
      <c r="I25" s="35">
        <v>129</v>
      </c>
      <c r="J25" s="35">
        <v>50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>
      <c r="A26" s="3" t="s">
        <v>12</v>
      </c>
      <c r="B26" s="3" t="s">
        <v>10</v>
      </c>
      <c r="C26" s="3">
        <v>195</v>
      </c>
      <c r="D26" s="3">
        <v>30</v>
      </c>
      <c r="E26" s="3">
        <v>4.5999999999999996</v>
      </c>
      <c r="F26" s="3">
        <v>59</v>
      </c>
      <c r="G26" s="3">
        <v>54.8</v>
      </c>
      <c r="H26" s="3">
        <v>13</v>
      </c>
      <c r="I26" s="3">
        <v>75</v>
      </c>
      <c r="J26" s="3">
        <v>86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3" t="s">
        <v>12</v>
      </c>
      <c r="B27" s="3" t="s">
        <v>10</v>
      </c>
      <c r="C27" s="3">
        <v>78</v>
      </c>
      <c r="D27" s="3">
        <v>15</v>
      </c>
      <c r="E27" s="3">
        <v>5</v>
      </c>
      <c r="F27" s="3">
        <v>49.5</v>
      </c>
      <c r="G27" s="3">
        <v>43.3</v>
      </c>
      <c r="H27" s="3">
        <v>6</v>
      </c>
      <c r="I27" s="3">
        <v>42</v>
      </c>
      <c r="J27" s="3">
        <v>34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>
      <c r="A28" s="3" t="s">
        <v>12</v>
      </c>
      <c r="B28" s="3" t="s">
        <v>10</v>
      </c>
      <c r="C28" s="3">
        <v>172</v>
      </c>
      <c r="D28" s="3">
        <v>30</v>
      </c>
      <c r="E28" s="3">
        <v>5.2</v>
      </c>
      <c r="F28" s="3">
        <v>47.2</v>
      </c>
      <c r="G28" s="3">
        <v>54.3</v>
      </c>
      <c r="H28" s="3">
        <v>17</v>
      </c>
      <c r="I28" s="3">
        <v>140</v>
      </c>
      <c r="J28" s="3">
        <v>77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>
      <c r="A29" s="12" t="s">
        <v>13</v>
      </c>
      <c r="B29" s="12" t="s">
        <v>10</v>
      </c>
      <c r="C29" s="12">
        <v>155</v>
      </c>
      <c r="D29" s="12">
        <v>35</v>
      </c>
      <c r="E29" s="12">
        <v>7.2</v>
      </c>
      <c r="F29" s="12">
        <v>43.5</v>
      </c>
      <c r="G29" s="12">
        <v>50.1</v>
      </c>
      <c r="H29" s="12">
        <v>12</v>
      </c>
      <c r="I29" s="12">
        <f>9+12+6+10+6+12+7+4+8+9+10+9</f>
        <v>102</v>
      </c>
      <c r="J29" s="12">
        <v>53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>
      <c r="A30" s="12" t="s">
        <v>13</v>
      </c>
      <c r="B30" s="12" t="s">
        <v>10</v>
      </c>
      <c r="C30" s="12">
        <v>185</v>
      </c>
      <c r="D30" s="12">
        <v>31</v>
      </c>
      <c r="E30" s="12">
        <v>6.6</v>
      </c>
      <c r="F30" s="12">
        <v>49.9</v>
      </c>
      <c r="G30" s="12">
        <v>53.2</v>
      </c>
      <c r="H30" s="12">
        <v>11</v>
      </c>
      <c r="I30" s="12">
        <f>8+10+7+6+4+12+7+14+10+8+9</f>
        <v>95</v>
      </c>
      <c r="J30" s="12">
        <v>57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>
      <c r="A31" s="12" t="s">
        <v>13</v>
      </c>
      <c r="B31" s="12" t="s">
        <v>10</v>
      </c>
      <c r="C31" s="12">
        <v>175</v>
      </c>
      <c r="D31" s="12">
        <v>28</v>
      </c>
      <c r="E31" s="12">
        <v>6.2</v>
      </c>
      <c r="F31" s="12">
        <v>46.8</v>
      </c>
      <c r="G31" s="12">
        <v>50.7</v>
      </c>
      <c r="H31" s="12">
        <v>11</v>
      </c>
      <c r="I31" s="12">
        <f>9+14+12+11+9+8+7+15+6+10+13</f>
        <v>114</v>
      </c>
      <c r="J31" s="12">
        <v>90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>
      <c r="A32" s="12" t="s">
        <v>15</v>
      </c>
      <c r="B32" s="12" t="s">
        <v>10</v>
      </c>
      <c r="C32" s="12">
        <v>194</v>
      </c>
      <c r="D32" s="12">
        <v>24</v>
      </c>
      <c r="E32" s="12">
        <v>4.0999999999999996</v>
      </c>
      <c r="F32" s="12">
        <v>46.2</v>
      </c>
      <c r="G32" s="12">
        <v>50.3</v>
      </c>
      <c r="H32" s="12">
        <v>10</v>
      </c>
      <c r="I32" s="12">
        <f>2+4+4+10+27+10+16+6+9+11</f>
        <v>99</v>
      </c>
      <c r="J32" s="12">
        <v>79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>
      <c r="A33" s="12" t="s">
        <v>15</v>
      </c>
      <c r="B33" s="12" t="s">
        <v>10</v>
      </c>
      <c r="C33" s="12">
        <v>160</v>
      </c>
      <c r="D33" s="12">
        <v>20</v>
      </c>
      <c r="E33" s="12">
        <v>4</v>
      </c>
      <c r="F33" s="12">
        <v>44.3</v>
      </c>
      <c r="G33" s="12">
        <v>36.1</v>
      </c>
      <c r="H33" s="12">
        <v>14</v>
      </c>
      <c r="I33" s="12">
        <f>8+8+10+9+18+11+7+23+15+9+6+3+11+15</f>
        <v>153</v>
      </c>
      <c r="J33" s="12">
        <v>78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>
      <c r="A34" s="12" t="s">
        <v>15</v>
      </c>
      <c r="B34" s="12" t="s">
        <v>10</v>
      </c>
      <c r="C34" s="12">
        <v>150</v>
      </c>
      <c r="D34" s="12">
        <v>21</v>
      </c>
      <c r="E34" s="12">
        <v>3.9</v>
      </c>
      <c r="F34" s="12">
        <v>45.3</v>
      </c>
      <c r="G34" s="12">
        <v>41.7</v>
      </c>
      <c r="H34" s="12">
        <v>7</v>
      </c>
      <c r="I34" s="12">
        <f>6+6+2+6+7+13+14</f>
        <v>54</v>
      </c>
      <c r="J34" s="12">
        <v>107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>
      <c r="A35" s="16" t="s">
        <v>4</v>
      </c>
      <c r="B35" s="16" t="s">
        <v>10</v>
      </c>
      <c r="C35" s="35">
        <v>210</v>
      </c>
      <c r="D35" s="35">
        <v>27</v>
      </c>
      <c r="E35" s="35">
        <v>4.7</v>
      </c>
      <c r="F35" s="35">
        <v>46.6</v>
      </c>
      <c r="G35" s="35">
        <v>59.7</v>
      </c>
      <c r="H35" s="35">
        <v>9</v>
      </c>
      <c r="I35" s="35">
        <f>0+1+7+4+9+6+6+4+13</f>
        <v>50</v>
      </c>
      <c r="J35" s="37">
        <f>19+22+10+0+13+1+4+1+0</f>
        <v>70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>
      <c r="A36" s="16" t="s">
        <v>4</v>
      </c>
      <c r="B36" s="16" t="s">
        <v>10</v>
      </c>
      <c r="C36" s="35">
        <v>181</v>
      </c>
      <c r="D36" s="35">
        <v>51</v>
      </c>
      <c r="E36" s="35">
        <v>5</v>
      </c>
      <c r="F36" s="35">
        <v>41.4</v>
      </c>
      <c r="G36" s="35">
        <v>59.5</v>
      </c>
      <c r="H36" s="35">
        <v>17</v>
      </c>
      <c r="I36" s="35">
        <f>5+8+8+16+15+14+11+9+11+7+26+15+11+22+27+22+37</f>
        <v>264</v>
      </c>
      <c r="J36" s="35">
        <f>20+12+9+10+8+0</f>
        <v>59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>
      <c r="A37" s="16" t="s">
        <v>4</v>
      </c>
      <c r="B37" s="16" t="s">
        <v>10</v>
      </c>
      <c r="C37" s="35">
        <v>170</v>
      </c>
      <c r="D37" s="35">
        <v>36</v>
      </c>
      <c r="E37" s="35">
        <v>5</v>
      </c>
      <c r="F37" s="35">
        <v>41.1</v>
      </c>
      <c r="G37" s="35">
        <v>60.8</v>
      </c>
      <c r="H37" s="35">
        <v>13</v>
      </c>
      <c r="I37" s="35">
        <f>10+5+3+11+7+0+11+6+8+17+15+8+13+11+11</f>
        <v>136</v>
      </c>
      <c r="J37" s="35">
        <f>47+44+11+13+5+15+0+0+8+0+6+0+2+0+0</f>
        <v>151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>
      <c r="A38" s="17" t="s">
        <v>14</v>
      </c>
      <c r="B38" s="17" t="s">
        <v>10</v>
      </c>
      <c r="C38" s="35">
        <v>170</v>
      </c>
      <c r="D38" s="35">
        <v>25</v>
      </c>
      <c r="E38" s="35">
        <v>4.5999999999999996</v>
      </c>
      <c r="F38" s="35">
        <v>49</v>
      </c>
      <c r="G38" s="35">
        <v>52</v>
      </c>
      <c r="H38" s="35">
        <v>5</v>
      </c>
      <c r="I38" s="35">
        <f>1+3+13+12+40</f>
        <v>69</v>
      </c>
      <c r="J38" s="35">
        <f>10+12+4+1+0</f>
        <v>27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>
      <c r="A39" s="17" t="s">
        <v>14</v>
      </c>
      <c r="B39" s="17" t="s">
        <v>10</v>
      </c>
      <c r="C39" s="35">
        <v>182</v>
      </c>
      <c r="D39" s="35">
        <v>30</v>
      </c>
      <c r="E39" s="35">
        <v>4.5999999999999996</v>
      </c>
      <c r="F39" s="35">
        <v>44.9</v>
      </c>
      <c r="G39" s="35">
        <v>55.3</v>
      </c>
      <c r="H39" s="35">
        <v>7</v>
      </c>
      <c r="I39" s="35">
        <f>13+5+17+19+69+40+32</f>
        <v>195</v>
      </c>
      <c r="J39" s="35">
        <f>36+17+14+6+7+7+51</f>
        <v>138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>
      <c r="A40" s="17" t="s">
        <v>14</v>
      </c>
      <c r="B40" s="17" t="s">
        <v>10</v>
      </c>
      <c r="C40" s="35">
        <v>197</v>
      </c>
      <c r="D40" s="35">
        <v>24</v>
      </c>
      <c r="E40" s="35">
        <v>4.8</v>
      </c>
      <c r="F40" s="35">
        <v>40</v>
      </c>
      <c r="G40" s="35">
        <v>51</v>
      </c>
      <c r="H40" s="35">
        <v>6</v>
      </c>
      <c r="I40" s="35">
        <f>2+9+35+12+15+34</f>
        <v>107</v>
      </c>
      <c r="J40" s="35">
        <f>14+2+36+0+8+3+0</f>
        <v>63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>
      <c r="A41" s="17" t="s">
        <v>16</v>
      </c>
      <c r="B41" s="17" t="s">
        <v>10</v>
      </c>
      <c r="C41" s="35">
        <v>165</v>
      </c>
      <c r="D41" s="35">
        <v>22</v>
      </c>
      <c r="E41" s="35">
        <v>3.7</v>
      </c>
      <c r="F41" s="35">
        <v>46.3</v>
      </c>
      <c r="G41" s="35">
        <v>51.4</v>
      </c>
      <c r="H41" s="35">
        <f>1+2+1+1+2+1+1+1+1+1</f>
        <v>12</v>
      </c>
      <c r="I41" s="35">
        <f>14+3+6+7+28+25+4+8+14+21+26</f>
        <v>156</v>
      </c>
      <c r="J41" s="35">
        <f>18+10+6+18+1</f>
        <v>53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>
      <c r="A42" s="17" t="s">
        <v>16</v>
      </c>
      <c r="B42" s="17" t="s">
        <v>10</v>
      </c>
      <c r="C42" s="35">
        <v>95</v>
      </c>
      <c r="D42" s="35">
        <v>16</v>
      </c>
      <c r="E42" s="35">
        <v>4</v>
      </c>
      <c r="F42" s="35">
        <v>41.5</v>
      </c>
      <c r="G42" s="35">
        <v>61.9</v>
      </c>
      <c r="H42" s="35">
        <f>1+1+1+2</f>
        <v>5</v>
      </c>
      <c r="I42" s="35">
        <f>14</f>
        <v>14</v>
      </c>
      <c r="J42" s="35">
        <f>18+9+15</f>
        <v>42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>
      <c r="A43" s="17" t="s">
        <v>16</v>
      </c>
      <c r="B43" s="17" t="s">
        <v>10</v>
      </c>
      <c r="C43" s="35">
        <v>150</v>
      </c>
      <c r="D43" s="35">
        <v>21</v>
      </c>
      <c r="E43" s="35">
        <v>4.3</v>
      </c>
      <c r="F43" s="35">
        <v>38.299999999999997</v>
      </c>
      <c r="G43" s="35">
        <v>60.2</v>
      </c>
      <c r="H43" s="35">
        <f>3+1+1+1+2+2</f>
        <v>10</v>
      </c>
      <c r="I43" s="35">
        <f>6+9+4+9+20</f>
        <v>48</v>
      </c>
      <c r="J43" s="35">
        <f>14+11+20+20+19</f>
        <v>84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>
      <c r="A44" s="15" t="s">
        <v>17</v>
      </c>
      <c r="B44" s="15" t="s">
        <v>10</v>
      </c>
      <c r="C44" s="35">
        <v>147</v>
      </c>
      <c r="D44" s="35">
        <v>32</v>
      </c>
      <c r="E44" s="35">
        <v>4.8</v>
      </c>
      <c r="F44" s="35">
        <v>43.4</v>
      </c>
      <c r="G44" s="35">
        <v>52.4</v>
      </c>
      <c r="H44" s="35">
        <v>7</v>
      </c>
      <c r="I44" s="35">
        <f>17+46+27+19+1+1+63</f>
        <v>174</v>
      </c>
      <c r="J44" s="35">
        <f>3+4+11+10+15+11+13+11</f>
        <v>78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>
      <c r="A45" s="15" t="s">
        <v>17</v>
      </c>
      <c r="B45" s="15" t="s">
        <v>10</v>
      </c>
      <c r="C45" s="35">
        <v>87.8</v>
      </c>
      <c r="D45" s="35">
        <v>16</v>
      </c>
      <c r="E45" s="35">
        <v>6</v>
      </c>
      <c r="F45" s="35">
        <v>42</v>
      </c>
      <c r="G45" s="35">
        <v>45.3</v>
      </c>
      <c r="H45" s="35">
        <v>3</v>
      </c>
      <c r="I45" s="35">
        <f>9+10+12</f>
        <v>31</v>
      </c>
      <c r="J45" s="35">
        <f>1+4</f>
        <v>5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>
      <c r="A46" s="15" t="s">
        <v>17</v>
      </c>
      <c r="B46" s="15" t="s">
        <v>10</v>
      </c>
      <c r="C46" s="35">
        <v>145</v>
      </c>
      <c r="D46" s="35">
        <v>26</v>
      </c>
      <c r="E46" s="35">
        <v>5.0999999999999996</v>
      </c>
      <c r="F46" s="35">
        <v>42.4</v>
      </c>
      <c r="G46" s="35">
        <v>51.7</v>
      </c>
      <c r="H46" s="35">
        <v>9</v>
      </c>
      <c r="I46" s="35">
        <f>24+23+6+35+22+5+1+4+3</f>
        <v>123</v>
      </c>
      <c r="J46" s="35">
        <f>6+5+4+14+19+11+15+15+8</f>
        <v>97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>
      <c r="A47" s="18" t="s">
        <v>18</v>
      </c>
      <c r="B47" s="18" t="s">
        <v>10</v>
      </c>
      <c r="C47" s="35">
        <v>140</v>
      </c>
      <c r="D47" s="35">
        <v>17</v>
      </c>
      <c r="E47" s="35">
        <v>4.5</v>
      </c>
      <c r="F47" s="35">
        <v>42.9</v>
      </c>
      <c r="G47" s="35">
        <v>57</v>
      </c>
      <c r="H47" s="35">
        <v>10</v>
      </c>
      <c r="I47" s="35">
        <f>10+10+3+11+15+27+15</f>
        <v>91</v>
      </c>
      <c r="J47" s="35">
        <v>55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>
      <c r="A48" s="18" t="s">
        <v>18</v>
      </c>
      <c r="B48" s="18" t="s">
        <v>10</v>
      </c>
      <c r="C48" s="35">
        <v>165</v>
      </c>
      <c r="D48" s="35">
        <v>18</v>
      </c>
      <c r="E48" s="35">
        <v>4.3</v>
      </c>
      <c r="F48" s="35">
        <v>41</v>
      </c>
      <c r="G48" s="35">
        <v>55</v>
      </c>
      <c r="H48" s="35">
        <v>11</v>
      </c>
      <c r="I48" s="35">
        <f>9+10+13+10+13+13+15</f>
        <v>83</v>
      </c>
      <c r="J48" s="35">
        <v>50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>
      <c r="A49" s="18" t="s">
        <v>18</v>
      </c>
      <c r="B49" s="18" t="s">
        <v>10</v>
      </c>
      <c r="C49" s="35">
        <v>161</v>
      </c>
      <c r="D49" s="35">
        <v>18</v>
      </c>
      <c r="E49" s="35">
        <v>4.2</v>
      </c>
      <c r="F49" s="35">
        <v>39</v>
      </c>
      <c r="G49" s="35">
        <v>51.1</v>
      </c>
      <c r="H49" s="35">
        <v>10</v>
      </c>
      <c r="I49" s="35">
        <f>10+14+7+15+14+5</f>
        <v>65</v>
      </c>
      <c r="J49" s="35">
        <v>54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>
      <c r="A50" s="12" t="s">
        <v>4</v>
      </c>
      <c r="B50" s="12" t="s">
        <v>11</v>
      </c>
      <c r="C50" s="12">
        <v>163</v>
      </c>
      <c r="D50" s="12">
        <v>24</v>
      </c>
      <c r="E50" s="12">
        <v>3.8</v>
      </c>
      <c r="F50" s="12">
        <v>48</v>
      </c>
      <c r="G50" s="12">
        <v>58</v>
      </c>
      <c r="H50" s="12">
        <v>9</v>
      </c>
      <c r="I50" s="12">
        <v>81</v>
      </c>
      <c r="J50" s="12">
        <v>89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>
      <c r="A51" s="12" t="s">
        <v>4</v>
      </c>
      <c r="B51" s="12" t="s">
        <v>11</v>
      </c>
      <c r="C51" s="12">
        <v>172</v>
      </c>
      <c r="D51" s="12">
        <v>34</v>
      </c>
      <c r="E51" s="12">
        <v>4.5</v>
      </c>
      <c r="F51" s="12">
        <v>46</v>
      </c>
      <c r="G51" s="12">
        <v>61.3</v>
      </c>
      <c r="H51" s="12">
        <v>27</v>
      </c>
      <c r="I51" s="12">
        <v>82</v>
      </c>
      <c r="J51" s="12">
        <v>119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>
      <c r="A52" s="12" t="s">
        <v>4</v>
      </c>
      <c r="B52" s="12" t="s">
        <v>11</v>
      </c>
      <c r="C52" s="12">
        <v>83</v>
      </c>
      <c r="D52" s="12">
        <v>13</v>
      </c>
      <c r="E52" s="12">
        <v>4.5</v>
      </c>
      <c r="F52" s="12">
        <v>44.2</v>
      </c>
      <c r="G52" s="12">
        <v>64.099999999999994</v>
      </c>
      <c r="H52" s="12">
        <v>16</v>
      </c>
      <c r="I52" s="12">
        <v>9</v>
      </c>
      <c r="J52" s="12">
        <v>20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>
      <c r="A53" s="13" t="s">
        <v>14</v>
      </c>
      <c r="B53" s="13" t="s">
        <v>11</v>
      </c>
      <c r="C53" s="13">
        <v>181.2</v>
      </c>
      <c r="D53" s="13">
        <v>23</v>
      </c>
      <c r="E53" s="3">
        <v>4.2</v>
      </c>
      <c r="F53" s="3">
        <v>42.2</v>
      </c>
      <c r="G53" s="3">
        <v>50.3</v>
      </c>
      <c r="H53" s="3">
        <v>14</v>
      </c>
      <c r="I53" s="3">
        <f>8+3+9+9+7+7+10+11+13+11+12+6+5+6+7</f>
        <v>124</v>
      </c>
      <c r="J53" s="3">
        <v>82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>
      <c r="A54" s="13" t="s">
        <v>14</v>
      </c>
      <c r="B54" s="13" t="s">
        <v>11</v>
      </c>
      <c r="C54" s="13">
        <v>178</v>
      </c>
      <c r="D54" s="13">
        <v>17</v>
      </c>
      <c r="E54" s="3">
        <v>4</v>
      </c>
      <c r="F54" s="3">
        <v>50</v>
      </c>
      <c r="G54" s="3">
        <v>52.2</v>
      </c>
      <c r="H54" s="3">
        <v>4</v>
      </c>
      <c r="I54" s="3">
        <f>1+1+11+4</f>
        <v>17</v>
      </c>
      <c r="J54" s="3">
        <v>58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>
      <c r="A55" s="13" t="s">
        <v>14</v>
      </c>
      <c r="B55" s="13" t="s">
        <v>11</v>
      </c>
      <c r="C55" s="13">
        <v>184.2</v>
      </c>
      <c r="D55" s="13">
        <v>25</v>
      </c>
      <c r="E55" s="3">
        <v>4.2</v>
      </c>
      <c r="F55" s="3">
        <v>45.6</v>
      </c>
      <c r="G55" s="3">
        <v>51.9</v>
      </c>
      <c r="H55" s="3">
        <v>9</v>
      </c>
      <c r="I55" s="3">
        <f>7+8+3+6+9+10+10+10+14</f>
        <v>77</v>
      </c>
      <c r="J55" s="3">
        <v>76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>
      <c r="A56" s="3" t="s">
        <v>15</v>
      </c>
      <c r="B56" s="3" t="s">
        <v>11</v>
      </c>
      <c r="C56" s="13">
        <v>212</v>
      </c>
      <c r="D56" s="13">
        <v>33</v>
      </c>
      <c r="E56" s="13">
        <v>3.7</v>
      </c>
      <c r="F56" s="13">
        <v>47.9</v>
      </c>
      <c r="G56" s="13">
        <v>45.3</v>
      </c>
      <c r="H56" s="13">
        <v>15</v>
      </c>
      <c r="I56" s="13">
        <v>83</v>
      </c>
      <c r="J56" s="13">
        <f>38+15+16+13+10+6+3+1</f>
        <v>102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>
      <c r="A57" s="3" t="s">
        <v>15</v>
      </c>
      <c r="B57" s="3" t="s">
        <v>11</v>
      </c>
      <c r="C57" s="13">
        <v>220</v>
      </c>
      <c r="D57" s="13">
        <v>38</v>
      </c>
      <c r="E57" s="13">
        <v>3.7</v>
      </c>
      <c r="F57" s="13">
        <v>43.4</v>
      </c>
      <c r="G57" s="13">
        <v>48.1</v>
      </c>
      <c r="H57" s="13">
        <v>20</v>
      </c>
      <c r="I57" s="13">
        <f>9+5+10+9+12+15+9+19+12+16+3+4+11+7+18</f>
        <v>159</v>
      </c>
      <c r="J57" s="13">
        <f>2+6+12+15+14+4+14+24+18+14+10+8+5+3+1</f>
        <v>150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>
      <c r="A58" s="3" t="s">
        <v>15</v>
      </c>
      <c r="B58" s="3" t="s">
        <v>11</v>
      </c>
      <c r="C58" s="13">
        <v>181</v>
      </c>
      <c r="D58" s="13">
        <v>21</v>
      </c>
      <c r="E58" s="13">
        <v>3.7</v>
      </c>
      <c r="F58" s="13">
        <v>43.7</v>
      </c>
      <c r="G58" s="13">
        <v>37</v>
      </c>
      <c r="H58" s="13">
        <v>8</v>
      </c>
      <c r="I58" s="13">
        <f>6+6+21+15+12+13+25+9</f>
        <v>107</v>
      </c>
      <c r="J58" s="13">
        <f>25+20+14+3</f>
        <v>62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>
      <c r="A59" s="12" t="s">
        <v>16</v>
      </c>
      <c r="B59" s="12" t="s">
        <v>11</v>
      </c>
      <c r="C59" s="12">
        <v>175</v>
      </c>
      <c r="D59" s="12">
        <v>27</v>
      </c>
      <c r="E59" s="12">
        <v>4.8</v>
      </c>
      <c r="F59" s="12">
        <v>48.2</v>
      </c>
      <c r="G59" s="12">
        <v>52.6</v>
      </c>
      <c r="H59" s="12">
        <v>9</v>
      </c>
      <c r="I59" s="12">
        <f>4+5+8+10+9+5+7+6+3</f>
        <v>57</v>
      </c>
      <c r="J59" s="12">
        <v>96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>
      <c r="A60" s="12" t="s">
        <v>16</v>
      </c>
      <c r="B60" s="12" t="s">
        <v>11</v>
      </c>
      <c r="C60" s="12">
        <v>173</v>
      </c>
      <c r="D60" s="12">
        <v>26</v>
      </c>
      <c r="E60" s="12">
        <v>4.5999999999999996</v>
      </c>
      <c r="F60" s="12">
        <v>51.6</v>
      </c>
      <c r="G60" s="12">
        <v>54.9</v>
      </c>
      <c r="H60" s="12">
        <v>17</v>
      </c>
      <c r="I60" s="12">
        <f>13+13+9+12+7+6+8+9+11+7+6+8+6+8+7+9+10</f>
        <v>149</v>
      </c>
      <c r="J60" s="12">
        <v>78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>
      <c r="A61" s="12" t="s">
        <v>16</v>
      </c>
      <c r="B61" s="12" t="s">
        <v>11</v>
      </c>
      <c r="C61" s="12">
        <v>155</v>
      </c>
      <c r="D61" s="12">
        <v>26</v>
      </c>
      <c r="E61" s="12">
        <v>5.4</v>
      </c>
      <c r="F61" s="12">
        <v>49.8</v>
      </c>
      <c r="G61" s="12">
        <v>53.4</v>
      </c>
      <c r="H61" s="12">
        <v>13</v>
      </c>
      <c r="I61" s="12">
        <f>14+8+13+13+7+8+18+15+14+20+13+10+15</f>
        <v>168</v>
      </c>
      <c r="J61" s="12">
        <v>55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>
      <c r="A62" s="12" t="s">
        <v>18</v>
      </c>
      <c r="B62" s="12" t="s">
        <v>11</v>
      </c>
      <c r="C62" s="12">
        <v>162.80000000000001</v>
      </c>
      <c r="D62" s="12">
        <v>28</v>
      </c>
      <c r="E62" s="12">
        <v>3.5</v>
      </c>
      <c r="F62" s="12">
        <v>40</v>
      </c>
      <c r="G62" s="12">
        <v>49.8</v>
      </c>
      <c r="H62" s="12">
        <v>27</v>
      </c>
      <c r="I62" s="12">
        <f>3+4+2+11+1+2+11+6+14+12+14+12+1+7+1+14+10+9+3+10+9+2+14+14+13+10+2</f>
        <v>211</v>
      </c>
      <c r="J62" s="12">
        <v>61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>
      <c r="A63" s="12" t="s">
        <v>18</v>
      </c>
      <c r="B63" s="12" t="s">
        <v>11</v>
      </c>
      <c r="C63" s="12">
        <v>170.7</v>
      </c>
      <c r="D63" s="12">
        <v>26</v>
      </c>
      <c r="E63" s="12">
        <v>3.5</v>
      </c>
      <c r="F63" s="12">
        <v>44</v>
      </c>
      <c r="G63" s="12">
        <v>50.1</v>
      </c>
      <c r="H63" s="12">
        <v>15</v>
      </c>
      <c r="I63" s="12">
        <f>1+1+5+6+6+4+7+12+10+20+11+12+13+15+15</f>
        <v>138</v>
      </c>
      <c r="J63" s="12">
        <v>86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>
      <c r="A64" s="12" t="s">
        <v>18</v>
      </c>
      <c r="B64" s="12" t="s">
        <v>11</v>
      </c>
      <c r="C64" s="12">
        <v>175.3</v>
      </c>
      <c r="D64" s="12">
        <v>25</v>
      </c>
      <c r="E64" s="12">
        <v>3.7</v>
      </c>
      <c r="F64" s="12">
        <v>38</v>
      </c>
      <c r="G64" s="12">
        <v>48.6</v>
      </c>
      <c r="H64" s="12">
        <v>14</v>
      </c>
      <c r="I64" s="12">
        <f>14+1+16+12+9+4+8+3+10+13+18+10+23</f>
        <v>141</v>
      </c>
      <c r="J64" s="12">
        <v>58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>
      <c r="A65" s="15" t="s">
        <v>12</v>
      </c>
      <c r="B65" s="15" t="s">
        <v>11</v>
      </c>
      <c r="C65" s="35">
        <v>188</v>
      </c>
      <c r="D65" s="35">
        <v>36</v>
      </c>
      <c r="E65" s="35">
        <v>4.8</v>
      </c>
      <c r="F65" s="35">
        <v>45.3</v>
      </c>
      <c r="G65" s="35">
        <v>54.6</v>
      </c>
      <c r="H65" s="35">
        <v>16</v>
      </c>
      <c r="I65" s="35">
        <f>4+12+1+4+46+9+1+48+0+3+9+14+4+16+16+4</f>
        <v>191</v>
      </c>
      <c r="J65" s="35">
        <f>57+21+14+14+8+20+14+9+7+7+7+0+9+1+0+0</f>
        <v>188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>
      <c r="A66" s="15" t="s">
        <v>12</v>
      </c>
      <c r="B66" s="15" t="s">
        <v>11</v>
      </c>
      <c r="C66" s="35">
        <v>193</v>
      </c>
      <c r="D66" s="35">
        <v>27</v>
      </c>
      <c r="E66" s="35">
        <v>4.9000000000000004</v>
      </c>
      <c r="F66" s="35">
        <v>44.8</v>
      </c>
      <c r="G66" s="35">
        <v>57.9</v>
      </c>
      <c r="H66" s="35">
        <v>12</v>
      </c>
      <c r="I66" s="35">
        <f>22+0+20+12+22+16+22+19+11+17+20+12</f>
        <v>193</v>
      </c>
      <c r="J66" s="35">
        <f>3+21+2+14+12+7+0+0+7+6+0+0</f>
        <v>72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>
      <c r="A67" s="15" t="s">
        <v>12</v>
      </c>
      <c r="B67" s="15" t="s">
        <v>11</v>
      </c>
      <c r="C67" s="35">
        <v>106</v>
      </c>
      <c r="D67" s="35">
        <v>27</v>
      </c>
      <c r="E67" s="35">
        <v>4.7</v>
      </c>
      <c r="F67" s="35">
        <v>44.5</v>
      </c>
      <c r="G67" s="35">
        <v>48.6</v>
      </c>
      <c r="H67" s="35">
        <v>9</v>
      </c>
      <c r="I67" s="35">
        <f>40+17+21+23+25+34+19+17+25</f>
        <v>221</v>
      </c>
      <c r="J67" s="35">
        <f>27+18+4+0+2+5+8+7+0</f>
        <v>71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>
      <c r="A68" s="39" t="s">
        <v>13</v>
      </c>
      <c r="B68" s="39" t="s">
        <v>11</v>
      </c>
      <c r="C68" s="42"/>
      <c r="D68" s="42"/>
      <c r="E68" s="42"/>
      <c r="F68" s="42"/>
      <c r="G68" s="42"/>
      <c r="H68" s="42"/>
      <c r="I68" s="42"/>
      <c r="J68" s="4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>
      <c r="A69" s="16" t="s">
        <v>13</v>
      </c>
      <c r="B69" s="16" t="s">
        <v>11</v>
      </c>
      <c r="C69" s="35">
        <v>177</v>
      </c>
      <c r="D69" s="35">
        <v>27</v>
      </c>
      <c r="E69" s="35">
        <v>4.8</v>
      </c>
      <c r="F69" s="35">
        <v>46.3</v>
      </c>
      <c r="G69" s="35">
        <v>60.8</v>
      </c>
      <c r="H69" s="35">
        <v>20</v>
      </c>
      <c r="I69" s="35">
        <v>121</v>
      </c>
      <c r="J69" s="35">
        <v>107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>
      <c r="A70" s="16" t="s">
        <v>13</v>
      </c>
      <c r="B70" s="16" t="s">
        <v>11</v>
      </c>
      <c r="C70" s="35">
        <v>148</v>
      </c>
      <c r="D70" s="35">
        <v>19</v>
      </c>
      <c r="E70" s="35">
        <v>4.5</v>
      </c>
      <c r="F70" s="35">
        <v>46.7</v>
      </c>
      <c r="G70" s="35">
        <v>55.2</v>
      </c>
      <c r="H70" s="35">
        <v>13</v>
      </c>
      <c r="I70" s="35">
        <v>155</v>
      </c>
      <c r="J70" s="35">
        <v>83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>
      <c r="A71" s="18" t="s">
        <v>17</v>
      </c>
      <c r="B71" s="18" t="s">
        <v>11</v>
      </c>
      <c r="C71" s="35">
        <v>169</v>
      </c>
      <c r="D71" s="35">
        <v>23</v>
      </c>
      <c r="E71" s="35">
        <v>3.1</v>
      </c>
      <c r="F71" s="35">
        <v>41.6</v>
      </c>
      <c r="G71" s="35">
        <v>51.1</v>
      </c>
      <c r="H71" s="35">
        <v>9</v>
      </c>
      <c r="I71" s="35">
        <v>98</v>
      </c>
      <c r="J71" s="35">
        <v>37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>
      <c r="A72" s="18" t="s">
        <v>17</v>
      </c>
      <c r="B72" s="18" t="s">
        <v>11</v>
      </c>
      <c r="C72" s="35">
        <v>162</v>
      </c>
      <c r="D72" s="35">
        <v>19</v>
      </c>
      <c r="E72" s="35">
        <v>3.3</v>
      </c>
      <c r="F72" s="35">
        <v>43</v>
      </c>
      <c r="G72" s="35">
        <v>49.7</v>
      </c>
      <c r="H72" s="35">
        <v>7</v>
      </c>
      <c r="I72" s="35">
        <v>43</v>
      </c>
      <c r="J72" s="35">
        <v>90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>
      <c r="A73" s="18" t="s">
        <v>17</v>
      </c>
      <c r="B73" s="18" t="s">
        <v>11</v>
      </c>
      <c r="C73" s="35">
        <v>160</v>
      </c>
      <c r="D73" s="35">
        <v>29</v>
      </c>
      <c r="E73" s="35">
        <v>4</v>
      </c>
      <c r="F73" s="35">
        <v>42.9</v>
      </c>
      <c r="G73" s="35">
        <v>57.5</v>
      </c>
      <c r="H73" s="35">
        <v>12</v>
      </c>
      <c r="I73" s="35">
        <v>120</v>
      </c>
      <c r="J73" s="35">
        <v>76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>
      <c r="A74" s="3" t="s">
        <v>13</v>
      </c>
      <c r="B74" s="3" t="s">
        <v>9</v>
      </c>
      <c r="C74" s="3">
        <v>170</v>
      </c>
      <c r="D74" s="3">
        <v>24</v>
      </c>
      <c r="E74" s="3">
        <v>3.8</v>
      </c>
      <c r="F74" s="3">
        <v>51.7</v>
      </c>
      <c r="G74" s="3">
        <v>51.5</v>
      </c>
      <c r="H74" s="3">
        <v>6</v>
      </c>
      <c r="I74" s="3">
        <f>24+13+15+8+7</f>
        <v>67</v>
      </c>
      <c r="J74" s="3">
        <v>52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>
      <c r="A75" s="3" t="s">
        <v>13</v>
      </c>
      <c r="B75" s="3" t="s">
        <v>9</v>
      </c>
      <c r="C75" s="3">
        <v>159</v>
      </c>
      <c r="D75" s="3">
        <v>22</v>
      </c>
      <c r="E75" s="3">
        <v>4</v>
      </c>
      <c r="F75" s="3">
        <v>54.4</v>
      </c>
      <c r="G75" s="3">
        <v>44.6</v>
      </c>
      <c r="H75" s="3">
        <v>26</v>
      </c>
      <c r="I75" s="3">
        <f>12+8+11+16+7+11+13+7+5+11+8+13+6+11+12+11+9+10+15+10+8+11+16+13+15+16</f>
        <v>285</v>
      </c>
      <c r="J75" s="3">
        <v>70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>
      <c r="A76" s="40" t="s">
        <v>13</v>
      </c>
      <c r="B76" s="40" t="s">
        <v>9</v>
      </c>
      <c r="C76" s="40"/>
      <c r="D76" s="40"/>
      <c r="E76" s="40"/>
      <c r="F76" s="40"/>
      <c r="G76" s="40"/>
      <c r="H76" s="40"/>
      <c r="I76" s="40"/>
      <c r="J76" s="40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>
      <c r="A77" s="12" t="s">
        <v>14</v>
      </c>
      <c r="B77" s="12" t="s">
        <v>9</v>
      </c>
      <c r="C77" s="12">
        <v>193.1</v>
      </c>
      <c r="D77" s="12">
        <v>27</v>
      </c>
      <c r="E77" s="12">
        <v>4.5999999999999996</v>
      </c>
      <c r="F77" s="12">
        <v>46.5</v>
      </c>
      <c r="G77" s="12">
        <v>51.2</v>
      </c>
      <c r="H77" s="12">
        <v>16</v>
      </c>
      <c r="I77" s="12">
        <v>71</v>
      </c>
      <c r="J77" s="12">
        <v>117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>
      <c r="A78" s="12" t="s">
        <v>14</v>
      </c>
      <c r="B78" s="12" t="s">
        <v>9</v>
      </c>
      <c r="C78" s="12">
        <v>189.6</v>
      </c>
      <c r="D78" s="12">
        <v>26</v>
      </c>
      <c r="E78" s="12">
        <v>4.5</v>
      </c>
      <c r="F78" s="12">
        <v>49.2</v>
      </c>
      <c r="G78" s="12">
        <v>50.8</v>
      </c>
      <c r="H78" s="12">
        <v>19</v>
      </c>
      <c r="I78" s="12">
        <v>67</v>
      </c>
      <c r="J78" s="12">
        <f>27+14+8+8+11+12+24+6</f>
        <v>110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>
      <c r="A79" s="12" t="s">
        <v>14</v>
      </c>
      <c r="B79" s="12" t="s">
        <v>9</v>
      </c>
      <c r="C79" s="12">
        <v>191.4</v>
      </c>
      <c r="D79" s="12">
        <v>26</v>
      </c>
      <c r="E79" s="12">
        <v>4.5999999999999996</v>
      </c>
      <c r="F79" s="12">
        <v>47.8</v>
      </c>
      <c r="G79" s="12">
        <v>52.6</v>
      </c>
      <c r="H79" s="12">
        <v>13</v>
      </c>
      <c r="I79" s="12">
        <v>53</v>
      </c>
      <c r="J79" s="12">
        <v>108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>
      <c r="A80" s="3" t="s">
        <v>17</v>
      </c>
      <c r="B80" s="3" t="s">
        <v>9</v>
      </c>
      <c r="C80" s="3">
        <v>161</v>
      </c>
      <c r="D80" s="3">
        <v>30</v>
      </c>
      <c r="E80" s="3">
        <v>4.5999999999999996</v>
      </c>
      <c r="F80" s="3">
        <v>47.8</v>
      </c>
      <c r="G80" s="3">
        <v>53.6</v>
      </c>
      <c r="H80" s="3">
        <v>16</v>
      </c>
      <c r="I80" s="3">
        <v>84</v>
      </c>
      <c r="J80" s="3">
        <v>66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>
      <c r="A81" s="3" t="s">
        <v>17</v>
      </c>
      <c r="B81" s="3" t="s">
        <v>9</v>
      </c>
      <c r="C81" s="3">
        <v>153</v>
      </c>
      <c r="D81" s="3">
        <v>21</v>
      </c>
      <c r="E81" s="3">
        <v>4.3</v>
      </c>
      <c r="F81" s="3">
        <v>50.9</v>
      </c>
      <c r="G81" s="3">
        <v>55.6</v>
      </c>
      <c r="H81" s="3">
        <v>9</v>
      </c>
      <c r="I81" s="3">
        <v>79</v>
      </c>
      <c r="J81" s="3">
        <v>65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>
      <c r="A82" s="3" t="s">
        <v>17</v>
      </c>
      <c r="B82" s="3" t="s">
        <v>9</v>
      </c>
      <c r="C82" s="3">
        <v>157</v>
      </c>
      <c r="D82" s="3">
        <v>22</v>
      </c>
      <c r="E82" s="3">
        <v>4.3</v>
      </c>
      <c r="F82" s="3">
        <v>48.3</v>
      </c>
      <c r="G82" s="3">
        <v>51.4</v>
      </c>
      <c r="H82" s="3">
        <v>9</v>
      </c>
      <c r="I82" s="3">
        <v>93</v>
      </c>
      <c r="J82" s="3">
        <v>82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>
      <c r="A83" s="3" t="s">
        <v>18</v>
      </c>
      <c r="B83" s="3" t="s">
        <v>9</v>
      </c>
      <c r="C83" s="3">
        <v>167</v>
      </c>
      <c r="D83" s="3">
        <v>31</v>
      </c>
      <c r="E83" s="3">
        <v>4.3</v>
      </c>
      <c r="F83" s="3">
        <v>48.5</v>
      </c>
      <c r="G83" s="3">
        <v>55.7</v>
      </c>
      <c r="H83" s="3">
        <v>9</v>
      </c>
      <c r="I83" s="3">
        <v>63</v>
      </c>
      <c r="J83" s="3">
        <v>56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>
      <c r="A84" s="3" t="s">
        <v>18</v>
      </c>
      <c r="B84" s="3" t="s">
        <v>9</v>
      </c>
      <c r="C84" s="3">
        <v>171</v>
      </c>
      <c r="D84" s="3">
        <v>23</v>
      </c>
      <c r="E84" s="3">
        <v>4.4000000000000004</v>
      </c>
      <c r="F84" s="3">
        <v>50.1</v>
      </c>
      <c r="G84" s="3">
        <v>53.7</v>
      </c>
      <c r="H84" s="3">
        <v>15</v>
      </c>
      <c r="I84" s="3">
        <v>76</v>
      </c>
      <c r="J84" s="3">
        <v>75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>
      <c r="A85" s="3" t="s">
        <v>18</v>
      </c>
      <c r="B85" s="3" t="s">
        <v>9</v>
      </c>
      <c r="C85" s="3">
        <v>169</v>
      </c>
      <c r="D85" s="3">
        <v>20</v>
      </c>
      <c r="E85" s="13">
        <v>4.2</v>
      </c>
      <c r="F85" s="3">
        <v>49.3</v>
      </c>
      <c r="G85" s="3">
        <v>50.6</v>
      </c>
      <c r="H85" s="3">
        <v>12</v>
      </c>
      <c r="I85" s="3">
        <v>86</v>
      </c>
      <c r="J85" s="3">
        <v>52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>
      <c r="A86" s="15" t="s">
        <v>4</v>
      </c>
      <c r="B86" s="15" t="s">
        <v>9</v>
      </c>
      <c r="C86" s="35">
        <v>152</v>
      </c>
      <c r="D86" s="35">
        <v>28</v>
      </c>
      <c r="E86" s="35">
        <v>4</v>
      </c>
      <c r="F86" s="35">
        <v>34.5</v>
      </c>
      <c r="G86" s="35">
        <v>44.8</v>
      </c>
      <c r="H86" s="35">
        <v>16</v>
      </c>
      <c r="I86" s="35">
        <f>3+3+4+12+15+14+5+5+8+13+9+8+11+15</f>
        <v>125</v>
      </c>
      <c r="J86" s="35">
        <f>10+11+11+24</f>
        <v>56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>
      <c r="A87" s="39" t="s">
        <v>4</v>
      </c>
      <c r="B87" s="39" t="s">
        <v>9</v>
      </c>
      <c r="C87" s="42"/>
      <c r="D87" s="42"/>
      <c r="E87" s="42"/>
      <c r="F87" s="42"/>
      <c r="G87" s="42"/>
      <c r="H87" s="42"/>
      <c r="I87" s="42"/>
      <c r="J87" s="4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>
      <c r="A88" s="15" t="s">
        <v>4</v>
      </c>
      <c r="B88" s="15" t="s">
        <v>9</v>
      </c>
      <c r="C88" s="35">
        <v>173.6</v>
      </c>
      <c r="D88" s="35">
        <v>28</v>
      </c>
      <c r="E88" s="35">
        <v>4.0999999999999996</v>
      </c>
      <c r="F88" s="35">
        <v>42.7</v>
      </c>
      <c r="G88" s="35">
        <v>51.2</v>
      </c>
      <c r="H88" s="35">
        <v>13</v>
      </c>
      <c r="I88" s="35">
        <f>3+5+6+11+6+23+15+9+15+10</f>
        <v>103</v>
      </c>
      <c r="J88" s="35">
        <f>23+18+13+10+11+2+18</f>
        <v>95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>
      <c r="A89" s="16" t="s">
        <v>12</v>
      </c>
      <c r="B89" s="16" t="s">
        <v>9</v>
      </c>
      <c r="C89" s="35">
        <v>246</v>
      </c>
      <c r="D89" s="35">
        <v>23</v>
      </c>
      <c r="E89" s="35">
        <v>4.2</v>
      </c>
      <c r="F89" s="35">
        <v>50.5</v>
      </c>
      <c r="G89" s="35">
        <v>54.1</v>
      </c>
      <c r="H89" s="35">
        <v>10</v>
      </c>
      <c r="I89" s="35">
        <f>1+3+3+4+21+8+16+24+17</f>
        <v>97</v>
      </c>
      <c r="J89" s="35">
        <f>18+14+16+14+9+6+1</f>
        <v>78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>
      <c r="A90" s="16" t="s">
        <v>12</v>
      </c>
      <c r="B90" s="16" t="s">
        <v>9</v>
      </c>
      <c r="C90" s="35">
        <v>163</v>
      </c>
      <c r="D90" s="35">
        <v>23</v>
      </c>
      <c r="E90" s="35">
        <v>4</v>
      </c>
      <c r="F90" s="35">
        <v>47.6</v>
      </c>
      <c r="G90" s="35">
        <v>58.7</v>
      </c>
      <c r="H90" s="35">
        <v>10</v>
      </c>
      <c r="I90" s="35">
        <f>47+3+4+14</f>
        <v>68</v>
      </c>
      <c r="J90" s="35">
        <f>14+29+10+5+7+4+1</f>
        <v>70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>
      <c r="A91" s="16" t="s">
        <v>12</v>
      </c>
      <c r="B91" s="16" t="s">
        <v>9</v>
      </c>
      <c r="C91" s="35">
        <v>132</v>
      </c>
      <c r="D91" s="35">
        <v>25</v>
      </c>
      <c r="E91" s="35">
        <v>4</v>
      </c>
      <c r="F91" s="35">
        <v>54.8</v>
      </c>
      <c r="G91" s="35">
        <v>55.8</v>
      </c>
      <c r="H91" s="35">
        <v>8</v>
      </c>
      <c r="I91" s="43">
        <f>1+5+8+8+12</f>
        <v>34</v>
      </c>
      <c r="J91" s="35">
        <f>49+10+28+14+12+8+11+2</f>
        <v>134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>
      <c r="A92" s="15" t="s">
        <v>15</v>
      </c>
      <c r="B92" s="15" t="s">
        <v>9</v>
      </c>
      <c r="C92" s="35">
        <v>185</v>
      </c>
      <c r="D92" s="35">
        <v>24</v>
      </c>
      <c r="E92" s="35">
        <v>3.3</v>
      </c>
      <c r="F92" s="35">
        <v>43.4</v>
      </c>
      <c r="G92" s="35">
        <v>47.8</v>
      </c>
      <c r="H92" s="35">
        <v>7</v>
      </c>
      <c r="I92" s="35">
        <f>5+2+14+10+8+10+20+11</f>
        <v>80</v>
      </c>
      <c r="J92" s="35">
        <f>17+13+17+3+8</f>
        <v>58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>
      <c r="A93" s="15" t="s">
        <v>15</v>
      </c>
      <c r="B93" s="15" t="s">
        <v>9</v>
      </c>
      <c r="C93" s="35">
        <v>163</v>
      </c>
      <c r="D93" s="35">
        <v>22</v>
      </c>
      <c r="E93" s="35">
        <v>3.5</v>
      </c>
      <c r="F93" s="35">
        <v>45</v>
      </c>
      <c r="G93" s="35">
        <v>48.7</v>
      </c>
      <c r="H93" s="35">
        <v>8</v>
      </c>
      <c r="I93" s="35">
        <f>0+1+5+9+12+14+13+15</f>
        <v>69</v>
      </c>
      <c r="J93" s="35">
        <f>20+29+12+8+2</f>
        <v>71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>
      <c r="A94" s="15" t="s">
        <v>15</v>
      </c>
      <c r="B94" s="15" t="s">
        <v>9</v>
      </c>
      <c r="C94" s="35">
        <v>202</v>
      </c>
      <c r="D94" s="35">
        <v>25</v>
      </c>
      <c r="E94" s="35">
        <v>3.4</v>
      </c>
      <c r="F94" s="35">
        <v>45.8</v>
      </c>
      <c r="G94" s="35">
        <v>52.2</v>
      </c>
      <c r="H94" s="35">
        <v>7</v>
      </c>
      <c r="I94" s="35">
        <f>3+22+6+5+1+11+9</f>
        <v>57</v>
      </c>
      <c r="J94" s="35">
        <f>18+13+25+6+2</f>
        <v>64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>
      <c r="A95" s="16" t="s">
        <v>16</v>
      </c>
      <c r="B95" s="16" t="s">
        <v>9</v>
      </c>
      <c r="C95" s="35">
        <v>146</v>
      </c>
      <c r="D95" s="35">
        <v>35</v>
      </c>
      <c r="E95" s="35">
        <v>4.4000000000000004</v>
      </c>
      <c r="F95" s="35">
        <v>40</v>
      </c>
      <c r="G95" s="35">
        <v>51.3</v>
      </c>
      <c r="H95" s="35">
        <v>20</v>
      </c>
      <c r="I95" s="35">
        <f>SUM(6 + 8 +24 + 20 + 7 + 7+ 12 + 18 + 4 + 16 + 12 + 2 + 4 + 12 + 12 + 12 + 8)</f>
        <v>184</v>
      </c>
      <c r="J95" s="35">
        <f>26 + 16 + 16 + 13 + 10 + 11</f>
        <v>92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>
      <c r="A96" s="16" t="s">
        <v>16</v>
      </c>
      <c r="B96" s="16" t="s">
        <v>9</v>
      </c>
      <c r="C96" s="35">
        <v>160</v>
      </c>
      <c r="D96" s="35">
        <v>23</v>
      </c>
      <c r="E96" s="35">
        <v>4.8</v>
      </c>
      <c r="F96" s="35">
        <v>41.5</v>
      </c>
      <c r="G96" s="35">
        <v>50.3</v>
      </c>
      <c r="H96" s="35">
        <v>9</v>
      </c>
      <c r="I96" s="35">
        <f>SUM(9 + 6 + 10 + 13 + 8 + 14 + 11 + 19 + 13)</f>
        <v>103</v>
      </c>
      <c r="J96" s="35">
        <f>SUM(14 + 15 + 10+ 1 + 13 + 1 + 3 + 8)</f>
        <v>65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>
      <c r="A97" s="16" t="s">
        <v>16</v>
      </c>
      <c r="B97" s="16" t="s">
        <v>9</v>
      </c>
      <c r="C97" s="35">
        <v>140</v>
      </c>
      <c r="D97" s="35">
        <v>20</v>
      </c>
      <c r="E97" s="35">
        <v>4.7</v>
      </c>
      <c r="F97" s="35">
        <v>40.1</v>
      </c>
      <c r="G97" s="35">
        <v>47.8</v>
      </c>
      <c r="H97" s="35">
        <v>7</v>
      </c>
      <c r="I97" s="35">
        <f>SUM(5 + 2 + 5 + 15 + 7 + 9 + 12)</f>
        <v>55</v>
      </c>
      <c r="J97" s="35">
        <f>SUM(4 + 10 + 11 + 8 + 3 + 13 + 11 + 13 + 6 + 8)</f>
        <v>87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8102024</vt:lpstr>
      <vt:lpstr>15102024</vt:lpstr>
      <vt:lpstr>22102024</vt:lpstr>
      <vt:lpstr>29102024</vt:lpstr>
      <vt:lpstr>05112024</vt:lpstr>
      <vt:lpstr>12112024</vt:lpstr>
      <vt:lpstr>19112024</vt:lpstr>
      <vt:lpstr>26112024</vt:lpstr>
      <vt:lpstr>03122024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C_R</cp:lastModifiedBy>
  <dcterms:modified xsi:type="dcterms:W3CDTF">2024-12-28T13:55:59Z</dcterms:modified>
</cp:coreProperties>
</file>