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it\docs_for_labs\physics\lab305\"/>
    </mc:Choice>
  </mc:AlternateContent>
  <xr:revisionPtr revIDLastSave="0" documentId="13_ncr:1_{ACFDFE1F-E049-4538-9719-529A88E368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2" l="1"/>
  <c r="U4" i="2"/>
  <c r="R3" i="2"/>
  <c r="R4" i="2"/>
  <c r="R5" i="2"/>
  <c r="R6" i="2"/>
  <c r="R7" i="2"/>
  <c r="R8" i="2"/>
  <c r="R2" i="2"/>
  <c r="Q3" i="2"/>
  <c r="Q4" i="2"/>
  <c r="Q5" i="2"/>
  <c r="Q6" i="2"/>
  <c r="Q7" i="2"/>
  <c r="Q8" i="2"/>
  <c r="Q2" i="2"/>
  <c r="U1" i="2"/>
  <c r="U2" i="2"/>
  <c r="O3" i="2"/>
  <c r="O4" i="2"/>
  <c r="O5" i="2"/>
  <c r="O6" i="2"/>
  <c r="O7" i="2"/>
  <c r="O8" i="2"/>
  <c r="O2" i="2"/>
  <c r="P3" i="2"/>
  <c r="P4" i="2"/>
  <c r="P5" i="2"/>
  <c r="P6" i="2"/>
  <c r="P7" i="2"/>
  <c r="P8" i="2"/>
  <c r="J11" i="2"/>
  <c r="J10" i="2"/>
  <c r="N3" i="2"/>
  <c r="N4" i="2"/>
  <c r="N5" i="2"/>
  <c r="N6" i="2"/>
  <c r="N7" i="2"/>
  <c r="N8" i="2"/>
  <c r="N2" i="2"/>
  <c r="M3" i="2"/>
  <c r="M4" i="2"/>
  <c r="M5" i="2"/>
  <c r="M6" i="2"/>
  <c r="M7" i="2"/>
  <c r="M8" i="2"/>
  <c r="M2" i="2"/>
  <c r="L5" i="2"/>
  <c r="K6" i="2"/>
  <c r="K7" i="2"/>
  <c r="J8" i="2"/>
  <c r="J7" i="2"/>
  <c r="J6" i="2"/>
  <c r="J5" i="2"/>
  <c r="J4" i="2"/>
  <c r="J3" i="2"/>
  <c r="J2" i="2"/>
  <c r="L18" i="2"/>
  <c r="L20" i="2"/>
  <c r="L23" i="2"/>
  <c r="M21" i="2"/>
  <c r="M22" i="2"/>
  <c r="M23" i="2"/>
  <c r="J22" i="2"/>
  <c r="J23" i="2"/>
  <c r="K18" i="2"/>
  <c r="K20" i="2"/>
  <c r="K21" i="2"/>
  <c r="K22" i="2"/>
  <c r="I19" i="2"/>
  <c r="I20" i="2"/>
  <c r="I21" i="2"/>
  <c r="I22" i="2"/>
  <c r="I23" i="2"/>
  <c r="I24" i="2"/>
  <c r="I18" i="2"/>
  <c r="F31" i="2"/>
  <c r="M24" i="2" s="1"/>
  <c r="E31" i="2"/>
  <c r="K24" i="2" s="1"/>
  <c r="F30" i="2"/>
  <c r="E30" i="2"/>
  <c r="K23" i="2" s="1"/>
  <c r="F29" i="2"/>
  <c r="E29" i="2"/>
  <c r="F28" i="2"/>
  <c r="E28" i="2"/>
  <c r="F27" i="2"/>
  <c r="M20" i="2" s="1"/>
  <c r="E27" i="2"/>
  <c r="F26" i="2"/>
  <c r="M19" i="2" s="1"/>
  <c r="E26" i="2"/>
  <c r="K19" i="2" s="1"/>
  <c r="F25" i="2"/>
  <c r="M18" i="2" s="1"/>
  <c r="E25" i="2"/>
  <c r="F24" i="2"/>
  <c r="L24" i="2" s="1"/>
  <c r="E24" i="2"/>
  <c r="J24" i="2" s="1"/>
  <c r="F23" i="2"/>
  <c r="E23" i="2"/>
  <c r="F22" i="2"/>
  <c r="L22" i="2" s="1"/>
  <c r="E22" i="2"/>
  <c r="F21" i="2"/>
  <c r="L21" i="2" s="1"/>
  <c r="E21" i="2"/>
  <c r="J21" i="2" s="1"/>
  <c r="F20" i="2"/>
  <c r="E20" i="2"/>
  <c r="J20" i="2" s="1"/>
  <c r="N20" i="2" s="1"/>
  <c r="F19" i="2"/>
  <c r="L19" i="2" s="1"/>
  <c r="E19" i="2"/>
  <c r="J19" i="2" s="1"/>
  <c r="N19" i="2" s="1"/>
  <c r="F18" i="2"/>
  <c r="E18" i="2"/>
  <c r="J18" i="2" s="1"/>
  <c r="G15" i="2"/>
  <c r="E15" i="2"/>
  <c r="L8" i="2" s="1"/>
  <c r="G14" i="2"/>
  <c r="E14" i="2"/>
  <c r="F14" i="2" s="1"/>
  <c r="G13" i="2"/>
  <c r="E13" i="2"/>
  <c r="F13" i="2" s="1"/>
  <c r="G12" i="2"/>
  <c r="E12" i="2"/>
  <c r="F12" i="2" s="1"/>
  <c r="G11" i="2"/>
  <c r="F11" i="2"/>
  <c r="E11" i="2"/>
  <c r="L4" i="2" s="1"/>
  <c r="G10" i="2"/>
  <c r="E10" i="2"/>
  <c r="F10" i="2" s="1"/>
  <c r="G9" i="2"/>
  <c r="F9" i="2"/>
  <c r="E9" i="2"/>
  <c r="L2" i="2" s="1"/>
  <c r="G8" i="2"/>
  <c r="E8" i="2"/>
  <c r="F8" i="2" s="1"/>
  <c r="G7" i="2"/>
  <c r="F7" i="2"/>
  <c r="E7" i="2"/>
  <c r="G6" i="2"/>
  <c r="E6" i="2"/>
  <c r="F6" i="2" s="1"/>
  <c r="G5" i="2"/>
  <c r="E5" i="2"/>
  <c r="F5" i="2" s="1"/>
  <c r="G4" i="2"/>
  <c r="E4" i="2"/>
  <c r="F4" i="2" s="1"/>
  <c r="G3" i="2"/>
  <c r="E3" i="2"/>
  <c r="F3" i="2" s="1"/>
  <c r="G2" i="2"/>
  <c r="E2" i="2"/>
  <c r="F2" i="2" s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R28" i="1"/>
  <c r="O18" i="1"/>
  <c r="R26" i="1"/>
  <c r="R27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L18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18" i="1"/>
  <c r="R20" i="1"/>
  <c r="R23" i="1" s="1"/>
  <c r="R19" i="1"/>
  <c r="R22" i="1" s="1"/>
  <c r="T18" i="1"/>
  <c r="T17" i="1"/>
  <c r="R18" i="1"/>
  <c r="R17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5" i="1"/>
  <c r="R12" i="1"/>
  <c r="H2" i="1"/>
  <c r="I2" i="1"/>
  <c r="H3" i="1"/>
  <c r="I3" i="1"/>
  <c r="H4" i="1"/>
  <c r="I4" i="1"/>
  <c r="H5" i="1"/>
  <c r="R3" i="1" s="1"/>
  <c r="R6" i="1" s="1"/>
  <c r="I5" i="1"/>
  <c r="R4" i="1" s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R1" i="1"/>
  <c r="R2" i="1"/>
  <c r="T1" i="1"/>
  <c r="J5" i="1" s="1"/>
  <c r="M5" i="1" s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5" i="1"/>
  <c r="F7" i="1"/>
  <c r="F11" i="1"/>
  <c r="E3" i="1"/>
  <c r="F3" i="1" s="1"/>
  <c r="E4" i="1"/>
  <c r="F4" i="1" s="1"/>
  <c r="E5" i="1"/>
  <c r="E6" i="1"/>
  <c r="F6" i="1" s="1"/>
  <c r="E7" i="1"/>
  <c r="E8" i="1"/>
  <c r="F8" i="1" s="1"/>
  <c r="E9" i="1"/>
  <c r="F9" i="1" s="1"/>
  <c r="E10" i="1"/>
  <c r="F10" i="1" s="1"/>
  <c r="E11" i="1"/>
  <c r="E12" i="1"/>
  <c r="F12" i="1" s="1"/>
  <c r="E13" i="1"/>
  <c r="F13" i="1" s="1"/>
  <c r="E14" i="1"/>
  <c r="F14" i="1" s="1"/>
  <c r="E15" i="1"/>
  <c r="F15" i="1" s="1"/>
  <c r="E2" i="1"/>
  <c r="F2" i="1" s="1"/>
  <c r="N18" i="2" l="1"/>
  <c r="K5" i="2"/>
  <c r="N22" i="2"/>
  <c r="K4" i="2"/>
  <c r="K3" i="2"/>
  <c r="F15" i="2"/>
  <c r="L7" i="2"/>
  <c r="N21" i="2"/>
  <c r="L6" i="2"/>
  <c r="K2" i="2"/>
  <c r="P2" i="2" s="1"/>
  <c r="K8" i="2"/>
  <c r="L3" i="2"/>
  <c r="N24" i="2"/>
  <c r="N23" i="2"/>
  <c r="R21" i="1"/>
  <c r="R25" i="1" s="1"/>
  <c r="R7" i="1"/>
  <c r="R5" i="1"/>
  <c r="R10" i="1" s="1"/>
  <c r="R9" i="1"/>
  <c r="J15" i="1"/>
  <c r="M15" i="1" s="1"/>
  <c r="J13" i="1"/>
  <c r="M13" i="1" s="1"/>
  <c r="J4" i="1"/>
  <c r="M4" i="1" s="1"/>
  <c r="J6" i="1"/>
  <c r="J3" i="1"/>
  <c r="M3" i="1" s="1"/>
  <c r="J2" i="1"/>
  <c r="M2" i="1" s="1"/>
  <c r="J14" i="1"/>
  <c r="M14" i="1" s="1"/>
  <c r="M6" i="1"/>
  <c r="J11" i="1"/>
  <c r="J12" i="1"/>
  <c r="J10" i="1"/>
  <c r="J7" i="1"/>
  <c r="J9" i="1"/>
  <c r="J8" i="1"/>
  <c r="T2" i="1"/>
  <c r="Q18" i="2" l="1"/>
  <c r="O19" i="2" s="1"/>
  <c r="O3" i="1"/>
  <c r="O15" i="1"/>
  <c r="O9" i="1"/>
  <c r="O11" i="1"/>
  <c r="O13" i="1"/>
  <c r="O4" i="1"/>
  <c r="O2" i="1"/>
  <c r="O10" i="1"/>
  <c r="O14" i="1"/>
  <c r="O5" i="1"/>
  <c r="O6" i="1"/>
  <c r="O12" i="1"/>
  <c r="O7" i="1"/>
  <c r="O8" i="1"/>
  <c r="M11" i="1"/>
  <c r="M10" i="1"/>
  <c r="K8" i="1"/>
  <c r="N8" i="1" s="1"/>
  <c r="K12" i="1"/>
  <c r="N12" i="1" s="1"/>
  <c r="K2" i="1"/>
  <c r="K9" i="1"/>
  <c r="N9" i="1" s="1"/>
  <c r="K10" i="1"/>
  <c r="N10" i="1" s="1"/>
  <c r="K11" i="1"/>
  <c r="N11" i="1" s="1"/>
  <c r="K13" i="1"/>
  <c r="K14" i="1"/>
  <c r="K3" i="1"/>
  <c r="K4" i="1"/>
  <c r="K7" i="1"/>
  <c r="N7" i="1" s="1"/>
  <c r="K15" i="1"/>
  <c r="K5" i="1"/>
  <c r="K6" i="1"/>
  <c r="M12" i="1"/>
  <c r="L12" i="1"/>
  <c r="M8" i="1"/>
  <c r="L8" i="1"/>
  <c r="M9" i="1"/>
  <c r="L9" i="1"/>
  <c r="M7" i="1"/>
  <c r="O18" i="2" l="1"/>
  <c r="O23" i="2"/>
  <c r="O21" i="2"/>
  <c r="O24" i="2"/>
  <c r="O20" i="2"/>
  <c r="O22" i="2"/>
  <c r="N6" i="1"/>
  <c r="L6" i="1"/>
  <c r="N5" i="1"/>
  <c r="L5" i="1"/>
  <c r="N14" i="1"/>
  <c r="L14" i="1"/>
  <c r="N13" i="1"/>
  <c r="L13" i="1"/>
  <c r="N2" i="1"/>
  <c r="L2" i="1"/>
  <c r="N15" i="1"/>
  <c r="L15" i="1"/>
  <c r="L10" i="1"/>
  <c r="N4" i="1"/>
  <c r="L4" i="1"/>
  <c r="L7" i="1"/>
  <c r="N3" i="1"/>
  <c r="L3" i="1"/>
  <c r="L11" i="1"/>
  <c r="Q20" i="2" l="1"/>
  <c r="R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<sst xmlns="http://schemas.openxmlformats.org/spreadsheetml/2006/main" count="77" uniqueCount="47">
  <si>
    <t>№</t>
  </si>
  <si>
    <t>sx</t>
  </si>
  <si>
    <t>sy</t>
  </si>
  <si>
    <t>sxy</t>
  </si>
  <si>
    <t>sxx</t>
  </si>
  <si>
    <t>xy</t>
  </si>
  <si>
    <t>xx</t>
  </si>
  <si>
    <t>a</t>
  </si>
  <si>
    <t>ВЫЧМАТ</t>
  </si>
  <si>
    <t>МОМЕНТ</t>
  </si>
  <si>
    <t>d</t>
  </si>
  <si>
    <t>треуг</t>
  </si>
  <si>
    <t>треуг1</t>
  </si>
  <si>
    <t>треуг2</t>
  </si>
  <si>
    <t>b</t>
  </si>
  <si>
    <t>xср</t>
  </si>
  <si>
    <t>yср</t>
  </si>
  <si>
    <t>x-xср</t>
  </si>
  <si>
    <t>y-yср</t>
  </si>
  <si>
    <t>r</t>
  </si>
  <si>
    <t>произв</t>
  </si>
  <si>
    <t>(x-xср)^2</t>
  </si>
  <si>
    <t>(y-yср)^2</t>
  </si>
  <si>
    <t>(ф(xi)-yi)^2</t>
  </si>
  <si>
    <t>сайт</t>
  </si>
  <si>
    <t>https://www.rapidtables.org/ru/tools/scatter-plot.html</t>
  </si>
  <si>
    <t>заменить , на .</t>
  </si>
  <si>
    <t>i</t>
  </si>
  <si>
    <t>j</t>
  </si>
  <si>
    <t>Ri</t>
  </si>
  <si>
    <t>Rj</t>
  </si>
  <si>
    <t>ti</t>
  </si>
  <si>
    <t>tj</t>
  </si>
  <si>
    <t>aij,C*10^3</t>
  </si>
  <si>
    <t>a_ср</t>
  </si>
  <si>
    <t>da</t>
  </si>
  <si>
    <t>(aср-ai)^2</t>
  </si>
  <si>
    <t>E в Дж/К</t>
  </si>
  <si>
    <t>Е  в эВ/К</t>
  </si>
  <si>
    <t>k1</t>
  </si>
  <si>
    <t>k2</t>
  </si>
  <si>
    <t>Е1ср</t>
  </si>
  <si>
    <t>Е2ср</t>
  </si>
  <si>
    <t>e1-e1ср)^2</t>
  </si>
  <si>
    <t>e2-e2ср)^2</t>
  </si>
  <si>
    <t>de1</t>
  </si>
  <si>
    <t>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</si>
</sst>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0.0000"/>
    <numFmt numFmtId="170" formatCode="0.0"/>
    <numFmt numFmtId="171" formatCode="0.000000"/>
    <numFmt numFmtId="172" formatCode="0.00000"/>
    <numFmt numFmtId="175" formatCode="0.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168" fontId="1" fillId="0" borderId="4" xfId="0" applyNumberFormat="1" applyFont="1" applyBorder="1" applyAlignment="1">
      <alignment horizontal="center" vertical="center" wrapText="1"/>
    </xf>
    <xf numFmtId="170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168" fontId="1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168" fontId="1" fillId="0" borderId="0" xfId="0" applyNumberFormat="1" applyFont="1" applyBorder="1" applyAlignment="1">
      <alignment horizontal="center" vertical="center" wrapText="1"/>
    </xf>
    <xf numFmtId="168" fontId="0" fillId="0" borderId="0" xfId="0" applyNumberFormat="1"/>
    <xf numFmtId="0" fontId="3" fillId="0" borderId="0" xfId="0" applyFont="1"/>
    <xf numFmtId="168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0" fontId="0" fillId="0" borderId="0" xfId="0" applyNumberFormat="1"/>
    <xf numFmtId="2" fontId="0" fillId="0" borderId="0" xfId="0" applyNumberFormat="1"/>
    <xf numFmtId="172" fontId="0" fillId="0" borderId="0" xfId="0" applyNumberForma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295275</xdr:colOff>
      <xdr:row>0</xdr:row>
      <xdr:rowOff>209550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09F8E89-A133-A959-D2C5-953AE3D87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95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466725</xdr:colOff>
      <xdr:row>0</xdr:row>
      <xdr:rowOff>209550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7A97518E-D25D-4CC9-B473-76C8F2D6B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466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304800</xdr:colOff>
      <xdr:row>0</xdr:row>
      <xdr:rowOff>209550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62F08CC-7549-11E6-79FE-263D1697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04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419100</xdr:colOff>
      <xdr:row>0</xdr:row>
      <xdr:rowOff>209550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EAC74DE3-9122-24B9-D441-FA72BE75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419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295275</xdr:colOff>
      <xdr:row>0</xdr:row>
      <xdr:rowOff>209550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18C5D2E-3697-95AF-6D6C-C6AD16581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0"/>
          <a:ext cx="295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269875</xdr:colOff>
      <xdr:row>0</xdr:row>
      <xdr:rowOff>238125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244EE1D-DBC0-9419-FA91-D65DCF0D8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8941" y="0"/>
          <a:ext cx="2698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295275</xdr:colOff>
      <xdr:row>0</xdr:row>
      <xdr:rowOff>209550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1B5CDDE-CA8D-48FE-B0FC-8C49016CA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95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466725</xdr:colOff>
      <xdr:row>0</xdr:row>
      <xdr:rowOff>209550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CA8DAD3-F32A-4DC9-B030-C1B48F771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466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304800</xdr:colOff>
      <xdr:row>0</xdr:row>
      <xdr:rowOff>209550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0DBC2D2-71FB-487E-8975-6A784B734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04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419100</xdr:colOff>
      <xdr:row>0</xdr:row>
      <xdr:rowOff>209550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92018B0-8ECF-4762-8CF9-A4F2731F8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419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295275</xdr:colOff>
      <xdr:row>0</xdr:row>
      <xdr:rowOff>209550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0AB3F4D-B54E-4A03-815A-D6714B38F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0"/>
          <a:ext cx="295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269875</xdr:colOff>
      <xdr:row>0</xdr:row>
      <xdr:rowOff>238125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9F2234F-F688-4486-AD46-01D7A23FA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0"/>
          <a:ext cx="2698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zoomScale="85" zoomScaleNormal="85" workbookViewId="0">
      <selection activeCell="D35" sqref="D35"/>
    </sheetView>
  </sheetViews>
  <sheetFormatPr defaultRowHeight="15" x14ac:dyDescent="0.25"/>
  <cols>
    <col min="5" max="5" width="15" bestFit="1" customWidth="1"/>
    <col min="6" max="6" width="9.85546875" bestFit="1" customWidth="1"/>
    <col min="8" max="8" width="14.28515625" customWidth="1"/>
    <col min="9" max="9" width="14" customWidth="1"/>
    <col min="10" max="10" width="16.28515625" customWidth="1"/>
    <col min="11" max="11" width="12.7109375" customWidth="1"/>
    <col min="12" max="12" width="12.28515625" customWidth="1"/>
    <col min="13" max="13" width="12.7109375" customWidth="1"/>
    <col min="14" max="14" width="11.85546875" customWidth="1"/>
    <col min="15" max="15" width="11" customWidth="1"/>
    <col min="17" max="17" width="11.85546875" customWidth="1"/>
    <col min="18" max="18" width="13.140625" customWidth="1"/>
  </cols>
  <sheetData>
    <row r="1" spans="1:27" ht="19.5" thickBot="1" x14ac:dyDescent="0.3">
      <c r="A1" s="1" t="s">
        <v>0</v>
      </c>
      <c r="B1" s="2"/>
      <c r="C1" s="2"/>
      <c r="D1" s="2"/>
      <c r="E1" s="2"/>
      <c r="F1" s="3"/>
      <c r="G1" s="4"/>
      <c r="H1" s="17" t="s">
        <v>5</v>
      </c>
      <c r="I1" s="17" t="s">
        <v>6</v>
      </c>
      <c r="J1" t="s">
        <v>17</v>
      </c>
      <c r="K1" t="s">
        <v>18</v>
      </c>
      <c r="L1" t="s">
        <v>20</v>
      </c>
      <c r="M1" t="s">
        <v>21</v>
      </c>
      <c r="N1" s="17" t="s">
        <v>22</v>
      </c>
      <c r="O1" t="s">
        <v>23</v>
      </c>
      <c r="Q1" s="17" t="s">
        <v>1</v>
      </c>
      <c r="R1" s="18">
        <f>SUM(G2:G15)</f>
        <v>43.999794227157309</v>
      </c>
      <c r="S1" s="17" t="s">
        <v>15</v>
      </c>
      <c r="T1" s="17">
        <f>R1 /14</f>
        <v>3.1428424447969507</v>
      </c>
      <c r="U1" s="17"/>
      <c r="V1" s="17"/>
      <c r="W1" s="17"/>
      <c r="X1" s="17"/>
      <c r="Y1" s="17"/>
      <c r="Z1" s="17"/>
      <c r="AA1" s="17"/>
    </row>
    <row r="2" spans="1:27" ht="19.5" thickBot="1" x14ac:dyDescent="0.3">
      <c r="A2" s="5">
        <v>1</v>
      </c>
      <c r="B2" s="6">
        <v>293</v>
      </c>
      <c r="C2" s="6">
        <v>1058</v>
      </c>
      <c r="D2" s="6">
        <v>0.24099999999999999</v>
      </c>
      <c r="E2" s="7">
        <f>D2/C2*10^6</f>
        <v>227.78827977315689</v>
      </c>
      <c r="F2" s="7">
        <f>LN(E2)</f>
        <v>5.4284166000545477</v>
      </c>
      <c r="G2" s="7">
        <f>10^3/B2</f>
        <v>3.4129692832764507</v>
      </c>
      <c r="H2" s="17">
        <f>F2*G2</f>
        <v>18.527019112814155</v>
      </c>
      <c r="I2" s="18">
        <f>G2^2</f>
        <v>11.648359328588569</v>
      </c>
      <c r="J2" s="16">
        <f>G2-$T$1</f>
        <v>0.27012683847949992</v>
      </c>
      <c r="K2" s="16">
        <f>F2-$T$2</f>
        <v>0.98639401388324188</v>
      </c>
      <c r="L2">
        <f>J2*K2</f>
        <v>0.26645149646538407</v>
      </c>
      <c r="M2" s="16">
        <f>J2^2</f>
        <v>7.2968508866929835E-2</v>
      </c>
      <c r="N2" s="18">
        <f>K2^2</f>
        <v>0.97297315062469314</v>
      </c>
      <c r="O2">
        <f>($R$9*G2+$R$10-F2)^2</f>
        <v>2.0073438258597852E-4</v>
      </c>
      <c r="Q2" s="17" t="s">
        <v>2</v>
      </c>
      <c r="R2" s="18">
        <f>SUM(F2:F15)</f>
        <v>62.188316206398277</v>
      </c>
      <c r="S2" s="17" t="s">
        <v>16</v>
      </c>
      <c r="T2" s="17">
        <f>R2/14</f>
        <v>4.4420225861713059</v>
      </c>
      <c r="U2" s="17"/>
      <c r="V2" s="17"/>
      <c r="W2" s="17"/>
      <c r="X2" s="17"/>
      <c r="Y2" s="17"/>
      <c r="Z2" s="17"/>
      <c r="AA2" s="17"/>
    </row>
    <row r="3" spans="1:27" ht="19.5" thickBot="1" x14ac:dyDescent="0.3">
      <c r="A3" s="5">
        <v>2</v>
      </c>
      <c r="B3" s="6">
        <v>297</v>
      </c>
      <c r="C3" s="6">
        <v>1080</v>
      </c>
      <c r="D3" s="6">
        <v>0.21099999999999999</v>
      </c>
      <c r="E3" s="7">
        <f t="shared" ref="E3:E15" si="0">D3/C3*10^6</f>
        <v>195.37037037037035</v>
      </c>
      <c r="F3" s="7">
        <f t="shared" ref="F3:F15" si="1">LN(E3)</f>
        <v>5.2748970923399376</v>
      </c>
      <c r="G3" s="7">
        <f t="shared" ref="G3:G15" si="2">10^3/B3</f>
        <v>3.3670033670033672</v>
      </c>
      <c r="H3" s="17">
        <f t="shared" ref="H3:H15" si="3">F3*G3</f>
        <v>17.760596270504841</v>
      </c>
      <c r="I3" s="18">
        <f t="shared" ref="I3:I15" si="4">G3^2</f>
        <v>11.336711673412012</v>
      </c>
      <c r="J3" s="16">
        <f>G3-$T$1</f>
        <v>0.22416092220641648</v>
      </c>
      <c r="K3" s="16">
        <f>F3-$T$2</f>
        <v>0.83287450616863179</v>
      </c>
      <c r="L3">
        <f t="shared" ref="L3:L15" si="5">J3*K3</f>
        <v>0.18669791738497421</v>
      </c>
      <c r="M3" s="16">
        <f t="shared" ref="M3:M15" si="6">J3^2</f>
        <v>5.0248119044431099E-2</v>
      </c>
      <c r="N3" s="18">
        <f t="shared" ref="N3:N15" si="7">K3^2</f>
        <v>0.69367994302564229</v>
      </c>
      <c r="O3">
        <f>($R$9*G3+$R$10-F3)^2</f>
        <v>6.6165197370790392E-6</v>
      </c>
      <c r="Q3" s="17" t="s">
        <v>3</v>
      </c>
      <c r="R3" s="17">
        <f>SUM(H2:H15)</f>
        <v>196.76473736697889</v>
      </c>
      <c r="S3" s="17"/>
      <c r="T3" s="17" t="s">
        <v>8</v>
      </c>
      <c r="U3" s="17"/>
      <c r="V3" s="17"/>
      <c r="W3" s="17"/>
      <c r="X3" s="17"/>
      <c r="Y3" s="17"/>
      <c r="Z3" s="17"/>
      <c r="AA3" s="17"/>
    </row>
    <row r="4" spans="1:27" ht="19.5" thickBot="1" x14ac:dyDescent="0.3">
      <c r="A4" s="5">
        <v>3</v>
      </c>
      <c r="B4" s="6">
        <v>301</v>
      </c>
      <c r="C4" s="6">
        <v>1116</v>
      </c>
      <c r="D4" s="6">
        <v>0.188</v>
      </c>
      <c r="E4" s="7">
        <f t="shared" si="0"/>
        <v>168.45878136200719</v>
      </c>
      <c r="F4" s="7">
        <f t="shared" si="1"/>
        <v>5.1266910988708299</v>
      </c>
      <c r="G4" s="7">
        <f t="shared" si="2"/>
        <v>3.3222591362126246</v>
      </c>
      <c r="H4" s="17">
        <f t="shared" si="3"/>
        <v>17.032196341763555</v>
      </c>
      <c r="I4" s="18">
        <f t="shared" si="4"/>
        <v>11.037405768148254</v>
      </c>
      <c r="J4" s="16">
        <f>G4-$T$1</f>
        <v>0.17941669141567385</v>
      </c>
      <c r="K4" s="16">
        <f>F4-$T$2</f>
        <v>0.684668512699524</v>
      </c>
      <c r="L4">
        <f t="shared" si="5"/>
        <v>0.12284095926503887</v>
      </c>
      <c r="M4" s="16">
        <f t="shared" si="6"/>
        <v>3.2190349158547134E-2</v>
      </c>
      <c r="N4" s="18">
        <f t="shared" si="7"/>
        <v>0.46877097228217823</v>
      </c>
      <c r="O4">
        <f>($R$9*G4+$R$10-F4)^2</f>
        <v>4.0404743386612108E-4</v>
      </c>
      <c r="Q4" s="17" t="s">
        <v>4</v>
      </c>
      <c r="R4" s="18">
        <f>SUM(I2:I15)</f>
        <v>138.63988561731057</v>
      </c>
      <c r="S4" s="17"/>
      <c r="T4" s="17" t="s">
        <v>9</v>
      </c>
      <c r="U4" s="17"/>
      <c r="V4" s="17"/>
      <c r="W4" s="17"/>
      <c r="X4" s="17"/>
      <c r="Y4" s="17"/>
      <c r="Z4" s="17"/>
      <c r="AA4" s="17"/>
    </row>
    <row r="5" spans="1:27" ht="19.5" thickBot="1" x14ac:dyDescent="0.3">
      <c r="A5" s="5">
        <v>4</v>
      </c>
      <c r="B5" s="6">
        <v>305</v>
      </c>
      <c r="C5" s="6">
        <v>1148</v>
      </c>
      <c r="D5" s="6">
        <v>0.161</v>
      </c>
      <c r="E5" s="7">
        <f t="shared" si="0"/>
        <v>140.2439024390244</v>
      </c>
      <c r="F5" s="7">
        <f t="shared" si="1"/>
        <v>4.9433830670870886</v>
      </c>
      <c r="G5" s="7">
        <f t="shared" si="2"/>
        <v>3.278688524590164</v>
      </c>
      <c r="H5" s="17">
        <f t="shared" si="3"/>
        <v>16.207813334711766</v>
      </c>
      <c r="I5" s="18">
        <f t="shared" si="4"/>
        <v>10.749798441279227</v>
      </c>
      <c r="J5" s="16">
        <f>G5-$T$1</f>
        <v>0.13584607979321328</v>
      </c>
      <c r="K5" s="16">
        <f>F5-$T$2</f>
        <v>0.50136048091578278</v>
      </c>
      <c r="L5">
        <f t="shared" si="5"/>
        <v>6.8107855895649216E-2</v>
      </c>
      <c r="M5" s="16">
        <f t="shared" si="6"/>
        <v>1.8454157395184068E-2</v>
      </c>
      <c r="N5" s="18">
        <f t="shared" si="7"/>
        <v>0.251362331824105</v>
      </c>
      <c r="O5">
        <f>($R$9*G5+$R$10-F5)^2</f>
        <v>3.3108509456584069E-6</v>
      </c>
      <c r="Q5" s="17" t="s">
        <v>11</v>
      </c>
      <c r="R5" s="17">
        <f>R4*14-R1*R1</f>
        <v>4.9765066101622324</v>
      </c>
      <c r="S5" s="17"/>
      <c r="T5" s="17"/>
      <c r="U5" s="17"/>
      <c r="V5" s="17"/>
      <c r="W5" s="17"/>
      <c r="X5" s="17"/>
      <c r="Y5" s="17"/>
      <c r="Z5" s="17"/>
      <c r="AA5" s="17"/>
    </row>
    <row r="6" spans="1:27" ht="19.5" thickBot="1" x14ac:dyDescent="0.3">
      <c r="A6" s="5">
        <v>5</v>
      </c>
      <c r="B6" s="6">
        <v>309</v>
      </c>
      <c r="C6" s="6">
        <v>1171</v>
      </c>
      <c r="D6" s="6">
        <v>0.14000000000000001</v>
      </c>
      <c r="E6" s="7">
        <f t="shared" si="0"/>
        <v>119.55593509820667</v>
      </c>
      <c r="F6" s="7">
        <f t="shared" si="1"/>
        <v>4.7837843379937244</v>
      </c>
      <c r="G6" s="7">
        <f t="shared" si="2"/>
        <v>3.2362459546925568</v>
      </c>
      <c r="H6" s="17">
        <f t="shared" si="3"/>
        <v>15.481502711953802</v>
      </c>
      <c r="I6" s="18">
        <f t="shared" si="4"/>
        <v>10.473287879263939</v>
      </c>
      <c r="J6" s="16">
        <f>G6-$T$1</f>
        <v>9.3403509895606085E-2</v>
      </c>
      <c r="K6" s="16">
        <f>F6-$T$2</f>
        <v>0.34176175182241852</v>
      </c>
      <c r="L6">
        <f t="shared" si="5"/>
        <v>3.1921747168284942E-2</v>
      </c>
      <c r="M6" s="16">
        <f t="shared" si="6"/>
        <v>8.7242156608185843E-3</v>
      </c>
      <c r="N6" s="18">
        <f t="shared" si="7"/>
        <v>0.11680109500872839</v>
      </c>
      <c r="O6">
        <f>($R$9*G6+$R$10-F6)^2</f>
        <v>1.7716481406172221E-5</v>
      </c>
      <c r="Q6" s="17" t="s">
        <v>12</v>
      </c>
      <c r="R6" s="17">
        <f>R3*14-R1*R2</f>
        <v>18.433206722788327</v>
      </c>
      <c r="S6" s="17"/>
      <c r="T6" s="17"/>
      <c r="U6" s="17"/>
      <c r="V6" s="17"/>
      <c r="W6" s="17"/>
      <c r="X6" s="17"/>
      <c r="Y6" s="17"/>
      <c r="Z6" s="17"/>
      <c r="AA6" s="17"/>
    </row>
    <row r="7" spans="1:27" ht="19.5" thickBot="1" x14ac:dyDescent="0.3">
      <c r="A7" s="5">
        <v>6</v>
      </c>
      <c r="B7" s="6">
        <v>313</v>
      </c>
      <c r="C7" s="6">
        <v>1194</v>
      </c>
      <c r="D7" s="6">
        <v>0.123</v>
      </c>
      <c r="E7" s="7">
        <f t="shared" si="0"/>
        <v>103.01507537688443</v>
      </c>
      <c r="F7" s="7">
        <f t="shared" si="1"/>
        <v>4.6348753404020071</v>
      </c>
      <c r="G7" s="7">
        <f t="shared" si="2"/>
        <v>3.1948881789137382</v>
      </c>
      <c r="H7" s="17">
        <f t="shared" si="3"/>
        <v>14.807908435789161</v>
      </c>
      <c r="I7" s="18">
        <f t="shared" si="4"/>
        <v>10.207310475762743</v>
      </c>
      <c r="J7" s="16">
        <f>G7-$T$1</f>
        <v>5.2045734116787479E-2</v>
      </c>
      <c r="K7" s="16">
        <f>F7-$T$2</f>
        <v>0.19285275423070125</v>
      </c>
      <c r="L7">
        <f t="shared" si="5"/>
        <v>1.0037163170381239E-2</v>
      </c>
      <c r="M7" s="16">
        <f t="shared" si="6"/>
        <v>2.7087584397553362E-3</v>
      </c>
      <c r="N7" s="18">
        <f t="shared" si="7"/>
        <v>3.7192184814367257E-2</v>
      </c>
      <c r="O7">
        <f>($R$9*G7+$R$10-F7)^2</f>
        <v>5.3273929592261284E-9</v>
      </c>
      <c r="Q7" s="17" t="s">
        <v>13</v>
      </c>
      <c r="R7" s="17">
        <f>R4*R2-R1*R3</f>
        <v>-35.826909719522519</v>
      </c>
      <c r="S7" s="17"/>
      <c r="T7" s="17"/>
      <c r="U7" s="17"/>
      <c r="V7" s="17"/>
      <c r="W7" s="17"/>
      <c r="X7" s="17"/>
      <c r="Y7" s="17"/>
      <c r="Z7" s="17"/>
      <c r="AA7" s="17"/>
    </row>
    <row r="8" spans="1:27" ht="19.5" thickBot="1" x14ac:dyDescent="0.3">
      <c r="A8" s="5">
        <v>7</v>
      </c>
      <c r="B8" s="6">
        <v>317</v>
      </c>
      <c r="C8" s="6">
        <v>1213</v>
      </c>
      <c r="D8" s="6">
        <v>0.108</v>
      </c>
      <c r="E8" s="7">
        <f t="shared" si="0"/>
        <v>89.035449299258033</v>
      </c>
      <c r="F8" s="7">
        <f t="shared" si="1"/>
        <v>4.4890345971623065</v>
      </c>
      <c r="G8" s="7">
        <f t="shared" si="2"/>
        <v>3.1545741324921135</v>
      </c>
      <c r="H8" s="17">
        <f t="shared" si="3"/>
        <v>14.160992420070366</v>
      </c>
      <c r="I8" s="18">
        <f t="shared" si="4"/>
        <v>9.95133795738837</v>
      </c>
      <c r="J8" s="16">
        <f>G8-$T$1</f>
        <v>1.1731687695162751E-2</v>
      </c>
      <c r="K8" s="16">
        <f>F8-$T$2</f>
        <v>4.7012010991000608E-2</v>
      </c>
      <c r="L8">
        <f t="shared" si="5"/>
        <v>5.5153023086797789E-4</v>
      </c>
      <c r="M8" s="16">
        <f t="shared" si="6"/>
        <v>1.376324961768331E-4</v>
      </c>
      <c r="N8" s="18">
        <f t="shared" si="7"/>
        <v>2.2101291774179617E-3</v>
      </c>
      <c r="O8">
        <f>($R$9*G8+$R$10-F8)^2</f>
        <v>1.2654429032118972E-5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9.5" thickBot="1" x14ac:dyDescent="0.3">
      <c r="A9" s="5">
        <v>8</v>
      </c>
      <c r="B9" s="6">
        <v>321</v>
      </c>
      <c r="C9" s="6">
        <v>1231</v>
      </c>
      <c r="D9" s="6">
        <v>9.5000000000000001E-2</v>
      </c>
      <c r="E9" s="7">
        <f t="shared" si="0"/>
        <v>77.173030056864334</v>
      </c>
      <c r="F9" s="7">
        <f t="shared" si="1"/>
        <v>4.3460500443982246</v>
      </c>
      <c r="G9" s="7">
        <f t="shared" si="2"/>
        <v>3.1152647975077881</v>
      </c>
      <c r="H9" s="17">
        <f t="shared" si="3"/>
        <v>13.539096711520948</v>
      </c>
      <c r="I9" s="18">
        <f t="shared" si="4"/>
        <v>9.7048747585912398</v>
      </c>
      <c r="J9" s="16">
        <f>G9-$T$1</f>
        <v>-2.7577647289162677E-2</v>
      </c>
      <c r="K9" s="16">
        <f>F9-$T$2</f>
        <v>-9.5972541773081232E-2</v>
      </c>
      <c r="L9">
        <f t="shared" si="5"/>
        <v>2.6466969064624654E-3</v>
      </c>
      <c r="M9" s="16">
        <f t="shared" si="6"/>
        <v>7.6052663000546151E-4</v>
      </c>
      <c r="N9" s="18">
        <f t="shared" si="7"/>
        <v>9.2107287743858225E-3</v>
      </c>
      <c r="O9">
        <f>($R$9*G9+$R$10-F9)^2</f>
        <v>3.8146897896940715E-5</v>
      </c>
      <c r="Q9" s="17" t="s">
        <v>7</v>
      </c>
      <c r="R9" s="18">
        <f>R6/R5</f>
        <v>3.7040454613577638</v>
      </c>
      <c r="S9" s="17"/>
      <c r="T9" s="17"/>
      <c r="U9" s="17"/>
      <c r="V9" s="17"/>
      <c r="W9" s="17"/>
      <c r="X9" s="17"/>
      <c r="Y9" s="17"/>
      <c r="Z9" s="17"/>
      <c r="AA9" s="17"/>
    </row>
    <row r="10" spans="1:27" ht="19.5" thickBot="1" x14ac:dyDescent="0.3">
      <c r="A10" s="5">
        <v>9</v>
      </c>
      <c r="B10" s="6">
        <v>325</v>
      </c>
      <c r="C10" s="6">
        <v>1245</v>
      </c>
      <c r="D10" s="6">
        <v>8.2000000000000003E-2</v>
      </c>
      <c r="E10" s="7">
        <f t="shared" si="0"/>
        <v>65.863453815261053</v>
      </c>
      <c r="F10" s="7">
        <f t="shared" si="1"/>
        <v>4.1875837173475823</v>
      </c>
      <c r="G10" s="7">
        <f t="shared" si="2"/>
        <v>3.0769230769230771</v>
      </c>
      <c r="H10" s="17">
        <f t="shared" si="3"/>
        <v>12.884872976454099</v>
      </c>
      <c r="I10" s="18">
        <f t="shared" si="4"/>
        <v>9.4674556213017755</v>
      </c>
      <c r="J10" s="16">
        <f>G10-$T$1</f>
        <v>-6.5919367873873647E-2</v>
      </c>
      <c r="K10" s="16">
        <f>F10-$T$2</f>
        <v>-0.25443886882372357</v>
      </c>
      <c r="L10">
        <f t="shared" si="5"/>
        <v>1.6772449395403316E-2</v>
      </c>
      <c r="M10" s="16">
        <f t="shared" si="6"/>
        <v>4.3453630608910852E-3</v>
      </c>
      <c r="N10" s="18">
        <f t="shared" si="7"/>
        <v>6.4739137968296015E-2</v>
      </c>
      <c r="O10">
        <f>($R$9*G10+$R$10-F10)^2</f>
        <v>1.0548385704500724E-4</v>
      </c>
      <c r="Q10" s="17" t="s">
        <v>14</v>
      </c>
      <c r="R10" s="18">
        <f>R7/R5</f>
        <v>-7.1992087072410369</v>
      </c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9.5" thickBot="1" x14ac:dyDescent="0.3">
      <c r="A11" s="5">
        <v>10</v>
      </c>
      <c r="B11" s="6">
        <v>329</v>
      </c>
      <c r="C11" s="6">
        <v>1257</v>
      </c>
      <c r="D11" s="6">
        <v>7.1999999999999995E-2</v>
      </c>
      <c r="E11" s="7">
        <f t="shared" si="0"/>
        <v>57.279236276849637</v>
      </c>
      <c r="F11" s="7">
        <f t="shared" si="1"/>
        <v>4.0479381894079447</v>
      </c>
      <c r="G11" s="7">
        <f t="shared" si="2"/>
        <v>3.0395136778115504</v>
      </c>
      <c r="H11" s="17">
        <f t="shared" si="3"/>
        <v>12.303763493641171</v>
      </c>
      <c r="I11" s="18">
        <f t="shared" si="4"/>
        <v>9.2386433976034965</v>
      </c>
      <c r="J11" s="16">
        <f>G11-$T$1</f>
        <v>-0.10332876698540039</v>
      </c>
      <c r="K11" s="16">
        <f>F11-$T$2</f>
        <v>-0.39408439676336116</v>
      </c>
      <c r="L11">
        <f t="shared" si="5"/>
        <v>4.0720254805743421E-2</v>
      </c>
      <c r="M11" s="16">
        <f t="shared" si="6"/>
        <v>1.067683408672317E-2</v>
      </c>
      <c r="N11" s="18">
        <f t="shared" si="7"/>
        <v>0.15530251177234225</v>
      </c>
      <c r="O11">
        <f>($R$9*G11+$R$10-F11)^2</f>
        <v>1.2882128291365894E-4</v>
      </c>
      <c r="Q11" s="17" t="s">
        <v>19</v>
      </c>
      <c r="R11" s="17">
        <f>SUM(L2:L15)/SQRT(SUM(M2:M15)*SUM(N2:N15))</f>
        <v>0.99966854964299867</v>
      </c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9.5" thickBot="1" x14ac:dyDescent="0.3">
      <c r="A12" s="5">
        <v>11</v>
      </c>
      <c r="B12" s="6">
        <v>333</v>
      </c>
      <c r="C12" s="6">
        <v>1269</v>
      </c>
      <c r="D12" s="6">
        <v>6.3E-2</v>
      </c>
      <c r="E12" s="7">
        <f t="shared" si="0"/>
        <v>49.645390070921984</v>
      </c>
      <c r="F12" s="7">
        <f t="shared" si="1"/>
        <v>3.9049055376592818</v>
      </c>
      <c r="G12" s="7">
        <f t="shared" si="2"/>
        <v>3.0030030030030028</v>
      </c>
      <c r="H12" s="17">
        <f t="shared" si="3"/>
        <v>11.726443056033879</v>
      </c>
      <c r="I12" s="18">
        <f t="shared" si="4"/>
        <v>9.0180270360450532</v>
      </c>
      <c r="J12" s="16">
        <f>G12-$T$1</f>
        <v>-0.13983944179394792</v>
      </c>
      <c r="K12" s="16">
        <f>F12-$T$2</f>
        <v>-0.53711704851202402</v>
      </c>
      <c r="L12">
        <f t="shared" si="5"/>
        <v>7.511014824193428E-2</v>
      </c>
      <c r="M12" s="16">
        <f t="shared" si="6"/>
        <v>1.9555069481242946E-2</v>
      </c>
      <c r="N12" s="18">
        <f t="shared" si="7"/>
        <v>0.28849472380226798</v>
      </c>
      <c r="O12">
        <f>($R$9*G12+$R$10-F12)^2</f>
        <v>3.665462958500756E-4</v>
      </c>
      <c r="Q12" s="17" t="s">
        <v>10</v>
      </c>
      <c r="R12" s="17">
        <f>SQRT(SUM(O2:O15)/14)</f>
        <v>1.5199972067377629E-2</v>
      </c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9.5" thickBot="1" x14ac:dyDescent="0.3">
      <c r="A13" s="5">
        <v>12</v>
      </c>
      <c r="B13" s="6">
        <v>337</v>
      </c>
      <c r="C13" s="6">
        <v>1275</v>
      </c>
      <c r="D13" s="6">
        <v>5.8999999999999997E-2</v>
      </c>
      <c r="E13" s="7">
        <f t="shared" si="0"/>
        <v>46.274509803921568</v>
      </c>
      <c r="F13" s="7">
        <f t="shared" si="1"/>
        <v>3.8345912652953298</v>
      </c>
      <c r="G13" s="7">
        <f t="shared" si="2"/>
        <v>2.9673590504451037</v>
      </c>
      <c r="H13" s="17">
        <f t="shared" si="3"/>
        <v>11.378609095831839</v>
      </c>
      <c r="I13" s="18">
        <f t="shared" si="4"/>
        <v>8.8052197342584684</v>
      </c>
      <c r="J13" s="16">
        <f>G13-$T$1</f>
        <v>-0.17548339435184701</v>
      </c>
      <c r="K13" s="16">
        <f>F13-$T$2</f>
        <v>-0.60743132087597607</v>
      </c>
      <c r="L13">
        <f t="shared" si="5"/>
        <v>0.10659411002294222</v>
      </c>
      <c r="M13" s="16">
        <f t="shared" si="6"/>
        <v>3.0794421693245852E-2</v>
      </c>
      <c r="N13" s="18">
        <f t="shared" si="7"/>
        <v>0.36897280958113299</v>
      </c>
      <c r="O13">
        <f>($R$9*G13+$R$10-F13)^2</f>
        <v>1.8119622179427583E-3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9.5" thickBot="1" x14ac:dyDescent="0.3">
      <c r="A14" s="5">
        <v>13</v>
      </c>
      <c r="B14" s="6">
        <v>341</v>
      </c>
      <c r="C14" s="6">
        <v>1286</v>
      </c>
      <c r="D14" s="6">
        <v>0.05</v>
      </c>
      <c r="E14" s="7">
        <f t="shared" si="0"/>
        <v>38.880248833592539</v>
      </c>
      <c r="F14" s="7">
        <f t="shared" si="1"/>
        <v>3.6604863796127187</v>
      </c>
      <c r="G14" s="7">
        <f t="shared" si="2"/>
        <v>2.9325513196480939</v>
      </c>
      <c r="H14" s="17">
        <f t="shared" si="3"/>
        <v>10.734564163087152</v>
      </c>
      <c r="I14" s="18">
        <f t="shared" si="4"/>
        <v>8.5998572423697777</v>
      </c>
      <c r="J14" s="16">
        <f>G14-$T$1</f>
        <v>-0.21029112514885684</v>
      </c>
      <c r="K14" s="16">
        <f>F14-$T$2</f>
        <v>-0.78153620655858713</v>
      </c>
      <c r="L14">
        <f t="shared" si="5"/>
        <v>0.16435012822177467</v>
      </c>
      <c r="M14" s="16">
        <f t="shared" si="6"/>
        <v>4.4222357316372168E-2</v>
      </c>
      <c r="N14" s="18">
        <f t="shared" si="7"/>
        <v>0.61079884216198654</v>
      </c>
      <c r="O14">
        <f>($R$9*G14+$R$10-F14)^2</f>
        <v>6.8033274188192442E-6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8.75" x14ac:dyDescent="0.25">
      <c r="A15" s="9">
        <v>14</v>
      </c>
      <c r="B15" s="10">
        <v>345</v>
      </c>
      <c r="C15" s="10">
        <v>1295</v>
      </c>
      <c r="D15" s="10">
        <v>4.3999999999999997E-2</v>
      </c>
      <c r="E15" s="11">
        <f t="shared" si="0"/>
        <v>33.97683397683398</v>
      </c>
      <c r="F15" s="11">
        <f t="shared" si="1"/>
        <v>3.52567893876676</v>
      </c>
      <c r="G15" s="11">
        <f t="shared" si="2"/>
        <v>2.8985507246376812</v>
      </c>
      <c r="H15" s="17">
        <f t="shared" si="3"/>
        <v>10.219359242802202</v>
      </c>
      <c r="I15" s="18">
        <f t="shared" si="4"/>
        <v>8.4015963032976266</v>
      </c>
      <c r="J15" s="16">
        <f>G15-$T$1</f>
        <v>-0.24429172015926959</v>
      </c>
      <c r="K15" s="16">
        <f>F15-$T$2</f>
        <v>-0.91634364740454588</v>
      </c>
      <c r="L15">
        <f t="shared" si="5"/>
        <v>0.22385516588147572</v>
      </c>
      <c r="M15" s="16">
        <f t="shared" si="6"/>
        <v>5.9678444538374883E-2</v>
      </c>
      <c r="N15" s="18">
        <f t="shared" si="7"/>
        <v>0.83968568013866673</v>
      </c>
      <c r="O15">
        <f>($R$9*G15+$R$10-F15)^2</f>
        <v>1.3169880785349398E-4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8.75" x14ac:dyDescent="0.25">
      <c r="A16" s="13"/>
      <c r="B16" s="13"/>
      <c r="C16" s="14"/>
      <c r="D16" s="14"/>
      <c r="E16" s="15"/>
      <c r="F16" s="13"/>
      <c r="G16" s="13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9.5" thickBot="1" x14ac:dyDescent="0.3">
      <c r="A17" s="5" t="s">
        <v>0</v>
      </c>
      <c r="B17" s="12" t="e" vm="1">
        <v>#VALUE!</v>
      </c>
      <c r="C17" s="12" t="e" vm="2">
        <v>#VALUE!</v>
      </c>
      <c r="D17" s="12" t="e" vm="3">
        <v>#VALUE!</v>
      </c>
      <c r="E17" s="12" t="e" vm="4">
        <v>#VALUE!</v>
      </c>
      <c r="F17" s="12" t="e" vm="5">
        <v>#VALUE!</v>
      </c>
      <c r="H17" s="17" t="s">
        <v>5</v>
      </c>
      <c r="I17" s="17" t="s">
        <v>6</v>
      </c>
      <c r="J17" t="s">
        <v>17</v>
      </c>
      <c r="K17" t="s">
        <v>18</v>
      </c>
      <c r="L17" t="s">
        <v>20</v>
      </c>
      <c r="M17" t="s">
        <v>21</v>
      </c>
      <c r="N17" s="17" t="s">
        <v>22</v>
      </c>
      <c r="O17" t="s">
        <v>23</v>
      </c>
      <c r="Q17" s="17" t="s">
        <v>1</v>
      </c>
      <c r="R17" s="19">
        <f>SUM(F18:F31)</f>
        <v>604.59999999999968</v>
      </c>
      <c r="S17" s="17" t="s">
        <v>15</v>
      </c>
      <c r="T17" s="17">
        <f>R17 /14</f>
        <v>43.185714285714262</v>
      </c>
      <c r="U17" s="17"/>
      <c r="V17" s="17"/>
      <c r="W17" s="17"/>
      <c r="X17" s="17"/>
      <c r="Y17" s="17"/>
      <c r="Z17" s="17"/>
      <c r="AA17" s="17"/>
    </row>
    <row r="18" spans="1:27" ht="19.5" thickBot="1" x14ac:dyDescent="0.3">
      <c r="A18" s="5">
        <v>1</v>
      </c>
      <c r="B18" s="6">
        <v>290</v>
      </c>
      <c r="C18" s="6">
        <v>1165</v>
      </c>
      <c r="D18" s="6">
        <v>1.4450000000000001</v>
      </c>
      <c r="E18" s="7">
        <f>D18/C18*10^3</f>
        <v>1.2403433476394849</v>
      </c>
      <c r="F18" s="8">
        <f>B18-273.1</f>
        <v>16.899999999999977</v>
      </c>
      <c r="H18" s="17">
        <f>E18*F18</f>
        <v>20.961802575107267</v>
      </c>
      <c r="I18" s="18">
        <f>F18^2</f>
        <v>285.60999999999922</v>
      </c>
      <c r="J18" s="16">
        <f>F18-$T$17</f>
        <v>-26.285714285714285</v>
      </c>
      <c r="K18" s="16">
        <f>E18-$T$18</f>
        <v>-0.13721469454757185</v>
      </c>
      <c r="L18">
        <f>J18*K18</f>
        <v>3.6067862566790314</v>
      </c>
      <c r="M18" s="16">
        <f>J18^2</f>
        <v>690.93877551020398</v>
      </c>
      <c r="N18" s="18">
        <f>K18^2</f>
        <v>1.8827872399783445E-2</v>
      </c>
      <c r="O18">
        <f>($R$25*F18+$R$26-E18)^2</f>
        <v>1.1423654494745173E-5</v>
      </c>
      <c r="Q18" s="17" t="s">
        <v>2</v>
      </c>
      <c r="R18" s="18">
        <f>SUM(E18:E31)</f>
        <v>19.285812590618796</v>
      </c>
      <c r="S18" s="17" t="s">
        <v>16</v>
      </c>
      <c r="T18" s="17">
        <f>R18/14</f>
        <v>1.3775580421870568</v>
      </c>
      <c r="U18" s="17"/>
      <c r="V18" s="17"/>
      <c r="W18" s="17"/>
      <c r="X18" s="17"/>
      <c r="Y18" s="17"/>
      <c r="Z18" s="17"/>
      <c r="AA18" s="17"/>
    </row>
    <row r="19" spans="1:27" ht="19.5" thickBot="1" x14ac:dyDescent="0.3">
      <c r="A19" s="5">
        <v>2</v>
      </c>
      <c r="B19" s="6">
        <v>294</v>
      </c>
      <c r="C19" s="6">
        <v>1151</v>
      </c>
      <c r="D19" s="6">
        <v>1.4550000000000001</v>
      </c>
      <c r="E19" s="7">
        <f t="shared" ref="E19:E31" si="8">D19/C19*10^3</f>
        <v>1.2641181581233709</v>
      </c>
      <c r="F19" s="8">
        <f t="shared" ref="F19:H31" si="9">B19-273.1</f>
        <v>20.899999999999977</v>
      </c>
      <c r="H19" s="17">
        <f>E19*F19</f>
        <v>26.420069504778425</v>
      </c>
      <c r="I19" s="18">
        <f>F19^2</f>
        <v>436.80999999999904</v>
      </c>
      <c r="J19" s="16">
        <f>F19-$T$17</f>
        <v>-22.285714285714285</v>
      </c>
      <c r="K19" s="16">
        <f>E19-$T$18</f>
        <v>-0.11343988406368588</v>
      </c>
      <c r="L19">
        <f t="shared" ref="L19:L31" si="10">J19*K19</f>
        <v>2.5280888448478565</v>
      </c>
      <c r="M19" s="16">
        <f t="shared" ref="M19:M31" si="11">J19^2</f>
        <v>496.65306122448976</v>
      </c>
      <c r="N19" s="18">
        <f t="shared" ref="N19:N31" si="12">K19^2</f>
        <v>1.2868607296382494E-2</v>
      </c>
      <c r="O19">
        <f t="shared" ref="O19:O31" si="13">($R$25*F19+$R$26-E19)^2</f>
        <v>8.2683938289905633E-10</v>
      </c>
      <c r="Q19" s="17" t="s">
        <v>3</v>
      </c>
      <c r="R19" s="17">
        <f>SUM(H18:H31)</f>
        <v>852.53948971192472</v>
      </c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9.5" thickBot="1" x14ac:dyDescent="0.3">
      <c r="A20" s="5">
        <v>3</v>
      </c>
      <c r="B20" s="6">
        <v>298</v>
      </c>
      <c r="C20" s="6">
        <v>1137</v>
      </c>
      <c r="D20" s="6">
        <v>1.464</v>
      </c>
      <c r="E20" s="7">
        <f t="shared" si="8"/>
        <v>1.287598944591029</v>
      </c>
      <c r="F20" s="8">
        <f t="shared" si="9"/>
        <v>24.899999999999977</v>
      </c>
      <c r="H20" s="17">
        <f>E20*F20</f>
        <v>32.061213720316594</v>
      </c>
      <c r="I20" s="18">
        <f>F20^2</f>
        <v>620.00999999999885</v>
      </c>
      <c r="J20" s="16">
        <f>F20-$T$17</f>
        <v>-18.285714285714285</v>
      </c>
      <c r="K20" s="16">
        <f>E20-$T$18</f>
        <v>-8.9959097596027826E-2</v>
      </c>
      <c r="L20">
        <f t="shared" si="10"/>
        <v>1.6449663560416516</v>
      </c>
      <c r="M20" s="16">
        <f t="shared" si="11"/>
        <v>334.36734693877548</v>
      </c>
      <c r="N20" s="18">
        <f t="shared" si="12"/>
        <v>8.0926392402916603E-3</v>
      </c>
      <c r="O20">
        <f t="shared" si="13"/>
        <v>9.8808084654639394E-6</v>
      </c>
      <c r="Q20" s="17" t="s">
        <v>4</v>
      </c>
      <c r="R20" s="18">
        <f>SUM(I18:I31)</f>
        <v>29972.939999999973</v>
      </c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9.5" thickBot="1" x14ac:dyDescent="0.3">
      <c r="A21" s="5">
        <v>4</v>
      </c>
      <c r="B21" s="6">
        <v>302</v>
      </c>
      <c r="C21" s="6">
        <v>1122</v>
      </c>
      <c r="D21" s="6">
        <v>1.4730000000000001</v>
      </c>
      <c r="E21" s="7">
        <f t="shared" si="8"/>
        <v>1.3128342245989306</v>
      </c>
      <c r="F21" s="8">
        <f t="shared" si="9"/>
        <v>28.899999999999977</v>
      </c>
      <c r="H21" s="17">
        <f>E21*F21</f>
        <v>37.940909090909066</v>
      </c>
      <c r="I21" s="18">
        <f>F21^2</f>
        <v>835.20999999999867</v>
      </c>
      <c r="J21" s="16">
        <f>F21-$T$17</f>
        <v>-14.285714285714285</v>
      </c>
      <c r="K21" s="16">
        <f>E21-$T$18</f>
        <v>-6.4723817588126176E-2</v>
      </c>
      <c r="L21">
        <f t="shared" si="10"/>
        <v>0.92462596554465959</v>
      </c>
      <c r="M21" s="16">
        <f t="shared" si="11"/>
        <v>204.08163265306121</v>
      </c>
      <c r="N21" s="18">
        <f t="shared" si="12"/>
        <v>4.189172563181031E-3</v>
      </c>
      <c r="O21">
        <f t="shared" si="13"/>
        <v>6.4199986150494746E-5</v>
      </c>
      <c r="Q21" s="17" t="s">
        <v>11</v>
      </c>
      <c r="R21" s="17">
        <f>R20*14-R17*R17</f>
        <v>54080</v>
      </c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9.5" thickBot="1" x14ac:dyDescent="0.3">
      <c r="A22" s="5">
        <v>5</v>
      </c>
      <c r="B22" s="6">
        <v>306</v>
      </c>
      <c r="C22" s="6">
        <v>1116</v>
      </c>
      <c r="D22" s="6">
        <v>1.4810000000000001</v>
      </c>
      <c r="E22" s="7">
        <f t="shared" si="8"/>
        <v>1.3270609318996416</v>
      </c>
      <c r="F22" s="8">
        <f t="shared" si="9"/>
        <v>32.899999999999977</v>
      </c>
      <c r="H22" s="17">
        <f>E22*F22</f>
        <v>43.660304659498181</v>
      </c>
      <c r="I22" s="18">
        <f>F22^2</f>
        <v>1082.4099999999985</v>
      </c>
      <c r="J22" s="16">
        <f>F22-$T$17</f>
        <v>-10.285714285714285</v>
      </c>
      <c r="K22" s="16">
        <f>E22-$T$18</f>
        <v>-5.0497110287415214E-2</v>
      </c>
      <c r="L22">
        <f t="shared" si="10"/>
        <v>0.51939884867055641</v>
      </c>
      <c r="M22" s="16">
        <f t="shared" si="11"/>
        <v>105.79591836734691</v>
      </c>
      <c r="N22" s="18">
        <f t="shared" si="12"/>
        <v>2.5499581473793754E-3</v>
      </c>
      <c r="O22">
        <f t="shared" si="13"/>
        <v>3.5082441286146809E-6</v>
      </c>
      <c r="Q22" s="17" t="s">
        <v>12</v>
      </c>
      <c r="R22" s="17">
        <f>R19*14-R17*R18</f>
        <v>275.3505636788268</v>
      </c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9.5" thickBot="1" x14ac:dyDescent="0.3">
      <c r="A23" s="5">
        <v>6</v>
      </c>
      <c r="B23" s="6">
        <v>310</v>
      </c>
      <c r="C23" s="6">
        <v>1113</v>
      </c>
      <c r="D23" s="6">
        <v>1.4830000000000001</v>
      </c>
      <c r="E23" s="7">
        <f t="shared" si="8"/>
        <v>1.3324348607367478</v>
      </c>
      <c r="F23" s="8">
        <f t="shared" si="9"/>
        <v>36.899999999999977</v>
      </c>
      <c r="H23" s="17">
        <f>E23*F23</f>
        <v>49.166846361185961</v>
      </c>
      <c r="I23" s="18">
        <f>F23^2</f>
        <v>1361.6099999999983</v>
      </c>
      <c r="J23" s="16">
        <f>F23-$T$17</f>
        <v>-6.2857142857142847</v>
      </c>
      <c r="K23" s="16">
        <f>E23-$T$18</f>
        <v>-4.5123181450309024E-2</v>
      </c>
      <c r="L23">
        <f t="shared" si="10"/>
        <v>0.28363142625908527</v>
      </c>
      <c r="M23" s="16">
        <f t="shared" si="11"/>
        <v>39.510204081632644</v>
      </c>
      <c r="N23" s="18">
        <f t="shared" si="12"/>
        <v>2.0361015041975125E-3</v>
      </c>
      <c r="O23">
        <f t="shared" si="13"/>
        <v>1.7211357609286381E-4</v>
      </c>
      <c r="Q23" s="17" t="s">
        <v>13</v>
      </c>
      <c r="R23" s="17">
        <f>R20*R18-R17*R19</f>
        <v>62607.128150031844</v>
      </c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9.5" thickBot="1" x14ac:dyDescent="0.3">
      <c r="A24" s="5">
        <v>7</v>
      </c>
      <c r="B24" s="6">
        <v>314</v>
      </c>
      <c r="C24" s="6">
        <v>1102</v>
      </c>
      <c r="D24" s="6">
        <v>1.494</v>
      </c>
      <c r="E24" s="7">
        <f t="shared" si="8"/>
        <v>1.3557168784029039</v>
      </c>
      <c r="F24" s="8">
        <f t="shared" si="9"/>
        <v>40.899999999999977</v>
      </c>
      <c r="H24" s="17">
        <f>E24*F24</f>
        <v>55.448820326678735</v>
      </c>
      <c r="I24" s="18">
        <f>F24^2</f>
        <v>1672.8099999999981</v>
      </c>
      <c r="J24" s="16">
        <f>F24-$T$17</f>
        <v>-2.2857142857142847</v>
      </c>
      <c r="K24" s="16">
        <f>E24-$T$18</f>
        <v>-2.1841163784152906E-2</v>
      </c>
      <c r="L24">
        <f t="shared" si="10"/>
        <v>4.9922660078063764E-2</v>
      </c>
      <c r="M24" s="16">
        <f t="shared" si="11"/>
        <v>5.2244897959183625</v>
      </c>
      <c r="N24" s="18">
        <f t="shared" si="12"/>
        <v>4.7703643544619247E-4</v>
      </c>
      <c r="O24">
        <f t="shared" si="13"/>
        <v>1.0410844648906378E-4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9.5" thickBot="1" x14ac:dyDescent="0.3">
      <c r="A25" s="5">
        <v>8</v>
      </c>
      <c r="B25" s="6">
        <v>318</v>
      </c>
      <c r="C25" s="6">
        <v>1091</v>
      </c>
      <c r="D25" s="6">
        <v>1.502</v>
      </c>
      <c r="E25" s="7">
        <f t="shared" si="8"/>
        <v>1.3767186067827681</v>
      </c>
      <c r="F25" s="8">
        <f t="shared" si="9"/>
        <v>44.899999999999977</v>
      </c>
      <c r="H25" s="17">
        <f>E25*F25</f>
        <v>61.814665444546257</v>
      </c>
      <c r="I25" s="18">
        <f>F25^2</f>
        <v>2016.0099999999979</v>
      </c>
      <c r="J25" s="16">
        <f>F25-$T$17</f>
        <v>1.7142857142857153</v>
      </c>
      <c r="K25" s="16">
        <f>E25-$T$18</f>
        <v>-8.3943540428865759E-4</v>
      </c>
      <c r="L25">
        <f t="shared" si="10"/>
        <v>-1.4390321216376995E-3</v>
      </c>
      <c r="M25" s="16">
        <f t="shared" si="11"/>
        <v>2.9387755102040849</v>
      </c>
      <c r="N25" s="18">
        <f t="shared" si="12"/>
        <v>7.0465179797326199E-7</v>
      </c>
      <c r="O25">
        <f t="shared" si="13"/>
        <v>9.1542648368983881E-5</v>
      </c>
      <c r="Q25" s="17" t="s">
        <v>7</v>
      </c>
      <c r="R25" s="20">
        <f>R22/R21</f>
        <v>5.0915414881439868E-3</v>
      </c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9.5" thickBot="1" x14ac:dyDescent="0.3">
      <c r="A26" s="5">
        <v>9</v>
      </c>
      <c r="B26" s="6">
        <v>322</v>
      </c>
      <c r="C26" s="6">
        <v>1075</v>
      </c>
      <c r="D26" s="6">
        <v>1.516</v>
      </c>
      <c r="E26" s="7">
        <f t="shared" si="8"/>
        <v>1.410232558139535</v>
      </c>
      <c r="F26" s="8">
        <f t="shared" si="9"/>
        <v>48.899999999999977</v>
      </c>
      <c r="H26" s="17">
        <f>E26*F26</f>
        <v>68.960372093023224</v>
      </c>
      <c r="I26" s="18">
        <f>F26^2</f>
        <v>2391.2099999999978</v>
      </c>
      <c r="J26" s="16">
        <f>F26-$T$17</f>
        <v>5.7142857142857153</v>
      </c>
      <c r="K26" s="16">
        <f>E26-$T$18</f>
        <v>3.2674515952478167E-2</v>
      </c>
      <c r="L26">
        <f t="shared" si="10"/>
        <v>0.18671151972844671</v>
      </c>
      <c r="M26" s="16">
        <f t="shared" si="11"/>
        <v>32.653061224489811</v>
      </c>
      <c r="N26" s="18">
        <f t="shared" si="12"/>
        <v>1.0676239927287503E-3</v>
      </c>
      <c r="O26">
        <f t="shared" si="13"/>
        <v>1.2816351047728142E-5</v>
      </c>
      <c r="Q26" s="17" t="s">
        <v>14</v>
      </c>
      <c r="R26" s="18">
        <f>R23/R21</f>
        <v>1.1576761862062102</v>
      </c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9.5" thickBot="1" x14ac:dyDescent="0.3">
      <c r="A27" s="5">
        <v>10</v>
      </c>
      <c r="B27" s="6">
        <v>326</v>
      </c>
      <c r="C27" s="6">
        <v>1062</v>
      </c>
      <c r="D27" s="6">
        <v>1.524</v>
      </c>
      <c r="E27" s="7">
        <f t="shared" si="8"/>
        <v>1.4350282485875705</v>
      </c>
      <c r="F27" s="8">
        <f t="shared" si="9"/>
        <v>52.899999999999977</v>
      </c>
      <c r="H27" s="17">
        <f>E27*F27</f>
        <v>75.912994350282446</v>
      </c>
      <c r="I27" s="18">
        <f>F27^2</f>
        <v>2798.4099999999976</v>
      </c>
      <c r="J27" s="16">
        <f>F27-$T$17</f>
        <v>9.7142857142857153</v>
      </c>
      <c r="K27" s="16">
        <f>E27-$T$18</f>
        <v>5.7470206400513701E-2</v>
      </c>
      <c r="L27">
        <f t="shared" si="10"/>
        <v>0.55828200503356173</v>
      </c>
      <c r="M27" s="16">
        <f t="shared" si="11"/>
        <v>94.367346938775526</v>
      </c>
      <c r="N27" s="18">
        <f t="shared" si="12"/>
        <v>3.3028246237176459E-3</v>
      </c>
      <c r="O27">
        <f t="shared" si="13"/>
        <v>6.4152373122520462E-5</v>
      </c>
      <c r="Q27" s="17" t="s">
        <v>19</v>
      </c>
      <c r="R27" s="17">
        <f>SUM(L18:L31)/SQRT(SUM(M18:M31)*SUM(N18:N31))</f>
        <v>0.99308763940181211</v>
      </c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9.5" thickBot="1" x14ac:dyDescent="0.3">
      <c r="A28" s="5">
        <v>11</v>
      </c>
      <c r="B28" s="6">
        <v>330</v>
      </c>
      <c r="C28" s="6">
        <v>1050</v>
      </c>
      <c r="D28" s="6">
        <v>1.5349999999999999</v>
      </c>
      <c r="E28" s="7">
        <f t="shared" si="8"/>
        <v>1.4619047619047618</v>
      </c>
      <c r="F28" s="8">
        <f t="shared" si="9"/>
        <v>56.899999999999977</v>
      </c>
      <c r="H28" s="17">
        <f>E28*F28</f>
        <v>83.18238095238091</v>
      </c>
      <c r="I28" s="18">
        <f>F28^2</f>
        <v>3237.6099999999974</v>
      </c>
      <c r="J28" s="16">
        <f>F28-$T$17</f>
        <v>13.714285714285715</v>
      </c>
      <c r="K28" s="16">
        <f>E28-$T$18</f>
        <v>8.4346719717705021E-2</v>
      </c>
      <c r="L28">
        <f t="shared" si="10"/>
        <v>1.1567550132713833</v>
      </c>
      <c r="M28" s="16">
        <f t="shared" si="11"/>
        <v>188.08163265306126</v>
      </c>
      <c r="N28" s="18">
        <f t="shared" si="12"/>
        <v>7.1143691271370888E-3</v>
      </c>
      <c r="O28">
        <f t="shared" si="13"/>
        <v>2.1082648029075758E-4</v>
      </c>
      <c r="Q28" s="17" t="s">
        <v>10</v>
      </c>
      <c r="R28" s="17">
        <f>SQRT(SUM(O18:O31)/14)</f>
        <v>9.9960497098419959E-3</v>
      </c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9.5" thickBot="1" x14ac:dyDescent="0.3">
      <c r="A29" s="5">
        <v>12</v>
      </c>
      <c r="B29" s="6">
        <v>334</v>
      </c>
      <c r="C29" s="6">
        <v>1042</v>
      </c>
      <c r="D29" s="6">
        <v>1.542</v>
      </c>
      <c r="E29" s="7">
        <f t="shared" si="8"/>
        <v>1.4798464491362766</v>
      </c>
      <c r="F29" s="8">
        <f t="shared" si="9"/>
        <v>60.899999999999977</v>
      </c>
      <c r="H29" s="17">
        <f>E29*F29</f>
        <v>90.122648752399215</v>
      </c>
      <c r="I29" s="18">
        <f>F29^2</f>
        <v>3708.8099999999972</v>
      </c>
      <c r="J29" s="16">
        <f>F29-$T$17</f>
        <v>17.714285714285715</v>
      </c>
      <c r="K29" s="16">
        <f>E29-$T$18</f>
        <v>0.10228840694921981</v>
      </c>
      <c r="L29">
        <f t="shared" si="10"/>
        <v>1.8119660659576082</v>
      </c>
      <c r="M29" s="16">
        <f t="shared" si="11"/>
        <v>313.79591836734699</v>
      </c>
      <c r="N29" s="18">
        <f t="shared" si="12"/>
        <v>1.04629181962092E-2</v>
      </c>
      <c r="O29">
        <f t="shared" si="13"/>
        <v>1.4629836979697589E-4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9.5" thickBot="1" x14ac:dyDescent="0.3">
      <c r="A30" s="5">
        <v>13</v>
      </c>
      <c r="B30" s="6">
        <v>338</v>
      </c>
      <c r="C30" s="6">
        <v>1035</v>
      </c>
      <c r="D30" s="6">
        <v>1.5469999999999999</v>
      </c>
      <c r="E30" s="7">
        <f t="shared" si="8"/>
        <v>1.4946859903381642</v>
      </c>
      <c r="F30" s="8">
        <f t="shared" si="9"/>
        <v>64.899999999999977</v>
      </c>
      <c r="H30" s="17">
        <f>E30*F30</f>
        <v>97.005120772946825</v>
      </c>
      <c r="I30" s="18">
        <f>F30^2</f>
        <v>4212.0099999999975</v>
      </c>
      <c r="J30" s="16">
        <f>F30-$T$17</f>
        <v>21.714285714285715</v>
      </c>
      <c r="K30" s="16">
        <f>E30-$T$18</f>
        <v>0.11712794815110739</v>
      </c>
      <c r="L30">
        <f t="shared" si="10"/>
        <v>2.543349731281189</v>
      </c>
      <c r="M30" s="16">
        <f t="shared" si="11"/>
        <v>471.51020408163271</v>
      </c>
      <c r="N30" s="18">
        <f t="shared" si="12"/>
        <v>1.3718956238088499E-2</v>
      </c>
      <c r="O30">
        <f t="shared" si="13"/>
        <v>4.3148628319274384E-5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9.5" thickBot="1" x14ac:dyDescent="0.3">
      <c r="A31" s="5">
        <v>14</v>
      </c>
      <c r="B31" s="6">
        <v>346</v>
      </c>
      <c r="C31" s="6">
        <v>1029</v>
      </c>
      <c r="D31" s="6">
        <v>1.5509999999999999</v>
      </c>
      <c r="E31" s="7">
        <f t="shared" si="8"/>
        <v>1.5072886297376094</v>
      </c>
      <c r="F31" s="8">
        <f t="shared" si="9"/>
        <v>72.899999999999977</v>
      </c>
      <c r="H31" s="17">
        <f>E31*F31</f>
        <v>109.88134110787169</v>
      </c>
      <c r="I31" s="18">
        <f>F31^2</f>
        <v>5314.4099999999971</v>
      </c>
      <c r="J31" s="16">
        <f>F31-$T$17</f>
        <v>29.714285714285715</v>
      </c>
      <c r="K31" s="16">
        <f>E31-$T$18</f>
        <v>0.12973058755055256</v>
      </c>
      <c r="L31">
        <f t="shared" si="10"/>
        <v>3.854851744359276</v>
      </c>
      <c r="M31" s="16">
        <f t="shared" si="11"/>
        <v>882.9387755102041</v>
      </c>
      <c r="N31" s="18">
        <f t="shared" si="12"/>
        <v>1.6830025346211582E-2</v>
      </c>
      <c r="O31">
        <f t="shared" si="13"/>
        <v>4.6487374361598208E-4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4" spans="1:9" ht="15.75" x14ac:dyDescent="0.25">
      <c r="A34" s="17" t="s">
        <v>24</v>
      </c>
      <c r="B34" s="17" t="s">
        <v>25</v>
      </c>
      <c r="C34" s="17"/>
      <c r="D34" s="17"/>
      <c r="E34" s="17"/>
      <c r="F34" s="17"/>
      <c r="G34" s="17"/>
      <c r="H34" s="17" t="s">
        <v>26</v>
      </c>
    </row>
    <row r="35" spans="1:9" ht="15.75" x14ac:dyDescent="0.25">
      <c r="A35" s="19">
        <f>F18</f>
        <v>16.899999999999977</v>
      </c>
      <c r="B35" s="18">
        <f>E18</f>
        <v>1.2403433476394849</v>
      </c>
      <c r="C35" s="17"/>
      <c r="D35" s="18">
        <f>G2</f>
        <v>3.4129692832764507</v>
      </c>
      <c r="E35" s="18">
        <f>F2</f>
        <v>5.4284166000545477</v>
      </c>
      <c r="F35" s="17"/>
      <c r="G35" s="17"/>
      <c r="H35" s="17"/>
      <c r="I35" s="17"/>
    </row>
    <row r="36" spans="1:9" ht="15.75" x14ac:dyDescent="0.25">
      <c r="A36" s="19">
        <f>F19</f>
        <v>20.899999999999977</v>
      </c>
      <c r="B36" s="18">
        <f>E19</f>
        <v>1.2641181581233709</v>
      </c>
      <c r="C36" s="17"/>
      <c r="D36" s="18">
        <f>G3</f>
        <v>3.3670033670033672</v>
      </c>
      <c r="E36" s="18">
        <f>F3</f>
        <v>5.2748970923399376</v>
      </c>
      <c r="F36" s="17"/>
      <c r="G36" s="17"/>
      <c r="H36" s="17"/>
      <c r="I36" s="17"/>
    </row>
    <row r="37" spans="1:9" ht="15.75" x14ac:dyDescent="0.25">
      <c r="A37" s="19">
        <f>F20</f>
        <v>24.899999999999977</v>
      </c>
      <c r="B37" s="18">
        <f>E20</f>
        <v>1.287598944591029</v>
      </c>
      <c r="C37" s="17"/>
      <c r="D37" s="18">
        <f>G4</f>
        <v>3.3222591362126246</v>
      </c>
      <c r="E37" s="18">
        <f>F4</f>
        <v>5.1266910988708299</v>
      </c>
      <c r="F37" s="17"/>
      <c r="G37" s="17"/>
      <c r="H37" s="17"/>
      <c r="I37" s="17"/>
    </row>
    <row r="38" spans="1:9" ht="15.75" x14ac:dyDescent="0.25">
      <c r="A38" s="19">
        <f>F21</f>
        <v>28.899999999999977</v>
      </c>
      <c r="B38" s="18">
        <f>E21</f>
        <v>1.3128342245989306</v>
      </c>
      <c r="C38" s="17"/>
      <c r="D38" s="18">
        <f>G5</f>
        <v>3.278688524590164</v>
      </c>
      <c r="E38" s="18">
        <f>F5</f>
        <v>4.9433830670870886</v>
      </c>
      <c r="F38" s="17"/>
      <c r="G38" s="17"/>
      <c r="H38" s="17"/>
      <c r="I38" s="17"/>
    </row>
    <row r="39" spans="1:9" ht="15.75" x14ac:dyDescent="0.25">
      <c r="A39" s="19">
        <f>F22</f>
        <v>32.899999999999977</v>
      </c>
      <c r="B39" s="18">
        <f>E22</f>
        <v>1.3270609318996416</v>
      </c>
      <c r="C39" s="17"/>
      <c r="D39" s="18">
        <f>G6</f>
        <v>3.2362459546925568</v>
      </c>
      <c r="E39" s="18">
        <f>F6</f>
        <v>4.7837843379937244</v>
      </c>
      <c r="F39" s="17"/>
      <c r="G39" s="17"/>
      <c r="H39" s="17"/>
      <c r="I39" s="17"/>
    </row>
    <row r="40" spans="1:9" ht="15.75" x14ac:dyDescent="0.25">
      <c r="A40" s="19">
        <f>F23</f>
        <v>36.899999999999977</v>
      </c>
      <c r="B40" s="18">
        <f>E23</f>
        <v>1.3324348607367478</v>
      </c>
      <c r="C40" s="17"/>
      <c r="D40" s="18">
        <f>G7</f>
        <v>3.1948881789137382</v>
      </c>
      <c r="E40" s="18">
        <f>F7</f>
        <v>4.6348753404020071</v>
      </c>
      <c r="F40" s="17"/>
      <c r="G40" s="17"/>
      <c r="H40" s="17"/>
      <c r="I40" s="17"/>
    </row>
    <row r="41" spans="1:9" ht="15.75" x14ac:dyDescent="0.25">
      <c r="A41" s="19">
        <f>F24</f>
        <v>40.899999999999977</v>
      </c>
      <c r="B41" s="18">
        <f>E24</f>
        <v>1.3557168784029039</v>
      </c>
      <c r="C41" s="17"/>
      <c r="D41" s="18">
        <f>G8</f>
        <v>3.1545741324921135</v>
      </c>
      <c r="E41" s="18">
        <f>F8</f>
        <v>4.4890345971623065</v>
      </c>
      <c r="F41" s="17"/>
      <c r="G41" s="17"/>
      <c r="H41" s="17"/>
      <c r="I41" s="17"/>
    </row>
    <row r="42" spans="1:9" ht="15.75" x14ac:dyDescent="0.25">
      <c r="A42" s="19">
        <f>F25</f>
        <v>44.899999999999977</v>
      </c>
      <c r="B42" s="18">
        <f>E25</f>
        <v>1.3767186067827681</v>
      </c>
      <c r="C42" s="17"/>
      <c r="D42" s="18">
        <f>G9</f>
        <v>3.1152647975077881</v>
      </c>
      <c r="E42" s="18">
        <f>F9</f>
        <v>4.3460500443982246</v>
      </c>
      <c r="F42" s="17"/>
      <c r="G42" s="17"/>
      <c r="H42" s="17"/>
      <c r="I42" s="17"/>
    </row>
    <row r="43" spans="1:9" ht="15.75" x14ac:dyDescent="0.25">
      <c r="A43" s="19">
        <f>F26</f>
        <v>48.899999999999977</v>
      </c>
      <c r="B43" s="18">
        <f>E26</f>
        <v>1.410232558139535</v>
      </c>
      <c r="C43" s="17"/>
      <c r="D43" s="18">
        <f>G10</f>
        <v>3.0769230769230771</v>
      </c>
      <c r="E43" s="18">
        <f>F10</f>
        <v>4.1875837173475823</v>
      </c>
      <c r="F43" s="17"/>
      <c r="G43" s="17"/>
      <c r="H43" s="17"/>
      <c r="I43" s="17"/>
    </row>
    <row r="44" spans="1:9" ht="15.75" x14ac:dyDescent="0.25">
      <c r="A44" s="19">
        <f>F27</f>
        <v>52.899999999999977</v>
      </c>
      <c r="B44" s="18">
        <f>E27</f>
        <v>1.4350282485875705</v>
      </c>
      <c r="C44" s="17"/>
      <c r="D44" s="18">
        <f>G11</f>
        <v>3.0395136778115504</v>
      </c>
      <c r="E44" s="18">
        <f>F11</f>
        <v>4.0479381894079447</v>
      </c>
      <c r="F44" s="17"/>
      <c r="G44" s="17"/>
      <c r="H44" s="17"/>
      <c r="I44" s="17"/>
    </row>
    <row r="45" spans="1:9" ht="15.75" x14ac:dyDescent="0.25">
      <c r="A45" s="19">
        <f>F28</f>
        <v>56.899999999999977</v>
      </c>
      <c r="B45" s="18">
        <f>E28</f>
        <v>1.4619047619047618</v>
      </c>
      <c r="C45" s="17"/>
      <c r="D45" s="18">
        <f>G12</f>
        <v>3.0030030030030028</v>
      </c>
      <c r="E45" s="18">
        <f>F12</f>
        <v>3.9049055376592818</v>
      </c>
      <c r="F45" s="17"/>
      <c r="G45" s="17"/>
      <c r="H45" s="17"/>
      <c r="I45" s="17"/>
    </row>
    <row r="46" spans="1:9" ht="15.75" x14ac:dyDescent="0.25">
      <c r="A46" s="19">
        <f>F29</f>
        <v>60.899999999999977</v>
      </c>
      <c r="B46" s="18">
        <f>E29</f>
        <v>1.4798464491362766</v>
      </c>
      <c r="C46" s="17"/>
      <c r="D46" s="18">
        <f>G13</f>
        <v>2.9673590504451037</v>
      </c>
      <c r="E46" s="18">
        <f>F13</f>
        <v>3.8345912652953298</v>
      </c>
      <c r="F46" s="17"/>
      <c r="G46" s="17"/>
      <c r="H46" s="17"/>
      <c r="I46" s="17"/>
    </row>
    <row r="47" spans="1:9" ht="15.75" x14ac:dyDescent="0.25">
      <c r="A47" s="19">
        <f>F30</f>
        <v>64.899999999999977</v>
      </c>
      <c r="B47" s="18">
        <f>E30</f>
        <v>1.4946859903381642</v>
      </c>
      <c r="C47" s="17"/>
      <c r="D47" s="18">
        <f>G14</f>
        <v>2.9325513196480939</v>
      </c>
      <c r="E47" s="18">
        <f>F14</f>
        <v>3.6604863796127187</v>
      </c>
      <c r="F47" s="17"/>
      <c r="G47" s="17"/>
      <c r="H47" s="17"/>
      <c r="I47" s="17"/>
    </row>
    <row r="48" spans="1:9" ht="15.75" x14ac:dyDescent="0.25">
      <c r="A48" s="19">
        <f>F31</f>
        <v>72.899999999999977</v>
      </c>
      <c r="B48" s="18">
        <f>E31</f>
        <v>1.5072886297376094</v>
      </c>
      <c r="C48" s="17"/>
      <c r="D48" s="18">
        <f>G15</f>
        <v>2.8985507246376812</v>
      </c>
      <c r="E48" s="18">
        <f>F15</f>
        <v>3.52567893876676</v>
      </c>
      <c r="F48" s="17"/>
      <c r="G48" s="17"/>
      <c r="H48" s="17"/>
      <c r="I48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E26C-FCD3-443A-82C6-77B42FFE0845}">
  <dimension ref="A1:U31"/>
  <sheetViews>
    <sheetView tabSelected="1" workbookViewId="0">
      <selection activeCell="U1" sqref="U1"/>
    </sheetView>
  </sheetViews>
  <sheetFormatPr defaultRowHeight="15" x14ac:dyDescent="0.25"/>
  <cols>
    <col min="5" max="5" width="17" customWidth="1"/>
    <col min="7" max="7" width="10.7109375" customWidth="1"/>
    <col min="10" max="10" width="12" bestFit="1" customWidth="1"/>
    <col min="14" max="14" width="8.5703125" customWidth="1"/>
    <col min="15" max="15" width="15.85546875" customWidth="1"/>
    <col min="16" max="16" width="11.5703125" customWidth="1"/>
    <col min="17" max="17" width="11.28515625" customWidth="1"/>
    <col min="18" max="18" width="12" customWidth="1"/>
  </cols>
  <sheetData>
    <row r="1" spans="1:21" ht="19.5" thickBot="1" x14ac:dyDescent="0.3">
      <c r="A1" s="1" t="s">
        <v>0</v>
      </c>
      <c r="B1" s="2"/>
      <c r="C1" s="2"/>
      <c r="D1" s="2"/>
      <c r="E1" s="2"/>
      <c r="F1" s="3"/>
      <c r="G1" s="4"/>
      <c r="I1" s="21" t="s">
        <v>27</v>
      </c>
      <c r="J1" s="21" t="s">
        <v>28</v>
      </c>
      <c r="K1" s="21" t="s">
        <v>29</v>
      </c>
      <c r="L1" s="21" t="s">
        <v>30</v>
      </c>
      <c r="M1" s="23" t="s">
        <v>31</v>
      </c>
      <c r="N1" s="23" t="s">
        <v>32</v>
      </c>
      <c r="O1" s="21" t="s">
        <v>37</v>
      </c>
      <c r="P1" s="21" t="s">
        <v>38</v>
      </c>
      <c r="Q1" s="21" t="s">
        <v>43</v>
      </c>
      <c r="R1" s="21" t="s">
        <v>44</v>
      </c>
      <c r="T1" s="21" t="s">
        <v>41</v>
      </c>
      <c r="U1" s="29">
        <f>AVERAGE(O2:O8)</f>
        <v>10.245721675355366</v>
      </c>
    </row>
    <row r="2" spans="1:21" ht="19.5" thickBot="1" x14ac:dyDescent="0.3">
      <c r="A2" s="5">
        <v>1</v>
      </c>
      <c r="B2" s="6">
        <v>293</v>
      </c>
      <c r="C2" s="6">
        <v>1058</v>
      </c>
      <c r="D2" s="6">
        <v>0.24099999999999999</v>
      </c>
      <c r="E2" s="7">
        <f>D2/C2*10^6</f>
        <v>227.78827977315689</v>
      </c>
      <c r="F2" s="7">
        <f>LN(E2)</f>
        <v>5.4284166000545477</v>
      </c>
      <c r="G2" s="7">
        <f>10^3/B2</f>
        <v>3.4129692832764507</v>
      </c>
      <c r="I2" s="21">
        <v>1</v>
      </c>
      <c r="J2" s="21">
        <f>I2+7</f>
        <v>8</v>
      </c>
      <c r="K2" s="27">
        <f>E2</f>
        <v>227.78827977315689</v>
      </c>
      <c r="L2" s="27">
        <f>E9</f>
        <v>77.173030056864334</v>
      </c>
      <c r="M2" s="28">
        <f>B2</f>
        <v>293</v>
      </c>
      <c r="N2" s="28">
        <f>B9</f>
        <v>321</v>
      </c>
      <c r="O2" s="27">
        <f>2*$J$10*(M2*N2)/(N2-M2)*LN(K2/L2)*10^20</f>
        <v>10.039272998133978</v>
      </c>
      <c r="P2" s="25">
        <f>2*$J$11*(M2*N2)/(N2-M2)*LN(K2/L2)</f>
        <v>0.62660189798428045</v>
      </c>
      <c r="Q2" s="25">
        <f>(O2-$U$1)^2</f>
        <v>4.262105632646096E-2</v>
      </c>
      <c r="R2" s="25">
        <f>(P2-$U$2)^2</f>
        <v>1.660363175773962E-4</v>
      </c>
      <c r="T2" s="21" t="s">
        <v>42</v>
      </c>
      <c r="U2" s="22">
        <f>AVERAGE(P2:P8)</f>
        <v>0.63948740602926635</v>
      </c>
    </row>
    <row r="3" spans="1:21" ht="19.5" thickBot="1" x14ac:dyDescent="0.3">
      <c r="A3" s="5">
        <v>2</v>
      </c>
      <c r="B3" s="6">
        <v>297</v>
      </c>
      <c r="C3" s="6">
        <v>1080</v>
      </c>
      <c r="D3" s="6">
        <v>0.21099999999999999</v>
      </c>
      <c r="E3" s="7">
        <f t="shared" ref="E3:E15" si="0">D3/C3*10^6</f>
        <v>195.37037037037035</v>
      </c>
      <c r="F3" s="7">
        <f t="shared" ref="F3:F15" si="1">LN(E3)</f>
        <v>5.2748970923399376</v>
      </c>
      <c r="G3" s="7">
        <f t="shared" ref="G3:G15" si="2">10^3/B3</f>
        <v>3.3670033670033672</v>
      </c>
      <c r="I3" s="21">
        <v>2</v>
      </c>
      <c r="J3" s="21">
        <f>I3+7</f>
        <v>9</v>
      </c>
      <c r="K3" s="27">
        <f t="shared" ref="K3:K8" si="3">E3</f>
        <v>195.37037037037035</v>
      </c>
      <c r="L3" s="27">
        <f t="shared" ref="L3:L8" si="4">E10</f>
        <v>65.863453815261053</v>
      </c>
      <c r="M3" s="28">
        <f t="shared" ref="M3:M8" si="5">B3</f>
        <v>297</v>
      </c>
      <c r="N3" s="28">
        <f t="shared" ref="N3:N8" si="6">B10</f>
        <v>325</v>
      </c>
      <c r="O3" s="27">
        <f t="shared" ref="O3:O8" si="7">2*$J$10*(M3*N3)/(N3-M3)*LN(K3/L3)*10^20</f>
        <v>10.350224921895322</v>
      </c>
      <c r="P3" s="25">
        <f t="shared" ref="P3:P8" si="8">2*$J$11*(M3*N3)/(N3-M3)*LN(K3/L3)</f>
        <v>0.64600998317600067</v>
      </c>
      <c r="Q3" s="25">
        <f t="shared" ref="Q3:Q8" si="9">(O3-$U$1)^2</f>
        <v>1.0920928537390783E-2</v>
      </c>
      <c r="R3" s="25">
        <f t="shared" ref="R3:R8" si="10">(P3-$U$2)^2</f>
        <v>4.2544012635100836E-5</v>
      </c>
    </row>
    <row r="4" spans="1:21" ht="19.5" thickBot="1" x14ac:dyDescent="0.3">
      <c r="A4" s="5">
        <v>3</v>
      </c>
      <c r="B4" s="6">
        <v>301</v>
      </c>
      <c r="C4" s="6">
        <v>1116</v>
      </c>
      <c r="D4" s="6">
        <v>0.188</v>
      </c>
      <c r="E4" s="7">
        <f t="shared" si="0"/>
        <v>168.45878136200719</v>
      </c>
      <c r="F4" s="7">
        <f t="shared" si="1"/>
        <v>5.1266910988708299</v>
      </c>
      <c r="G4" s="7">
        <f t="shared" si="2"/>
        <v>3.3222591362126246</v>
      </c>
      <c r="I4" s="21">
        <v>3</v>
      </c>
      <c r="J4" s="21">
        <f>I4+7</f>
        <v>10</v>
      </c>
      <c r="K4" s="27">
        <f t="shared" si="3"/>
        <v>168.45878136200719</v>
      </c>
      <c r="L4" s="27">
        <f t="shared" si="4"/>
        <v>57.279236276849637</v>
      </c>
      <c r="M4" s="28">
        <f t="shared" si="5"/>
        <v>301</v>
      </c>
      <c r="N4" s="28">
        <f t="shared" si="6"/>
        <v>329</v>
      </c>
      <c r="O4" s="27">
        <f t="shared" si="7"/>
        <v>10.535123245617893</v>
      </c>
      <c r="P4" s="25">
        <f t="shared" si="8"/>
        <v>0.65755042446096312</v>
      </c>
      <c r="Q4" s="25">
        <f t="shared" si="9"/>
        <v>8.3753268870416217E-2</v>
      </c>
      <c r="R4" s="25">
        <f t="shared" si="10"/>
        <v>3.2627263486381745E-4</v>
      </c>
      <c r="T4" t="s">
        <v>45</v>
      </c>
      <c r="U4">
        <f>1.4398*SQRT((SUM(Q2:Q8))/42)</f>
        <v>0.14579204627247458</v>
      </c>
    </row>
    <row r="5" spans="1:21" ht="19.5" thickBot="1" x14ac:dyDescent="0.3">
      <c r="A5" s="5">
        <v>4</v>
      </c>
      <c r="B5" s="6">
        <v>305</v>
      </c>
      <c r="C5" s="6">
        <v>1148</v>
      </c>
      <c r="D5" s="6">
        <v>0.161</v>
      </c>
      <c r="E5" s="7">
        <f t="shared" si="0"/>
        <v>140.2439024390244</v>
      </c>
      <c r="F5" s="7">
        <f t="shared" si="1"/>
        <v>4.9433830670870886</v>
      </c>
      <c r="G5" s="7">
        <f t="shared" si="2"/>
        <v>3.278688524590164</v>
      </c>
      <c r="I5" s="21">
        <v>4</v>
      </c>
      <c r="J5" s="21">
        <f>I5+7</f>
        <v>11</v>
      </c>
      <c r="K5" s="27">
        <f t="shared" si="3"/>
        <v>140.2439024390244</v>
      </c>
      <c r="L5" s="27">
        <f t="shared" si="4"/>
        <v>49.645390070921984</v>
      </c>
      <c r="M5" s="28">
        <f t="shared" si="5"/>
        <v>305</v>
      </c>
      <c r="N5" s="28">
        <f t="shared" si="6"/>
        <v>333</v>
      </c>
      <c r="O5" s="27">
        <f t="shared" si="7"/>
        <v>10.401510781360846</v>
      </c>
      <c r="P5" s="25">
        <f t="shared" si="8"/>
        <v>0.64921099353669387</v>
      </c>
      <c r="Q5" s="25">
        <f t="shared" si="9"/>
        <v>2.4270245549986795E-2</v>
      </c>
      <c r="R5" s="25">
        <f t="shared" si="10"/>
        <v>9.4548154014600583E-5</v>
      </c>
      <c r="T5" t="s">
        <v>46</v>
      </c>
      <c r="U5">
        <f>1.4398*SQRT((SUM(R2:R8))/42)</f>
        <v>9.0996203532192621E-3</v>
      </c>
    </row>
    <row r="6" spans="1:21" ht="19.5" thickBot="1" x14ac:dyDescent="0.3">
      <c r="A6" s="5">
        <v>5</v>
      </c>
      <c r="B6" s="6">
        <v>309</v>
      </c>
      <c r="C6" s="6">
        <v>1171</v>
      </c>
      <c r="D6" s="6">
        <v>0.14000000000000001</v>
      </c>
      <c r="E6" s="7">
        <f t="shared" si="0"/>
        <v>119.55593509820667</v>
      </c>
      <c r="F6" s="7">
        <f t="shared" si="1"/>
        <v>4.7837843379937244</v>
      </c>
      <c r="G6" s="7">
        <f t="shared" si="2"/>
        <v>3.2362459546925568</v>
      </c>
      <c r="I6" s="21">
        <v>5</v>
      </c>
      <c r="J6" s="21">
        <f>I6+7</f>
        <v>12</v>
      </c>
      <c r="K6" s="27">
        <f t="shared" si="3"/>
        <v>119.55593509820667</v>
      </c>
      <c r="L6" s="27">
        <f t="shared" si="4"/>
        <v>46.274509803921568</v>
      </c>
      <c r="M6" s="28">
        <f t="shared" si="5"/>
        <v>309</v>
      </c>
      <c r="N6" s="28">
        <f t="shared" si="6"/>
        <v>337</v>
      </c>
      <c r="O6" s="27">
        <f t="shared" si="7"/>
        <v>9.7476109540978513</v>
      </c>
      <c r="P6" s="25">
        <f t="shared" si="8"/>
        <v>0.6083977919302882</v>
      </c>
      <c r="Q6" s="25">
        <f t="shared" si="9"/>
        <v>0.24811429063168147</v>
      </c>
      <c r="R6" s="25">
        <f t="shared" si="10"/>
        <v>9.6656410482338071E-4</v>
      </c>
    </row>
    <row r="7" spans="1:21" ht="19.5" thickBot="1" x14ac:dyDescent="0.3">
      <c r="A7" s="5">
        <v>6</v>
      </c>
      <c r="B7" s="6">
        <v>313</v>
      </c>
      <c r="C7" s="6">
        <v>1194</v>
      </c>
      <c r="D7" s="6">
        <v>0.123</v>
      </c>
      <c r="E7" s="7">
        <f t="shared" si="0"/>
        <v>103.01507537688443</v>
      </c>
      <c r="F7" s="7">
        <f t="shared" si="1"/>
        <v>4.6348753404020071</v>
      </c>
      <c r="G7" s="7">
        <f t="shared" si="2"/>
        <v>3.1948881789137382</v>
      </c>
      <c r="I7" s="21">
        <v>6</v>
      </c>
      <c r="J7" s="21">
        <f>I7+7</f>
        <v>13</v>
      </c>
      <c r="K7" s="27">
        <f t="shared" si="3"/>
        <v>103.01507537688443</v>
      </c>
      <c r="L7" s="27">
        <f t="shared" si="4"/>
        <v>38.880248833592539</v>
      </c>
      <c r="M7" s="28">
        <f t="shared" si="5"/>
        <v>313</v>
      </c>
      <c r="N7" s="28">
        <f t="shared" si="6"/>
        <v>341</v>
      </c>
      <c r="O7" s="27">
        <f t="shared" si="7"/>
        <v>10.256196160086841</v>
      </c>
      <c r="P7" s="25">
        <f t="shared" si="8"/>
        <v>0.64014117169679707</v>
      </c>
      <c r="Q7" s="25">
        <f t="shared" si="9"/>
        <v>1.0971483038989937E-4</v>
      </c>
      <c r="R7" s="25">
        <f t="shared" si="10"/>
        <v>4.274095480418954E-7</v>
      </c>
    </row>
    <row r="8" spans="1:21" ht="19.5" thickBot="1" x14ac:dyDescent="0.3">
      <c r="A8" s="5">
        <v>7</v>
      </c>
      <c r="B8" s="6">
        <v>317</v>
      </c>
      <c r="C8" s="6">
        <v>1213</v>
      </c>
      <c r="D8" s="6">
        <v>0.108</v>
      </c>
      <c r="E8" s="7">
        <f t="shared" si="0"/>
        <v>89.035449299258033</v>
      </c>
      <c r="F8" s="7">
        <f t="shared" si="1"/>
        <v>4.4890345971623065</v>
      </c>
      <c r="G8" s="7">
        <f t="shared" si="2"/>
        <v>3.1545741324921135</v>
      </c>
      <c r="I8" s="21">
        <v>7</v>
      </c>
      <c r="J8" s="21">
        <f>I8+7</f>
        <v>14</v>
      </c>
      <c r="K8" s="27">
        <f t="shared" si="3"/>
        <v>89.035449299258033</v>
      </c>
      <c r="L8" s="27">
        <f t="shared" si="4"/>
        <v>33.97683397683398</v>
      </c>
      <c r="M8" s="28">
        <f t="shared" si="5"/>
        <v>317</v>
      </c>
      <c r="N8" s="28">
        <f t="shared" si="6"/>
        <v>345</v>
      </c>
      <c r="O8" s="27">
        <f t="shared" si="7"/>
        <v>10.390112666294831</v>
      </c>
      <c r="P8" s="25">
        <f t="shared" si="8"/>
        <v>0.64849957941984138</v>
      </c>
      <c r="Q8" s="25">
        <f t="shared" si="9"/>
        <v>2.0848758264480714E-2</v>
      </c>
      <c r="R8" s="25">
        <f t="shared" si="10"/>
        <v>8.1219269221788617E-5</v>
      </c>
    </row>
    <row r="9" spans="1:21" ht="19.5" thickBot="1" x14ac:dyDescent="0.3">
      <c r="A9" s="5">
        <v>8</v>
      </c>
      <c r="B9" s="6">
        <v>321</v>
      </c>
      <c r="C9" s="6">
        <v>1231</v>
      </c>
      <c r="D9" s="6">
        <v>9.5000000000000001E-2</v>
      </c>
      <c r="E9" s="7">
        <f t="shared" si="0"/>
        <v>77.173030056864334</v>
      </c>
      <c r="F9" s="7">
        <f t="shared" si="1"/>
        <v>4.3460500443982246</v>
      </c>
      <c r="G9" s="7">
        <f t="shared" si="2"/>
        <v>3.1152647975077881</v>
      </c>
    </row>
    <row r="10" spans="1:21" ht="19.5" thickBot="1" x14ac:dyDescent="0.3">
      <c r="A10" s="5">
        <v>9</v>
      </c>
      <c r="B10" s="6">
        <v>325</v>
      </c>
      <c r="C10" s="6">
        <v>1245</v>
      </c>
      <c r="D10" s="6">
        <v>8.2000000000000003E-2</v>
      </c>
      <c r="E10" s="7">
        <f t="shared" si="0"/>
        <v>65.863453815261053</v>
      </c>
      <c r="F10" s="7">
        <f t="shared" si="1"/>
        <v>4.1875837173475823</v>
      </c>
      <c r="G10" s="7">
        <f t="shared" si="2"/>
        <v>3.0769230769230771</v>
      </c>
      <c r="I10" t="s">
        <v>39</v>
      </c>
      <c r="J10" s="21">
        <f>1.380649*10^-23</f>
        <v>1.3806490000000001E-23</v>
      </c>
    </row>
    <row r="11" spans="1:21" ht="19.5" thickBot="1" x14ac:dyDescent="0.3">
      <c r="A11" s="5">
        <v>10</v>
      </c>
      <c r="B11" s="6">
        <v>329</v>
      </c>
      <c r="C11" s="6">
        <v>1257</v>
      </c>
      <c r="D11" s="6">
        <v>7.1999999999999995E-2</v>
      </c>
      <c r="E11" s="7">
        <f t="shared" si="0"/>
        <v>57.279236276849637</v>
      </c>
      <c r="F11" s="7">
        <f t="shared" si="1"/>
        <v>4.0479381894079447</v>
      </c>
      <c r="G11" s="7">
        <f t="shared" si="2"/>
        <v>3.0395136778115504</v>
      </c>
      <c r="I11" t="s">
        <v>40</v>
      </c>
      <c r="J11">
        <f>8.61733*10^-5</f>
        <v>8.6173300000000011E-5</v>
      </c>
    </row>
    <row r="12" spans="1:21" ht="19.5" thickBot="1" x14ac:dyDescent="0.3">
      <c r="A12" s="5">
        <v>11</v>
      </c>
      <c r="B12" s="6">
        <v>333</v>
      </c>
      <c r="C12" s="6">
        <v>1269</v>
      </c>
      <c r="D12" s="6">
        <v>6.3E-2</v>
      </c>
      <c r="E12" s="7">
        <f t="shared" si="0"/>
        <v>49.645390070921984</v>
      </c>
      <c r="F12" s="7">
        <f t="shared" si="1"/>
        <v>3.9049055376592818</v>
      </c>
      <c r="G12" s="7">
        <f t="shared" si="2"/>
        <v>3.0030030030030028</v>
      </c>
    </row>
    <row r="13" spans="1:21" ht="19.5" thickBot="1" x14ac:dyDescent="0.3">
      <c r="A13" s="5">
        <v>12</v>
      </c>
      <c r="B13" s="6">
        <v>337</v>
      </c>
      <c r="C13" s="6">
        <v>1275</v>
      </c>
      <c r="D13" s="6">
        <v>5.8999999999999997E-2</v>
      </c>
      <c r="E13" s="7">
        <f t="shared" si="0"/>
        <v>46.274509803921568</v>
      </c>
      <c r="F13" s="7">
        <f t="shared" si="1"/>
        <v>3.8345912652953298</v>
      </c>
      <c r="G13" s="7">
        <f t="shared" si="2"/>
        <v>2.9673590504451037</v>
      </c>
    </row>
    <row r="14" spans="1:21" ht="19.5" thickBot="1" x14ac:dyDescent="0.3">
      <c r="A14" s="5">
        <v>13</v>
      </c>
      <c r="B14" s="6">
        <v>341</v>
      </c>
      <c r="C14" s="6">
        <v>1286</v>
      </c>
      <c r="D14" s="6">
        <v>0.05</v>
      </c>
      <c r="E14" s="7">
        <f t="shared" si="0"/>
        <v>38.880248833592539</v>
      </c>
      <c r="F14" s="7">
        <f t="shared" si="1"/>
        <v>3.6604863796127187</v>
      </c>
      <c r="G14" s="7">
        <f t="shared" si="2"/>
        <v>2.9325513196480939</v>
      </c>
    </row>
    <row r="15" spans="1:21" ht="18.75" x14ac:dyDescent="0.25">
      <c r="A15" s="9">
        <v>14</v>
      </c>
      <c r="B15" s="10">
        <v>345</v>
      </c>
      <c r="C15" s="10">
        <v>1295</v>
      </c>
      <c r="D15" s="10">
        <v>4.3999999999999997E-2</v>
      </c>
      <c r="E15" s="11">
        <f t="shared" si="0"/>
        <v>33.97683397683398</v>
      </c>
      <c r="F15" s="11">
        <f t="shared" si="1"/>
        <v>3.52567893876676</v>
      </c>
      <c r="G15" s="11">
        <f t="shared" si="2"/>
        <v>2.8985507246376812</v>
      </c>
    </row>
    <row r="16" spans="1:21" ht="18.75" x14ac:dyDescent="0.25">
      <c r="A16" s="13"/>
      <c r="B16" s="13"/>
      <c r="C16" s="14"/>
      <c r="D16" s="14"/>
      <c r="E16" s="15"/>
      <c r="F16" s="13"/>
      <c r="G16" s="13"/>
    </row>
    <row r="17" spans="1:17" ht="19.5" thickBot="1" x14ac:dyDescent="0.3">
      <c r="A17" s="5" t="s">
        <v>0</v>
      </c>
      <c r="B17" s="12" t="e" vm="1">
        <v>#VALUE!</v>
      </c>
      <c r="C17" s="12" t="e" vm="2">
        <v>#VALUE!</v>
      </c>
      <c r="D17" s="12" t="e" vm="3">
        <v>#VALUE!</v>
      </c>
      <c r="E17" s="12" t="e" vm="4">
        <v>#VALUE!</v>
      </c>
      <c r="F17" s="12" t="e" vm="5">
        <v>#VALUE!</v>
      </c>
      <c r="H17" s="21" t="s">
        <v>27</v>
      </c>
      <c r="I17" s="21" t="s">
        <v>28</v>
      </c>
      <c r="J17" s="21" t="s">
        <v>29</v>
      </c>
      <c r="K17" s="21" t="s">
        <v>30</v>
      </c>
      <c r="L17" s="23" t="s">
        <v>31</v>
      </c>
      <c r="M17" s="23" t="s">
        <v>32</v>
      </c>
      <c r="N17" s="23" t="s">
        <v>33</v>
      </c>
      <c r="O17" s="23" t="s">
        <v>36</v>
      </c>
    </row>
    <row r="18" spans="1:17" ht="19.5" thickBot="1" x14ac:dyDescent="0.3">
      <c r="A18" s="5">
        <v>1</v>
      </c>
      <c r="B18" s="6">
        <v>290</v>
      </c>
      <c r="C18" s="6">
        <v>1165</v>
      </c>
      <c r="D18" s="6">
        <v>1.4450000000000001</v>
      </c>
      <c r="E18" s="7">
        <f>D18/C18*10^3</f>
        <v>1.2403433476394849</v>
      </c>
      <c r="F18" s="8">
        <f>B18-273.1</f>
        <v>16.899999999999977</v>
      </c>
      <c r="H18" s="21">
        <v>1</v>
      </c>
      <c r="I18" s="21">
        <f>H18+7</f>
        <v>8</v>
      </c>
      <c r="J18" s="22">
        <f>E18</f>
        <v>1.2403433476394849</v>
      </c>
      <c r="K18" s="22">
        <f>E25</f>
        <v>1.3767186067827681</v>
      </c>
      <c r="L18" s="24">
        <f>F18</f>
        <v>16.899999999999977</v>
      </c>
      <c r="M18" s="24">
        <f>F25</f>
        <v>44.899999999999977</v>
      </c>
      <c r="N18" s="16">
        <f>(J18-K18)/(K18*L18-J18*M18)*10^3</f>
        <v>4.2058842901747413</v>
      </c>
      <c r="O18" s="26">
        <f>($Q$18-N18)^2</f>
        <v>0.12157192675455475</v>
      </c>
      <c r="P18" t="s">
        <v>34</v>
      </c>
      <c r="Q18" s="16">
        <f>AVERAGE(N18:N24)</f>
        <v>4.5545559505581954</v>
      </c>
    </row>
    <row r="19" spans="1:17" ht="19.5" thickBot="1" x14ac:dyDescent="0.3">
      <c r="A19" s="5">
        <v>2</v>
      </c>
      <c r="B19" s="6">
        <v>294</v>
      </c>
      <c r="C19" s="6">
        <v>1151</v>
      </c>
      <c r="D19" s="6">
        <v>1.4550000000000001</v>
      </c>
      <c r="E19" s="7">
        <f t="shared" ref="E19:E31" si="11">D19/C19*10^3</f>
        <v>1.2641181581233709</v>
      </c>
      <c r="F19" s="8">
        <f t="shared" ref="F19:F31" si="12">B19-273.1</f>
        <v>20.899999999999977</v>
      </c>
      <c r="H19" s="21">
        <v>2</v>
      </c>
      <c r="I19" s="21">
        <f>H19+7</f>
        <v>9</v>
      </c>
      <c r="J19" s="22">
        <f>E19</f>
        <v>1.2641181581233709</v>
      </c>
      <c r="K19" s="22">
        <f>E26</f>
        <v>1.410232558139535</v>
      </c>
      <c r="L19" s="24">
        <f t="shared" ref="L19:L24" si="13">F19</f>
        <v>20.899999999999977</v>
      </c>
      <c r="M19" s="24">
        <f t="shared" ref="M19:M24" si="14">F26</f>
        <v>48.899999999999977</v>
      </c>
      <c r="N19" s="16">
        <f t="shared" ref="N19:N24" si="15">(J19-K19)/(K19*L19-J19*M19)*10^3</f>
        <v>4.5178585131240911</v>
      </c>
      <c r="O19" s="26">
        <f t="shared" ref="O19:O24" si="16">($Q$18-N19)^2</f>
        <v>1.346701914229996E-3</v>
      </c>
    </row>
    <row r="20" spans="1:17" ht="19.5" thickBot="1" x14ac:dyDescent="0.3">
      <c r="A20" s="5">
        <v>3</v>
      </c>
      <c r="B20" s="6">
        <v>298</v>
      </c>
      <c r="C20" s="6">
        <v>1137</v>
      </c>
      <c r="D20" s="6">
        <v>1.464</v>
      </c>
      <c r="E20" s="7">
        <f t="shared" si="11"/>
        <v>1.287598944591029</v>
      </c>
      <c r="F20" s="8">
        <f t="shared" si="12"/>
        <v>24.899999999999977</v>
      </c>
      <c r="H20" s="21">
        <v>3</v>
      </c>
      <c r="I20" s="21">
        <f>H20+7</f>
        <v>10</v>
      </c>
      <c r="J20" s="22">
        <f t="shared" ref="J20:J24" si="17">E20</f>
        <v>1.287598944591029</v>
      </c>
      <c r="K20" s="22">
        <f t="shared" ref="K20:K23" si="18">E27</f>
        <v>1.4350282485875705</v>
      </c>
      <c r="L20" s="24">
        <f t="shared" si="13"/>
        <v>24.899999999999977</v>
      </c>
      <c r="M20" s="24">
        <f t="shared" si="14"/>
        <v>52.899999999999977</v>
      </c>
      <c r="N20" s="16">
        <f t="shared" si="15"/>
        <v>4.5528473249374937</v>
      </c>
      <c r="O20" s="26">
        <f t="shared" si="16"/>
        <v>2.9194015117183767E-6</v>
      </c>
      <c r="P20" t="s">
        <v>35</v>
      </c>
      <c r="Q20">
        <f>1.4398*SQRT((SUM(O18:O24))/42)</f>
        <v>0.19682430643335599</v>
      </c>
    </row>
    <row r="21" spans="1:17" ht="19.5" thickBot="1" x14ac:dyDescent="0.3">
      <c r="A21" s="5">
        <v>4</v>
      </c>
      <c r="B21" s="6">
        <v>302</v>
      </c>
      <c r="C21" s="6">
        <v>1122</v>
      </c>
      <c r="D21" s="6">
        <v>1.4730000000000001</v>
      </c>
      <c r="E21" s="7">
        <f t="shared" si="11"/>
        <v>1.3128342245989306</v>
      </c>
      <c r="F21" s="8">
        <f t="shared" si="12"/>
        <v>28.899999999999977</v>
      </c>
      <c r="H21" s="21">
        <v>4</v>
      </c>
      <c r="I21" s="21">
        <f>H21+7</f>
        <v>11</v>
      </c>
      <c r="J21" s="22">
        <f t="shared" si="17"/>
        <v>1.3128342245989306</v>
      </c>
      <c r="K21" s="22">
        <f t="shared" si="18"/>
        <v>1.4619047619047618</v>
      </c>
      <c r="L21" s="24">
        <f t="shared" si="13"/>
        <v>28.899999999999977</v>
      </c>
      <c r="M21" s="24">
        <f t="shared" si="14"/>
        <v>56.899999999999977</v>
      </c>
      <c r="N21" s="16">
        <f t="shared" si="15"/>
        <v>4.5936805582475309</v>
      </c>
      <c r="O21" s="26">
        <f t="shared" si="16"/>
        <v>1.530734926844407E-3</v>
      </c>
    </row>
    <row r="22" spans="1:17" ht="19.5" thickBot="1" x14ac:dyDescent="0.3">
      <c r="A22" s="5">
        <v>5</v>
      </c>
      <c r="B22" s="6">
        <v>306</v>
      </c>
      <c r="C22" s="6">
        <v>1116</v>
      </c>
      <c r="D22" s="6">
        <v>1.4810000000000001</v>
      </c>
      <c r="E22" s="7">
        <f t="shared" si="11"/>
        <v>1.3270609318996416</v>
      </c>
      <c r="F22" s="8">
        <f t="shared" si="12"/>
        <v>32.899999999999977</v>
      </c>
      <c r="H22" s="21">
        <v>5</v>
      </c>
      <c r="I22" s="21">
        <f>H22+7</f>
        <v>12</v>
      </c>
      <c r="J22" s="22">
        <f t="shared" si="17"/>
        <v>1.3270609318996416</v>
      </c>
      <c r="K22" s="22">
        <f t="shared" si="18"/>
        <v>1.4798464491362766</v>
      </c>
      <c r="L22" s="24">
        <f t="shared" si="13"/>
        <v>32.899999999999977</v>
      </c>
      <c r="M22" s="24">
        <f t="shared" si="14"/>
        <v>60.899999999999977</v>
      </c>
      <c r="N22" s="16">
        <f t="shared" si="15"/>
        <v>4.7550720389265626</v>
      </c>
      <c r="O22" s="26">
        <f t="shared" si="16"/>
        <v>4.0206701694550845E-2</v>
      </c>
    </row>
    <row r="23" spans="1:17" ht="19.5" thickBot="1" x14ac:dyDescent="0.3">
      <c r="A23" s="5">
        <v>6</v>
      </c>
      <c r="B23" s="6">
        <v>310</v>
      </c>
      <c r="C23" s="6">
        <v>1113</v>
      </c>
      <c r="D23" s="6">
        <v>1.4830000000000001</v>
      </c>
      <c r="E23" s="7">
        <f t="shared" si="11"/>
        <v>1.3324348607367478</v>
      </c>
      <c r="F23" s="8">
        <f t="shared" si="12"/>
        <v>36.899999999999977</v>
      </c>
      <c r="H23" s="21">
        <v>6</v>
      </c>
      <c r="I23" s="21">
        <f>H23+7</f>
        <v>13</v>
      </c>
      <c r="J23" s="22">
        <f t="shared" si="17"/>
        <v>1.3324348607367478</v>
      </c>
      <c r="K23" s="22">
        <f t="shared" si="18"/>
        <v>1.4946859903381642</v>
      </c>
      <c r="L23" s="24">
        <f t="shared" si="13"/>
        <v>36.899999999999977</v>
      </c>
      <c r="M23" s="24">
        <f t="shared" si="14"/>
        <v>64.899999999999977</v>
      </c>
      <c r="N23" s="16">
        <f t="shared" si="15"/>
        <v>5.1802484846347063</v>
      </c>
      <c r="O23" s="26">
        <f t="shared" si="16"/>
        <v>0.39149114719908579</v>
      </c>
    </row>
    <row r="24" spans="1:17" ht="19.5" thickBot="1" x14ac:dyDescent="0.3">
      <c r="A24" s="5">
        <v>7</v>
      </c>
      <c r="B24" s="6">
        <v>314</v>
      </c>
      <c r="C24" s="6">
        <v>1102</v>
      </c>
      <c r="D24" s="6">
        <v>1.494</v>
      </c>
      <c r="E24" s="7">
        <f t="shared" si="11"/>
        <v>1.3557168784029039</v>
      </c>
      <c r="F24" s="8">
        <f t="shared" si="12"/>
        <v>40.899999999999977</v>
      </c>
      <c r="H24" s="21">
        <v>7</v>
      </c>
      <c r="I24" s="21">
        <f>H24+7</f>
        <v>14</v>
      </c>
      <c r="J24" s="22">
        <f t="shared" si="17"/>
        <v>1.3557168784029039</v>
      </c>
      <c r="K24" s="22">
        <f>E31</f>
        <v>1.5072886297376094</v>
      </c>
      <c r="L24" s="24">
        <f t="shared" si="13"/>
        <v>40.899999999999977</v>
      </c>
      <c r="M24" s="24">
        <f t="shared" si="14"/>
        <v>72.899999999999977</v>
      </c>
      <c r="N24" s="16">
        <f t="shared" si="15"/>
        <v>4.0763004438622428</v>
      </c>
      <c r="O24" s="26">
        <f t="shared" si="16"/>
        <v>0.2287283296850024</v>
      </c>
    </row>
    <row r="25" spans="1:17" ht="19.5" thickBot="1" x14ac:dyDescent="0.3">
      <c r="A25" s="5">
        <v>8</v>
      </c>
      <c r="B25" s="6">
        <v>318</v>
      </c>
      <c r="C25" s="6">
        <v>1091</v>
      </c>
      <c r="D25" s="6">
        <v>1.502</v>
      </c>
      <c r="E25" s="7">
        <f t="shared" si="11"/>
        <v>1.3767186067827681</v>
      </c>
      <c r="F25" s="8">
        <f t="shared" si="12"/>
        <v>44.899999999999977</v>
      </c>
    </row>
    <row r="26" spans="1:17" ht="19.5" thickBot="1" x14ac:dyDescent="0.3">
      <c r="A26" s="5">
        <v>9</v>
      </c>
      <c r="B26" s="6">
        <v>322</v>
      </c>
      <c r="C26" s="6">
        <v>1075</v>
      </c>
      <c r="D26" s="6">
        <v>1.516</v>
      </c>
      <c r="E26" s="7">
        <f t="shared" si="11"/>
        <v>1.410232558139535</v>
      </c>
      <c r="F26" s="8">
        <f t="shared" si="12"/>
        <v>48.899999999999977</v>
      </c>
    </row>
    <row r="27" spans="1:17" ht="19.5" thickBot="1" x14ac:dyDescent="0.3">
      <c r="A27" s="5">
        <v>10</v>
      </c>
      <c r="B27" s="6">
        <v>326</v>
      </c>
      <c r="C27" s="6">
        <v>1062</v>
      </c>
      <c r="D27" s="6">
        <v>1.524</v>
      </c>
      <c r="E27" s="7">
        <f t="shared" si="11"/>
        <v>1.4350282485875705</v>
      </c>
      <c r="F27" s="8">
        <f t="shared" si="12"/>
        <v>52.899999999999977</v>
      </c>
    </row>
    <row r="28" spans="1:17" ht="19.5" thickBot="1" x14ac:dyDescent="0.3">
      <c r="A28" s="5">
        <v>11</v>
      </c>
      <c r="B28" s="6">
        <v>330</v>
      </c>
      <c r="C28" s="6">
        <v>1050</v>
      </c>
      <c r="D28" s="6">
        <v>1.5349999999999999</v>
      </c>
      <c r="E28" s="7">
        <f t="shared" si="11"/>
        <v>1.4619047619047618</v>
      </c>
      <c r="F28" s="8">
        <f t="shared" si="12"/>
        <v>56.899999999999977</v>
      </c>
    </row>
    <row r="29" spans="1:17" ht="19.5" thickBot="1" x14ac:dyDescent="0.3">
      <c r="A29" s="5">
        <v>12</v>
      </c>
      <c r="B29" s="6">
        <v>334</v>
      </c>
      <c r="C29" s="6">
        <v>1042</v>
      </c>
      <c r="D29" s="6">
        <v>1.542</v>
      </c>
      <c r="E29" s="7">
        <f t="shared" si="11"/>
        <v>1.4798464491362766</v>
      </c>
      <c r="F29" s="8">
        <f t="shared" si="12"/>
        <v>60.899999999999977</v>
      </c>
    </row>
    <row r="30" spans="1:17" ht="19.5" thickBot="1" x14ac:dyDescent="0.3">
      <c r="A30" s="5">
        <v>13</v>
      </c>
      <c r="B30" s="6">
        <v>338</v>
      </c>
      <c r="C30" s="6">
        <v>1035</v>
      </c>
      <c r="D30" s="6">
        <v>1.5469999999999999</v>
      </c>
      <c r="E30" s="7">
        <f t="shared" si="11"/>
        <v>1.4946859903381642</v>
      </c>
      <c r="F30" s="8">
        <f t="shared" si="12"/>
        <v>64.899999999999977</v>
      </c>
    </row>
    <row r="31" spans="1:17" ht="19.5" thickBot="1" x14ac:dyDescent="0.3">
      <c r="A31" s="5">
        <v>14</v>
      </c>
      <c r="B31" s="6">
        <v>346</v>
      </c>
      <c r="C31" s="6">
        <v>1029</v>
      </c>
      <c r="D31" s="6">
        <v>1.5509999999999999</v>
      </c>
      <c r="E31" s="7">
        <f t="shared" si="11"/>
        <v>1.5072886297376094</v>
      </c>
      <c r="F31" s="8">
        <f t="shared" si="12"/>
        <v>72.899999999999977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Балин Артем Алексеевич</cp:lastModifiedBy>
  <dcterms:created xsi:type="dcterms:W3CDTF">2015-06-05T18:19:34Z</dcterms:created>
  <dcterms:modified xsi:type="dcterms:W3CDTF">2024-04-22T17:06:38Z</dcterms:modified>
</cp:coreProperties>
</file>