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git\docs_for_labs\physics\lab2\"/>
    </mc:Choice>
  </mc:AlternateContent>
  <bookViews>
    <workbookView xWindow="0" yWindow="0" windowWidth="24900" windowHeight="468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1" i="1" l="1"/>
  <c r="P50" i="1"/>
  <c r="H49" i="1"/>
  <c r="H48" i="1"/>
  <c r="M52" i="1"/>
  <c r="I43" i="1" l="1"/>
  <c r="I42" i="1"/>
  <c r="I41" i="1"/>
  <c r="I40" i="1"/>
  <c r="I39" i="1"/>
  <c r="H40" i="1"/>
  <c r="H41" i="1"/>
  <c r="H42" i="1"/>
  <c r="H43" i="1"/>
  <c r="H39" i="1"/>
  <c r="J42" i="1" l="1"/>
  <c r="P32" i="1"/>
  <c r="O32" i="1"/>
  <c r="P27" i="1"/>
  <c r="O27" i="1"/>
  <c r="P17" i="1"/>
  <c r="P22" i="1"/>
  <c r="O22" i="1"/>
  <c r="O17" i="1"/>
  <c r="P12" i="1"/>
  <c r="O12" i="1"/>
  <c r="H18" i="1"/>
  <c r="I18" i="1" s="1"/>
  <c r="H19" i="1"/>
  <c r="I19" i="1" s="1"/>
  <c r="H20" i="1"/>
  <c r="I20" i="1" s="1"/>
  <c r="H21" i="1"/>
  <c r="I21" i="1" s="1"/>
  <c r="H22" i="1"/>
  <c r="H23" i="1"/>
  <c r="I23" i="1" s="1"/>
  <c r="H24" i="1"/>
  <c r="I24" i="1" s="1"/>
  <c r="H25" i="1"/>
  <c r="I25" i="1" s="1"/>
  <c r="H26" i="1"/>
  <c r="I26" i="1" s="1"/>
  <c r="H27" i="1"/>
  <c r="H28" i="1"/>
  <c r="I28" i="1" s="1"/>
  <c r="H29" i="1"/>
  <c r="I29" i="1" s="1"/>
  <c r="H30" i="1"/>
  <c r="I30" i="1" s="1"/>
  <c r="H31" i="1"/>
  <c r="I31" i="1" s="1"/>
  <c r="H32" i="1"/>
  <c r="H13" i="1"/>
  <c r="I13" i="1" s="1"/>
  <c r="H14" i="1"/>
  <c r="I14" i="1" s="1"/>
  <c r="H15" i="1"/>
  <c r="I15" i="1" s="1"/>
  <c r="H16" i="1"/>
  <c r="I16" i="1" s="1"/>
  <c r="H17" i="1"/>
  <c r="H12" i="1"/>
  <c r="C3" i="1"/>
  <c r="E3" i="1" s="1"/>
  <c r="C4" i="1"/>
  <c r="E4" i="1" s="1"/>
  <c r="C5" i="1"/>
  <c r="E5" i="1" s="1"/>
  <c r="C6" i="1"/>
  <c r="H6" i="1" s="1"/>
  <c r="C2" i="1"/>
  <c r="E2" i="1" s="1"/>
  <c r="M48" i="1" l="1"/>
  <c r="I12" i="1"/>
  <c r="AA12" i="1"/>
  <c r="AD12" i="1" s="1"/>
  <c r="M50" i="1"/>
  <c r="I22" i="1"/>
  <c r="M49" i="1"/>
  <c r="I17" i="1"/>
  <c r="R22" i="1"/>
  <c r="J43" i="1"/>
  <c r="J41" i="1"/>
  <c r="I32" i="1"/>
  <c r="J40" i="1"/>
  <c r="M51" i="1"/>
  <c r="I27" i="1"/>
  <c r="Y27" i="1"/>
  <c r="J39" i="1"/>
  <c r="T18" i="1"/>
  <c r="T20" i="1"/>
  <c r="T21" i="1"/>
  <c r="T19" i="1"/>
  <c r="T17" i="1"/>
  <c r="T29" i="1"/>
  <c r="T31" i="1"/>
  <c r="T28" i="1"/>
  <c r="T30" i="1"/>
  <c r="T27" i="1"/>
  <c r="U27" i="1" s="1"/>
  <c r="T33" i="1"/>
  <c r="T32" i="1"/>
  <c r="T34" i="1"/>
  <c r="T35" i="1"/>
  <c r="T36" i="1"/>
  <c r="R32" i="1"/>
  <c r="Y32" i="1" s="1"/>
  <c r="R27" i="1"/>
  <c r="H5" i="1"/>
  <c r="N36" i="1"/>
  <c r="N15" i="1"/>
  <c r="N16" i="1"/>
  <c r="N12" i="1"/>
  <c r="N33" i="1"/>
  <c r="N13" i="1"/>
  <c r="N14" i="1"/>
  <c r="N32" i="1"/>
  <c r="N34" i="1"/>
  <c r="N35" i="1"/>
  <c r="H4" i="1"/>
  <c r="T15" i="1"/>
  <c r="T12" i="1"/>
  <c r="R12" i="1"/>
  <c r="T16" i="1"/>
  <c r="T13" i="1"/>
  <c r="T14" i="1"/>
  <c r="R17" i="1"/>
  <c r="N26" i="1"/>
  <c r="N23" i="1"/>
  <c r="N24" i="1"/>
  <c r="N25" i="1"/>
  <c r="N22" i="1"/>
  <c r="N29" i="1"/>
  <c r="N30" i="1"/>
  <c r="N31" i="1"/>
  <c r="N28" i="1"/>
  <c r="N27" i="1"/>
  <c r="E6" i="1"/>
  <c r="H3" i="1"/>
  <c r="N17" i="1"/>
  <c r="N18" i="1"/>
  <c r="N19" i="1"/>
  <c r="N20" i="1"/>
  <c r="N21" i="1"/>
  <c r="H2" i="1"/>
  <c r="L49" i="1" l="1"/>
  <c r="L48" i="1"/>
  <c r="AB12" i="1"/>
  <c r="L50" i="1"/>
  <c r="Y22" i="1"/>
  <c r="Y12" i="1"/>
  <c r="Z12" i="1" s="1"/>
  <c r="L51" i="1"/>
  <c r="AC12" i="1"/>
  <c r="V38" i="1" s="1"/>
  <c r="Y17" i="1"/>
  <c r="L52" i="1"/>
  <c r="Q12" i="1"/>
  <c r="Q22" i="1"/>
  <c r="W22" i="1" s="1"/>
  <c r="F2" i="1"/>
  <c r="Q27" i="1"/>
  <c r="W27" i="1" s="1"/>
  <c r="U12" i="1"/>
  <c r="W12" i="1" s="1"/>
  <c r="Q17" i="1"/>
  <c r="W17" i="1"/>
  <c r="U32" i="1"/>
  <c r="W32" i="1" s="1"/>
  <c r="N6" i="1"/>
  <c r="AE12" i="1" l="1"/>
  <c r="AA38" i="1" s="1"/>
  <c r="N2" i="1"/>
  <c r="O2" i="1" s="1"/>
  <c r="AF12" i="1"/>
  <c r="N5" i="1"/>
  <c r="N3" i="1"/>
  <c r="N4" i="1"/>
  <c r="P49" i="1" l="1"/>
  <c r="P48" i="1"/>
  <c r="T39" i="1"/>
  <c r="U39" i="1" s="1"/>
  <c r="T38" i="1"/>
  <c r="U38" i="1" s="1"/>
  <c r="T41" i="1"/>
  <c r="U41" i="1" s="1"/>
  <c r="T42" i="1"/>
  <c r="U42" i="1" s="1"/>
  <c r="T40" i="1"/>
  <c r="U40" i="1" s="1"/>
  <c r="X38" i="1" l="1"/>
  <c r="Y38" i="1" s="1"/>
  <c r="Z38" i="1" s="1"/>
</calcChain>
</file>

<file path=xl/sharedStrings.xml><?xml version="1.0" encoding="utf-8"?>
<sst xmlns="http://schemas.openxmlformats.org/spreadsheetml/2006/main" count="54" uniqueCount="45">
  <si>
    <t>t1</t>
  </si>
  <si>
    <t>t2</t>
  </si>
  <si>
    <t>Z</t>
  </si>
  <si>
    <t>Y</t>
  </si>
  <si>
    <t>a</t>
  </si>
  <si>
    <t>z^2</t>
  </si>
  <si>
    <t>СКО</t>
  </si>
  <si>
    <t>(y-az)^2</t>
  </si>
  <si>
    <t>zy</t>
  </si>
  <si>
    <t>ско</t>
  </si>
  <si>
    <t>sina</t>
  </si>
  <si>
    <t>h</t>
  </si>
  <si>
    <t>h'</t>
  </si>
  <si>
    <t>h0</t>
  </si>
  <si>
    <t>h0'</t>
  </si>
  <si>
    <t>x</t>
  </si>
  <si>
    <t>x'</t>
  </si>
  <si>
    <t>&lt;t1&gt;</t>
  </si>
  <si>
    <t>&lt;t2&gt;</t>
  </si>
  <si>
    <t>x1</t>
  </si>
  <si>
    <t>x2</t>
  </si>
  <si>
    <t>дельта t</t>
  </si>
  <si>
    <t>дельта a</t>
  </si>
  <si>
    <t>дX</t>
  </si>
  <si>
    <t>B</t>
  </si>
  <si>
    <t>asina</t>
  </si>
  <si>
    <t>sumsina</t>
  </si>
  <si>
    <t>suma</t>
  </si>
  <si>
    <t>sina^2</t>
  </si>
  <si>
    <t>sin^2</t>
  </si>
  <si>
    <t>sum^2</t>
  </si>
  <si>
    <t>sum asina</t>
  </si>
  <si>
    <t>A</t>
  </si>
  <si>
    <t>d</t>
  </si>
  <si>
    <t>D</t>
  </si>
  <si>
    <t>СКО g</t>
  </si>
  <si>
    <t>абс g</t>
  </si>
  <si>
    <t>отн</t>
  </si>
  <si>
    <t>отн от табл</t>
  </si>
  <si>
    <t>дельта y</t>
  </si>
  <si>
    <t>эпс y</t>
  </si>
  <si>
    <t>дельта z</t>
  </si>
  <si>
    <t>эпс z</t>
  </si>
  <si>
    <t>Для графика</t>
  </si>
  <si>
    <t>Y=aZ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</si>
</sst>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00"/>
    <numFmt numFmtId="166" formatCode="0.00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i/>
      <sz val="12"/>
      <color theme="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0" xfId="0" applyFont="1"/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2"/>
  <sheetViews>
    <sheetView tabSelected="1" topLeftCell="D30" workbookViewId="0">
      <selection activeCell="P50" sqref="P50:P51"/>
    </sheetView>
  </sheetViews>
  <sheetFormatPr defaultRowHeight="15" x14ac:dyDescent="0.25"/>
  <sheetData>
    <row r="1" spans="1:32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4</v>
      </c>
      <c r="H1" t="s">
        <v>5</v>
      </c>
      <c r="M1" s="3" t="s">
        <v>6</v>
      </c>
      <c r="N1" t="s">
        <v>7</v>
      </c>
      <c r="O1" t="s">
        <v>9</v>
      </c>
    </row>
    <row r="2" spans="1:32" ht="15.75" thickBot="1" x14ac:dyDescent="0.3">
      <c r="A2">
        <v>1.6</v>
      </c>
      <c r="B2">
        <v>2.5</v>
      </c>
      <c r="C2">
        <f>(B2*B2-A2*A2)/2</f>
        <v>1.8449999999999998</v>
      </c>
      <c r="D2" s="1">
        <v>0.25</v>
      </c>
      <c r="E2">
        <f>C2*D2</f>
        <v>0.46124999999999994</v>
      </c>
      <c r="F2">
        <f>SUM(E2:E6)/SUM(H2:H6)</f>
        <v>0.11255206458245116</v>
      </c>
      <c r="H2">
        <f>C2*C2</f>
        <v>3.404024999999999</v>
      </c>
      <c r="N2">
        <f>POWER(D2-$F$2*C2,2)</f>
        <v>1.7927976128626138E-3</v>
      </c>
      <c r="O2">
        <f>SQRT(SUM(N2:N6)/(4*SUM(H2:H6)))</f>
        <v>3.0641468715113169E-3</v>
      </c>
    </row>
    <row r="3" spans="1:32" ht="15.75" thickBot="1" x14ac:dyDescent="0.3">
      <c r="A3">
        <v>1.6</v>
      </c>
      <c r="B3">
        <v>2.9</v>
      </c>
      <c r="C3">
        <f t="shared" ref="C3:C6" si="0">(B3*B3-A3*A3)/2</f>
        <v>2.9249999999999998</v>
      </c>
      <c r="D3" s="2">
        <v>0.35</v>
      </c>
      <c r="E3">
        <f t="shared" ref="E3:E6" si="1">C3*D3</f>
        <v>1.0237499999999999</v>
      </c>
      <c r="H3">
        <f t="shared" ref="H3:H6" si="2">C3*C3</f>
        <v>8.5556249999999991</v>
      </c>
      <c r="N3">
        <f t="shared" ref="N3:N5" si="3">POWER(D3-$F$2*C3,2)</f>
        <v>4.3202500031901467E-4</v>
      </c>
    </row>
    <row r="4" spans="1:32" ht="15.75" thickBot="1" x14ac:dyDescent="0.3">
      <c r="A4">
        <v>1.6</v>
      </c>
      <c r="B4">
        <v>3.5</v>
      </c>
      <c r="C4">
        <f t="shared" si="0"/>
        <v>4.8449999999999998</v>
      </c>
      <c r="D4" s="2">
        <v>0.55000000000000004</v>
      </c>
      <c r="E4">
        <f t="shared" si="1"/>
        <v>2.6647500000000002</v>
      </c>
      <c r="H4">
        <f t="shared" si="2"/>
        <v>23.474024999999997</v>
      </c>
      <c r="N4">
        <f t="shared" si="3"/>
        <v>2.195154036954422E-5</v>
      </c>
    </row>
    <row r="5" spans="1:32" ht="15.75" thickBot="1" x14ac:dyDescent="0.3">
      <c r="A5">
        <v>1.6</v>
      </c>
      <c r="B5">
        <v>3.9</v>
      </c>
      <c r="C5">
        <f t="shared" si="0"/>
        <v>6.3249999999999993</v>
      </c>
      <c r="D5" s="2">
        <v>0.75</v>
      </c>
      <c r="E5">
        <f t="shared" si="1"/>
        <v>4.7437499999999995</v>
      </c>
      <c r="H5">
        <f t="shared" si="2"/>
        <v>40.005624999999988</v>
      </c>
      <c r="N5">
        <f t="shared" si="3"/>
        <v>1.452234260619862E-3</v>
      </c>
    </row>
    <row r="6" spans="1:32" ht="15.75" thickBot="1" x14ac:dyDescent="0.3">
      <c r="A6">
        <v>1.6</v>
      </c>
      <c r="B6">
        <v>4.5</v>
      </c>
      <c r="C6">
        <f t="shared" si="0"/>
        <v>8.8449999999999989</v>
      </c>
      <c r="D6" s="2">
        <v>0.95</v>
      </c>
      <c r="E6">
        <f t="shared" si="1"/>
        <v>8.4027499999999993</v>
      </c>
      <c r="H6">
        <f t="shared" si="2"/>
        <v>78.234024999999974</v>
      </c>
      <c r="N6">
        <f>POWER(D6-$F$2*C6,2)</f>
        <v>2.0723445516088123E-3</v>
      </c>
    </row>
    <row r="9" spans="1:32" x14ac:dyDescent="0.25">
      <c r="P9" t="s">
        <v>23</v>
      </c>
    </row>
    <row r="10" spans="1:32" x14ac:dyDescent="0.25">
      <c r="E10" t="s">
        <v>10</v>
      </c>
      <c r="P10">
        <v>5.0000000000000001E-3</v>
      </c>
    </row>
    <row r="11" spans="1:32" ht="15.75" thickBot="1" x14ac:dyDescent="0.3">
      <c r="A11" t="s">
        <v>15</v>
      </c>
      <c r="B11" t="s">
        <v>16</v>
      </c>
      <c r="C11" t="s">
        <v>13</v>
      </c>
      <c r="D11" t="s">
        <v>14</v>
      </c>
      <c r="E11" t="s">
        <v>11</v>
      </c>
      <c r="F11" t="s">
        <v>12</v>
      </c>
      <c r="H11" t="s">
        <v>10</v>
      </c>
      <c r="I11" t="s">
        <v>28</v>
      </c>
      <c r="J11" t="s">
        <v>19</v>
      </c>
      <c r="K11" t="s">
        <v>20</v>
      </c>
      <c r="L11" t="s">
        <v>0</v>
      </c>
      <c r="M11" t="s">
        <v>1</v>
      </c>
      <c r="O11" t="s">
        <v>17</v>
      </c>
      <c r="P11" t="s">
        <v>18</v>
      </c>
      <c r="Q11" t="s">
        <v>21</v>
      </c>
      <c r="R11" t="s">
        <v>4</v>
      </c>
      <c r="W11" t="s">
        <v>22</v>
      </c>
      <c r="Y11" t="s">
        <v>25</v>
      </c>
      <c r="Z11" t="s">
        <v>31</v>
      </c>
      <c r="AA11" t="s">
        <v>26</v>
      </c>
      <c r="AB11" s="16" t="s">
        <v>27</v>
      </c>
      <c r="AC11" s="16" t="s">
        <v>29</v>
      </c>
      <c r="AD11" s="16" t="s">
        <v>30</v>
      </c>
      <c r="AE11" s="16" t="s">
        <v>24</v>
      </c>
      <c r="AF11" s="16" t="s">
        <v>32</v>
      </c>
    </row>
    <row r="12" spans="1:32" ht="15.75" thickBot="1" x14ac:dyDescent="0.3">
      <c r="A12">
        <v>220</v>
      </c>
      <c r="B12">
        <v>1000</v>
      </c>
      <c r="C12">
        <v>164</v>
      </c>
      <c r="D12">
        <v>164</v>
      </c>
      <c r="E12">
        <v>155</v>
      </c>
      <c r="F12">
        <v>164</v>
      </c>
      <c r="H12">
        <f>(($C$12-E12)-($D$12-F12))/($B$12-$A$12)</f>
        <v>1.1538461538461539E-2</v>
      </c>
      <c r="I12">
        <f>H12*H12</f>
        <v>1.3313609467455623E-4</v>
      </c>
      <c r="J12">
        <v>0.15</v>
      </c>
      <c r="K12">
        <v>1.1000000000000001</v>
      </c>
      <c r="L12" s="6">
        <v>1.6</v>
      </c>
      <c r="M12" s="7">
        <v>4.5</v>
      </c>
      <c r="N12" s="16">
        <f>($O$12-L12)^2</f>
        <v>1.6000000000000029E-3</v>
      </c>
      <c r="O12" s="16">
        <f>SUM(L12:L16)/5</f>
        <v>1.56</v>
      </c>
      <c r="P12" s="16">
        <f>AVERAGE(M12:M16)</f>
        <v>4.46</v>
      </c>
      <c r="Q12" s="16">
        <f>SQRT(SUM(N12:N16)/4/5)</f>
        <v>4.0000000000000036E-2</v>
      </c>
      <c r="R12" s="16">
        <f>(2*($K$12-$J$12))/(POWER(P12,2)-POWER(O12,2))</f>
        <v>0.10883262687593083</v>
      </c>
      <c r="S12" s="16"/>
      <c r="T12" s="16">
        <f>($P$12-M12)^2</f>
        <v>1.6000000000000029E-3</v>
      </c>
      <c r="U12" s="16">
        <f>SQRT(SUM(T12:T16)/4/5)</f>
        <v>4.0000000000000036E-2</v>
      </c>
      <c r="V12" s="16"/>
      <c r="W12" s="16">
        <f>R12*SQRT((2*$P$10)^2/($K$12-$J$12)^2+4*((O12*Q12)^2+(P12*U12)^2)/(O12^2-P12^2)^2)</f>
        <v>2.6201372436072427E-3</v>
      </c>
      <c r="X12" s="16"/>
      <c r="Y12" s="16">
        <f>H12*R12</f>
        <v>1.2557610793376636E-3</v>
      </c>
      <c r="Z12" s="16">
        <f>SUM(Y12:Y32)</f>
        <v>6.3363999033635196E-2</v>
      </c>
      <c r="AA12" s="16">
        <f>SUM(H12:H32)</f>
        <v>0.16153846153846152</v>
      </c>
      <c r="AB12" s="16">
        <f>SUM(R12:R33)</f>
        <v>1.6028265142521714</v>
      </c>
      <c r="AC12" s="16">
        <f>SUM(I12:I32)</f>
        <v>6.41025641025641E-3</v>
      </c>
      <c r="AD12" s="16">
        <f>AA12^2</f>
        <v>2.6094674556213011E-2</v>
      </c>
      <c r="AE12" s="16">
        <f>(Z12-AA12*AB12/5)/(AC12-AD12/5)</f>
        <v>9.7206112692093942</v>
      </c>
      <c r="AF12">
        <f>(AB12-AE12*AA12)/5</f>
        <v>6.5147849221308006E-3</v>
      </c>
    </row>
    <row r="13" spans="1:32" ht="15.75" thickBot="1" x14ac:dyDescent="0.3">
      <c r="H13">
        <f t="shared" ref="H13:H32" si="4">(($C$12-E13)-($D$12-F13))/($B$12-$A$12)</f>
        <v>0</v>
      </c>
      <c r="I13">
        <f t="shared" ref="I13:I32" si="5">H13*H13</f>
        <v>0</v>
      </c>
      <c r="L13" s="8">
        <v>1.6</v>
      </c>
      <c r="M13" s="9">
        <v>4.5</v>
      </c>
      <c r="N13" s="16">
        <f>($O$12-L13)^2</f>
        <v>1.6000000000000029E-3</v>
      </c>
      <c r="O13" s="16"/>
      <c r="P13" s="16"/>
      <c r="Q13" s="16"/>
      <c r="R13" s="16">
        <v>0</v>
      </c>
      <c r="S13" s="16"/>
      <c r="T13" s="16">
        <f>($P$12-M13)^2</f>
        <v>1.6000000000000029E-3</v>
      </c>
      <c r="U13" s="16"/>
      <c r="V13" s="16"/>
      <c r="W13" s="16"/>
      <c r="X13" s="16"/>
      <c r="Y13" s="16"/>
      <c r="Z13" s="16"/>
      <c r="AA13" s="16"/>
      <c r="AB13" s="16"/>
      <c r="AC13" s="16"/>
      <c r="AD13" s="16"/>
    </row>
    <row r="14" spans="1:32" ht="15.75" thickBot="1" x14ac:dyDescent="0.3">
      <c r="H14">
        <f t="shared" si="4"/>
        <v>0</v>
      </c>
      <c r="I14">
        <f t="shared" si="5"/>
        <v>0</v>
      </c>
      <c r="L14" s="8">
        <v>1.6</v>
      </c>
      <c r="M14" s="9">
        <v>4.5</v>
      </c>
      <c r="N14" s="16">
        <f>($O$12-L14)^2</f>
        <v>1.6000000000000029E-3</v>
      </c>
      <c r="O14" s="16"/>
      <c r="P14" s="16"/>
      <c r="Q14" s="16"/>
      <c r="R14" s="16">
        <v>0</v>
      </c>
      <c r="S14" s="16"/>
      <c r="T14" s="16">
        <f>($P$12-M14)^2</f>
        <v>1.6000000000000029E-3</v>
      </c>
      <c r="U14" s="16"/>
      <c r="V14" s="16"/>
      <c r="W14" s="16"/>
      <c r="X14" s="16"/>
      <c r="Y14" s="16"/>
      <c r="Z14" s="16"/>
      <c r="AA14" s="16"/>
      <c r="AB14" s="16"/>
      <c r="AC14" s="16"/>
      <c r="AD14" s="16"/>
    </row>
    <row r="15" spans="1:32" ht="15.75" thickBot="1" x14ac:dyDescent="0.3">
      <c r="H15">
        <f t="shared" si="4"/>
        <v>0</v>
      </c>
      <c r="I15">
        <f t="shared" si="5"/>
        <v>0</v>
      </c>
      <c r="L15" s="8">
        <v>1.6</v>
      </c>
      <c r="M15" s="9">
        <v>4.5</v>
      </c>
      <c r="N15" s="16">
        <f>($O$12-L15)^2</f>
        <v>1.6000000000000029E-3</v>
      </c>
      <c r="O15" s="16"/>
      <c r="P15" s="16"/>
      <c r="Q15" s="16"/>
      <c r="R15" s="16">
        <v>0</v>
      </c>
      <c r="S15" s="16"/>
      <c r="T15" s="16">
        <f>($P$12-M15)^2</f>
        <v>1.6000000000000029E-3</v>
      </c>
      <c r="U15" s="16"/>
      <c r="V15" s="16"/>
      <c r="W15" s="16"/>
      <c r="X15" s="16"/>
      <c r="Y15" s="16"/>
      <c r="Z15" s="16"/>
      <c r="AA15" s="16"/>
      <c r="AB15" s="16"/>
      <c r="AC15" s="16"/>
      <c r="AD15" s="16"/>
    </row>
    <row r="16" spans="1:32" ht="15.75" thickBot="1" x14ac:dyDescent="0.3">
      <c r="H16">
        <f t="shared" si="4"/>
        <v>0</v>
      </c>
      <c r="I16">
        <f t="shared" si="5"/>
        <v>0</v>
      </c>
      <c r="L16" s="8">
        <v>1.4</v>
      </c>
      <c r="M16" s="9">
        <v>4.3</v>
      </c>
      <c r="N16" s="16">
        <f>($O$12-L16)^2</f>
        <v>2.5600000000000046E-2</v>
      </c>
      <c r="O16" s="16"/>
      <c r="P16" s="16"/>
      <c r="Q16" s="16"/>
      <c r="R16" s="16">
        <v>0</v>
      </c>
      <c r="S16" s="16"/>
      <c r="T16" s="16">
        <f>($P$12-M16)^2</f>
        <v>2.5600000000000046E-2</v>
      </c>
      <c r="U16" s="16"/>
      <c r="V16" s="16"/>
      <c r="W16" s="16"/>
      <c r="X16" s="16"/>
      <c r="Y16" s="16"/>
      <c r="Z16" s="16"/>
      <c r="AA16" s="16"/>
      <c r="AB16" s="16"/>
      <c r="AC16" s="16"/>
      <c r="AD16" s="16"/>
    </row>
    <row r="17" spans="5:30" ht="15.75" thickBot="1" x14ac:dyDescent="0.3">
      <c r="E17">
        <v>146</v>
      </c>
      <c r="F17">
        <v>162</v>
      </c>
      <c r="H17">
        <f t="shared" si="4"/>
        <v>2.0512820512820513E-2</v>
      </c>
      <c r="I17">
        <f t="shared" si="5"/>
        <v>4.2077580539119001E-4</v>
      </c>
      <c r="L17" s="10">
        <v>1.1000000000000001</v>
      </c>
      <c r="M17" s="11">
        <v>3.2</v>
      </c>
      <c r="N17" s="16">
        <f>($O$17-L17)^2</f>
        <v>3.9999999999999183E-4</v>
      </c>
      <c r="O17" s="16">
        <f>AVERAGE(L17:L21)</f>
        <v>1.1199999999999999</v>
      </c>
      <c r="P17" s="16">
        <f>AVERAGE(M17:M21)</f>
        <v>3.2</v>
      </c>
      <c r="Q17" s="16">
        <f>SQRT(SUM(N17:N21)/4/5)</f>
        <v>1.9999999999999973E-2</v>
      </c>
      <c r="R17" s="16">
        <f>(2*($K$12-$J$12))/(POWER(P17,2)-POWER(O17,2))</f>
        <v>0.21144943019943019</v>
      </c>
      <c r="S17" s="16"/>
      <c r="T17" s="16">
        <f>($P$17-M17)^2</f>
        <v>0</v>
      </c>
      <c r="U17" s="16">
        <v>0</v>
      </c>
      <c r="V17" s="16"/>
      <c r="W17" s="16">
        <f>R17*SQRT((2*$P$10)^2/($K$12-$J$12)^2+4*((O17*Q17)^2+(P17*U17)^2)/(O17^2-P17^2)^2)</f>
        <v>2.4628283788188307E-3</v>
      </c>
      <c r="X17" s="16"/>
      <c r="Y17" s="16">
        <f>H17*R17</f>
        <v>4.3374242092190807E-3</v>
      </c>
      <c r="Z17" s="16"/>
      <c r="AA17" s="16"/>
      <c r="AB17" s="16"/>
      <c r="AC17" s="16"/>
      <c r="AD17" s="16"/>
    </row>
    <row r="18" spans="5:30" ht="15.75" thickBot="1" x14ac:dyDescent="0.3">
      <c r="H18">
        <f t="shared" si="4"/>
        <v>0</v>
      </c>
      <c r="I18">
        <f t="shared" si="5"/>
        <v>0</v>
      </c>
      <c r="L18" s="10">
        <v>1.2</v>
      </c>
      <c r="M18" s="11">
        <v>3.2</v>
      </c>
      <c r="N18" s="16">
        <f>($O$17-L18)^2</f>
        <v>6.4000000000000116E-3</v>
      </c>
      <c r="O18" s="16"/>
      <c r="P18" s="16"/>
      <c r="Q18" s="16"/>
      <c r="R18" s="16">
        <v>0</v>
      </c>
      <c r="S18" s="16"/>
      <c r="T18" s="16">
        <f>($P$17-M18)^2</f>
        <v>0</v>
      </c>
      <c r="U18" s="16"/>
      <c r="V18" s="16"/>
      <c r="W18" s="16"/>
      <c r="X18" s="16"/>
      <c r="Y18" s="16"/>
      <c r="Z18" s="16"/>
      <c r="AA18" s="16"/>
      <c r="AB18" s="16"/>
      <c r="AC18" s="16"/>
      <c r="AD18" s="16"/>
    </row>
    <row r="19" spans="5:30" ht="15.75" thickBot="1" x14ac:dyDescent="0.3">
      <c r="H19">
        <f t="shared" si="4"/>
        <v>0</v>
      </c>
      <c r="I19">
        <f t="shared" si="5"/>
        <v>0</v>
      </c>
      <c r="L19" s="10">
        <v>1.1000000000000001</v>
      </c>
      <c r="M19" s="11">
        <v>3.2</v>
      </c>
      <c r="N19" s="16">
        <f>($O$17-L19)^2</f>
        <v>3.9999999999999183E-4</v>
      </c>
      <c r="O19" s="16"/>
      <c r="P19" s="16"/>
      <c r="Q19" s="16"/>
      <c r="R19" s="16">
        <v>0</v>
      </c>
      <c r="S19" s="16"/>
      <c r="T19" s="16">
        <f>($P$17-M19)^2</f>
        <v>0</v>
      </c>
      <c r="U19" s="16"/>
      <c r="V19" s="16"/>
      <c r="W19" s="16"/>
      <c r="X19" s="16"/>
      <c r="Y19" s="16"/>
      <c r="Z19" s="16"/>
      <c r="AA19" s="16"/>
      <c r="AB19" s="16"/>
      <c r="AC19" s="16"/>
      <c r="AD19" s="16"/>
    </row>
    <row r="20" spans="5:30" ht="15.75" thickBot="1" x14ac:dyDescent="0.3">
      <c r="H20">
        <f t="shared" si="4"/>
        <v>0</v>
      </c>
      <c r="I20">
        <f t="shared" si="5"/>
        <v>0</v>
      </c>
      <c r="L20" s="10">
        <v>1.1000000000000001</v>
      </c>
      <c r="M20" s="11">
        <v>3.2</v>
      </c>
      <c r="N20" s="16">
        <f>($O$17-L20)^2</f>
        <v>3.9999999999999183E-4</v>
      </c>
      <c r="O20" s="16"/>
      <c r="P20" s="16"/>
      <c r="Q20" s="16"/>
      <c r="R20" s="16">
        <v>0</v>
      </c>
      <c r="S20" s="16"/>
      <c r="T20" s="16">
        <f>($P$17-M20)^2</f>
        <v>0</v>
      </c>
      <c r="U20" s="16"/>
      <c r="V20" s="16"/>
      <c r="W20" s="16"/>
      <c r="X20" s="16"/>
      <c r="Y20" s="16"/>
      <c r="Z20" s="16"/>
      <c r="AA20" s="16"/>
      <c r="AB20" s="16"/>
      <c r="AC20" s="16"/>
      <c r="AD20" s="16"/>
    </row>
    <row r="21" spans="5:30" ht="15.75" thickBot="1" x14ac:dyDescent="0.3">
      <c r="H21">
        <f t="shared" si="4"/>
        <v>0</v>
      </c>
      <c r="I21">
        <f t="shared" si="5"/>
        <v>0</v>
      </c>
      <c r="L21" s="10">
        <v>1.1000000000000001</v>
      </c>
      <c r="M21" s="11">
        <v>3.2</v>
      </c>
      <c r="N21" s="16">
        <f>($O$17-L21)^2</f>
        <v>3.9999999999999183E-4</v>
      </c>
      <c r="O21" s="16"/>
      <c r="P21" s="16"/>
      <c r="Q21" s="16"/>
      <c r="R21" s="16">
        <v>0</v>
      </c>
      <c r="S21" s="16"/>
      <c r="T21" s="16">
        <f>($P$17-M21)^2</f>
        <v>0</v>
      </c>
      <c r="U21" s="16"/>
      <c r="V21" s="16"/>
      <c r="W21" s="16"/>
      <c r="X21" s="16"/>
      <c r="Y21" s="16"/>
      <c r="Z21" s="16"/>
      <c r="AA21" s="16"/>
      <c r="AB21" s="16"/>
      <c r="AC21" s="16"/>
      <c r="AD21" s="16"/>
    </row>
    <row r="22" spans="5:30" ht="15.75" thickBot="1" x14ac:dyDescent="0.3">
      <c r="E22">
        <v>137</v>
      </c>
      <c r="F22">
        <v>162</v>
      </c>
      <c r="H22">
        <f t="shared" si="4"/>
        <v>3.2051282051282048E-2</v>
      </c>
      <c r="I22">
        <f t="shared" si="5"/>
        <v>1.0272846811308347E-3</v>
      </c>
      <c r="L22" s="12">
        <v>0.9</v>
      </c>
      <c r="M22" s="13">
        <v>2.6</v>
      </c>
      <c r="N22" s="16">
        <f>($O$22-L22)^2</f>
        <v>0</v>
      </c>
      <c r="O22" s="16">
        <f>AVERAGE(L22:L26)</f>
        <v>0.9</v>
      </c>
      <c r="P22" s="16">
        <f>AVERAGE(M22:M26)</f>
        <v>2.6</v>
      </c>
      <c r="Q22" s="16">
        <f>SQRT(SUM(N22:N26)/4/5)</f>
        <v>0</v>
      </c>
      <c r="R22" s="16">
        <f>(2*($K$12-$J$12))/(POWER(P22,2)-POWER(O22,2))</f>
        <v>0.31932773109243695</v>
      </c>
      <c r="S22" s="16"/>
      <c r="T22" s="16"/>
      <c r="U22" s="16">
        <v>0</v>
      </c>
      <c r="V22" s="16"/>
      <c r="W22" s="16">
        <f>R22*SQRT((2*$P$10)^2/($K$12-$J$12)^2+4*((O22*Q22)^2+(P22*U22)^2)/(O22^2-P22^2)^2)</f>
        <v>3.3613445378151258E-3</v>
      </c>
      <c r="X22" s="16"/>
      <c r="Y22" s="16">
        <f>H22*R22</f>
        <v>1.0234863176039645E-2</v>
      </c>
      <c r="Z22" s="16"/>
      <c r="AA22" s="16"/>
      <c r="AB22" s="16"/>
      <c r="AC22" s="16"/>
      <c r="AD22" s="16"/>
    </row>
    <row r="23" spans="5:30" ht="15.75" thickBot="1" x14ac:dyDescent="0.3">
      <c r="H23">
        <f t="shared" si="4"/>
        <v>0</v>
      </c>
      <c r="I23">
        <f t="shared" si="5"/>
        <v>0</v>
      </c>
      <c r="L23" s="12">
        <v>0.9</v>
      </c>
      <c r="M23" s="13">
        <v>2.6</v>
      </c>
      <c r="N23" s="16">
        <f>($O$22-L23)^2</f>
        <v>0</v>
      </c>
      <c r="O23" s="16"/>
      <c r="P23" s="16"/>
      <c r="Q23" s="16"/>
      <c r="R23" s="16">
        <v>0</v>
      </c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</row>
    <row r="24" spans="5:30" ht="15.75" thickBot="1" x14ac:dyDescent="0.3">
      <c r="H24">
        <f t="shared" si="4"/>
        <v>0</v>
      </c>
      <c r="I24">
        <f t="shared" si="5"/>
        <v>0</v>
      </c>
      <c r="L24" s="12">
        <v>0.9</v>
      </c>
      <c r="M24" s="13">
        <v>2.6</v>
      </c>
      <c r="N24" s="16">
        <f>($O$22-L24)^2</f>
        <v>0</v>
      </c>
      <c r="O24" s="16"/>
      <c r="P24" s="16"/>
      <c r="Q24" s="16"/>
      <c r="R24" s="16">
        <v>0</v>
      </c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</row>
    <row r="25" spans="5:30" ht="15.75" thickBot="1" x14ac:dyDescent="0.3">
      <c r="H25">
        <f t="shared" si="4"/>
        <v>0</v>
      </c>
      <c r="I25">
        <f t="shared" si="5"/>
        <v>0</v>
      </c>
      <c r="L25" s="12">
        <v>0.9</v>
      </c>
      <c r="M25" s="13">
        <v>2.6</v>
      </c>
      <c r="N25" s="16">
        <f>($O$22-L25)^2</f>
        <v>0</v>
      </c>
      <c r="O25" s="16"/>
      <c r="P25" s="16"/>
      <c r="Q25" s="16"/>
      <c r="R25" s="16">
        <v>0</v>
      </c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</row>
    <row r="26" spans="5:30" ht="15.75" thickBot="1" x14ac:dyDescent="0.3">
      <c r="H26">
        <f t="shared" si="4"/>
        <v>0</v>
      </c>
      <c r="I26">
        <f t="shared" si="5"/>
        <v>0</v>
      </c>
      <c r="L26" s="12">
        <v>0.9</v>
      </c>
      <c r="M26" s="13">
        <v>2.6</v>
      </c>
      <c r="N26" s="16">
        <f>($O$22-L26)^2</f>
        <v>0</v>
      </c>
      <c r="O26" s="16"/>
      <c r="P26" s="16"/>
      <c r="Q26" s="16"/>
      <c r="R26" s="16">
        <v>0</v>
      </c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</row>
    <row r="27" spans="5:30" ht="15.75" thickBot="1" x14ac:dyDescent="0.3">
      <c r="E27">
        <v>128</v>
      </c>
      <c r="F27">
        <v>161</v>
      </c>
      <c r="H27">
        <f t="shared" si="4"/>
        <v>4.230769230769231E-2</v>
      </c>
      <c r="I27">
        <f t="shared" si="5"/>
        <v>1.7899408284023672E-3</v>
      </c>
      <c r="L27" s="14">
        <v>0.8</v>
      </c>
      <c r="M27" s="15">
        <v>2.2000000000000002</v>
      </c>
      <c r="N27" s="16">
        <f>($O$27-L27)^2</f>
        <v>0</v>
      </c>
      <c r="O27" s="16">
        <f>AVERAGE(L27:L31)</f>
        <v>0.8</v>
      </c>
      <c r="P27" s="16">
        <f>AVERAGE(M27:M31)</f>
        <v>2.2399999999999998</v>
      </c>
      <c r="Q27" s="16">
        <f>SQRT(SUM(N27:N31)/4/5)</f>
        <v>0</v>
      </c>
      <c r="R27" s="16">
        <f>(2*($K$12-$J$12))/(POWER(P27,2)-POWER(O27,2))</f>
        <v>0.4340277777777779</v>
      </c>
      <c r="S27" s="16"/>
      <c r="T27" s="16">
        <f>($P$27-M27)^2</f>
        <v>1.5999999999999673E-3</v>
      </c>
      <c r="U27" s="16">
        <f>SQRT(SUM(T27:T31)/4/5)</f>
        <v>2.4494897427831695E-2</v>
      </c>
      <c r="V27" s="16"/>
      <c r="W27" s="16">
        <f>R27*SQRT((2*$P$10)^2/($K$12-$J$12)^2+4*((O27*Q27)^2+(P27*U27)^2)/(O27^2-P27^2)^2)</f>
        <v>1.1800462654430938E-2</v>
      </c>
      <c r="X27" s="16"/>
      <c r="Y27" s="16">
        <f>H27*R27</f>
        <v>1.8362713675213683E-2</v>
      </c>
      <c r="Z27" s="16"/>
      <c r="AA27" s="16"/>
      <c r="AB27" s="16"/>
      <c r="AC27" s="16"/>
      <c r="AD27" s="16"/>
    </row>
    <row r="28" spans="5:30" ht="15.75" thickBot="1" x14ac:dyDescent="0.3">
      <c r="H28">
        <f t="shared" si="4"/>
        <v>0</v>
      </c>
      <c r="I28">
        <f t="shared" si="5"/>
        <v>0</v>
      </c>
      <c r="L28" s="14">
        <v>0.8</v>
      </c>
      <c r="M28" s="15">
        <v>2.2999999999999998</v>
      </c>
      <c r="N28" s="16">
        <f>($O$27-L28)^2</f>
        <v>0</v>
      </c>
      <c r="O28" s="16"/>
      <c r="P28" s="16"/>
      <c r="Q28" s="16"/>
      <c r="R28" s="16">
        <v>0</v>
      </c>
      <c r="S28" s="16"/>
      <c r="T28" s="16">
        <f>($P$27-M28)^2</f>
        <v>3.6000000000000064E-3</v>
      </c>
      <c r="U28" s="16"/>
      <c r="V28" s="16"/>
      <c r="W28" s="16"/>
      <c r="X28" s="16"/>
      <c r="Y28" s="16"/>
      <c r="Z28" s="16"/>
      <c r="AA28" s="16"/>
      <c r="AB28" s="16"/>
      <c r="AC28" s="16"/>
      <c r="AD28" s="16"/>
    </row>
    <row r="29" spans="5:30" ht="15.75" thickBot="1" x14ac:dyDescent="0.3">
      <c r="H29">
        <f t="shared" si="4"/>
        <v>0</v>
      </c>
      <c r="I29">
        <f t="shared" si="5"/>
        <v>0</v>
      </c>
      <c r="L29" s="14">
        <v>0.8</v>
      </c>
      <c r="M29" s="15">
        <v>2.2999999999999998</v>
      </c>
      <c r="N29" s="16">
        <f>($O$27-L29)^2</f>
        <v>0</v>
      </c>
      <c r="O29" s="16"/>
      <c r="P29" s="16"/>
      <c r="Q29" s="16"/>
      <c r="R29" s="16">
        <v>0</v>
      </c>
      <c r="S29" s="16"/>
      <c r="T29" s="16">
        <f>($P$27-M29)^2</f>
        <v>3.6000000000000064E-3</v>
      </c>
      <c r="U29" s="16"/>
      <c r="V29" s="16"/>
      <c r="W29" s="16"/>
      <c r="X29" s="16"/>
      <c r="Y29" s="16"/>
      <c r="Z29" s="16"/>
      <c r="AA29" s="16"/>
      <c r="AB29" s="16"/>
      <c r="AC29" s="16"/>
      <c r="AD29" s="16"/>
    </row>
    <row r="30" spans="5:30" ht="15.75" thickBot="1" x14ac:dyDescent="0.3">
      <c r="H30">
        <f t="shared" si="4"/>
        <v>0</v>
      </c>
      <c r="I30">
        <f t="shared" si="5"/>
        <v>0</v>
      </c>
      <c r="L30" s="14">
        <v>0.8</v>
      </c>
      <c r="M30" s="15">
        <v>2.2000000000000002</v>
      </c>
      <c r="N30" s="16">
        <f>($O$27-L30)^2</f>
        <v>0</v>
      </c>
      <c r="O30" s="16"/>
      <c r="P30" s="16"/>
      <c r="Q30" s="16"/>
      <c r="R30" s="16">
        <v>0</v>
      </c>
      <c r="S30" s="16"/>
      <c r="T30" s="16">
        <f>($P$27-M30)^2</f>
        <v>1.5999999999999673E-3</v>
      </c>
      <c r="U30" s="16"/>
      <c r="V30" s="16"/>
      <c r="W30" s="16"/>
      <c r="X30" s="16"/>
      <c r="Y30" s="16"/>
      <c r="Z30" s="16"/>
      <c r="AA30" s="16"/>
      <c r="AB30" s="16"/>
      <c r="AC30" s="16"/>
      <c r="AD30" s="16"/>
    </row>
    <row r="31" spans="5:30" ht="15.75" thickBot="1" x14ac:dyDescent="0.3">
      <c r="H31">
        <f t="shared" si="4"/>
        <v>0</v>
      </c>
      <c r="I31">
        <f t="shared" si="5"/>
        <v>0</v>
      </c>
      <c r="L31" s="14">
        <v>0.8</v>
      </c>
      <c r="M31" s="15">
        <v>2.2000000000000002</v>
      </c>
      <c r="N31" s="16">
        <f>($O$27-L31)^2</f>
        <v>0</v>
      </c>
      <c r="O31" s="16"/>
      <c r="P31" s="16"/>
      <c r="Q31" s="16"/>
      <c r="R31" s="16">
        <v>0</v>
      </c>
      <c r="S31" s="16"/>
      <c r="T31" s="16">
        <f>($P$27-M31)^2</f>
        <v>1.5999999999999673E-3</v>
      </c>
      <c r="U31" s="16"/>
      <c r="V31" s="16"/>
      <c r="W31" s="16"/>
      <c r="X31" s="16"/>
      <c r="Y31" s="16"/>
      <c r="Z31" s="16"/>
      <c r="AA31" s="16"/>
      <c r="AB31" s="16"/>
      <c r="AC31" s="16"/>
      <c r="AD31" s="16"/>
    </row>
    <row r="32" spans="5:30" ht="15.75" thickBot="1" x14ac:dyDescent="0.3">
      <c r="E32">
        <v>118</v>
      </c>
      <c r="F32">
        <v>161</v>
      </c>
      <c r="H32">
        <f t="shared" si="4"/>
        <v>5.5128205128205127E-2</v>
      </c>
      <c r="I32">
        <f t="shared" si="5"/>
        <v>3.0391190006574622E-3</v>
      </c>
      <c r="L32" s="4">
        <v>0.7</v>
      </c>
      <c r="M32" s="5">
        <v>2</v>
      </c>
      <c r="N32" s="16">
        <f>($O$12-L32)^2</f>
        <v>0.73960000000000015</v>
      </c>
      <c r="O32" s="16">
        <f>AVERAGE(L32:L36)</f>
        <v>0.7</v>
      </c>
      <c r="P32" s="16">
        <f>AVERAGE(M32:M36)</f>
        <v>2.02</v>
      </c>
      <c r="Q32" s="16">
        <v>0</v>
      </c>
      <c r="R32" s="16">
        <f>(2*($K$12-$J$12))/(POWER(P32,2)-POWER(O32,2))</f>
        <v>0.52918894830659535</v>
      </c>
      <c r="S32" s="16"/>
      <c r="T32" s="16">
        <f>($P$32-M32)^2</f>
        <v>4.0000000000000072E-4</v>
      </c>
      <c r="U32" s="16">
        <f>SQRT(SUM(T32:T36)/4/5)</f>
        <v>2.0000000000000018E-2</v>
      </c>
      <c r="V32" s="16"/>
      <c r="W32" s="16">
        <f>R32*SQRT((2*$P$10)^2/($K$12-$J$12)^2+4*((O32*Q32)^2+(P32*U32)^2)/(O32^2-P32^2)^2)</f>
        <v>1.3147484864895413E-2</v>
      </c>
      <c r="X32" s="16"/>
      <c r="Y32" s="16">
        <f>H32*R32</f>
        <v>2.9173236893825127E-2</v>
      </c>
      <c r="Z32" s="16"/>
      <c r="AA32" s="16"/>
      <c r="AB32" s="16"/>
      <c r="AC32" s="16"/>
      <c r="AD32" s="16"/>
    </row>
    <row r="33" spans="7:30" ht="15.75" thickBot="1" x14ac:dyDescent="0.3">
      <c r="L33" s="4">
        <v>0.7</v>
      </c>
      <c r="M33" s="5">
        <v>2.1</v>
      </c>
      <c r="N33" s="16">
        <f>($O$12-L33)^2</f>
        <v>0.73960000000000015</v>
      </c>
      <c r="O33" s="16"/>
      <c r="P33" s="16"/>
      <c r="Q33" s="16"/>
      <c r="R33" s="16"/>
      <c r="S33" s="16"/>
      <c r="T33" s="16">
        <f>($P$32-M33)^2</f>
        <v>6.4000000000000116E-3</v>
      </c>
      <c r="U33" s="16"/>
      <c r="V33" s="16"/>
      <c r="W33" s="16"/>
      <c r="X33" s="16"/>
      <c r="Y33" s="16"/>
      <c r="Z33" s="16"/>
      <c r="AA33" s="16"/>
      <c r="AB33" s="16"/>
      <c r="AC33" s="16"/>
      <c r="AD33" s="16"/>
    </row>
    <row r="34" spans="7:30" ht="15.75" thickBot="1" x14ac:dyDescent="0.3">
      <c r="L34" s="4">
        <v>0.7</v>
      </c>
      <c r="M34" s="5">
        <v>2</v>
      </c>
      <c r="N34" s="16">
        <f>($O$12-L34)^2</f>
        <v>0.73960000000000015</v>
      </c>
      <c r="O34" s="16"/>
      <c r="P34" s="16"/>
      <c r="Q34" s="16"/>
      <c r="R34" s="16"/>
      <c r="S34" s="16"/>
      <c r="T34" s="16">
        <f>($P$32-M34)^2</f>
        <v>4.0000000000000072E-4</v>
      </c>
      <c r="U34" s="16"/>
      <c r="V34" s="16"/>
      <c r="W34" s="16"/>
      <c r="X34" s="16"/>
      <c r="Y34" s="16"/>
      <c r="Z34" s="16"/>
      <c r="AA34" s="16"/>
      <c r="AB34" s="16"/>
      <c r="AC34" s="16"/>
      <c r="AD34" s="16"/>
    </row>
    <row r="35" spans="7:30" ht="15.75" thickBot="1" x14ac:dyDescent="0.3">
      <c r="L35" s="4">
        <v>0.7</v>
      </c>
      <c r="M35" s="5">
        <v>2</v>
      </c>
      <c r="N35" s="16">
        <f>($O$12-L35)^2</f>
        <v>0.73960000000000015</v>
      </c>
      <c r="O35" s="16"/>
      <c r="P35" s="16"/>
      <c r="Q35" s="16"/>
      <c r="R35" s="16"/>
      <c r="S35" s="16"/>
      <c r="T35" s="16">
        <f>($P$32-M35)^2</f>
        <v>4.0000000000000072E-4</v>
      </c>
      <c r="U35" s="16"/>
      <c r="V35" s="16"/>
      <c r="W35" s="16"/>
      <c r="X35" s="16"/>
      <c r="Y35" s="16"/>
      <c r="Z35" s="16"/>
      <c r="AA35" s="16"/>
      <c r="AB35" s="16"/>
      <c r="AC35" s="16"/>
      <c r="AD35" s="16"/>
    </row>
    <row r="36" spans="7:30" ht="15.75" thickBot="1" x14ac:dyDescent="0.3">
      <c r="L36" s="4">
        <v>0.7</v>
      </c>
      <c r="M36" s="5">
        <v>2</v>
      </c>
      <c r="N36" s="16">
        <f>($O$12-L36)^2</f>
        <v>0.73960000000000015</v>
      </c>
      <c r="O36" s="16"/>
      <c r="P36" s="16"/>
      <c r="Q36" s="16"/>
      <c r="R36" s="16"/>
      <c r="S36" s="16"/>
      <c r="T36" s="16">
        <f>($P$32-M36)^2</f>
        <v>4.0000000000000072E-4</v>
      </c>
      <c r="U36" s="16"/>
      <c r="V36" s="16"/>
      <c r="W36" s="16"/>
      <c r="X36" s="16"/>
      <c r="Y36" s="16"/>
      <c r="Z36" s="16"/>
      <c r="AA36" s="16"/>
      <c r="AB36" s="16"/>
      <c r="AC36" s="16"/>
      <c r="AD36" s="16"/>
    </row>
    <row r="37" spans="7:30" x14ac:dyDescent="0.25">
      <c r="N37" s="16"/>
      <c r="O37" s="16"/>
      <c r="P37" s="16"/>
      <c r="Q37" s="16"/>
      <c r="R37" s="16"/>
      <c r="S37" s="16"/>
      <c r="T37" s="16" t="s">
        <v>33</v>
      </c>
      <c r="U37" s="16"/>
      <c r="V37" s="16" t="s">
        <v>34</v>
      </c>
      <c r="W37" s="16"/>
      <c r="X37" s="16" t="s">
        <v>35</v>
      </c>
      <c r="Y37" s="16" t="s">
        <v>36</v>
      </c>
      <c r="Z37" s="16" t="s">
        <v>37</v>
      </c>
      <c r="AA37" s="16" t="s">
        <v>38</v>
      </c>
      <c r="AB37" s="16"/>
      <c r="AC37" s="16"/>
      <c r="AD37" s="16"/>
    </row>
    <row r="38" spans="7:30" x14ac:dyDescent="0.25">
      <c r="G38" t="s">
        <v>39</v>
      </c>
      <c r="H38" t="s">
        <v>40</v>
      </c>
      <c r="I38" t="s">
        <v>41</v>
      </c>
      <c r="J38" t="s">
        <v>42</v>
      </c>
      <c r="N38" s="16"/>
      <c r="O38" s="16"/>
      <c r="P38" s="16"/>
      <c r="Q38" s="16"/>
      <c r="R38" s="16"/>
      <c r="S38" s="16">
        <v>1</v>
      </c>
      <c r="T38" s="17">
        <f>R12-($AF$12+$AE$12*H12)</f>
        <v>-9.8430573063083698E-3</v>
      </c>
      <c r="U38" s="16">
        <f>T38*T38</f>
        <v>9.6885777135270583E-5</v>
      </c>
      <c r="V38" s="16">
        <f>AC12-AD12/5</f>
        <v>1.1913214990138081E-3</v>
      </c>
      <c r="W38" s="16"/>
      <c r="X38" s="18">
        <f>SQRT(SUM(U38:U42)/V38/3)</f>
        <v>0.39858082934020916</v>
      </c>
      <c r="Y38" s="18">
        <f>X38*2</f>
        <v>0.79716165868041833</v>
      </c>
      <c r="Z38" s="16">
        <f>Y38/AE12</f>
        <v>8.2007359064493676E-2</v>
      </c>
      <c r="AA38" s="16">
        <f>(AE12-9.82)/9.82</f>
        <v>-1.0121052015336666E-2</v>
      </c>
      <c r="AB38" s="16"/>
      <c r="AC38" s="16"/>
      <c r="AD38" s="16"/>
    </row>
    <row r="39" spans="7:30" x14ac:dyDescent="0.25">
      <c r="G39">
        <v>5.0000000000000001E-3</v>
      </c>
      <c r="H39">
        <f>G39/D2*100</f>
        <v>2</v>
      </c>
      <c r="I39">
        <f>SQRT((B2*0.1)^2+(A2*0.1)^2)</f>
        <v>0.2968164415931166</v>
      </c>
      <c r="J39">
        <f>I39/C2*100</f>
        <v>16.087612010467026</v>
      </c>
      <c r="N39" s="16"/>
      <c r="O39" s="16"/>
      <c r="P39" s="16"/>
      <c r="Q39" s="16"/>
      <c r="R39" s="16"/>
      <c r="S39" s="16">
        <v>2</v>
      </c>
      <c r="T39" s="17">
        <f>R17-($AF$12+$AE$12*H17)</f>
        <v>5.5374910371066843E-3</v>
      </c>
      <c r="U39" s="16">
        <f t="shared" ref="U39:U42" si="6">T39*T39</f>
        <v>3.066380698603686E-5</v>
      </c>
      <c r="V39" s="16"/>
      <c r="W39" s="16"/>
      <c r="X39" s="16"/>
      <c r="Y39" s="16"/>
      <c r="Z39" s="16"/>
      <c r="AA39" s="16"/>
      <c r="AB39" s="16"/>
      <c r="AC39" s="16"/>
      <c r="AD39" s="16"/>
    </row>
    <row r="40" spans="7:30" x14ac:dyDescent="0.25">
      <c r="G40">
        <v>5.0000000000000001E-3</v>
      </c>
      <c r="H40">
        <f t="shared" ref="H40:H43" si="7">G40/D3*100</f>
        <v>1.4285714285714286</v>
      </c>
      <c r="I40">
        <f t="shared" ref="I40:I43" si="8">SQRT((B3*0.1)^2+(A3*0.1)^2)</f>
        <v>0.3312099032335839</v>
      </c>
      <c r="J40">
        <f t="shared" ref="J40:J43" si="9">I40/C3*100</f>
        <v>11.323415495165262</v>
      </c>
      <c r="N40" s="16"/>
      <c r="O40" s="16"/>
      <c r="P40" s="16"/>
      <c r="Q40" s="16"/>
      <c r="R40" s="16"/>
      <c r="S40" s="16">
        <v>3</v>
      </c>
      <c r="T40" s="17">
        <f>R22-($AF$12+$AE$12*H22)</f>
        <v>1.2548926700050589E-3</v>
      </c>
      <c r="U40" s="16">
        <f t="shared" si="6"/>
        <v>1.5747556132324256E-6</v>
      </c>
      <c r="V40" s="16"/>
      <c r="W40" s="16"/>
      <c r="X40" s="16"/>
      <c r="Y40" s="16"/>
      <c r="Z40" s="16"/>
      <c r="AA40" s="16"/>
      <c r="AB40" s="16"/>
      <c r="AC40" s="16"/>
      <c r="AD40" s="16"/>
    </row>
    <row r="41" spans="7:30" x14ac:dyDescent="0.25">
      <c r="G41">
        <v>5.0000000000000001E-3</v>
      </c>
      <c r="H41">
        <f t="shared" si="7"/>
        <v>0.90909090909090906</v>
      </c>
      <c r="I41">
        <f t="shared" si="8"/>
        <v>0.38483762809787719</v>
      </c>
      <c r="J41">
        <f t="shared" si="9"/>
        <v>7.942985100059385</v>
      </c>
      <c r="N41" s="16"/>
      <c r="O41" s="16"/>
      <c r="P41" s="16"/>
      <c r="Q41" s="16"/>
      <c r="R41" s="16"/>
      <c r="S41" s="16">
        <v>4</v>
      </c>
      <c r="T41" s="17">
        <f>R27-($AF$12+$AE$12*H27)</f>
        <v>1.6256362235249622E-2</v>
      </c>
      <c r="U41" s="16">
        <f t="shared" si="6"/>
        <v>2.6426931312365008E-4</v>
      </c>
      <c r="V41" s="16"/>
      <c r="W41" s="16"/>
      <c r="X41" s="16"/>
      <c r="Y41" s="16"/>
      <c r="Z41" s="16"/>
      <c r="AA41" s="16"/>
      <c r="AB41" s="16"/>
      <c r="AC41" s="16"/>
      <c r="AD41" s="16"/>
    </row>
    <row r="42" spans="7:30" x14ac:dyDescent="0.25">
      <c r="G42">
        <v>5.0000000000000001E-3</v>
      </c>
      <c r="H42">
        <f t="shared" si="7"/>
        <v>0.66666666666666674</v>
      </c>
      <c r="I42">
        <f t="shared" si="8"/>
        <v>0.42154477816715985</v>
      </c>
      <c r="J42">
        <f t="shared" si="9"/>
        <v>6.664739575765374</v>
      </c>
      <c r="S42" s="16">
        <v>5</v>
      </c>
      <c r="T42" s="17">
        <f>R32-($AF$12+$AE$12*H32)</f>
        <v>-1.3205688636053314E-2</v>
      </c>
      <c r="U42" s="16">
        <f t="shared" si="6"/>
        <v>1.7439021235238764E-4</v>
      </c>
    </row>
    <row r="43" spans="7:30" x14ac:dyDescent="0.25">
      <c r="G43">
        <v>5.0000000000000001E-3</v>
      </c>
      <c r="H43">
        <f t="shared" si="7"/>
        <v>0.52631578947368429</v>
      </c>
      <c r="I43">
        <f t="shared" si="8"/>
        <v>0.47759815745038214</v>
      </c>
      <c r="J43">
        <f t="shared" si="9"/>
        <v>5.3996399937861188</v>
      </c>
    </row>
    <row r="45" spans="7:30" x14ac:dyDescent="0.25">
      <c r="G45" t="s">
        <v>43</v>
      </c>
    </row>
    <row r="46" spans="7:30" x14ac:dyDescent="0.25">
      <c r="G46">
        <v>1</v>
      </c>
      <c r="L46">
        <v>2</v>
      </c>
    </row>
    <row r="47" spans="7:30" x14ac:dyDescent="0.25">
      <c r="G47" t="s">
        <v>44</v>
      </c>
      <c r="H47" t="s">
        <v>2</v>
      </c>
      <c r="L47" t="s">
        <v>4</v>
      </c>
      <c r="M47" t="s">
        <v>10</v>
      </c>
      <c r="O47" t="s">
        <v>10</v>
      </c>
      <c r="P47" t="s">
        <v>4</v>
      </c>
    </row>
    <row r="48" spans="7:30" x14ac:dyDescent="0.25">
      <c r="G48" s="18">
        <v>0.3</v>
      </c>
      <c r="H48" s="18">
        <f>G48/$F$2</f>
        <v>2.6654331141143301</v>
      </c>
      <c r="I48" s="18"/>
      <c r="J48" s="18"/>
      <c r="K48" s="18"/>
      <c r="L48" s="18">
        <f>R12</f>
        <v>0.10883262687593083</v>
      </c>
      <c r="M48" s="18">
        <f>H12</f>
        <v>1.1538461538461539E-2</v>
      </c>
      <c r="N48" s="18"/>
      <c r="O48" s="18">
        <v>0.01</v>
      </c>
      <c r="P48" s="18">
        <f>$AF$12+$AE$12*O48</f>
        <v>0.10372089761422475</v>
      </c>
    </row>
    <row r="49" spans="7:16" x14ac:dyDescent="0.25">
      <c r="G49" s="18">
        <v>0.8</v>
      </c>
      <c r="H49" s="18">
        <f>G49/$F$2</f>
        <v>7.1078216376382137</v>
      </c>
      <c r="I49" s="18"/>
      <c r="J49" s="18"/>
      <c r="K49" s="18"/>
      <c r="L49" s="18">
        <f>R17</f>
        <v>0.21144943019943019</v>
      </c>
      <c r="M49" s="18">
        <f>H17</f>
        <v>2.0512820512820513E-2</v>
      </c>
      <c r="N49" s="18"/>
      <c r="O49" s="18">
        <v>0.03</v>
      </c>
      <c r="P49" s="18">
        <f>$AF$12+$AE$12*O49</f>
        <v>0.2981331229984126</v>
      </c>
    </row>
    <row r="50" spans="7:16" x14ac:dyDescent="0.25">
      <c r="G50" s="18"/>
      <c r="H50" s="18"/>
      <c r="I50" s="18"/>
      <c r="J50" s="18"/>
      <c r="K50" s="18"/>
      <c r="L50" s="18">
        <f>R22</f>
        <v>0.31932773109243695</v>
      </c>
      <c r="M50" s="18">
        <f>H22</f>
        <v>3.2051282051282048E-2</v>
      </c>
      <c r="N50" s="18"/>
      <c r="O50" s="18">
        <v>4.4999999999999998E-2</v>
      </c>
      <c r="P50" s="18">
        <f>$AF$12+$AE$12*O50</f>
        <v>0.44394229203655355</v>
      </c>
    </row>
    <row r="51" spans="7:16" x14ac:dyDescent="0.25">
      <c r="G51" s="18"/>
      <c r="H51" s="18"/>
      <c r="I51" s="18"/>
      <c r="J51" s="18"/>
      <c r="K51" s="18"/>
      <c r="L51" s="18">
        <f>R27</f>
        <v>0.4340277777777779</v>
      </c>
      <c r="M51" s="18">
        <f>H27</f>
        <v>4.230769230769231E-2</v>
      </c>
      <c r="N51" s="18"/>
      <c r="O51" s="18">
        <v>0</v>
      </c>
      <c r="P51" s="18">
        <f>$AF$12+$AE$12*O51</f>
        <v>6.5147849221308006E-3</v>
      </c>
    </row>
    <row r="52" spans="7:16" x14ac:dyDescent="0.25">
      <c r="G52" s="18"/>
      <c r="H52" s="18"/>
      <c r="I52" s="18"/>
      <c r="J52" s="18"/>
      <c r="K52" s="18"/>
      <c r="L52" s="18">
        <f>R32</f>
        <v>0.52918894830659535</v>
      </c>
      <c r="M52" s="18">
        <f>H32</f>
        <v>5.5128205128205127E-2</v>
      </c>
      <c r="N52" s="18"/>
      <c r="O52" s="18"/>
      <c r="P52" s="18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Кобелев Роман Павлович</dc:creator>
  <cp:lastModifiedBy>art</cp:lastModifiedBy>
  <dcterms:created xsi:type="dcterms:W3CDTF">2023-10-12T05:25:30Z</dcterms:created>
  <dcterms:modified xsi:type="dcterms:W3CDTF">2023-10-18T23:54:40Z</dcterms:modified>
</cp:coreProperties>
</file>