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345" windowHeight="9818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Лист1!$A$1:$F$96</definedName>
  </definedNames>
  <calcPr calcId="162913" iterate="1"/>
</workbook>
</file>

<file path=xl/calcChain.xml><?xml version="1.0" encoding="utf-8"?>
<calcChain xmlns="http://schemas.openxmlformats.org/spreadsheetml/2006/main">
  <c r="E54" i="1" l="1"/>
  <c r="E46" i="1"/>
  <c r="D50" i="1" l="1"/>
  <c r="D51" i="1"/>
  <c r="D49" i="1"/>
  <c r="F76" i="1" l="1"/>
  <c r="D75" i="1"/>
  <c r="F75" i="1" s="1"/>
  <c r="E69" i="1"/>
  <c r="E58" i="1"/>
  <c r="A58" i="1" l="1"/>
  <c r="A59" i="1" s="1"/>
  <c r="E59" i="1" l="1"/>
  <c r="E57" i="1"/>
  <c r="E72" i="1" l="1"/>
  <c r="F59" i="1" l="1"/>
  <c r="A60" i="1"/>
  <c r="F58" i="1"/>
  <c r="F57" i="1"/>
  <c r="F61" i="1" l="1"/>
  <c r="F69" i="1"/>
  <c r="C4" i="1"/>
  <c r="D20" i="1" l="1"/>
  <c r="D43" i="1"/>
  <c r="D68" i="1"/>
  <c r="D22" i="1"/>
  <c r="D38" i="1" s="1"/>
  <c r="D23" i="1"/>
  <c r="D39" i="1" s="1"/>
  <c r="E42" i="1" l="1"/>
  <c r="F42" i="1" l="1"/>
  <c r="D25" i="1"/>
  <c r="D30" i="1"/>
  <c r="E49" i="1" l="1"/>
  <c r="F67" i="1"/>
  <c r="D44" i="1"/>
  <c r="D26" i="1" s="1"/>
  <c r="B49" i="1"/>
  <c r="A50" i="1"/>
  <c r="F50" i="1"/>
  <c r="D52" i="1"/>
  <c r="E66" i="1"/>
  <c r="F66" i="1" s="1"/>
  <c r="F65" i="1"/>
  <c r="F74" i="1" l="1"/>
  <c r="D32" i="1" l="1"/>
  <c r="D54" i="1" s="1"/>
  <c r="F54" i="1" s="1"/>
  <c r="F52" i="1"/>
  <c r="A51" i="1"/>
  <c r="A52" i="1" s="1"/>
  <c r="A53" i="1" s="1"/>
  <c r="A54" i="1" s="1"/>
  <c r="F30" i="1"/>
  <c r="A31" i="1"/>
  <c r="A32" i="1" s="1"/>
  <c r="D31" i="1" l="1"/>
  <c r="F31" i="1" s="1"/>
  <c r="F32" i="1"/>
  <c r="D53" i="1"/>
  <c r="F53" i="1" s="1"/>
  <c r="F51" i="1"/>
  <c r="F33" i="1" l="1"/>
  <c r="A73" i="1"/>
  <c r="A74" i="1" l="1"/>
  <c r="A75" i="1" s="1"/>
  <c r="A76" i="1" s="1"/>
  <c r="D41" i="1"/>
  <c r="F43" i="1"/>
  <c r="F44" i="1"/>
  <c r="D27" i="1"/>
  <c r="D46" i="1" s="1"/>
  <c r="D45" i="1"/>
  <c r="F45" i="1" s="1"/>
  <c r="D24" i="1"/>
  <c r="D40" i="1" s="1"/>
  <c r="D21" i="1"/>
  <c r="D19" i="1"/>
  <c r="F49" i="1" l="1"/>
  <c r="F55" i="1" s="1"/>
  <c r="D37" i="1"/>
  <c r="F37" i="1" s="1"/>
  <c r="F46" i="1"/>
  <c r="D72" i="1"/>
  <c r="A64" i="1"/>
  <c r="A65" i="1" s="1"/>
  <c r="E68" i="1" l="1"/>
  <c r="F68" i="1" l="1"/>
  <c r="A66" i="1" l="1"/>
  <c r="A67" i="1" s="1"/>
  <c r="A68" i="1" s="1"/>
  <c r="A69" i="1" s="1"/>
  <c r="B3" i="2" l="1"/>
  <c r="C3" i="2" s="1"/>
  <c r="F64" i="1"/>
  <c r="F70" i="1" s="1"/>
  <c r="A38" i="1"/>
  <c r="A39" i="1" s="1"/>
  <c r="A20" i="1"/>
  <c r="A21" i="1" s="1"/>
  <c r="A22" i="1" s="1"/>
  <c r="A23" i="1" s="1"/>
  <c r="A40" i="1" l="1"/>
  <c r="A24" i="1"/>
  <c r="A25" i="1" s="1"/>
  <c r="B4" i="2"/>
  <c r="C4" i="2" s="1"/>
  <c r="F24" i="1"/>
  <c r="A41" i="1" l="1"/>
  <c r="A26" i="1"/>
  <c r="A27" i="1" s="1"/>
  <c r="A42" i="1" l="1"/>
  <c r="A43" i="1" s="1"/>
  <c r="A44" i="1" s="1"/>
  <c r="A45" i="1" s="1"/>
  <c r="A46" i="1" s="1"/>
  <c r="F39" i="1"/>
  <c r="B5" i="2"/>
  <c r="C5" i="2" s="1"/>
  <c r="C6" i="2" s="1"/>
  <c r="C7" i="2" s="1"/>
  <c r="E7" i="2" s="1"/>
  <c r="E6" i="2" s="1"/>
  <c r="F25" i="1" l="1"/>
  <c r="F19" i="1"/>
  <c r="F27" i="1" l="1"/>
  <c r="F26" i="1"/>
  <c r="F73" i="1" l="1"/>
  <c r="F72" i="1"/>
  <c r="F77" i="1" s="1"/>
  <c r="F40" i="1"/>
  <c r="F41" i="1"/>
  <c r="C87" i="1" l="1"/>
  <c r="F38" i="1"/>
  <c r="F21" i="1"/>
  <c r="F47" i="1" l="1"/>
  <c r="F62" i="1" s="1"/>
  <c r="C86" i="1" l="1"/>
  <c r="D6" i="2"/>
  <c r="D3" i="2" s="1"/>
  <c r="D4" i="2" l="1"/>
  <c r="E3" i="2"/>
  <c r="F3" i="2" s="1"/>
  <c r="F20" i="1" l="1"/>
  <c r="E4" i="2"/>
  <c r="F4" i="2" s="1"/>
  <c r="D5" i="2"/>
  <c r="E5" i="2" s="1"/>
  <c r="F5" i="2" s="1"/>
  <c r="F22" i="1" l="1"/>
  <c r="F23" i="1"/>
  <c r="F28" i="1" l="1"/>
  <c r="F34" i="1" s="1"/>
  <c r="F78" i="1" l="1"/>
  <c r="F79" i="1" s="1"/>
  <c r="E80" i="1" s="1"/>
  <c r="C88" i="1" s="1"/>
</calcChain>
</file>

<file path=xl/sharedStrings.xml><?xml version="1.0" encoding="utf-8"?>
<sst xmlns="http://schemas.openxmlformats.org/spreadsheetml/2006/main" count="152" uniqueCount="105">
  <si>
    <t>Ед.изм.</t>
  </si>
  <si>
    <t>ОБЪЁМ</t>
  </si>
  <si>
    <t>Укладка бетона с вибрированием</t>
  </si>
  <si>
    <t>м2</t>
  </si>
  <si>
    <t>м3</t>
  </si>
  <si>
    <t>Подставки под арматуру (стульчики)</t>
  </si>
  <si>
    <t>Проволока вязальная</t>
  </si>
  <si>
    <t>ЦЕНА</t>
  </si>
  <si>
    <t>СУММА</t>
  </si>
  <si>
    <t>Устройство  разделительного слоя из геотекстиля</t>
  </si>
  <si>
    <t>смена</t>
  </si>
  <si>
    <t>ИТОГО ПО СМЕТЕ:</t>
  </si>
  <si>
    <t>шт.</t>
  </si>
  <si>
    <t>м.п.</t>
  </si>
  <si>
    <t>т.</t>
  </si>
  <si>
    <t>кг.</t>
  </si>
  <si>
    <t>Площадь плиты</t>
  </si>
  <si>
    <t>Периметр</t>
  </si>
  <si>
    <t>п.м.</t>
  </si>
  <si>
    <t>Толщина песчаной подушки</t>
  </si>
  <si>
    <t>мм</t>
  </si>
  <si>
    <t>Расстояние от КАД</t>
  </si>
  <si>
    <t>км</t>
  </si>
  <si>
    <t>Бетононасос</t>
  </si>
  <si>
    <t>смен.</t>
  </si>
  <si>
    <t>Толщина плиты</t>
  </si>
  <si>
    <t>Толщина щебеночной подушки</t>
  </si>
  <si>
    <t>Итого за работы и материалы:</t>
  </si>
  <si>
    <t>№</t>
  </si>
  <si>
    <t>Итого:</t>
  </si>
  <si>
    <t>Геомембрана Planter</t>
  </si>
  <si>
    <t>НАИМЕНОВАНИЕ</t>
  </si>
  <si>
    <t>Вынос осей, разбивка участка</t>
  </si>
  <si>
    <t>Погрузчик:</t>
  </si>
  <si>
    <t>Земл.работы</t>
  </si>
  <si>
    <t>Объем:</t>
  </si>
  <si>
    <t>Песч. Подушка</t>
  </si>
  <si>
    <t>Щеб. Подушка</t>
  </si>
  <si>
    <t>Смен</t>
  </si>
  <si>
    <t>Итого доп. работы:</t>
  </si>
  <si>
    <t>Итого за работы:</t>
  </si>
  <si>
    <t>Итого за материалы:</t>
  </si>
  <si>
    <t>Доставка:</t>
  </si>
  <si>
    <t>Накладные расходы 2%:</t>
  </si>
  <si>
    <t>Монтаж, демонтаж опалубки</t>
  </si>
  <si>
    <t>Работы:</t>
  </si>
  <si>
    <t>Спецтехника и доп. оборудование:</t>
  </si>
  <si>
    <t>Итого за спецтехнику и доп. оборудование:</t>
  </si>
  <si>
    <t>Плита:</t>
  </si>
  <si>
    <t>м</t>
  </si>
  <si>
    <t>Высота ростверка</t>
  </si>
  <si>
    <t>Ширина ростверка</t>
  </si>
  <si>
    <t>Длина ростверка</t>
  </si>
  <si>
    <t>Монтаж опалубки</t>
  </si>
  <si>
    <t>Ростверк:</t>
  </si>
  <si>
    <t>Материалы ростверк:</t>
  </si>
  <si>
    <t>компл.</t>
  </si>
  <si>
    <t>Обеспечение биотуалетом</t>
  </si>
  <si>
    <t>ООО «Фундамент-СПб», г. Санкт-Петербург, ул. Оптиков, дом 4, корпус 3, офис № 309 www.fundament-spb.ru, т.: 936-16-65.</t>
  </si>
  <si>
    <t>Порядок расчетов и суммы по этапам оплат:</t>
  </si>
  <si>
    <t>Наименование этапа</t>
  </si>
  <si>
    <t>Ориентировочная сумма платежа, рублей</t>
  </si>
  <si>
    <t>Арматура d12 А500 (Количество арматуры указано предварительно согласно типовым решениям и будет скорректированно после разработки проекта)</t>
  </si>
  <si>
    <t>Арматура d8 А500 (Количество арматуры указано предварительно согласно типовым решениям и будет скорректированно после разработки проекта)</t>
  </si>
  <si>
    <t>Геотекстиль Мегаизол Гео про 200</t>
  </si>
  <si>
    <t>Вывоз мусора после завершения работ на объекте</t>
  </si>
  <si>
    <t>пухто</t>
  </si>
  <si>
    <t>СМЕТА СТОИМОСТИ СТРОИТЕЛЬСТВА МОНОЛИТНОЙ ПЛИТЫ С РОСТВЕРКАМИ</t>
  </si>
  <si>
    <t xml:space="preserve">Устройство песчаной подушки с послойной трамбовкой виброплитой </t>
  </si>
  <si>
    <t xml:space="preserve">Устройство щебеночной подушки с послойной трамбовкой виброплитой </t>
  </si>
  <si>
    <t>Укладка гидроизоляционной мембраны Planter</t>
  </si>
  <si>
    <t>Материалы (С учетом нахлестов и запасов на резку):</t>
  </si>
  <si>
    <t>Устройство закладной для ввода электричества (Гильза DKC d 63 мм с протяжкой) - Метраж предварительный и уточнится после разработки проекта</t>
  </si>
  <si>
    <t>Разводка канализации под домом (Трубы Оstendorf d 110 мм и комплект отводов, углов) - Метраж предварительный и уточнится после разработки проекта</t>
  </si>
  <si>
    <t>Изготовление и установка арматурных каркасов ростверка, (Соединение стержней арматуры выполняется с использованием вязальной проволоки)</t>
  </si>
  <si>
    <t>Изготовление и установка арматурных каркасов (Соединение стержней арматуры выполняется с использованием вязальной проволоки)</t>
  </si>
  <si>
    <t>Толщина выбираемого слоя грунта</t>
  </si>
  <si>
    <t>Устройство закладной гильзы для ввода водопровода (Гильза DKC 63 мм) - Метраж предварительный и уточнится после разработки проекта</t>
  </si>
  <si>
    <t>Доставка арматуры шаландой/манипулятором</t>
  </si>
  <si>
    <t>доставка</t>
  </si>
  <si>
    <t xml:space="preserve">Доставка и вывоз опалубки </t>
  </si>
  <si>
    <t>Обеспечение строительным вагончиком, оборудованным для постоянного проживания бригады на объекте (Учитываются затраты на завоз и вывоз бытовки манипулятором)</t>
  </si>
  <si>
    <t>Песок строительный (средней крупности или крупный) (Кратно 10 м3) с учетом доставки</t>
  </si>
  <si>
    <t>Щебень гранитный фр. 20-40 мм. (Кратно 10 м3) с учетом доставки</t>
  </si>
  <si>
    <t>Доставка и вывоз инструмента на прицепе</t>
  </si>
  <si>
    <t>Обеспечение водой: Воду предоставляет Заказчик - (При необходимости завозки на объект Еврокуб с водой будет стоить 3000 рублей с доставкой)</t>
  </si>
  <si>
    <t>Устройство дренажа фундамента с учетом установки дренажных колодцев d340 мм и устройством сбросной трассы до 10 м.п.</t>
  </si>
  <si>
    <t>Актуальный срок данного коммерческого предложения составляет 14 календарных дней, т.к. цены на некоторые материалы могут изменяться.</t>
  </si>
  <si>
    <t>Данная смета является предварительной. Объемы и стоимость работ будут скорректированы после выезда технического специалиста на участок, разработки рабочей документации по фундаменту и согласования с Заказчиком.</t>
  </si>
  <si>
    <t>Посмотрите выполненные нами работы по ссылке:</t>
  </si>
  <si>
    <t>http://fundament-spb.ru/obekty</t>
  </si>
  <si>
    <t>Выезд технического специалиста для уточнения сметы бесплатный.</t>
  </si>
  <si>
    <r>
      <rPr>
        <b/>
        <sz val="10"/>
        <rFont val="Times New Roman"/>
        <family val="1"/>
        <charset val="204"/>
      </rPr>
      <t>1 этап:</t>
    </r>
    <r>
      <rPr>
        <sz val="10"/>
        <rFont val="Times New Roman"/>
        <family val="1"/>
        <charset val="204"/>
      </rPr>
      <t xml:space="preserve"> Материалы на устройство фундамента, (за исключением стоимости бетона), доставки: оплачиваются при подписании договора</t>
    </r>
  </si>
  <si>
    <r>
      <rPr>
        <b/>
        <sz val="10"/>
        <rFont val="Times New Roman"/>
        <family val="1"/>
        <charset val="204"/>
      </rPr>
      <t>2 этап:</t>
    </r>
    <r>
      <rPr>
        <sz val="10"/>
        <rFont val="Times New Roman"/>
        <family val="1"/>
        <charset val="204"/>
      </rPr>
      <t xml:space="preserve"> Стоимость бетона + бетононасос: оплачиваются по факту окончания работ по опалубке</t>
    </r>
  </si>
  <si>
    <r>
      <rPr>
        <b/>
        <sz val="10"/>
        <rFont val="Times New Roman"/>
        <family val="1"/>
        <charset val="204"/>
      </rPr>
      <t>3 этап:</t>
    </r>
    <r>
      <rPr>
        <sz val="10"/>
        <rFont val="Times New Roman"/>
        <family val="1"/>
        <charset val="204"/>
      </rPr>
      <t xml:space="preserve"> Оплата работ согласно смете: оплачивается в течение 5 дней после подписания акта приема-передачи всех работ по объекту</t>
    </r>
  </si>
  <si>
    <t>Земляные работы (без вывоза грунта) с учетом складирования грунта в конус  в радиусе 10 м от котлована</t>
  </si>
  <si>
    <t>Доставка остальных материалов</t>
  </si>
  <si>
    <t>Доп. Работы (данный раздел включает работы и материал):</t>
  </si>
  <si>
    <t>Планировка выбранного грунта из котлована по участку (С учетом коэффициента рыхления) - ПО ЗАПРОСУ ЗАКАЗЧИКА</t>
  </si>
  <si>
    <t>Обеспечение электричеством: предоставляет Заказчик - (При необходимости электрогенератор и топливо будет стоить 1500 рублей за смену)</t>
  </si>
  <si>
    <t>Бетон для плиты B22,5 М300 П4 (С учетом доставки из СПб)</t>
  </si>
  <si>
    <t>Бетон для ростверка B22,5 М300 П4 (С учетом доставки из СПб)</t>
  </si>
  <si>
    <t>Гарантируем сдачу объекта в срок. Или выполним все работы бесплатно! Зафиксируем это в договоре.</t>
  </si>
  <si>
    <t>Опалубка инвентарная из ламинированной фанеры (амортизация)</t>
  </si>
  <si>
    <t>Доска 40*100(200)*6000 для раскрепления инвентарных щитов, внутренней опалубки ростверка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</si>
</sst>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#,##0_ ;\-#,##0\ "/>
    <numFmt numFmtId="165" formatCode="0.0"/>
  </numFmts>
  <fonts count="16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20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1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3" fillId="0" borderId="0" xfId="0" applyFont="1" applyAlignment="1">
      <alignment horizontal="left" wrapText="1"/>
    </xf>
    <xf numFmtId="0" fontId="3" fillId="0" borderId="0" xfId="0" applyFont="1" applyBorder="1" applyAlignment="1">
      <alignment horizontal="right" wrapText="1"/>
    </xf>
    <xf numFmtId="0" fontId="0" fillId="4" borderId="0" xfId="0" applyFill="1"/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2" fontId="4" fillId="4" borderId="1" xfId="0" applyNumberFormat="1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wrapText="1"/>
    </xf>
    <xf numFmtId="0" fontId="6" fillId="0" borderId="0" xfId="0" applyFont="1"/>
    <xf numFmtId="0" fontId="1" fillId="0" borderId="3" xfId="0" applyFont="1" applyBorder="1" applyAlignment="1">
      <alignment horizontal="center" vertical="center"/>
    </xf>
    <xf numFmtId="0" fontId="8" fillId="0" borderId="0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9" xfId="0" applyBorder="1"/>
    <xf numFmtId="2" fontId="0" fillId="0" borderId="0" xfId="0" applyNumberFormat="1"/>
    <xf numFmtId="1" fontId="1" fillId="0" borderId="4" xfId="0" applyNumberFormat="1" applyFont="1" applyBorder="1" applyAlignment="1">
      <alignment horizontal="right" vertical="center" wrapText="1"/>
    </xf>
    <xf numFmtId="1" fontId="3" fillId="0" borderId="4" xfId="0" applyNumberFormat="1" applyFont="1" applyBorder="1" applyAlignment="1">
      <alignment vertical="center"/>
    </xf>
    <xf numFmtId="1" fontId="4" fillId="0" borderId="4" xfId="0" applyNumberFormat="1" applyFont="1" applyBorder="1" applyAlignment="1">
      <alignment horizontal="right" vertical="center" wrapText="1"/>
    </xf>
    <xf numFmtId="1" fontId="4" fillId="4" borderId="4" xfId="0" applyNumberFormat="1" applyFont="1" applyFill="1" applyBorder="1" applyAlignment="1">
      <alignment horizontal="right" vertical="center" wrapText="1"/>
    </xf>
    <xf numFmtId="1" fontId="3" fillId="0" borderId="4" xfId="0" applyNumberFormat="1" applyFont="1" applyBorder="1" applyAlignment="1">
      <alignment horizontal="right" vertical="center"/>
    </xf>
    <xf numFmtId="1" fontId="3" fillId="0" borderId="4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horizontal="right" vertical="center" wrapText="1"/>
    </xf>
    <xf numFmtId="0" fontId="0" fillId="0" borderId="3" xfId="0" applyBorder="1" applyAlignment="1">
      <alignment horizontal="center" vertical="center"/>
    </xf>
    <xf numFmtId="0" fontId="1" fillId="4" borderId="1" xfId="0" applyFont="1" applyFill="1" applyBorder="1" applyAlignment="1">
      <alignment horizontal="right" wrapText="1"/>
    </xf>
    <xf numFmtId="2" fontId="1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0" fillId="2" borderId="3" xfId="0" applyFill="1" applyBorder="1" applyAlignment="1">
      <alignment horizontal="center" vertical="center"/>
    </xf>
    <xf numFmtId="1" fontId="3" fillId="0" borderId="0" xfId="0" applyNumberFormat="1" applyFont="1" applyAlignment="1">
      <alignment horizontal="center" wrapText="1"/>
    </xf>
    <xf numFmtId="1" fontId="0" fillId="0" borderId="0" xfId="0" applyNumberFormat="1"/>
    <xf numFmtId="1" fontId="3" fillId="0" borderId="0" xfId="0" applyNumberFormat="1" applyFont="1" applyAlignment="1">
      <alignment horizontal="left" wrapText="1"/>
    </xf>
    <xf numFmtId="1" fontId="1" fillId="0" borderId="4" xfId="0" applyNumberFormat="1" applyFont="1" applyBorder="1" applyAlignment="1">
      <alignment horizontal="right" wrapText="1"/>
    </xf>
    <xf numFmtId="1" fontId="3" fillId="0" borderId="4" xfId="0" applyNumberFormat="1" applyFont="1" applyBorder="1"/>
    <xf numFmtId="1" fontId="1" fillId="2" borderId="4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10" fillId="2" borderId="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1" fillId="0" borderId="1" xfId="0" applyFont="1" applyFill="1" applyBorder="1" applyAlignment="1">
      <alignment wrapText="1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wrapText="1"/>
    </xf>
    <xf numFmtId="1" fontId="10" fillId="2" borderId="19" xfId="0" applyNumberFormat="1" applyFont="1" applyFill="1" applyBorder="1" applyAlignment="1">
      <alignment wrapText="1"/>
    </xf>
    <xf numFmtId="1" fontId="3" fillId="2" borderId="4" xfId="0" applyNumberFormat="1" applyFont="1" applyFill="1" applyBorder="1" applyAlignment="1">
      <alignment wrapText="1"/>
    </xf>
    <xf numFmtId="0" fontId="0" fillId="2" borderId="3" xfId="0" applyFill="1" applyBorder="1"/>
    <xf numFmtId="0" fontId="0" fillId="0" borderId="3" xfId="0" applyBorder="1"/>
    <xf numFmtId="0" fontId="1" fillId="0" borderId="10" xfId="0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right" wrapText="1"/>
    </xf>
    <xf numFmtId="0" fontId="6" fillId="0" borderId="9" xfId="0" applyFont="1" applyBorder="1"/>
    <xf numFmtId="0" fontId="1" fillId="0" borderId="20" xfId="0" applyFont="1" applyBorder="1" applyAlignment="1">
      <alignment horizontal="right" wrapText="1"/>
    </xf>
    <xf numFmtId="0" fontId="9" fillId="0" borderId="0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right" vertical="center" wrapText="1"/>
    </xf>
    <xf numFmtId="0" fontId="9" fillId="0" borderId="0" xfId="0" applyFont="1" applyBorder="1" applyAlignment="1">
      <alignment horizontal="left" wrapText="1"/>
    </xf>
    <xf numFmtId="164" fontId="12" fillId="0" borderId="0" xfId="1" applyNumberFormat="1" applyFont="1" applyBorder="1" applyAlignment="1">
      <alignment horizontal="center" vertical="center"/>
    </xf>
    <xf numFmtId="164" fontId="12" fillId="0" borderId="5" xfId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right" vertical="center" wrapText="1"/>
    </xf>
    <xf numFmtId="0" fontId="0" fillId="0" borderId="0" xfId="0" applyFill="1"/>
    <xf numFmtId="0" fontId="9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wrapText="1"/>
    </xf>
    <xf numFmtId="0" fontId="13" fillId="0" borderId="5" xfId="0" applyFont="1" applyBorder="1" applyAlignment="1">
      <alignment horizontal="left" wrapText="1"/>
    </xf>
    <xf numFmtId="0" fontId="0" fillId="0" borderId="5" xfId="0" applyBorder="1"/>
    <xf numFmtId="0" fontId="13" fillId="0" borderId="0" xfId="0" applyFont="1" applyBorder="1" applyAlignment="1">
      <alignment horizontal="left" wrapText="1"/>
    </xf>
    <xf numFmtId="0" fontId="13" fillId="0" borderId="5" xfId="0" applyFont="1" applyBorder="1" applyAlignment="1">
      <alignment horizontal="left" wrapText="1"/>
    </xf>
    <xf numFmtId="0" fontId="14" fillId="0" borderId="0" xfId="2" applyBorder="1" applyAlignment="1">
      <alignment horizontal="left" wrapText="1"/>
    </xf>
    <xf numFmtId="0" fontId="7" fillId="2" borderId="1" xfId="0" applyFont="1" applyFill="1" applyBorder="1" applyAlignment="1">
      <alignment horizontal="left" wrapText="1"/>
    </xf>
    <xf numFmtId="0" fontId="2" fillId="0" borderId="0" xfId="0" applyFont="1" applyFill="1" applyAlignment="1">
      <alignment horizontal="center" wrapText="1"/>
    </xf>
    <xf numFmtId="165" fontId="4" fillId="0" borderId="1" xfId="0" applyNumberFormat="1" applyFont="1" applyFill="1" applyBorder="1" applyAlignment="1">
      <alignment horizontal="right" vertical="center" wrapText="1"/>
    </xf>
    <xf numFmtId="2" fontId="4" fillId="0" borderId="1" xfId="0" applyNumberFormat="1" applyFont="1" applyFill="1" applyBorder="1" applyAlignment="1">
      <alignment horizontal="right" vertical="center" wrapText="1"/>
    </xf>
    <xf numFmtId="164" fontId="12" fillId="0" borderId="21" xfId="1" applyNumberFormat="1" applyFont="1" applyBorder="1" applyAlignment="1">
      <alignment horizontal="center" vertical="center"/>
    </xf>
    <xf numFmtId="164" fontId="12" fillId="0" borderId="22" xfId="1" applyNumberFormat="1" applyFont="1" applyBorder="1" applyAlignment="1">
      <alignment horizontal="center" vertical="center"/>
    </xf>
    <xf numFmtId="164" fontId="12" fillId="0" borderId="23" xfId="1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6" fillId="2" borderId="6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13" fillId="0" borderId="0" xfId="0" applyFont="1" applyBorder="1" applyAlignment="1">
      <alignment horizontal="left" wrapText="1"/>
    </xf>
    <xf numFmtId="0" fontId="13" fillId="0" borderId="5" xfId="0" applyFont="1" applyBorder="1" applyAlignment="1">
      <alignment horizontal="left" wrapText="1"/>
    </xf>
    <xf numFmtId="0" fontId="7" fillId="0" borderId="14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3" fontId="7" fillId="3" borderId="14" xfId="0" applyNumberFormat="1" applyFont="1" applyFill="1" applyBorder="1" applyAlignment="1">
      <alignment horizontal="right"/>
    </xf>
    <xf numFmtId="3" fontId="7" fillId="3" borderId="16" xfId="0" applyNumberFormat="1" applyFont="1" applyFill="1" applyBorder="1" applyAlignment="1">
      <alignment horizontal="right"/>
    </xf>
    <xf numFmtId="0" fontId="8" fillId="0" borderId="0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left" wrapText="1"/>
    </xf>
    <xf numFmtId="0" fontId="10" fillId="2" borderId="4" xfId="0" applyFont="1" applyFill="1" applyBorder="1" applyAlignment="1">
      <alignment horizontal="left" wrapText="1"/>
    </xf>
    <xf numFmtId="0" fontId="6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wrapText="1"/>
    </xf>
    <xf numFmtId="0" fontId="10" fillId="2" borderId="21" xfId="0" applyFont="1" applyFill="1" applyBorder="1" applyAlignment="1">
      <alignment horizontal="left" wrapText="1"/>
    </xf>
    <xf numFmtId="0" fontId="10" fillId="2" borderId="22" xfId="0" applyFont="1" applyFill="1" applyBorder="1" applyAlignment="1">
      <alignment horizontal="left" wrapText="1"/>
    </xf>
    <xf numFmtId="0" fontId="10" fillId="2" borderId="23" xfId="0" applyFont="1" applyFill="1" applyBorder="1" applyAlignment="1">
      <alignment horizontal="left" wrapText="1"/>
    </xf>
    <xf numFmtId="0" fontId="15" fillId="0" borderId="0" xfId="0" applyFont="1" applyAlignment="1">
      <alignment horizontal="center" wrapText="1"/>
    </xf>
  </cellXfs>
  <cellStyles count="3">
    <cellStyle name="Гиперссылка" xfId="2" builtinId="8"/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189783</xdr:colOff>
      <xdr:row>0</xdr:row>
      <xdr:rowOff>56073</xdr:rowOff>
    </xdr:from>
    <xdr:to>
      <xdr:col>5</xdr:col>
      <xdr:colOff>77639</xdr:colOff>
      <xdr:row>0</xdr:row>
      <xdr:rowOff>712427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323" y="56073"/>
          <a:ext cx="4761780" cy="656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undament-spb.ru/obekt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4"/>
  <sheetViews>
    <sheetView tabSelected="1" view="pageBreakPreview" topLeftCell="A34" zoomScaleNormal="100" zoomScaleSheetLayoutView="100" workbookViewId="0">
      <selection activeCell="E41" sqref="E41"/>
    </sheetView>
  </sheetViews>
  <sheetFormatPr defaultRowHeight="15.05" x14ac:dyDescent="0.3"/>
  <cols>
    <col min="1" max="1" width="3.44140625" customWidth="1"/>
    <col min="2" max="2" width="48.44140625" customWidth="1"/>
    <col min="3" max="3" width="7.6640625" customWidth="1"/>
    <col min="4" max="4" width="7.88671875" customWidth="1"/>
    <col min="5" max="5" width="6.6640625" customWidth="1"/>
    <col min="6" max="6" width="8.6640625" style="42" customWidth="1"/>
    <col min="7" max="7" width="7.6640625" customWidth="1"/>
    <col min="8" max="8" width="13.6640625" customWidth="1"/>
    <col min="9" max="9" width="9.44140625" customWidth="1"/>
  </cols>
  <sheetData>
    <row r="1" spans="1:9" ht="58.45" customHeight="1" x14ac:dyDescent="0.3">
      <c r="A1" s="22"/>
      <c r="B1" s="112"/>
      <c r="C1" s="112"/>
      <c r="D1" s="112"/>
      <c r="E1" s="112"/>
      <c r="F1" s="112"/>
      <c r="G1" s="7"/>
      <c r="H1" s="7"/>
      <c r="I1" s="7"/>
    </row>
    <row r="2" spans="1:9" ht="32.25" customHeight="1" thickBot="1" x14ac:dyDescent="0.35">
      <c r="A2" s="22"/>
      <c r="B2" s="113" t="s">
        <v>67</v>
      </c>
      <c r="C2" s="113"/>
      <c r="D2" s="113"/>
      <c r="E2" s="113"/>
      <c r="F2" s="113"/>
      <c r="G2" s="1"/>
      <c r="H2" s="1"/>
    </row>
    <row r="3" spans="1:9" ht="16.399999999999999" thickBot="1" x14ac:dyDescent="0.35">
      <c r="A3" s="22"/>
      <c r="B3" s="8" t="s">
        <v>16</v>
      </c>
      <c r="C3" s="9">
        <v>100</v>
      </c>
      <c r="D3" s="10" t="s">
        <v>3</v>
      </c>
      <c r="E3" s="13"/>
      <c r="F3" s="41"/>
      <c r="G3" s="1"/>
      <c r="H3" s="1"/>
    </row>
    <row r="4" spans="1:9" ht="16.399999999999999" thickBot="1" x14ac:dyDescent="0.35">
      <c r="A4" s="22"/>
      <c r="B4" s="8" t="s">
        <v>17</v>
      </c>
      <c r="C4" s="9">
        <f>10*2+10*2</f>
        <v>40</v>
      </c>
      <c r="D4" s="10" t="s">
        <v>18</v>
      </c>
      <c r="E4" s="13"/>
      <c r="F4" s="41"/>
      <c r="G4" s="1"/>
      <c r="H4" s="1"/>
    </row>
    <row r="5" spans="1:9" ht="16.399999999999999" thickBot="1" x14ac:dyDescent="0.35">
      <c r="A5" s="22"/>
      <c r="B5" s="8" t="s">
        <v>25</v>
      </c>
      <c r="C5" s="9">
        <v>250</v>
      </c>
      <c r="D5" s="10" t="s">
        <v>20</v>
      </c>
      <c r="E5" s="13"/>
      <c r="F5" s="41"/>
      <c r="G5" s="1"/>
      <c r="H5" s="1"/>
    </row>
    <row r="6" spans="1:9" ht="16.399999999999999" thickBot="1" x14ac:dyDescent="0.35">
      <c r="A6" s="22"/>
      <c r="B6" s="8" t="s">
        <v>19</v>
      </c>
      <c r="C6" s="9">
        <v>200</v>
      </c>
      <c r="D6" s="10" t="s">
        <v>20</v>
      </c>
      <c r="E6" s="13"/>
      <c r="F6" s="41"/>
      <c r="G6" s="1"/>
      <c r="H6" s="1"/>
    </row>
    <row r="7" spans="1:9" ht="16.399999999999999" thickBot="1" x14ac:dyDescent="0.35">
      <c r="A7" s="22"/>
      <c r="B7" s="8" t="s">
        <v>26</v>
      </c>
      <c r="C7" s="9">
        <v>100</v>
      </c>
      <c r="D7" s="10" t="s">
        <v>20</v>
      </c>
      <c r="E7" s="13"/>
      <c r="F7" s="41"/>
      <c r="G7" s="1"/>
      <c r="H7" s="1"/>
    </row>
    <row r="8" spans="1:9" ht="16.399999999999999" thickBot="1" x14ac:dyDescent="0.35">
      <c r="A8" s="22"/>
      <c r="B8" s="8" t="s">
        <v>76</v>
      </c>
      <c r="C8" s="9">
        <v>300</v>
      </c>
      <c r="D8" s="10" t="s">
        <v>20</v>
      </c>
      <c r="E8" s="13"/>
      <c r="F8" s="41"/>
      <c r="G8" s="1"/>
      <c r="H8" s="1"/>
    </row>
    <row r="9" spans="1:9" ht="15.25" customHeight="1" thickBot="1" x14ac:dyDescent="0.35">
      <c r="B9" s="8" t="s">
        <v>50</v>
      </c>
      <c r="C9" s="9">
        <v>200</v>
      </c>
      <c r="D9" s="10" t="s">
        <v>20</v>
      </c>
    </row>
    <row r="10" spans="1:9" ht="15.75" thickBot="1" x14ac:dyDescent="0.35">
      <c r="B10" s="8" t="s">
        <v>51</v>
      </c>
      <c r="C10" s="9">
        <v>400</v>
      </c>
      <c r="D10" s="10" t="s">
        <v>20</v>
      </c>
    </row>
    <row r="11" spans="1:9" ht="15.75" thickBot="1" x14ac:dyDescent="0.35">
      <c r="B11" s="8" t="s">
        <v>52</v>
      </c>
      <c r="C11" s="9">
        <v>60</v>
      </c>
      <c r="D11" s="10" t="s">
        <v>49</v>
      </c>
    </row>
    <row r="12" spans="1:9" ht="16.399999999999999" thickBot="1" x14ac:dyDescent="0.35">
      <c r="A12" s="22"/>
      <c r="B12" s="8" t="s">
        <v>21</v>
      </c>
      <c r="C12" s="9">
        <v>30</v>
      </c>
      <c r="D12" s="10" t="s">
        <v>22</v>
      </c>
      <c r="E12" s="8"/>
      <c r="F12" s="43"/>
      <c r="G12" s="1"/>
      <c r="H12" s="1"/>
    </row>
    <row r="13" spans="1:9" ht="15.75" x14ac:dyDescent="0.3">
      <c r="A13" s="22"/>
      <c r="B13" s="8"/>
      <c r="C13" s="11"/>
      <c r="D13" s="10"/>
      <c r="E13" s="8"/>
      <c r="F13" s="10"/>
      <c r="G13" s="84"/>
      <c r="H13" s="1"/>
    </row>
    <row r="14" spans="1:9" ht="32.75" customHeight="1" x14ac:dyDescent="0.3">
      <c r="A14" s="22"/>
      <c r="B14" s="119" t="s">
        <v>102</v>
      </c>
      <c r="C14" s="119"/>
      <c r="D14" s="119"/>
      <c r="E14" s="119"/>
      <c r="F14" s="119"/>
      <c r="G14" s="84"/>
      <c r="H14" s="1"/>
    </row>
    <row r="15" spans="1:9" ht="20.95" customHeight="1" thickBot="1" x14ac:dyDescent="0.35">
      <c r="A15" s="22"/>
      <c r="B15" s="13"/>
      <c r="C15" s="8"/>
      <c r="D15" s="13"/>
      <c r="E15" s="13"/>
      <c r="F15" s="41"/>
      <c r="G15" s="84"/>
      <c r="H15" s="1"/>
    </row>
    <row r="16" spans="1:9" ht="15.75" thickBot="1" x14ac:dyDescent="0.35">
      <c r="A16" s="49" t="s">
        <v>28</v>
      </c>
      <c r="B16" s="50" t="s">
        <v>31</v>
      </c>
      <c r="C16" s="51" t="s">
        <v>0</v>
      </c>
      <c r="D16" s="51" t="s">
        <v>1</v>
      </c>
      <c r="E16" s="50" t="s">
        <v>7</v>
      </c>
      <c r="F16" s="52" t="s">
        <v>8</v>
      </c>
    </row>
    <row r="17" spans="1:10" ht="15.75" x14ac:dyDescent="0.3">
      <c r="A17" s="56"/>
      <c r="B17" s="57" t="s">
        <v>45</v>
      </c>
      <c r="C17" s="57"/>
      <c r="D17" s="57"/>
      <c r="E17" s="57"/>
      <c r="F17" s="58"/>
    </row>
    <row r="18" spans="1:10" x14ac:dyDescent="0.3">
      <c r="A18" s="26"/>
      <c r="B18" s="53" t="s">
        <v>48</v>
      </c>
      <c r="C18" s="53"/>
      <c r="D18" s="53"/>
      <c r="E18" s="53"/>
      <c r="F18" s="59"/>
    </row>
    <row r="19" spans="1:10" x14ac:dyDescent="0.3">
      <c r="A19" s="23">
        <v>1</v>
      </c>
      <c r="B19" s="2" t="s">
        <v>32</v>
      </c>
      <c r="C19" s="14" t="s">
        <v>3</v>
      </c>
      <c r="D19" s="15">
        <f>C3</f>
        <v>100</v>
      </c>
      <c r="E19" s="14">
        <v>40</v>
      </c>
      <c r="F19" s="29">
        <f t="shared" ref="F19:F27" si="0">D19*E19</f>
        <v>4000</v>
      </c>
    </row>
    <row r="20" spans="1:10" ht="28.5" customHeight="1" x14ac:dyDescent="0.3">
      <c r="A20" s="23">
        <f>A19+1</f>
        <v>2</v>
      </c>
      <c r="B20" s="2" t="s">
        <v>95</v>
      </c>
      <c r="C20" s="14" t="s">
        <v>4</v>
      </c>
      <c r="D20" s="15">
        <f>(C3+C4)*C8*0.001</f>
        <v>42</v>
      </c>
      <c r="E20" s="14">
        <v>300</v>
      </c>
      <c r="F20" s="29">
        <f t="shared" si="0"/>
        <v>12600</v>
      </c>
    </row>
    <row r="21" spans="1:10" x14ac:dyDescent="0.3">
      <c r="A21" s="23">
        <f t="shared" ref="A21:A27" si="1">A20+1</f>
        <v>3</v>
      </c>
      <c r="B21" s="2" t="s">
        <v>9</v>
      </c>
      <c r="C21" s="14" t="s">
        <v>3</v>
      </c>
      <c r="D21" s="15">
        <f>(C3+C4)</f>
        <v>140</v>
      </c>
      <c r="E21" s="14">
        <v>20</v>
      </c>
      <c r="F21" s="29">
        <f t="shared" si="0"/>
        <v>2800</v>
      </c>
    </row>
    <row r="22" spans="1:10" ht="34.049999999999997" customHeight="1" x14ac:dyDescent="0.3">
      <c r="A22" s="23">
        <f t="shared" si="1"/>
        <v>4</v>
      </c>
      <c r="B22" s="2" t="s">
        <v>68</v>
      </c>
      <c r="C22" s="14" t="s">
        <v>4</v>
      </c>
      <c r="D22" s="15">
        <f>CEILING((C3*C6*0.001+C4*C6*0.001)*1.28*1.2,1)</f>
        <v>44</v>
      </c>
      <c r="E22" s="14">
        <v>400</v>
      </c>
      <c r="F22" s="29">
        <f t="shared" si="0"/>
        <v>17600</v>
      </c>
    </row>
    <row r="23" spans="1:10" ht="26.85" x14ac:dyDescent="0.3">
      <c r="A23" s="23">
        <f t="shared" si="1"/>
        <v>5</v>
      </c>
      <c r="B23" s="2" t="s">
        <v>69</v>
      </c>
      <c r="C23" s="14" t="s">
        <v>4</v>
      </c>
      <c r="D23" s="15">
        <f>CEILING((C3*C7*0.001+C4*C7*0.001)*1.28,1)</f>
        <v>18</v>
      </c>
      <c r="E23" s="14">
        <v>400</v>
      </c>
      <c r="F23" s="29">
        <f>D23*E23</f>
        <v>7200</v>
      </c>
    </row>
    <row r="24" spans="1:10" x14ac:dyDescent="0.3">
      <c r="A24" s="23">
        <f t="shared" si="1"/>
        <v>6</v>
      </c>
      <c r="B24" s="2" t="s">
        <v>70</v>
      </c>
      <c r="C24" s="14" t="s">
        <v>3</v>
      </c>
      <c r="D24" s="15">
        <f>C3+C4*0.3</f>
        <v>112</v>
      </c>
      <c r="E24" s="14">
        <v>30</v>
      </c>
      <c r="F24" s="29">
        <f>D24*E24</f>
        <v>3360</v>
      </c>
    </row>
    <row r="25" spans="1:10" x14ac:dyDescent="0.3">
      <c r="A25" s="23">
        <f t="shared" si="1"/>
        <v>7</v>
      </c>
      <c r="B25" s="2" t="s">
        <v>44</v>
      </c>
      <c r="C25" s="14" t="s">
        <v>13</v>
      </c>
      <c r="D25" s="15">
        <f>C4</f>
        <v>40</v>
      </c>
      <c r="E25" s="14">
        <v>450</v>
      </c>
      <c r="F25" s="29">
        <f t="shared" si="0"/>
        <v>18000</v>
      </c>
    </row>
    <row r="26" spans="1:10" ht="39.950000000000003" x14ac:dyDescent="0.3">
      <c r="A26" s="23">
        <f t="shared" si="1"/>
        <v>8</v>
      </c>
      <c r="B26" s="2" t="s">
        <v>75</v>
      </c>
      <c r="C26" s="14" t="s">
        <v>14</v>
      </c>
      <c r="D26" s="15">
        <f>D43+D44</f>
        <v>2.431046666666667</v>
      </c>
      <c r="E26" s="14">
        <v>17300</v>
      </c>
      <c r="F26" s="29">
        <f t="shared" si="0"/>
        <v>42057.107333333341</v>
      </c>
    </row>
    <row r="27" spans="1:10" x14ac:dyDescent="0.3">
      <c r="A27" s="23">
        <f t="shared" si="1"/>
        <v>9</v>
      </c>
      <c r="B27" s="2" t="s">
        <v>2</v>
      </c>
      <c r="C27" s="14" t="s">
        <v>4</v>
      </c>
      <c r="D27" s="15">
        <f>C3*C5*0.001*1.05</f>
        <v>26.25</v>
      </c>
      <c r="E27" s="14">
        <v>1500</v>
      </c>
      <c r="F27" s="29">
        <f t="shared" si="0"/>
        <v>39375</v>
      </c>
    </row>
    <row r="28" spans="1:10" x14ac:dyDescent="0.3">
      <c r="A28" s="23"/>
      <c r="B28" s="4"/>
      <c r="C28" s="18"/>
      <c r="D28" s="18"/>
      <c r="E28" s="16" t="s">
        <v>29</v>
      </c>
      <c r="F28" s="33">
        <f>SUM(F19:F27)</f>
        <v>146992.10733333335</v>
      </c>
    </row>
    <row r="29" spans="1:10" x14ac:dyDescent="0.3">
      <c r="A29" s="60"/>
      <c r="B29" s="53" t="s">
        <v>54</v>
      </c>
      <c r="C29" s="53"/>
      <c r="D29" s="53"/>
      <c r="E29" s="53"/>
      <c r="F29" s="59"/>
      <c r="G29" s="25"/>
      <c r="H29" s="25"/>
      <c r="I29" s="25"/>
      <c r="J29" s="25"/>
    </row>
    <row r="30" spans="1:10" x14ac:dyDescent="0.3">
      <c r="A30" s="36">
        <v>1</v>
      </c>
      <c r="B30" s="2" t="s">
        <v>53</v>
      </c>
      <c r="C30" s="3" t="s">
        <v>3</v>
      </c>
      <c r="D30" s="2">
        <f>C9*C11*2*0.001</f>
        <v>24</v>
      </c>
      <c r="E30" s="37">
        <v>500</v>
      </c>
      <c r="F30" s="44">
        <f t="shared" ref="F30:F32" si="2">D30*E30</f>
        <v>12000</v>
      </c>
    </row>
    <row r="31" spans="1:10" ht="39.950000000000003" x14ac:dyDescent="0.3">
      <c r="A31" s="36">
        <f>A30+1</f>
        <v>2</v>
      </c>
      <c r="B31" s="2" t="s">
        <v>74</v>
      </c>
      <c r="C31" s="14" t="s">
        <v>14</v>
      </c>
      <c r="D31" s="15">
        <f>D51+D52</f>
        <v>0.22542800000000002</v>
      </c>
      <c r="E31" s="14">
        <v>17300</v>
      </c>
      <c r="F31" s="29">
        <f t="shared" si="2"/>
        <v>3899.9044000000004</v>
      </c>
    </row>
    <row r="32" spans="1:10" x14ac:dyDescent="0.3">
      <c r="A32" s="36">
        <f>A31+1</f>
        <v>3</v>
      </c>
      <c r="B32" s="2" t="s">
        <v>2</v>
      </c>
      <c r="C32" s="3" t="s">
        <v>4</v>
      </c>
      <c r="D32" s="38">
        <f>ROUNDUP(C9*C10*C11*1.05*0.001*0.001/0.25,0)*0.25</f>
        <v>5.25</v>
      </c>
      <c r="E32" s="3">
        <v>2000</v>
      </c>
      <c r="F32" s="44">
        <f t="shared" si="2"/>
        <v>10500</v>
      </c>
    </row>
    <row r="33" spans="1:6" x14ac:dyDescent="0.3">
      <c r="A33" s="36"/>
      <c r="B33" s="2"/>
      <c r="C33" s="3"/>
      <c r="D33" s="2"/>
      <c r="E33" s="39" t="s">
        <v>29</v>
      </c>
      <c r="F33" s="45">
        <f>SUM(F30:F32)</f>
        <v>26399.904399999999</v>
      </c>
    </row>
    <row r="34" spans="1:6" x14ac:dyDescent="0.3">
      <c r="A34" s="23"/>
      <c r="B34" s="2"/>
      <c r="C34" s="115" t="s">
        <v>40</v>
      </c>
      <c r="D34" s="115"/>
      <c r="E34" s="115"/>
      <c r="F34" s="30">
        <f>F33+F28</f>
        <v>173392.01173333335</v>
      </c>
    </row>
    <row r="35" spans="1:6" ht="15.75" x14ac:dyDescent="0.3">
      <c r="A35" s="48"/>
      <c r="B35" s="110" t="s">
        <v>71</v>
      </c>
      <c r="C35" s="110"/>
      <c r="D35" s="110"/>
      <c r="E35" s="110"/>
      <c r="F35" s="111"/>
    </row>
    <row r="36" spans="1:6" x14ac:dyDescent="0.3">
      <c r="A36" s="26"/>
      <c r="B36" s="53" t="s">
        <v>48</v>
      </c>
      <c r="C36" s="53"/>
      <c r="D36" s="53"/>
      <c r="E36" s="53"/>
      <c r="F36" s="59"/>
    </row>
    <row r="37" spans="1:6" x14ac:dyDescent="0.3">
      <c r="A37" s="23">
        <v>1</v>
      </c>
      <c r="B37" s="4" t="s">
        <v>64</v>
      </c>
      <c r="C37" s="18" t="s">
        <v>3</v>
      </c>
      <c r="D37" s="17">
        <f>D21*1.1*1.2</f>
        <v>184.79999999999998</v>
      </c>
      <c r="E37" s="18">
        <v>30</v>
      </c>
      <c r="F37" s="31">
        <f>MMULT(D37,E37)</f>
        <v>5543.9999999999991</v>
      </c>
    </row>
    <row r="38" spans="1:6" ht="26.85" x14ac:dyDescent="0.3">
      <c r="A38" s="23">
        <f>A37+1</f>
        <v>2</v>
      </c>
      <c r="B38" s="4" t="s">
        <v>82</v>
      </c>
      <c r="C38" s="18" t="s">
        <v>4</v>
      </c>
      <c r="D38" s="17">
        <f>CEILING(D22,10)</f>
        <v>50</v>
      </c>
      <c r="E38" s="18">
        <v>600</v>
      </c>
      <c r="F38" s="31">
        <f t="shared" ref="F38:F42" si="3">MMULT(D38,E38)</f>
        <v>30000</v>
      </c>
    </row>
    <row r="39" spans="1:6" s="12" customFormat="1" ht="26.85" x14ac:dyDescent="0.3">
      <c r="A39" s="23">
        <f t="shared" ref="A39:A46" si="4">A38+1</f>
        <v>3</v>
      </c>
      <c r="B39" s="4" t="s">
        <v>83</v>
      </c>
      <c r="C39" s="20" t="s">
        <v>4</v>
      </c>
      <c r="D39" s="19">
        <f>CEILING(D23,10)</f>
        <v>20</v>
      </c>
      <c r="E39" s="20">
        <v>1400</v>
      </c>
      <c r="F39" s="32">
        <f>MMULT(D39,E39)</f>
        <v>28000</v>
      </c>
    </row>
    <row r="40" spans="1:6" x14ac:dyDescent="0.3">
      <c r="A40" s="23">
        <f t="shared" si="4"/>
        <v>4</v>
      </c>
      <c r="B40" s="4" t="s">
        <v>30</v>
      </c>
      <c r="C40" s="18" t="s">
        <v>3</v>
      </c>
      <c r="D40" s="17">
        <f>D24*1.1</f>
        <v>123.20000000000002</v>
      </c>
      <c r="E40" s="18">
        <v>110</v>
      </c>
      <c r="F40" s="31">
        <f t="shared" si="3"/>
        <v>13552.000000000002</v>
      </c>
    </row>
    <row r="41" spans="1:6" x14ac:dyDescent="0.3">
      <c r="A41" s="23">
        <f t="shared" si="4"/>
        <v>5</v>
      </c>
      <c r="B41" s="4" t="s">
        <v>5</v>
      </c>
      <c r="C41" s="18" t="s">
        <v>12</v>
      </c>
      <c r="D41" s="74">
        <f>C3*4</f>
        <v>400</v>
      </c>
      <c r="E41" s="18">
        <v>5</v>
      </c>
      <c r="F41" s="31">
        <f t="shared" si="3"/>
        <v>2000</v>
      </c>
    </row>
    <row r="42" spans="1:6" x14ac:dyDescent="0.3">
      <c r="A42" s="23">
        <f t="shared" si="4"/>
        <v>6</v>
      </c>
      <c r="B42" s="69" t="s">
        <v>103</v>
      </c>
      <c r="C42" s="18" t="s">
        <v>56</v>
      </c>
      <c r="D42" s="17">
        <v>1</v>
      </c>
      <c r="E42" s="18">
        <f>C3*115</f>
        <v>11500</v>
      </c>
      <c r="F42" s="31">
        <f t="shared" si="3"/>
        <v>11500</v>
      </c>
    </row>
    <row r="43" spans="1:6" ht="39.950000000000003" x14ac:dyDescent="0.3">
      <c r="A43" s="23">
        <f t="shared" si="4"/>
        <v>7</v>
      </c>
      <c r="B43" s="4" t="s">
        <v>62</v>
      </c>
      <c r="C43" s="18" t="s">
        <v>14</v>
      </c>
      <c r="D43" s="17">
        <f>(C3*21*0.888*1.1*0.001+C4/0.2*1.5*1.1*0.91*0.001)</f>
        <v>2.3515800000000002</v>
      </c>
      <c r="E43" s="18">
        <v>41000</v>
      </c>
      <c r="F43" s="31">
        <f>ROUNDUP(MMULT(D43,E43),0)</f>
        <v>96415</v>
      </c>
    </row>
    <row r="44" spans="1:6" ht="39.950000000000003" x14ac:dyDescent="0.3">
      <c r="A44" s="23">
        <f>A43+1</f>
        <v>8</v>
      </c>
      <c r="B44" s="4" t="s">
        <v>63</v>
      </c>
      <c r="C44" s="18" t="s">
        <v>14</v>
      </c>
      <c r="D44" s="17">
        <f>(C3+C4/2)*0.45*1.2*0.001+C4/1.5*0.5*1.1*0.001</f>
        <v>7.9466666666666658E-2</v>
      </c>
      <c r="E44" s="18">
        <v>41000</v>
      </c>
      <c r="F44" s="31">
        <f>ROUNDUP(MMULT(D44,E44),0)</f>
        <v>3259</v>
      </c>
    </row>
    <row r="45" spans="1:6" x14ac:dyDescent="0.3">
      <c r="A45" s="23">
        <f>A44+1</f>
        <v>9</v>
      </c>
      <c r="B45" s="4" t="s">
        <v>6</v>
      </c>
      <c r="C45" s="18" t="s">
        <v>15</v>
      </c>
      <c r="D45" s="17">
        <f>D26*9</f>
        <v>21.879420000000003</v>
      </c>
      <c r="E45" s="18">
        <v>100</v>
      </c>
      <c r="F45" s="31">
        <f>ROUNDUP(MMULT(D45,E45),0)</f>
        <v>2188</v>
      </c>
    </row>
    <row r="46" spans="1:6" ht="16.55" customHeight="1" x14ac:dyDescent="0.3">
      <c r="A46" s="23">
        <f t="shared" si="4"/>
        <v>10</v>
      </c>
      <c r="B46" s="4" t="s">
        <v>100</v>
      </c>
      <c r="C46" s="18" t="s">
        <v>4</v>
      </c>
      <c r="D46" s="17">
        <f>D27</f>
        <v>26.25</v>
      </c>
      <c r="E46" s="70">
        <f>IF($C$12&gt;30,($C$12-30)*15+4100,4100)</f>
        <v>4100</v>
      </c>
      <c r="F46" s="31">
        <f>ROUNDUP(MMULT(D46,E46),0)</f>
        <v>107625</v>
      </c>
    </row>
    <row r="47" spans="1:6" x14ac:dyDescent="0.3">
      <c r="A47" s="23"/>
      <c r="B47" s="4"/>
      <c r="C47" s="18"/>
      <c r="D47" s="18"/>
      <c r="E47" s="16" t="s">
        <v>29</v>
      </c>
      <c r="F47" s="33">
        <f>SUM(F37:F46)</f>
        <v>300083</v>
      </c>
    </row>
    <row r="48" spans="1:6" x14ac:dyDescent="0.3">
      <c r="A48" s="40"/>
      <c r="B48" s="108" t="s">
        <v>55</v>
      </c>
      <c r="C48" s="108"/>
      <c r="D48" s="108"/>
      <c r="E48" s="108"/>
      <c r="F48" s="109"/>
    </row>
    <row r="49" spans="1:7" x14ac:dyDescent="0.3">
      <c r="A49" s="23">
        <v>1</v>
      </c>
      <c r="B49" s="69" t="str">
        <f>IF($C$9&lt;=700,"Опалубка инвентарная из ламинированной фанеры","Опалубка инвентарная")</f>
        <v>Опалубка инвентарная из ламинированной фанеры</v>
      </c>
      <c r="C49" s="18" t="s">
        <v>3</v>
      </c>
      <c r="D49" s="85">
        <f>IF(C9&lt;301,C4*0.6,C11*2*0.6)</f>
        <v>24</v>
      </c>
      <c r="E49" s="18">
        <f>IF($C$9&lt;=700,260,580)</f>
        <v>260</v>
      </c>
      <c r="F49" s="31">
        <f t="shared" ref="F49:F54" si="5">MMULT(D49,E49)</f>
        <v>6240</v>
      </c>
    </row>
    <row r="50" spans="1:7" ht="26.85" x14ac:dyDescent="0.3">
      <c r="A50" s="23">
        <f>A49+1</f>
        <v>2</v>
      </c>
      <c r="B50" s="4" t="s">
        <v>104</v>
      </c>
      <c r="C50" s="18" t="s">
        <v>4</v>
      </c>
      <c r="D50" s="86">
        <f>IF(C9&lt;301,((C11*C9*0.001*2 -C4*C9*0.001 +C4*0.1)*0.04*1.1),C11*0.2*0.04)</f>
        <v>0.88000000000000012</v>
      </c>
      <c r="E50" s="20">
        <v>12500</v>
      </c>
      <c r="F50" s="31">
        <f t="shared" si="5"/>
        <v>11000.000000000002</v>
      </c>
    </row>
    <row r="51" spans="1:7" ht="39.950000000000003" x14ac:dyDescent="0.3">
      <c r="A51" s="23">
        <f>A50+1</f>
        <v>3</v>
      </c>
      <c r="B51" s="4" t="s">
        <v>62</v>
      </c>
      <c r="C51" s="18" t="s">
        <v>14</v>
      </c>
      <c r="D51" s="17">
        <f>CEILING((C10*0.001)/0.2,1)*CEILING((C9*0.001)/0.2,1)*C11*0.001*0.888*1.3</f>
        <v>0.13852800000000001</v>
      </c>
      <c r="E51" s="18">
        <v>41000</v>
      </c>
      <c r="F51" s="31">
        <f t="shared" si="5"/>
        <v>5679.6480000000001</v>
      </c>
    </row>
    <row r="52" spans="1:7" ht="39.950000000000003" x14ac:dyDescent="0.3">
      <c r="A52" s="23">
        <f t="shared" ref="A52:A54" si="6">A51+1</f>
        <v>4</v>
      </c>
      <c r="B52" s="4" t="s">
        <v>63</v>
      </c>
      <c r="C52" s="18" t="s">
        <v>14</v>
      </c>
      <c r="D52" s="17">
        <f>C11/0.3*0.395*0.001*1.1</f>
        <v>8.6900000000000005E-2</v>
      </c>
      <c r="E52" s="18">
        <v>41000</v>
      </c>
      <c r="F52" s="31">
        <f t="shared" si="5"/>
        <v>3562.9</v>
      </c>
    </row>
    <row r="53" spans="1:7" x14ac:dyDescent="0.3">
      <c r="A53" s="23">
        <f t="shared" si="6"/>
        <v>5</v>
      </c>
      <c r="B53" s="4" t="s">
        <v>6</v>
      </c>
      <c r="C53" s="18" t="s">
        <v>15</v>
      </c>
      <c r="D53" s="17">
        <f>(D51+D52)*9</f>
        <v>2.0288520000000001</v>
      </c>
      <c r="E53" s="18">
        <v>100</v>
      </c>
      <c r="F53" s="31">
        <f t="shared" si="5"/>
        <v>202.8852</v>
      </c>
    </row>
    <row r="54" spans="1:7" x14ac:dyDescent="0.3">
      <c r="A54" s="23">
        <f t="shared" si="6"/>
        <v>6</v>
      </c>
      <c r="B54" s="4" t="s">
        <v>101</v>
      </c>
      <c r="C54" s="18" t="s">
        <v>4</v>
      </c>
      <c r="D54" s="17">
        <f>D32</f>
        <v>5.25</v>
      </c>
      <c r="E54" s="70">
        <f>IF($C$12&gt;30,($C$12-30)*15+4100,4100)</f>
        <v>4100</v>
      </c>
      <c r="F54" s="31">
        <f t="shared" si="5"/>
        <v>21525</v>
      </c>
    </row>
    <row r="55" spans="1:7" x14ac:dyDescent="0.3">
      <c r="A55" s="61"/>
      <c r="B55" s="4"/>
      <c r="C55" s="54"/>
      <c r="D55" s="54"/>
      <c r="E55" s="39" t="s">
        <v>29</v>
      </c>
      <c r="F55" s="45">
        <f>SUM(F49:F54)</f>
        <v>48210.433199999999</v>
      </c>
    </row>
    <row r="56" spans="1:7" x14ac:dyDescent="0.3">
      <c r="A56" s="26"/>
      <c r="B56" s="83" t="s">
        <v>42</v>
      </c>
      <c r="C56" s="21"/>
      <c r="D56" s="21"/>
      <c r="E56" s="21"/>
      <c r="F56" s="46"/>
    </row>
    <row r="57" spans="1:7" ht="15.9" customHeight="1" x14ac:dyDescent="0.3">
      <c r="A57" s="23">
        <v>1</v>
      </c>
      <c r="B57" s="2" t="s">
        <v>78</v>
      </c>
      <c r="C57" s="3" t="s">
        <v>79</v>
      </c>
      <c r="D57" s="3">
        <v>1</v>
      </c>
      <c r="E57" s="3">
        <f>IF($C$12&gt;30,($C$12-30)*35+9000,9000)</f>
        <v>9000</v>
      </c>
      <c r="F57" s="44">
        <f>D57*E57</f>
        <v>9000</v>
      </c>
      <c r="G57" s="75"/>
    </row>
    <row r="58" spans="1:7" ht="15.9" customHeight="1" x14ac:dyDescent="0.3">
      <c r="A58" s="23">
        <f t="shared" ref="A58:A60" si="7">A57+1</f>
        <v>2</v>
      </c>
      <c r="B58" s="2" t="s">
        <v>80</v>
      </c>
      <c r="C58" s="3" t="s">
        <v>79</v>
      </c>
      <c r="D58" s="3">
        <v>1</v>
      </c>
      <c r="E58" s="3">
        <f>IF($C$12&gt;30,($C$12-30)*35+5000,5000)</f>
        <v>5000</v>
      </c>
      <c r="F58" s="44">
        <f>D58*E58</f>
        <v>5000</v>
      </c>
      <c r="G58" s="75"/>
    </row>
    <row r="59" spans="1:7" ht="15.25" customHeight="1" x14ac:dyDescent="0.3">
      <c r="A59" s="23">
        <f t="shared" si="7"/>
        <v>3</v>
      </c>
      <c r="B59" s="2" t="s">
        <v>96</v>
      </c>
      <c r="C59" s="3" t="s">
        <v>79</v>
      </c>
      <c r="D59" s="3">
        <v>1</v>
      </c>
      <c r="E59" s="3">
        <f>IF($C$12&gt;30,($C$12-30)*35+4200,4200)</f>
        <v>4200</v>
      </c>
      <c r="F59" s="44">
        <f>D59*E59</f>
        <v>4200</v>
      </c>
      <c r="G59" s="75"/>
    </row>
    <row r="60" spans="1:7" ht="16.55" customHeight="1" x14ac:dyDescent="0.3">
      <c r="A60" s="23">
        <f t="shared" si="7"/>
        <v>4</v>
      </c>
      <c r="B60" s="2" t="s">
        <v>84</v>
      </c>
      <c r="C60" s="3" t="s">
        <v>79</v>
      </c>
      <c r="D60" s="3"/>
      <c r="E60" s="3"/>
      <c r="F60" s="44">
        <v>2400</v>
      </c>
      <c r="G60" s="75"/>
    </row>
    <row r="61" spans="1:7" x14ac:dyDescent="0.3">
      <c r="A61" s="23"/>
      <c r="B61" s="5"/>
      <c r="C61" s="5"/>
      <c r="D61" s="5"/>
      <c r="E61" s="6" t="s">
        <v>29</v>
      </c>
      <c r="F61" s="45">
        <f>SUM(F57:F60)</f>
        <v>20600</v>
      </c>
      <c r="G61" s="75"/>
    </row>
    <row r="62" spans="1:7" x14ac:dyDescent="0.3">
      <c r="A62" s="23"/>
      <c r="B62" s="2"/>
      <c r="C62" s="115" t="s">
        <v>41</v>
      </c>
      <c r="D62" s="115"/>
      <c r="E62" s="115"/>
      <c r="F62" s="30">
        <f>F61+F47+F55</f>
        <v>368893.43319999997</v>
      </c>
    </row>
    <row r="63" spans="1:7" ht="15.75" x14ac:dyDescent="0.3">
      <c r="A63" s="26"/>
      <c r="B63" s="116" t="s">
        <v>97</v>
      </c>
      <c r="C63" s="117"/>
      <c r="D63" s="117"/>
      <c r="E63" s="117"/>
      <c r="F63" s="118"/>
    </row>
    <row r="64" spans="1:7" ht="26.85" x14ac:dyDescent="0.3">
      <c r="A64" s="23">
        <f t="shared" ref="A64:A69" si="8">A63+1</f>
        <v>1</v>
      </c>
      <c r="B64" s="55" t="s">
        <v>98</v>
      </c>
      <c r="C64" s="14" t="s">
        <v>4</v>
      </c>
      <c r="D64" s="35">
        <v>0</v>
      </c>
      <c r="E64" s="14">
        <v>150</v>
      </c>
      <c r="F64" s="29">
        <f>D64*E64</f>
        <v>0</v>
      </c>
    </row>
    <row r="65" spans="1:7" ht="39.950000000000003" x14ac:dyDescent="0.3">
      <c r="A65" s="23">
        <f t="shared" si="8"/>
        <v>2</v>
      </c>
      <c r="B65" s="2" t="s">
        <v>77</v>
      </c>
      <c r="C65" s="14" t="s">
        <v>13</v>
      </c>
      <c r="D65" s="15">
        <v>5</v>
      </c>
      <c r="E65" s="14">
        <v>1200</v>
      </c>
      <c r="F65" s="29">
        <f t="shared" ref="F65:F67" si="9">D65*E65</f>
        <v>6000</v>
      </c>
    </row>
    <row r="66" spans="1:7" ht="39.950000000000003" x14ac:dyDescent="0.3">
      <c r="A66" s="23">
        <f t="shared" si="8"/>
        <v>3</v>
      </c>
      <c r="B66" s="2" t="s">
        <v>72</v>
      </c>
      <c r="C66" s="14" t="s">
        <v>13</v>
      </c>
      <c r="D66" s="15">
        <v>10</v>
      </c>
      <c r="E66" s="14">
        <f>100*2</f>
        <v>200</v>
      </c>
      <c r="F66" s="29">
        <f t="shared" si="9"/>
        <v>2000</v>
      </c>
    </row>
    <row r="67" spans="1:7" ht="39.950000000000003" x14ac:dyDescent="0.3">
      <c r="A67" s="23">
        <f t="shared" si="8"/>
        <v>4</v>
      </c>
      <c r="B67" s="2" t="s">
        <v>73</v>
      </c>
      <c r="C67" s="14" t="s">
        <v>13</v>
      </c>
      <c r="D67" s="15">
        <v>5</v>
      </c>
      <c r="E67" s="14">
        <v>1000</v>
      </c>
      <c r="F67" s="29">
        <f t="shared" si="9"/>
        <v>5000</v>
      </c>
    </row>
    <row r="68" spans="1:7" ht="30.15" customHeight="1" x14ac:dyDescent="0.3">
      <c r="A68" s="23">
        <f t="shared" si="8"/>
        <v>5</v>
      </c>
      <c r="B68" s="2" t="s">
        <v>86</v>
      </c>
      <c r="C68" s="14" t="s">
        <v>13</v>
      </c>
      <c r="D68" s="15">
        <f>C4+8</f>
        <v>48</v>
      </c>
      <c r="E68" s="14">
        <f>CEILING((D68*(700+72+216+80)+CEILING(D68/15,1)*6100)/D68,1)</f>
        <v>1577</v>
      </c>
      <c r="F68" s="29">
        <f t="shared" ref="F68" si="10">D68*E68</f>
        <v>75696</v>
      </c>
    </row>
    <row r="69" spans="1:7" x14ac:dyDescent="0.3">
      <c r="A69" s="23">
        <f t="shared" si="8"/>
        <v>6</v>
      </c>
      <c r="B69" s="55" t="s">
        <v>65</v>
      </c>
      <c r="C69" s="18" t="s">
        <v>66</v>
      </c>
      <c r="D69" s="15">
        <v>1</v>
      </c>
      <c r="E69" s="14">
        <f>FLOOR(C3/100,1)*5000</f>
        <v>5000</v>
      </c>
      <c r="F69" s="29">
        <f>D69*E69</f>
        <v>5000</v>
      </c>
    </row>
    <row r="70" spans="1:7" x14ac:dyDescent="0.3">
      <c r="A70" s="23"/>
      <c r="B70" s="2"/>
      <c r="C70" s="107" t="s">
        <v>39</v>
      </c>
      <c r="D70" s="107"/>
      <c r="E70" s="107"/>
      <c r="F70" s="34">
        <f>SUM(F64:F69)</f>
        <v>93696</v>
      </c>
    </row>
    <row r="71" spans="1:7" x14ac:dyDescent="0.3">
      <c r="A71" s="26"/>
      <c r="B71" s="47" t="s">
        <v>46</v>
      </c>
      <c r="C71" s="21"/>
      <c r="D71" s="21"/>
      <c r="E71" s="21"/>
      <c r="F71" s="46"/>
    </row>
    <row r="72" spans="1:7" x14ac:dyDescent="0.3">
      <c r="A72" s="23">
        <v>1</v>
      </c>
      <c r="B72" s="2" t="s">
        <v>23</v>
      </c>
      <c r="C72" s="3" t="s">
        <v>10</v>
      </c>
      <c r="D72" s="3">
        <f>ROUNDUP(D46/80,0)</f>
        <v>1</v>
      </c>
      <c r="E72" s="3">
        <f>IF($C$12&gt;30,($C$12-30)*115+14400,14400)</f>
        <v>14400</v>
      </c>
      <c r="F72" s="44">
        <f>MMULT(D72,E72)</f>
        <v>14400</v>
      </c>
    </row>
    <row r="73" spans="1:7" ht="39.950000000000003" x14ac:dyDescent="0.3">
      <c r="A73" s="23">
        <f>A72+1</f>
        <v>2</v>
      </c>
      <c r="B73" s="2" t="s">
        <v>81</v>
      </c>
      <c r="C73" s="3" t="s">
        <v>12</v>
      </c>
      <c r="D73" s="2">
        <v>1</v>
      </c>
      <c r="E73" s="3">
        <v>20000</v>
      </c>
      <c r="F73" s="44">
        <f>D73*E73</f>
        <v>20000</v>
      </c>
    </row>
    <row r="74" spans="1:7" ht="15.25" customHeight="1" x14ac:dyDescent="0.3">
      <c r="A74" s="23">
        <f t="shared" ref="A74:A75" si="11">A73+1</f>
        <v>3</v>
      </c>
      <c r="B74" s="2" t="s">
        <v>57</v>
      </c>
      <c r="C74" s="3" t="s">
        <v>12</v>
      </c>
      <c r="D74" s="2">
        <v>1</v>
      </c>
      <c r="E74" s="65">
        <v>5000</v>
      </c>
      <c r="F74" s="44">
        <f>D74*E74</f>
        <v>5000</v>
      </c>
    </row>
    <row r="75" spans="1:7" ht="39.950000000000003" x14ac:dyDescent="0.3">
      <c r="A75" s="23">
        <f t="shared" si="11"/>
        <v>4</v>
      </c>
      <c r="B75" s="2" t="s">
        <v>99</v>
      </c>
      <c r="C75" s="3" t="s">
        <v>24</v>
      </c>
      <c r="D75" s="2">
        <f>ROUND(D57/3,0)</f>
        <v>0</v>
      </c>
      <c r="E75" s="3">
        <v>0</v>
      </c>
      <c r="F75" s="44">
        <f>D75*E75</f>
        <v>0</v>
      </c>
      <c r="G75" s="75"/>
    </row>
    <row r="76" spans="1:7" ht="39.950000000000003" x14ac:dyDescent="0.3">
      <c r="A76" s="23">
        <f t="shared" ref="A76" si="12">A75+1</f>
        <v>5</v>
      </c>
      <c r="B76" s="2" t="s">
        <v>85</v>
      </c>
      <c r="C76" s="3" t="s">
        <v>56</v>
      </c>
      <c r="D76" s="2">
        <v>0</v>
      </c>
      <c r="E76" s="65">
        <v>0</v>
      </c>
      <c r="F76" s="44">
        <f>D76*E76</f>
        <v>0</v>
      </c>
    </row>
    <row r="77" spans="1:7" ht="15.25" customHeight="1" x14ac:dyDescent="0.3">
      <c r="A77" s="23"/>
      <c r="B77" s="107" t="s">
        <v>47</v>
      </c>
      <c r="C77" s="107"/>
      <c r="D77" s="107"/>
      <c r="E77" s="107"/>
      <c r="F77" s="34">
        <f>SUM(F72:F76)</f>
        <v>39400</v>
      </c>
    </row>
    <row r="78" spans="1:7" x14ac:dyDescent="0.3">
      <c r="A78" s="23"/>
      <c r="B78" s="114" t="s">
        <v>27</v>
      </c>
      <c r="C78" s="114"/>
      <c r="D78" s="114"/>
      <c r="E78" s="114"/>
      <c r="F78" s="34">
        <f>F77+F70+F62+F34</f>
        <v>675381.44493333332</v>
      </c>
    </row>
    <row r="79" spans="1:7" ht="15.75" thickBot="1" x14ac:dyDescent="0.35">
      <c r="A79" s="62"/>
      <c r="B79" s="106" t="s">
        <v>43</v>
      </c>
      <c r="C79" s="106"/>
      <c r="D79" s="106"/>
      <c r="E79" s="106"/>
      <c r="F79" s="63">
        <f>F78*0.02</f>
        <v>13507.628898666666</v>
      </c>
    </row>
    <row r="80" spans="1:7" ht="15.75" thickBot="1" x14ac:dyDescent="0.35">
      <c r="A80" s="97" t="s">
        <v>11</v>
      </c>
      <c r="B80" s="98"/>
      <c r="C80" s="98"/>
      <c r="D80" s="99"/>
      <c r="E80" s="100">
        <f>F79+F78</f>
        <v>688889.07383200002</v>
      </c>
      <c r="F80" s="101"/>
    </row>
    <row r="81" spans="1:7" x14ac:dyDescent="0.3">
      <c r="A81" s="27"/>
      <c r="B81" s="25"/>
      <c r="C81" s="25"/>
      <c r="D81" s="25"/>
      <c r="E81" s="25"/>
      <c r="F81" s="79"/>
      <c r="G81" s="75"/>
    </row>
    <row r="82" spans="1:7" ht="24.25" customHeight="1" x14ac:dyDescent="0.3">
      <c r="A82" s="64"/>
      <c r="B82" s="102" t="s">
        <v>91</v>
      </c>
      <c r="C82" s="102"/>
      <c r="D82" s="102"/>
      <c r="E82" s="102"/>
      <c r="F82" s="103"/>
      <c r="G82" s="75"/>
    </row>
    <row r="83" spans="1:7" x14ac:dyDescent="0.3">
      <c r="A83" s="64"/>
      <c r="B83" s="77"/>
      <c r="C83" s="77"/>
      <c r="D83" s="77"/>
      <c r="E83" s="77"/>
      <c r="F83" s="78"/>
    </row>
    <row r="84" spans="1:7" ht="27" customHeight="1" x14ac:dyDescent="0.3">
      <c r="A84" s="64"/>
      <c r="B84" s="24" t="s">
        <v>59</v>
      </c>
      <c r="C84" s="66"/>
      <c r="D84" s="66"/>
      <c r="E84" s="66"/>
      <c r="F84" s="67"/>
    </row>
    <row r="85" spans="1:7" ht="42.9" customHeight="1" x14ac:dyDescent="0.3">
      <c r="A85" s="64"/>
      <c r="B85" s="76" t="s">
        <v>60</v>
      </c>
      <c r="C85" s="104" t="s">
        <v>61</v>
      </c>
      <c r="D85" s="104"/>
      <c r="E85" s="104"/>
      <c r="F85" s="105"/>
    </row>
    <row r="86" spans="1:7" ht="30.8" customHeight="1" x14ac:dyDescent="0.3">
      <c r="A86" s="64"/>
      <c r="B86" s="68" t="s">
        <v>92</v>
      </c>
      <c r="C86" s="87">
        <f>CEILING(F70/2+F62-F54-F46,1000)</f>
        <v>287000</v>
      </c>
      <c r="D86" s="88"/>
      <c r="E86" s="88"/>
      <c r="F86" s="89"/>
    </row>
    <row r="87" spans="1:7" ht="43.55" customHeight="1" x14ac:dyDescent="0.3">
      <c r="A87" s="64"/>
      <c r="B87" s="68" t="s">
        <v>93</v>
      </c>
      <c r="C87" s="87">
        <f>CEILING(F46+F54+F72,1000)</f>
        <v>144000</v>
      </c>
      <c r="D87" s="88"/>
      <c r="E87" s="88"/>
      <c r="F87" s="89"/>
    </row>
    <row r="88" spans="1:7" ht="39.950000000000003" x14ac:dyDescent="0.3">
      <c r="A88" s="64"/>
      <c r="B88" s="68" t="s">
        <v>94</v>
      </c>
      <c r="C88" s="87">
        <f>E80-C86-C87</f>
        <v>257889.07383200002</v>
      </c>
      <c r="D88" s="88"/>
      <c r="E88" s="88"/>
      <c r="F88" s="89"/>
    </row>
    <row r="89" spans="1:7" ht="56.95" customHeight="1" x14ac:dyDescent="0.3">
      <c r="A89" s="64"/>
      <c r="B89" s="71"/>
      <c r="C89" s="72"/>
      <c r="D89" s="72"/>
      <c r="E89" s="72"/>
      <c r="F89" s="73"/>
      <c r="G89" s="75"/>
    </row>
    <row r="90" spans="1:7" ht="37.5" customHeight="1" x14ac:dyDescent="0.3">
      <c r="A90" s="64"/>
      <c r="B90" s="95" t="s">
        <v>88</v>
      </c>
      <c r="C90" s="95"/>
      <c r="D90" s="95"/>
      <c r="E90" s="95"/>
      <c r="F90" s="96"/>
    </row>
    <row r="91" spans="1:7" x14ac:dyDescent="0.3">
      <c r="A91" s="27"/>
      <c r="B91" s="95" t="s">
        <v>87</v>
      </c>
      <c r="C91" s="95"/>
      <c r="D91" s="95"/>
      <c r="E91" s="95"/>
      <c r="F91" s="96"/>
    </row>
    <row r="92" spans="1:7" ht="24.9" customHeight="1" x14ac:dyDescent="0.3">
      <c r="A92" s="27"/>
      <c r="B92" s="90"/>
      <c r="C92" s="90"/>
      <c r="D92" s="90"/>
      <c r="E92" s="90"/>
      <c r="F92" s="91"/>
    </row>
    <row r="93" spans="1:7" x14ac:dyDescent="0.3">
      <c r="A93" s="27"/>
      <c r="B93" s="95" t="s">
        <v>89</v>
      </c>
      <c r="C93" s="95"/>
      <c r="D93" s="95"/>
      <c r="E93" s="95"/>
      <c r="F93" s="96"/>
    </row>
    <row r="94" spans="1:7" x14ac:dyDescent="0.3">
      <c r="A94" s="27"/>
      <c r="B94" s="82" t="s">
        <v>90</v>
      </c>
      <c r="C94" s="80"/>
      <c r="D94" s="80"/>
      <c r="E94" s="80"/>
      <c r="F94" s="81"/>
    </row>
    <row r="95" spans="1:7" ht="29.45" customHeight="1" thickBot="1" x14ac:dyDescent="0.35">
      <c r="A95" s="27"/>
      <c r="B95" s="25"/>
      <c r="C95" s="25"/>
      <c r="D95" s="25"/>
      <c r="E95" s="25"/>
      <c r="F95" s="79"/>
    </row>
    <row r="96" spans="1:7" ht="15.75" thickBot="1" x14ac:dyDescent="0.35">
      <c r="A96" s="92" t="s">
        <v>58</v>
      </c>
      <c r="B96" s="93"/>
      <c r="C96" s="93"/>
      <c r="D96" s="93"/>
      <c r="E96" s="93"/>
      <c r="F96" s="94"/>
    </row>
    <row r="110" ht="15.9" customHeight="1" x14ac:dyDescent="0.3"/>
    <row r="121" ht="15.25" customHeight="1" x14ac:dyDescent="0.3"/>
    <row r="160" ht="15.9" customHeight="1" x14ac:dyDescent="0.3"/>
    <row r="162" ht="18" customHeight="1" x14ac:dyDescent="0.3"/>
    <row r="163" ht="15.9" customHeight="1" x14ac:dyDescent="0.3"/>
    <row r="166" ht="14.25" customHeight="1" x14ac:dyDescent="0.3"/>
    <row r="178" ht="15.25" customHeight="1" x14ac:dyDescent="0.3"/>
    <row r="180" ht="15.9" customHeight="1" x14ac:dyDescent="0.3"/>
    <row r="199" ht="15.25" customHeight="1" x14ac:dyDescent="0.3"/>
    <row r="203" ht="15.9" customHeight="1" x14ac:dyDescent="0.3"/>
    <row r="232" ht="16.55" customHeight="1" x14ac:dyDescent="0.3"/>
    <row r="234" ht="15.25" customHeight="1" x14ac:dyDescent="0.3"/>
  </sheetData>
  <mergeCells count="24">
    <mergeCell ref="B79:E79"/>
    <mergeCell ref="B77:E77"/>
    <mergeCell ref="B48:F48"/>
    <mergeCell ref="B35:F35"/>
    <mergeCell ref="B1:F1"/>
    <mergeCell ref="B2:F2"/>
    <mergeCell ref="B78:E78"/>
    <mergeCell ref="C70:E70"/>
    <mergeCell ref="C34:E34"/>
    <mergeCell ref="C62:E62"/>
    <mergeCell ref="B63:F63"/>
    <mergeCell ref="B14:F14"/>
    <mergeCell ref="A80:D80"/>
    <mergeCell ref="E80:F80"/>
    <mergeCell ref="B82:F82"/>
    <mergeCell ref="C86:F86"/>
    <mergeCell ref="C87:F87"/>
    <mergeCell ref="C85:F85"/>
    <mergeCell ref="C88:F88"/>
    <mergeCell ref="B92:F92"/>
    <mergeCell ref="A96:F96"/>
    <mergeCell ref="B90:F90"/>
    <mergeCell ref="B91:F91"/>
    <mergeCell ref="B93:F93"/>
  </mergeCells>
  <hyperlinks>
    <hyperlink ref="B94" r:id="rId1"/>
  </hyperlinks>
  <pageMargins left="0.7" right="0.7" top="0.75" bottom="0.75" header="0.3" footer="0.3"/>
  <pageSetup paperSize="9" fitToHeight="0" orientation="portrait" horizontalDpi="180" verticalDpi="18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F3" sqref="F3"/>
    </sheetView>
  </sheetViews>
  <sheetFormatPr defaultRowHeight="15.05" x14ac:dyDescent="0.3"/>
  <cols>
    <col min="1" max="2" width="18.109375" customWidth="1"/>
    <col min="3" max="3" width="16.88671875" customWidth="1"/>
  </cols>
  <sheetData>
    <row r="2" spans="1:6" x14ac:dyDescent="0.3">
      <c r="B2" t="s">
        <v>35</v>
      </c>
      <c r="C2" t="s">
        <v>33</v>
      </c>
    </row>
    <row r="3" spans="1:6" x14ac:dyDescent="0.3">
      <c r="A3" t="s">
        <v>34</v>
      </c>
      <c r="B3" s="28">
        <f>Лист1!D20</f>
        <v>42</v>
      </c>
      <c r="C3">
        <f>B3/75</f>
        <v>0.56000000000000005</v>
      </c>
      <c r="D3">
        <f>D6</f>
        <v>20192.307692307691</v>
      </c>
      <c r="E3">
        <f>C3*D3</f>
        <v>11307.692307692309</v>
      </c>
      <c r="F3">
        <f>E3/B3</f>
        <v>269.23076923076923</v>
      </c>
    </row>
    <row r="4" spans="1:6" x14ac:dyDescent="0.3">
      <c r="A4" t="s">
        <v>36</v>
      </c>
      <c r="B4" s="28">
        <f>Лист1!D22</f>
        <v>44</v>
      </c>
      <c r="C4">
        <f>B4/75</f>
        <v>0.58666666666666667</v>
      </c>
      <c r="D4">
        <f>D3</f>
        <v>20192.307692307691</v>
      </c>
      <c r="E4">
        <f>C4*D4</f>
        <v>11846.153846153846</v>
      </c>
      <c r="F4">
        <f>E4/B4</f>
        <v>269.23076923076923</v>
      </c>
    </row>
    <row r="5" spans="1:6" x14ac:dyDescent="0.3">
      <c r="A5" t="s">
        <v>37</v>
      </c>
      <c r="B5" s="28">
        <f>Лист1!D23</f>
        <v>18</v>
      </c>
      <c r="C5">
        <f>B5/75</f>
        <v>0.24</v>
      </c>
      <c r="D5">
        <f>D4</f>
        <v>20192.307692307691</v>
      </c>
      <c r="E5">
        <f>C5*D5</f>
        <v>4846.1538461538457</v>
      </c>
      <c r="F5">
        <f>E5/B5</f>
        <v>269.23076923076923</v>
      </c>
    </row>
    <row r="6" spans="1:6" x14ac:dyDescent="0.3">
      <c r="C6">
        <f>C3+C5+C4</f>
        <v>1.3866666666666667</v>
      </c>
      <c r="D6">
        <f>E6/C6</f>
        <v>20192.307692307691</v>
      </c>
      <c r="E6">
        <f>E7</f>
        <v>28000</v>
      </c>
    </row>
    <row r="7" spans="1:6" x14ac:dyDescent="0.3">
      <c r="B7" t="s">
        <v>38</v>
      </c>
      <c r="C7">
        <f>CEILING(C6,1)</f>
        <v>2</v>
      </c>
      <c r="D7">
        <v>14000</v>
      </c>
      <c r="E7">
        <f>C7*D7</f>
        <v>28000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2019-01-19T12:14:20Z</dcterms:modified>
</cp:coreProperties>
</file>