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345" windowHeight="9818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Лист1!$A$1:$F$79</definedName>
  </definedNames>
  <calcPr calcId="162913" iterate="1"/>
</workbook>
</file>

<file path=xl/calcChain.xml><?xml version="1.0" encoding="utf-8"?>
<calcChain xmlns="http://schemas.openxmlformats.org/spreadsheetml/2006/main">
  <c r="E39" i="1" l="1"/>
  <c r="E53" i="1" l="1"/>
  <c r="F60" i="1" l="1"/>
  <c r="D59" i="1"/>
  <c r="F59" i="1" s="1"/>
  <c r="E43" i="1" l="1"/>
  <c r="D37" i="1"/>
  <c r="D36" i="1"/>
  <c r="A42" i="1" l="1"/>
  <c r="A43" i="1" s="1"/>
  <c r="E56" i="1" l="1"/>
  <c r="E44" i="1"/>
  <c r="F44" i="1" s="1"/>
  <c r="F43" i="1"/>
  <c r="E42" i="1"/>
  <c r="F42" i="1" s="1"/>
  <c r="A44" i="1"/>
  <c r="A45" i="1" s="1"/>
  <c r="F46" i="1" l="1"/>
  <c r="D18" i="1"/>
  <c r="F58" i="1" l="1"/>
  <c r="F57" i="1"/>
  <c r="A57" i="1"/>
  <c r="F53" i="1"/>
  <c r="A49" i="1"/>
  <c r="A50" i="1" s="1"/>
  <c r="A58" i="1" l="1"/>
  <c r="A59" i="1" s="1"/>
  <c r="A60" i="1" s="1"/>
  <c r="D21" i="1"/>
  <c r="D31" i="1" l="1"/>
  <c r="D34" i="1"/>
  <c r="F52" i="1" l="1"/>
  <c r="E51" i="1"/>
  <c r="F51" i="1" s="1"/>
  <c r="F50" i="1"/>
  <c r="E33" i="1" l="1"/>
  <c r="F33" i="1" s="1"/>
  <c r="D24" i="1" l="1"/>
  <c r="D20" i="1"/>
  <c r="D30" i="1" s="1"/>
  <c r="A18" i="1" l="1"/>
  <c r="A19" i="1" s="1"/>
  <c r="A20" i="1" s="1"/>
  <c r="A21" i="1" s="1"/>
  <c r="A22" i="1" s="1"/>
  <c r="A23" i="1" s="1"/>
  <c r="A24" i="1" s="1"/>
  <c r="A25" i="1" s="1"/>
  <c r="F31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F34" i="1"/>
  <c r="A51" i="1"/>
  <c r="A52" i="1" s="1"/>
  <c r="A53" i="1" s="1"/>
  <c r="F17" i="1"/>
  <c r="D19" i="1"/>
  <c r="F49" i="1" l="1"/>
  <c r="F54" i="1" s="1"/>
  <c r="F19" i="1"/>
  <c r="D29" i="1"/>
  <c r="F29" i="1" s="1"/>
  <c r="F30" i="1"/>
  <c r="D25" i="1" l="1"/>
  <c r="D35" i="1" l="1"/>
  <c r="F36" i="1"/>
  <c r="F37" i="1"/>
  <c r="D39" i="1"/>
  <c r="D38" i="1"/>
  <c r="D23" i="1"/>
  <c r="D22" i="1"/>
  <c r="D32" i="1" s="1"/>
  <c r="F38" i="1" l="1"/>
  <c r="F39" i="1"/>
  <c r="D56" i="1"/>
  <c r="B3" i="2" l="1"/>
  <c r="C3" i="2" s="1"/>
  <c r="B4" i="2" l="1"/>
  <c r="C4" i="2" s="1"/>
  <c r="F22" i="1"/>
  <c r="B5" i="2" l="1"/>
  <c r="C5" i="2" s="1"/>
  <c r="C6" i="2" s="1"/>
  <c r="C7" i="2" s="1"/>
  <c r="E7" i="2" s="1"/>
  <c r="E6" i="2" s="1"/>
  <c r="F23" i="1" l="1"/>
  <c r="F25" i="1" l="1"/>
  <c r="F24" i="1"/>
  <c r="F56" i="1" l="1"/>
  <c r="F61" i="1" s="1"/>
  <c r="F32" i="1"/>
  <c r="F35" i="1"/>
  <c r="F40" i="1" l="1"/>
  <c r="F47" i="1" s="1"/>
  <c r="C71" i="1"/>
  <c r="C70" i="1" l="1"/>
  <c r="D6" i="2"/>
  <c r="D3" i="2" s="1"/>
  <c r="D4" i="2" l="1"/>
  <c r="E3" i="2"/>
  <c r="F3" i="2" s="1"/>
  <c r="F18" i="1" s="1"/>
  <c r="E4" i="2" l="1"/>
  <c r="F4" i="2" s="1"/>
  <c r="D5" i="2"/>
  <c r="E5" i="2" s="1"/>
  <c r="F5" i="2" s="1"/>
  <c r="F21" i="1" l="1"/>
  <c r="F20" i="1" l="1"/>
  <c r="F26" i="1" l="1"/>
  <c r="F27" i="1"/>
  <c r="F62" i="1" l="1"/>
  <c r="F63" i="1" s="1"/>
  <c r="E64" i="1" s="1"/>
  <c r="C72" i="1" s="1"/>
</calcChain>
</file>

<file path=xl/sharedStrings.xml><?xml version="1.0" encoding="utf-8"?>
<sst xmlns="http://schemas.openxmlformats.org/spreadsheetml/2006/main" count="123" uniqueCount="93">
  <si>
    <t>Ед.изм.</t>
  </si>
  <si>
    <t>ОБЪЁМ</t>
  </si>
  <si>
    <t>Укладка бетона с вибрированием</t>
  </si>
  <si>
    <t>м2</t>
  </si>
  <si>
    <t>м3</t>
  </si>
  <si>
    <t>Подставки под арматуру (стульчики)</t>
  </si>
  <si>
    <t>Проволока вязальная</t>
  </si>
  <si>
    <t>ЦЕНА</t>
  </si>
  <si>
    <t>СУММА</t>
  </si>
  <si>
    <t>Устройство  разделительного слоя из геотекстиля</t>
  </si>
  <si>
    <t>смена</t>
  </si>
  <si>
    <t>ИТОГО ПО СМЕТЕ:</t>
  </si>
  <si>
    <t>шт.</t>
  </si>
  <si>
    <t>м.п.</t>
  </si>
  <si>
    <t>т.</t>
  </si>
  <si>
    <t>кг.</t>
  </si>
  <si>
    <t>Площадь плиты</t>
  </si>
  <si>
    <t>Периметр</t>
  </si>
  <si>
    <t>п.м.</t>
  </si>
  <si>
    <t>Толщина песчаной подушки</t>
  </si>
  <si>
    <t>мм</t>
  </si>
  <si>
    <t>Расстояние от КАД</t>
  </si>
  <si>
    <t>км</t>
  </si>
  <si>
    <t>Бетононасос</t>
  </si>
  <si>
    <t>Толщина плиты</t>
  </si>
  <si>
    <t>Толщина щебеночной подушки</t>
  </si>
  <si>
    <t>Итого за работы и материалы:</t>
  </si>
  <si>
    <t>№</t>
  </si>
  <si>
    <t>Итого:</t>
  </si>
  <si>
    <t>Материалы:</t>
  </si>
  <si>
    <t>Геомембрана Planter</t>
  </si>
  <si>
    <t>НАИМЕНОВАНИЕ</t>
  </si>
  <si>
    <t>Вынос осей, разбивка участка</t>
  </si>
  <si>
    <t>Погрузчик:</t>
  </si>
  <si>
    <t>Земл.работы</t>
  </si>
  <si>
    <t>Объем:</t>
  </si>
  <si>
    <t>Песч. Подушка</t>
  </si>
  <si>
    <t>Щеб. Подушка</t>
  </si>
  <si>
    <t>Смен</t>
  </si>
  <si>
    <t>Итого доп. работы:</t>
  </si>
  <si>
    <t>Итого за работы:</t>
  </si>
  <si>
    <t>Итого за материалы:</t>
  </si>
  <si>
    <t>Доставка:</t>
  </si>
  <si>
    <t>Накладные расходы 2%:</t>
  </si>
  <si>
    <t>Монтаж, демонтаж опалубки</t>
  </si>
  <si>
    <t>Работы:</t>
  </si>
  <si>
    <t>Спецтехника и доп. оборудование:</t>
  </si>
  <si>
    <t>Итого за спецтехнику и доп. оборудование:</t>
  </si>
  <si>
    <t>компл.</t>
  </si>
  <si>
    <t>ООО «Фундамент-СПб», г. Санкт-Петербург, ул. Оптиков, дом 4, корпус 3, офис № 309 www.fundament-spb.ru, т.: 936-16-65.</t>
  </si>
  <si>
    <t>Порядок расчетов и суммы по этапам оплат:</t>
  </si>
  <si>
    <t>Наименование этапа</t>
  </si>
  <si>
    <t>Ориентировочная сумма платежа, рублей</t>
  </si>
  <si>
    <t>Арматура d12 А500 (Количество арматуры указано предварительно согласно типовым решениям и будет скорректированно после разработки проекта)</t>
  </si>
  <si>
    <t>Арматура d8 А500 (Количество арматуры указано предварительно согласно типовым решениям и будет скорректированно после разработки проекта)</t>
  </si>
  <si>
    <t>Геотекстиль Мегаизол Гео про 200</t>
  </si>
  <si>
    <t>Вывоз мусора после завершения работ на объекте</t>
  </si>
  <si>
    <t>смен.</t>
  </si>
  <si>
    <t>Обеспечение биотуалетом</t>
  </si>
  <si>
    <t>СМЕТА СТОИМОСТИ СТРОИТЕЛЬСТВА МОНОЛИТНОЙ ПЛИТЫ</t>
  </si>
  <si>
    <t>Толщина выбираемого слоя грунта</t>
  </si>
  <si>
    <t xml:space="preserve">Устройство песчаной подушки с послойной трамбовкой виброплитой </t>
  </si>
  <si>
    <t xml:space="preserve">Устройство щебеночной подушки с послойной трамбовкой виброплитой </t>
  </si>
  <si>
    <t>Укладка гидроизоляционной мембраны Planter</t>
  </si>
  <si>
    <t>Изготовление и установка арматурных каркасов (Соединение стержней арматуры выполняется с использованием вязальной проволоки)</t>
  </si>
  <si>
    <t>Доска 40*150*6000 для раскрепления инвентарных щитов</t>
  </si>
  <si>
    <t>Устройство закладной для ввода электричества (Гильза DKC d 63 мм с протяжкой) - Метраж предварительный и уточнится после разработки проекта</t>
  </si>
  <si>
    <t>Доставка арматуры шаландой/манипулятором</t>
  </si>
  <si>
    <t>доставка</t>
  </si>
  <si>
    <t xml:space="preserve">Доставка и вывоз опалубки </t>
  </si>
  <si>
    <t>Устройство закладной гильзы для ввода водопровода (Гильза DKC 63 мм) - Метраж предварительный и уточнится после разработки проекта</t>
  </si>
  <si>
    <t>Обеспечение строительным вагончиком, оборудованным для постоянного проживания бригады на объекте (Учитываются затраты на завоз и вывоз бытовки манипулятором)</t>
  </si>
  <si>
    <t>Песок строительный (средней крупности или крупный) (Кратно 10 м3) с учетом доставки</t>
  </si>
  <si>
    <t>Щебень гранитный фр. 20-40 мм. (Кратно 10 м3) с учетом доставки</t>
  </si>
  <si>
    <t>Доставка и вывоз инструмента на прицепе</t>
  </si>
  <si>
    <t>Обеспечение водой: Воду предоставляет Заказчик - (При необходимости завозки на объект Еврокуб с водой будет стоить 3000 рублей с доставкой)</t>
  </si>
  <si>
    <t>Данная смета является предварительной. Объемы и стоимость работ будут скорректированы после выезда технического специалиста на участок, разработки рабочей документации по фундаменту и согласования с Заказчиком.</t>
  </si>
  <si>
    <t>Актуальный срок данного коммерческого предложения составляет 14 календарных дней, т.к. цены на некоторые материалы могут изменяться.</t>
  </si>
  <si>
    <t>http://fundament-spb.ru/obekty</t>
  </si>
  <si>
    <t>Посмотрите выполненные нами работы по ссылке:</t>
  </si>
  <si>
    <r>
      <rPr>
        <b/>
        <sz val="10"/>
        <rFont val="Times New Roman"/>
        <family val="1"/>
        <charset val="204"/>
      </rPr>
      <t>1 этап:</t>
    </r>
    <r>
      <rPr>
        <sz val="10"/>
        <rFont val="Times New Roman"/>
        <family val="1"/>
        <charset val="204"/>
      </rPr>
      <t xml:space="preserve"> Материалы на устройство фундамента, (за исключением стоимости бетона), доставки: оплачиваются при подписании договора</t>
    </r>
  </si>
  <si>
    <r>
      <rPr>
        <b/>
        <sz val="10"/>
        <rFont val="Times New Roman"/>
        <family val="1"/>
        <charset val="204"/>
      </rPr>
      <t>2 этап:</t>
    </r>
    <r>
      <rPr>
        <sz val="10"/>
        <rFont val="Times New Roman"/>
        <family val="1"/>
        <charset val="204"/>
      </rPr>
      <t xml:space="preserve"> Стоимость бетона + бетононасос: оплачиваются по факту окончания работ по опалубке</t>
    </r>
  </si>
  <si>
    <r>
      <rPr>
        <b/>
        <sz val="10"/>
        <rFont val="Times New Roman"/>
        <family val="1"/>
        <charset val="204"/>
      </rPr>
      <t>3 этап:</t>
    </r>
    <r>
      <rPr>
        <sz val="10"/>
        <rFont val="Times New Roman"/>
        <family val="1"/>
        <charset val="204"/>
      </rPr>
      <t xml:space="preserve"> Оплата работ согласно смете: оплачивается в течение 5 дней после подписания акта приема-передачи всех работ по объекту</t>
    </r>
  </si>
  <si>
    <t>Выезд технического специалиста для уточнения сметы бесплатный.</t>
  </si>
  <si>
    <t>Планировка выбранного грунта из котлована по участку (С учетом коэффициента рыхления) - ПО ЗАПРОСУ ЗАКАЗЧИКА</t>
  </si>
  <si>
    <t>Разводка канализации под домом (Трубы Оstendorf d 110 мм и комплект отводов, углов) - Метраж указан предварительный и уточнится после разработки проекта</t>
  </si>
  <si>
    <t>Земляные работы (без вывоза грунта) с учетом складирования грунта в конус  в радиусе 10 м от котлована</t>
  </si>
  <si>
    <t>Доставка остальных материалов</t>
  </si>
  <si>
    <t>Доп. Работы (данный раздел включает работы и материал):</t>
  </si>
  <si>
    <t>Обеспечение электричеством: предоставляет Заказчик - (При необходимости электрогенератор и топливо будет стоить 1500 рублей за смену)</t>
  </si>
  <si>
    <t>Бетон B22,5 М300 П4 (С учетом доставки из СПб)</t>
  </si>
  <si>
    <t>Гарантируем сдачу объекта в срок. Или выполним все работы бесплатно! Зафиксируем это в договоре.</t>
  </si>
  <si>
    <t>Опалубка инвентарная из ламинированной фанеры на деревянном каркасе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</si>
</sst>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_ ;\-#,##0\ "/>
  </numFmts>
  <fonts count="1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0" fillId="4" borderId="0" xfId="0" applyFill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wrapText="1"/>
    </xf>
    <xf numFmtId="0" fontId="6" fillId="0" borderId="0" xfId="0" applyFont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right" wrapText="1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8" fillId="0" borderId="0" xfId="0" applyFont="1" applyBorder="1"/>
    <xf numFmtId="0" fontId="0" fillId="0" borderId="0" xfId="0" applyBorder="1"/>
    <xf numFmtId="0" fontId="1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wrapText="1"/>
    </xf>
    <xf numFmtId="0" fontId="1" fillId="0" borderId="15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right" wrapText="1"/>
    </xf>
    <xf numFmtId="0" fontId="0" fillId="0" borderId="17" xfId="0" applyBorder="1"/>
    <xf numFmtId="0" fontId="0" fillId="0" borderId="9" xfId="0" applyBorder="1"/>
    <xf numFmtId="2" fontId="0" fillId="0" borderId="0" xfId="0" applyNumberFormat="1"/>
    <xf numFmtId="1" fontId="1" fillId="0" borderId="7" xfId="0" applyNumberFormat="1" applyFont="1" applyBorder="1" applyAlignment="1">
      <alignment horizontal="right" vertical="center" wrapText="1"/>
    </xf>
    <xf numFmtId="1" fontId="3" fillId="0" borderId="7" xfId="0" applyNumberFormat="1" applyFont="1" applyBorder="1" applyAlignment="1">
      <alignment vertical="center"/>
    </xf>
    <xf numFmtId="1" fontId="4" fillId="0" borderId="7" xfId="0" applyNumberFormat="1" applyFont="1" applyBorder="1" applyAlignment="1">
      <alignment horizontal="right" vertical="center" wrapText="1"/>
    </xf>
    <xf numFmtId="1" fontId="4" fillId="4" borderId="7" xfId="0" applyNumberFormat="1" applyFont="1" applyFill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right" vertical="center"/>
    </xf>
    <xf numFmtId="1" fontId="3" fillId="0" borderId="7" xfId="0" applyNumberFormat="1" applyFont="1" applyBorder="1" applyAlignment="1">
      <alignment horizontal="right" wrapText="1"/>
    </xf>
    <xf numFmtId="0" fontId="10" fillId="2" borderId="8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6" fillId="0" borderId="17" xfId="0" applyFont="1" applyBorder="1"/>
    <xf numFmtId="0" fontId="9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wrapText="1"/>
    </xf>
    <xf numFmtId="1" fontId="1" fillId="0" borderId="7" xfId="0" applyNumberFormat="1" applyFont="1" applyBorder="1" applyAlignment="1">
      <alignment horizontal="right"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0" fillId="0" borderId="0" xfId="0" applyFill="1"/>
    <xf numFmtId="1" fontId="3" fillId="0" borderId="7" xfId="0" applyNumberFormat="1" applyFont="1" applyBorder="1"/>
    <xf numFmtId="0" fontId="9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4" fillId="0" borderId="0" xfId="2" applyBorder="1" applyAlignment="1">
      <alignment horizontal="left" wrapText="1"/>
    </xf>
    <xf numFmtId="0" fontId="1" fillId="0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4" borderId="1" xfId="0" applyFont="1" applyFill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3" fontId="7" fillId="3" borderId="10" xfId="0" applyNumberFormat="1" applyFont="1" applyFill="1" applyBorder="1" applyAlignment="1">
      <alignment horizontal="right"/>
    </xf>
    <xf numFmtId="3" fontId="7" fillId="3" borderId="12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164" fontId="12" fillId="0" borderId="3" xfId="1" applyNumberFormat="1" applyFont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164" fontId="12" fillId="0" borderId="18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wrapText="1"/>
    </xf>
    <xf numFmtId="0" fontId="10" fillId="2" borderId="7" xfId="0" applyFont="1" applyFill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10" fillId="2" borderId="3" xfId="0" applyFont="1" applyFill="1" applyBorder="1" applyAlignment="1">
      <alignment horizontal="left" wrapText="1"/>
    </xf>
    <xf numFmtId="0" fontId="10" fillId="2" borderId="4" xfId="0" applyFont="1" applyFill="1" applyBorder="1" applyAlignment="1">
      <alignment horizontal="left" wrapText="1"/>
    </xf>
    <xf numFmtId="0" fontId="10" fillId="2" borderId="18" xfId="0" applyFont="1" applyFill="1" applyBorder="1" applyAlignment="1">
      <alignment horizontal="left" wrapText="1"/>
    </xf>
    <xf numFmtId="0" fontId="15" fillId="0" borderId="0" xfId="0" applyFont="1" applyAlignment="1">
      <alignment horizont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146648</xdr:colOff>
      <xdr:row>0</xdr:row>
      <xdr:rowOff>51759</xdr:rowOff>
    </xdr:from>
    <xdr:to>
      <xdr:col>4</xdr:col>
      <xdr:colOff>370935</xdr:colOff>
      <xdr:row>0</xdr:row>
      <xdr:rowOff>690136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188" y="51759"/>
          <a:ext cx="4727275" cy="638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ament-spb.ru/obek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view="pageBreakPreview" topLeftCell="A22" zoomScaleNormal="100" zoomScaleSheetLayoutView="100" workbookViewId="0">
      <selection activeCell="E33" sqref="E33"/>
    </sheetView>
  </sheetViews>
  <sheetFormatPr defaultRowHeight="15.05" x14ac:dyDescent="0.3"/>
  <cols>
    <col min="1" max="1" width="3.44140625" customWidth="1"/>
    <col min="2" max="2" width="49.44140625" customWidth="1"/>
    <col min="3" max="4" width="7.88671875" customWidth="1"/>
    <col min="5" max="5" width="6.6640625" customWidth="1"/>
    <col min="6" max="6" width="8.6640625" customWidth="1"/>
    <col min="7" max="7" width="7.6640625" customWidth="1"/>
    <col min="8" max="8" width="13.6640625" customWidth="1"/>
    <col min="9" max="9" width="9.44140625" customWidth="1"/>
  </cols>
  <sheetData>
    <row r="1" spans="1:9" ht="57.8" customHeight="1" x14ac:dyDescent="0.3">
      <c r="A1" s="22"/>
      <c r="B1" s="96"/>
      <c r="C1" s="96"/>
      <c r="D1" s="96"/>
      <c r="E1" s="96"/>
      <c r="F1" s="96"/>
      <c r="G1" s="7"/>
      <c r="H1" s="7"/>
      <c r="I1" s="7"/>
    </row>
    <row r="2" spans="1:9" ht="9.5" customHeight="1" x14ac:dyDescent="0.3">
      <c r="A2" s="22"/>
      <c r="B2" s="69"/>
      <c r="C2" s="69"/>
      <c r="D2" s="69"/>
      <c r="E2" s="69"/>
      <c r="F2" s="69"/>
      <c r="G2" s="7"/>
      <c r="H2" s="7"/>
      <c r="I2" s="7"/>
    </row>
    <row r="3" spans="1:9" ht="33.25" customHeight="1" x14ac:dyDescent="0.3">
      <c r="A3" s="76" t="s">
        <v>49</v>
      </c>
      <c r="B3" s="77"/>
      <c r="C3" s="77"/>
      <c r="D3" s="77"/>
      <c r="E3" s="77"/>
      <c r="F3" s="78"/>
    </row>
    <row r="4" spans="1:9" ht="16.399999999999999" thickBot="1" x14ac:dyDescent="0.35">
      <c r="A4" s="22"/>
      <c r="B4" s="97" t="s">
        <v>59</v>
      </c>
      <c r="C4" s="97"/>
      <c r="D4" s="97"/>
      <c r="E4" s="97"/>
      <c r="F4" s="97"/>
      <c r="G4" s="1"/>
      <c r="H4" s="1"/>
    </row>
    <row r="5" spans="1:9" ht="16.399999999999999" thickBot="1" x14ac:dyDescent="0.35">
      <c r="A5" s="22"/>
      <c r="B5" s="8" t="s">
        <v>16</v>
      </c>
      <c r="C5" s="9">
        <v>120</v>
      </c>
      <c r="D5" s="10" t="s">
        <v>3</v>
      </c>
      <c r="E5" s="13"/>
      <c r="F5" s="13"/>
      <c r="G5" s="1"/>
      <c r="H5" s="1"/>
    </row>
    <row r="6" spans="1:9" ht="16.399999999999999" thickBot="1" x14ac:dyDescent="0.35">
      <c r="A6" s="22"/>
      <c r="B6" s="8" t="s">
        <v>17</v>
      </c>
      <c r="C6" s="9">
        <v>44</v>
      </c>
      <c r="D6" s="10" t="s">
        <v>18</v>
      </c>
      <c r="E6" s="13"/>
      <c r="F6" s="13"/>
      <c r="G6" s="1"/>
      <c r="H6" s="1"/>
    </row>
    <row r="7" spans="1:9" ht="16.399999999999999" thickBot="1" x14ac:dyDescent="0.35">
      <c r="A7" s="22"/>
      <c r="B7" s="8" t="s">
        <v>24</v>
      </c>
      <c r="C7" s="9">
        <v>250</v>
      </c>
      <c r="D7" s="10" t="s">
        <v>20</v>
      </c>
      <c r="E7" s="13"/>
      <c r="F7" s="13"/>
      <c r="G7" s="1"/>
      <c r="H7" s="1"/>
    </row>
    <row r="8" spans="1:9" ht="16.399999999999999" thickBot="1" x14ac:dyDescent="0.35">
      <c r="A8" s="22"/>
      <c r="B8" s="8" t="s">
        <v>19</v>
      </c>
      <c r="C8" s="9">
        <v>200</v>
      </c>
      <c r="D8" s="10" t="s">
        <v>20</v>
      </c>
      <c r="E8" s="13"/>
      <c r="F8" s="13"/>
      <c r="G8" s="67"/>
      <c r="H8" s="1"/>
    </row>
    <row r="9" spans="1:9" ht="16.399999999999999" thickBot="1" x14ac:dyDescent="0.35">
      <c r="A9" s="22"/>
      <c r="B9" s="8" t="s">
        <v>25</v>
      </c>
      <c r="C9" s="9">
        <v>100</v>
      </c>
      <c r="D9" s="10" t="s">
        <v>20</v>
      </c>
      <c r="E9" s="13"/>
      <c r="F9" s="13"/>
      <c r="G9" s="67"/>
      <c r="H9" s="1"/>
    </row>
    <row r="10" spans="1:9" ht="16.399999999999999" thickBot="1" x14ac:dyDescent="0.35">
      <c r="A10" s="22"/>
      <c r="B10" s="8" t="s">
        <v>60</v>
      </c>
      <c r="C10" s="9">
        <v>300</v>
      </c>
      <c r="D10" s="10" t="s">
        <v>20</v>
      </c>
      <c r="E10" s="57"/>
      <c r="F10" s="58"/>
      <c r="G10" s="67"/>
      <c r="H10" s="1"/>
    </row>
    <row r="11" spans="1:9" ht="16.399999999999999" thickBot="1" x14ac:dyDescent="0.35">
      <c r="A11" s="22"/>
      <c r="B11" s="8" t="s">
        <v>21</v>
      </c>
      <c r="C11" s="9">
        <v>20</v>
      </c>
      <c r="D11" s="10" t="s">
        <v>22</v>
      </c>
      <c r="E11" s="8"/>
      <c r="F11" s="10"/>
      <c r="G11" s="67"/>
      <c r="H11" s="1"/>
    </row>
    <row r="12" spans="1:9" ht="15.75" x14ac:dyDescent="0.3">
      <c r="A12" s="22"/>
      <c r="B12" s="8"/>
      <c r="C12" s="11"/>
      <c r="D12" s="10"/>
      <c r="E12" s="8"/>
      <c r="F12" s="10"/>
      <c r="G12" s="67"/>
      <c r="H12" s="1"/>
    </row>
    <row r="13" spans="1:9" ht="32.75" customHeight="1" x14ac:dyDescent="0.3">
      <c r="A13" s="22"/>
      <c r="B13" s="107" t="s">
        <v>91</v>
      </c>
      <c r="C13" s="107"/>
      <c r="D13" s="107"/>
      <c r="E13" s="107"/>
      <c r="F13" s="107"/>
      <c r="G13" s="67"/>
      <c r="H13" s="1"/>
    </row>
    <row r="14" spans="1:9" ht="20.95" customHeight="1" thickBot="1" x14ac:dyDescent="0.35">
      <c r="A14" s="22"/>
      <c r="B14" s="68"/>
      <c r="C14" s="8"/>
      <c r="D14" s="68"/>
      <c r="E14" s="68"/>
      <c r="F14" s="58"/>
      <c r="G14" s="67"/>
      <c r="H14" s="1"/>
    </row>
    <row r="15" spans="1:9" ht="15.75" thickBot="1" x14ac:dyDescent="0.35">
      <c r="A15" s="25" t="s">
        <v>27</v>
      </c>
      <c r="B15" s="27" t="s">
        <v>31</v>
      </c>
      <c r="C15" s="28" t="s">
        <v>0</v>
      </c>
      <c r="D15" s="28" t="s">
        <v>1</v>
      </c>
      <c r="E15" s="27" t="s">
        <v>7</v>
      </c>
      <c r="F15" s="27" t="s">
        <v>8</v>
      </c>
      <c r="G15" s="59"/>
    </row>
    <row r="16" spans="1:9" ht="15.75" x14ac:dyDescent="0.3">
      <c r="A16" s="31"/>
      <c r="B16" s="46" t="s">
        <v>45</v>
      </c>
      <c r="C16" s="26"/>
      <c r="D16" s="26"/>
      <c r="E16" s="26"/>
      <c r="F16" s="32"/>
      <c r="G16" s="59"/>
    </row>
    <row r="17" spans="1:7" x14ac:dyDescent="0.3">
      <c r="A17" s="23">
        <v>1</v>
      </c>
      <c r="B17" s="2" t="s">
        <v>32</v>
      </c>
      <c r="C17" s="14" t="s">
        <v>48</v>
      </c>
      <c r="D17" s="15">
        <v>1</v>
      </c>
      <c r="E17" s="14">
        <v>6500</v>
      </c>
      <c r="F17" s="40">
        <f t="shared" ref="F17:F25" si="0">D17*E17</f>
        <v>6500</v>
      </c>
      <c r="G17" s="59"/>
    </row>
    <row r="18" spans="1:7" ht="26.85" x14ac:dyDescent="0.3">
      <c r="A18" s="65">
        <f>A17+1</f>
        <v>2</v>
      </c>
      <c r="B18" s="2" t="s">
        <v>86</v>
      </c>
      <c r="C18" s="14" t="s">
        <v>4</v>
      </c>
      <c r="D18" s="15">
        <f>(C5+C6)*C10*0.001</f>
        <v>49.2</v>
      </c>
      <c r="E18" s="14">
        <v>300</v>
      </c>
      <c r="F18" s="40">
        <f t="shared" si="0"/>
        <v>14760</v>
      </c>
      <c r="G18" s="59"/>
    </row>
    <row r="19" spans="1:7" x14ac:dyDescent="0.3">
      <c r="A19" s="23">
        <f>A18+1</f>
        <v>3</v>
      </c>
      <c r="B19" s="2" t="s">
        <v>9</v>
      </c>
      <c r="C19" s="14" t="s">
        <v>3</v>
      </c>
      <c r="D19" s="15">
        <f>(C5+C6)</f>
        <v>164</v>
      </c>
      <c r="E19" s="14">
        <v>20</v>
      </c>
      <c r="F19" s="40">
        <f t="shared" si="0"/>
        <v>3280</v>
      </c>
      <c r="G19" s="59"/>
    </row>
    <row r="20" spans="1:7" ht="17.05" customHeight="1" x14ac:dyDescent="0.3">
      <c r="A20" s="23">
        <f t="shared" ref="A20:A25" si="1">A19+1</f>
        <v>4</v>
      </c>
      <c r="B20" s="2" t="s">
        <v>61</v>
      </c>
      <c r="C20" s="14" t="s">
        <v>4</v>
      </c>
      <c r="D20" s="15">
        <f>CEILING((C5*C8*0.001+C6*C8*0.001)*1.28,1)*1.2</f>
        <v>50.4</v>
      </c>
      <c r="E20" s="14">
        <v>400</v>
      </c>
      <c r="F20" s="40">
        <f t="shared" si="0"/>
        <v>20160</v>
      </c>
      <c r="G20" s="59"/>
    </row>
    <row r="21" spans="1:7" ht="26.85" x14ac:dyDescent="0.3">
      <c r="A21" s="23">
        <f t="shared" si="1"/>
        <v>5</v>
      </c>
      <c r="B21" s="2" t="s">
        <v>62</v>
      </c>
      <c r="C21" s="14" t="s">
        <v>4</v>
      </c>
      <c r="D21" s="15">
        <f>CEILING((C5*C9*0.001+C6*C9*0.001)*1.28,1)</f>
        <v>21</v>
      </c>
      <c r="E21" s="14">
        <v>400</v>
      </c>
      <c r="F21" s="40">
        <f>D21*E21</f>
        <v>8400</v>
      </c>
      <c r="G21" s="59"/>
    </row>
    <row r="22" spans="1:7" x14ac:dyDescent="0.3">
      <c r="A22" s="23">
        <f>A21+1</f>
        <v>6</v>
      </c>
      <c r="B22" s="2" t="s">
        <v>63</v>
      </c>
      <c r="C22" s="14" t="s">
        <v>3</v>
      </c>
      <c r="D22" s="15">
        <f>C5+C6*0.3</f>
        <v>133.19999999999999</v>
      </c>
      <c r="E22" s="14">
        <v>30</v>
      </c>
      <c r="F22" s="40">
        <f>D22*E22</f>
        <v>3995.9999999999995</v>
      </c>
      <c r="G22" s="59"/>
    </row>
    <row r="23" spans="1:7" x14ac:dyDescent="0.3">
      <c r="A23" s="23">
        <f t="shared" si="1"/>
        <v>7</v>
      </c>
      <c r="B23" s="2" t="s">
        <v>44</v>
      </c>
      <c r="C23" s="14" t="s">
        <v>13</v>
      </c>
      <c r="D23" s="15">
        <f>C6</f>
        <v>44</v>
      </c>
      <c r="E23" s="14">
        <v>450</v>
      </c>
      <c r="F23" s="40">
        <f t="shared" si="0"/>
        <v>19800</v>
      </c>
      <c r="G23" s="59"/>
    </row>
    <row r="24" spans="1:7" ht="39.950000000000003" x14ac:dyDescent="0.3">
      <c r="A24" s="23">
        <f t="shared" si="1"/>
        <v>8</v>
      </c>
      <c r="B24" s="2" t="s">
        <v>64</v>
      </c>
      <c r="C24" s="14" t="s">
        <v>14</v>
      </c>
      <c r="D24" s="15">
        <f>D36+D37</f>
        <v>2.9107493333333339</v>
      </c>
      <c r="E24" s="14">
        <v>17300</v>
      </c>
      <c r="F24" s="40">
        <f t="shared" si="0"/>
        <v>50355.963466666675</v>
      </c>
      <c r="G24" s="59"/>
    </row>
    <row r="25" spans="1:7" x14ac:dyDescent="0.3">
      <c r="A25" s="23">
        <f t="shared" si="1"/>
        <v>9</v>
      </c>
      <c r="B25" s="2" t="s">
        <v>2</v>
      </c>
      <c r="C25" s="14" t="s">
        <v>4</v>
      </c>
      <c r="D25" s="15">
        <f>ROUNDUP(C5*C7*0.001*1.05/0.25,0)*0.25</f>
        <v>31.5</v>
      </c>
      <c r="E25" s="14">
        <v>1500</v>
      </c>
      <c r="F25" s="40">
        <f t="shared" si="0"/>
        <v>47250</v>
      </c>
      <c r="G25" s="59"/>
    </row>
    <row r="26" spans="1:7" x14ac:dyDescent="0.3">
      <c r="A26" s="23"/>
      <c r="B26" s="4"/>
      <c r="C26" s="18"/>
      <c r="D26" s="18"/>
      <c r="E26" s="16" t="s">
        <v>28</v>
      </c>
      <c r="F26" s="44">
        <f>SUM(F17:F25)</f>
        <v>174501.96346666667</v>
      </c>
      <c r="G26" s="59"/>
    </row>
    <row r="27" spans="1:7" x14ac:dyDescent="0.3">
      <c r="A27" s="23"/>
      <c r="B27" s="2"/>
      <c r="C27" s="101" t="s">
        <v>40</v>
      </c>
      <c r="D27" s="102"/>
      <c r="E27" s="103"/>
      <c r="F27" s="41">
        <f>SUM(F17:F25)</f>
        <v>174501.96346666667</v>
      </c>
      <c r="G27" s="59"/>
    </row>
    <row r="28" spans="1:7" ht="15.75" x14ac:dyDescent="0.3">
      <c r="A28" s="33"/>
      <c r="B28" s="89" t="s">
        <v>29</v>
      </c>
      <c r="C28" s="89"/>
      <c r="D28" s="89"/>
      <c r="E28" s="89"/>
      <c r="F28" s="90"/>
      <c r="G28" s="59"/>
    </row>
    <row r="29" spans="1:7" x14ac:dyDescent="0.3">
      <c r="A29" s="23">
        <v>1</v>
      </c>
      <c r="B29" s="4" t="s">
        <v>55</v>
      </c>
      <c r="C29" s="18" t="s">
        <v>3</v>
      </c>
      <c r="D29" s="17">
        <f>D19*1.1*1.2</f>
        <v>216.48</v>
      </c>
      <c r="E29" s="18">
        <v>30</v>
      </c>
      <c r="F29" s="42">
        <f>MMULT(D29,E29)</f>
        <v>6494.4</v>
      </c>
      <c r="G29" s="59"/>
    </row>
    <row r="30" spans="1:7" ht="26.85" x14ac:dyDescent="0.3">
      <c r="A30" s="23">
        <f>A29+1</f>
        <v>2</v>
      </c>
      <c r="B30" s="4" t="s">
        <v>72</v>
      </c>
      <c r="C30" s="18" t="s">
        <v>4</v>
      </c>
      <c r="D30" s="17">
        <f>CEILING(D20,10)</f>
        <v>60</v>
      </c>
      <c r="E30" s="18">
        <v>600</v>
      </c>
      <c r="F30" s="42">
        <f t="shared" ref="F30:F35" si="2">MMULT(D30,E30)</f>
        <v>36000</v>
      </c>
      <c r="G30" s="59"/>
    </row>
    <row r="31" spans="1:7" s="12" customFormat="1" x14ac:dyDescent="0.3">
      <c r="A31" s="23">
        <f t="shared" ref="A31" si="3">A30+1</f>
        <v>3</v>
      </c>
      <c r="B31" s="4" t="s">
        <v>73</v>
      </c>
      <c r="C31" s="20" t="s">
        <v>4</v>
      </c>
      <c r="D31" s="19">
        <f>CEILING(D21,10)</f>
        <v>30</v>
      </c>
      <c r="E31" s="20">
        <v>1400</v>
      </c>
      <c r="F31" s="43">
        <f>MMULT(D31,E31)</f>
        <v>42000</v>
      </c>
      <c r="G31" s="59"/>
    </row>
    <row r="32" spans="1:7" x14ac:dyDescent="0.3">
      <c r="A32" s="23">
        <f>A31+1</f>
        <v>4</v>
      </c>
      <c r="B32" s="4" t="s">
        <v>30</v>
      </c>
      <c r="C32" s="18" t="s">
        <v>3</v>
      </c>
      <c r="D32" s="17">
        <f>D22*1.1</f>
        <v>146.52000000000001</v>
      </c>
      <c r="E32" s="18">
        <v>110</v>
      </c>
      <c r="F32" s="42">
        <f t="shared" si="2"/>
        <v>16117.2</v>
      </c>
      <c r="G32" s="59"/>
    </row>
    <row r="33" spans="1:7" ht="26.85" x14ac:dyDescent="0.3">
      <c r="A33" s="23">
        <f t="shared" ref="A33:A39" si="4">A32+1</f>
        <v>5</v>
      </c>
      <c r="B33" s="73" t="s">
        <v>92</v>
      </c>
      <c r="C33" s="18" t="s">
        <v>48</v>
      </c>
      <c r="D33" s="17">
        <v>1</v>
      </c>
      <c r="E33" s="18">
        <f>C5*115</f>
        <v>13800</v>
      </c>
      <c r="F33" s="42">
        <f t="shared" si="2"/>
        <v>13800</v>
      </c>
      <c r="G33" s="59"/>
    </row>
    <row r="34" spans="1:7" x14ac:dyDescent="0.3">
      <c r="A34" s="23">
        <f t="shared" si="4"/>
        <v>6</v>
      </c>
      <c r="B34" s="4" t="s">
        <v>65</v>
      </c>
      <c r="C34" s="20" t="s">
        <v>4</v>
      </c>
      <c r="D34" s="19">
        <f>(ROUNDUP(C7/150,0)*C6*0.009+C6*0.0125)*0.5+0.25</f>
        <v>0.92100000000000004</v>
      </c>
      <c r="E34" s="20">
        <v>12500</v>
      </c>
      <c r="F34" s="43">
        <f t="shared" si="2"/>
        <v>11512.5</v>
      </c>
      <c r="G34" s="59"/>
    </row>
    <row r="35" spans="1:7" x14ac:dyDescent="0.3">
      <c r="A35" s="23">
        <f t="shared" si="4"/>
        <v>7</v>
      </c>
      <c r="B35" s="4" t="s">
        <v>5</v>
      </c>
      <c r="C35" s="18" t="s">
        <v>12</v>
      </c>
      <c r="D35" s="17">
        <f>C5*4</f>
        <v>480</v>
      </c>
      <c r="E35" s="18">
        <v>5</v>
      </c>
      <c r="F35" s="42">
        <f t="shared" si="2"/>
        <v>2400</v>
      </c>
      <c r="G35" s="59"/>
    </row>
    <row r="36" spans="1:7" ht="39.950000000000003" x14ac:dyDescent="0.3">
      <c r="A36" s="65">
        <f t="shared" si="4"/>
        <v>8</v>
      </c>
      <c r="B36" s="4" t="s">
        <v>53</v>
      </c>
      <c r="C36" s="18" t="s">
        <v>14</v>
      </c>
      <c r="D36" s="17">
        <f>(C5*21*0.888*1.1*0.001+C6/0.2*1.5*0.91*1.1*0.001)</f>
        <v>2.7918660000000006</v>
      </c>
      <c r="E36" s="18">
        <v>41000</v>
      </c>
      <c r="F36" s="42">
        <f>ROUNDUP(MMULT(D36,E36),0)</f>
        <v>114467</v>
      </c>
      <c r="G36" s="59"/>
    </row>
    <row r="37" spans="1:7" ht="39.950000000000003" x14ac:dyDescent="0.3">
      <c r="A37" s="65">
        <f t="shared" si="4"/>
        <v>9</v>
      </c>
      <c r="B37" s="4" t="s">
        <v>54</v>
      </c>
      <c r="C37" s="18" t="s">
        <v>14</v>
      </c>
      <c r="D37" s="17">
        <f>(C5+C6/2)*0.45*1.2*0.001+(C6*1.5*0.395/1000)+C6/1.5*0.5*1.1*0.001</f>
        <v>0.11888333333333333</v>
      </c>
      <c r="E37" s="18">
        <v>41000</v>
      </c>
      <c r="F37" s="42">
        <f>ROUNDUP(MMULT(D37,E37),0)</f>
        <v>4875</v>
      </c>
      <c r="G37" s="59"/>
    </row>
    <row r="38" spans="1:7" x14ac:dyDescent="0.3">
      <c r="A38" s="23">
        <f t="shared" si="4"/>
        <v>10</v>
      </c>
      <c r="B38" s="4" t="s">
        <v>6</v>
      </c>
      <c r="C38" s="18" t="s">
        <v>15</v>
      </c>
      <c r="D38" s="17">
        <f>D24*9</f>
        <v>26.196744000000006</v>
      </c>
      <c r="E38" s="18">
        <v>100</v>
      </c>
      <c r="F38" s="42">
        <f>ROUNDUP(MMULT(D38,E38),0)</f>
        <v>2620</v>
      </c>
      <c r="G38" s="59"/>
    </row>
    <row r="39" spans="1:7" x14ac:dyDescent="0.3">
      <c r="A39" s="23">
        <f t="shared" si="4"/>
        <v>11</v>
      </c>
      <c r="B39" s="4" t="s">
        <v>90</v>
      </c>
      <c r="C39" s="18" t="s">
        <v>4</v>
      </c>
      <c r="D39" s="17">
        <f>D25</f>
        <v>31.5</v>
      </c>
      <c r="E39" s="52">
        <f>IF($C$11&gt;30,($C$11-30)*15+4100,4100)</f>
        <v>4100</v>
      </c>
      <c r="F39" s="42">
        <f>ROUNDUP(MMULT(D39,E39),0)</f>
        <v>129150</v>
      </c>
      <c r="G39" s="59"/>
    </row>
    <row r="40" spans="1:7" x14ac:dyDescent="0.3">
      <c r="A40" s="23"/>
      <c r="B40" s="4"/>
      <c r="C40" s="18"/>
      <c r="D40" s="18"/>
      <c r="E40" s="16" t="s">
        <v>28</v>
      </c>
      <c r="F40" s="44">
        <f>SUM(F29:F39)</f>
        <v>379436.1</v>
      </c>
      <c r="G40" s="59"/>
    </row>
    <row r="41" spans="1:7" x14ac:dyDescent="0.3">
      <c r="A41" s="33"/>
      <c r="B41" s="66" t="s">
        <v>42</v>
      </c>
      <c r="C41" s="21"/>
      <c r="D41" s="21"/>
      <c r="E41" s="21"/>
      <c r="F41" s="34"/>
      <c r="G41" s="59"/>
    </row>
    <row r="42" spans="1:7" ht="15.9" customHeight="1" x14ac:dyDescent="0.3">
      <c r="A42" s="23">
        <f t="shared" ref="A42:A45" si="5">A41+1</f>
        <v>1</v>
      </c>
      <c r="B42" s="2" t="s">
        <v>67</v>
      </c>
      <c r="C42" s="3" t="s">
        <v>68</v>
      </c>
      <c r="D42" s="3">
        <v>1</v>
      </c>
      <c r="E42" s="3">
        <f>IF($C$11&gt;30,($C$11-30)*35+9000,9000)</f>
        <v>9000</v>
      </c>
      <c r="F42" s="56">
        <f>D42*E42</f>
        <v>9000</v>
      </c>
      <c r="G42" s="59"/>
    </row>
    <row r="43" spans="1:7" ht="15.9" customHeight="1" x14ac:dyDescent="0.3">
      <c r="A43" s="65">
        <f t="shared" si="5"/>
        <v>2</v>
      </c>
      <c r="B43" s="2" t="s">
        <v>69</v>
      </c>
      <c r="C43" s="3" t="s">
        <v>68</v>
      </c>
      <c r="D43" s="3">
        <v>1</v>
      </c>
      <c r="E43" s="3">
        <f>IF($C$11&gt;30,($C$11-30)*35+5000,5000)</f>
        <v>5000</v>
      </c>
      <c r="F43" s="56">
        <f>D43*E43</f>
        <v>5000</v>
      </c>
      <c r="G43" s="59"/>
    </row>
    <row r="44" spans="1:7" ht="15.25" customHeight="1" x14ac:dyDescent="0.3">
      <c r="A44" s="65">
        <f t="shared" si="5"/>
        <v>3</v>
      </c>
      <c r="B44" s="2" t="s">
        <v>87</v>
      </c>
      <c r="C44" s="3" t="s">
        <v>68</v>
      </c>
      <c r="D44" s="3">
        <v>1</v>
      </c>
      <c r="E44" s="3">
        <f>IF($C$11&gt;30,($C$11-30)*35+4200,4200)</f>
        <v>4200</v>
      </c>
      <c r="F44" s="56">
        <f>D44*E44</f>
        <v>4200</v>
      </c>
      <c r="G44" s="59"/>
    </row>
    <row r="45" spans="1:7" x14ac:dyDescent="0.3">
      <c r="A45" s="23">
        <f t="shared" si="5"/>
        <v>4</v>
      </c>
      <c r="B45" s="2" t="s">
        <v>74</v>
      </c>
      <c r="C45" s="3" t="s">
        <v>68</v>
      </c>
      <c r="D45" s="3"/>
      <c r="E45" s="3"/>
      <c r="F45" s="56">
        <v>2400</v>
      </c>
      <c r="G45" s="59"/>
    </row>
    <row r="46" spans="1:7" x14ac:dyDescent="0.3">
      <c r="A46" s="23"/>
      <c r="B46" s="5"/>
      <c r="C46" s="5"/>
      <c r="D46" s="5"/>
      <c r="E46" s="6" t="s">
        <v>28</v>
      </c>
      <c r="F46" s="60">
        <f>SUM(F42:F45)</f>
        <v>20600</v>
      </c>
      <c r="G46" s="59"/>
    </row>
    <row r="47" spans="1:7" x14ac:dyDescent="0.3">
      <c r="A47" s="23"/>
      <c r="B47" s="2"/>
      <c r="C47" s="101" t="s">
        <v>41</v>
      </c>
      <c r="D47" s="102"/>
      <c r="E47" s="103"/>
      <c r="F47" s="41">
        <f>F46+F40</f>
        <v>400036.1</v>
      </c>
      <c r="G47" s="59"/>
    </row>
    <row r="48" spans="1:7" ht="15.75" x14ac:dyDescent="0.3">
      <c r="A48" s="33"/>
      <c r="B48" s="104" t="s">
        <v>88</v>
      </c>
      <c r="C48" s="105"/>
      <c r="D48" s="105"/>
      <c r="E48" s="105"/>
      <c r="F48" s="106"/>
      <c r="G48" s="59"/>
    </row>
    <row r="49" spans="1:7" ht="26.85" x14ac:dyDescent="0.3">
      <c r="A49" s="65">
        <f t="shared" ref="A49" si="6">A48+1</f>
        <v>1</v>
      </c>
      <c r="B49" s="53" t="s">
        <v>84</v>
      </c>
      <c r="C49" s="14" t="s">
        <v>4</v>
      </c>
      <c r="D49" s="54">
        <v>0</v>
      </c>
      <c r="E49" s="14">
        <v>150</v>
      </c>
      <c r="F49" s="40">
        <f>D49*E49</f>
        <v>0</v>
      </c>
      <c r="G49" s="59"/>
    </row>
    <row r="50" spans="1:7" ht="39.950000000000003" x14ac:dyDescent="0.3">
      <c r="A50" s="23">
        <f t="shared" ref="A50:A53" si="7">A49+1</f>
        <v>2</v>
      </c>
      <c r="B50" s="2" t="s">
        <v>70</v>
      </c>
      <c r="C50" s="14" t="s">
        <v>13</v>
      </c>
      <c r="D50" s="15">
        <v>5</v>
      </c>
      <c r="E50" s="14">
        <v>1200</v>
      </c>
      <c r="F50" s="40">
        <f t="shared" ref="F50:F52" si="8">D50*E50</f>
        <v>6000</v>
      </c>
      <c r="G50" s="59"/>
    </row>
    <row r="51" spans="1:7" ht="39.950000000000003" x14ac:dyDescent="0.3">
      <c r="A51" s="23">
        <f t="shared" si="7"/>
        <v>3</v>
      </c>
      <c r="B51" s="2" t="s">
        <v>66</v>
      </c>
      <c r="C51" s="14" t="s">
        <v>13</v>
      </c>
      <c r="D51" s="15">
        <v>10</v>
      </c>
      <c r="E51" s="14">
        <f>100*2</f>
        <v>200</v>
      </c>
      <c r="F51" s="40">
        <f t="shared" si="8"/>
        <v>2000</v>
      </c>
      <c r="G51" s="59"/>
    </row>
    <row r="52" spans="1:7" ht="39.950000000000003" x14ac:dyDescent="0.3">
      <c r="A52" s="65">
        <f t="shared" si="7"/>
        <v>4</v>
      </c>
      <c r="B52" s="2" t="s">
        <v>85</v>
      </c>
      <c r="C52" s="14" t="s">
        <v>13</v>
      </c>
      <c r="D52" s="15">
        <v>5</v>
      </c>
      <c r="E52" s="14">
        <v>1000</v>
      </c>
      <c r="F52" s="40">
        <f t="shared" si="8"/>
        <v>5000</v>
      </c>
      <c r="G52" s="59"/>
    </row>
    <row r="53" spans="1:7" x14ac:dyDescent="0.3">
      <c r="A53" s="65">
        <f t="shared" si="7"/>
        <v>5</v>
      </c>
      <c r="B53" s="53" t="s">
        <v>56</v>
      </c>
      <c r="C53" s="18" t="s">
        <v>12</v>
      </c>
      <c r="D53" s="15">
        <v>1</v>
      </c>
      <c r="E53" s="14">
        <f>FLOOR(C5/100,1)*5000</f>
        <v>5000</v>
      </c>
      <c r="F53" s="40">
        <f>D53*E53</f>
        <v>5000</v>
      </c>
      <c r="G53" s="59"/>
    </row>
    <row r="54" spans="1:7" x14ac:dyDescent="0.3">
      <c r="A54" s="23"/>
      <c r="B54" s="2"/>
      <c r="C54" s="91" t="s">
        <v>39</v>
      </c>
      <c r="D54" s="92"/>
      <c r="E54" s="93"/>
      <c r="F54" s="45">
        <f>SUM(F49:F53)</f>
        <v>18000</v>
      </c>
      <c r="G54" s="59"/>
    </row>
    <row r="55" spans="1:7" ht="15.75" x14ac:dyDescent="0.3">
      <c r="A55" s="33"/>
      <c r="B55" s="47" t="s">
        <v>46</v>
      </c>
      <c r="C55" s="21"/>
      <c r="D55" s="21"/>
      <c r="E55" s="21"/>
      <c r="F55" s="34"/>
      <c r="G55" s="59"/>
    </row>
    <row r="56" spans="1:7" x14ac:dyDescent="0.3">
      <c r="A56" s="23">
        <v>1</v>
      </c>
      <c r="B56" s="2" t="s">
        <v>23</v>
      </c>
      <c r="C56" s="3" t="s">
        <v>10</v>
      </c>
      <c r="D56" s="3">
        <f>ROUNDUP(D39/80,0)</f>
        <v>1</v>
      </c>
      <c r="E56" s="3">
        <f>IF($C$11&gt;30,($C$11-30)*115+14400,14400)</f>
        <v>14400</v>
      </c>
      <c r="F56" s="24">
        <f>MMULT(D56,E56)</f>
        <v>14400</v>
      </c>
      <c r="G56" s="59"/>
    </row>
    <row r="57" spans="1:7" ht="54" customHeight="1" x14ac:dyDescent="0.3">
      <c r="A57" s="23">
        <f t="shared" ref="A57:A60" si="9">A56+1</f>
        <v>2</v>
      </c>
      <c r="B57" s="2" t="s">
        <v>71</v>
      </c>
      <c r="C57" s="3" t="s">
        <v>12</v>
      </c>
      <c r="D57" s="2">
        <v>1</v>
      </c>
      <c r="E57" s="3">
        <v>20000</v>
      </c>
      <c r="F57" s="56">
        <f>D57*E57</f>
        <v>20000</v>
      </c>
      <c r="G57" s="59"/>
    </row>
    <row r="58" spans="1:7" x14ac:dyDescent="0.3">
      <c r="A58" s="23">
        <f t="shared" si="9"/>
        <v>3</v>
      </c>
      <c r="B58" s="2" t="s">
        <v>58</v>
      </c>
      <c r="C58" s="3" t="s">
        <v>12</v>
      </c>
      <c r="D58" s="2">
        <v>1</v>
      </c>
      <c r="E58" s="55">
        <v>5000</v>
      </c>
      <c r="F58" s="56">
        <f>D58*E58</f>
        <v>5000</v>
      </c>
      <c r="G58" s="59"/>
    </row>
    <row r="59" spans="1:7" ht="39.950000000000003" x14ac:dyDescent="0.3">
      <c r="A59" s="65">
        <f t="shared" si="9"/>
        <v>4</v>
      </c>
      <c r="B59" s="2" t="s">
        <v>89</v>
      </c>
      <c r="C59" s="3" t="s">
        <v>57</v>
      </c>
      <c r="D59" s="2">
        <f>ROUND(D40/3,0)</f>
        <v>0</v>
      </c>
      <c r="E59" s="3">
        <v>0</v>
      </c>
      <c r="F59" s="56">
        <f>D59*E59</f>
        <v>0</v>
      </c>
      <c r="G59" s="59"/>
    </row>
    <row r="60" spans="1:7" ht="39.950000000000003" x14ac:dyDescent="0.3">
      <c r="A60" s="23">
        <f t="shared" si="9"/>
        <v>5</v>
      </c>
      <c r="B60" s="2" t="s">
        <v>75</v>
      </c>
      <c r="C60" s="3" t="s">
        <v>48</v>
      </c>
      <c r="D60" s="2">
        <v>0</v>
      </c>
      <c r="E60" s="55">
        <v>0</v>
      </c>
      <c r="F60" s="56">
        <f>D60*E60</f>
        <v>0</v>
      </c>
      <c r="G60" s="59"/>
    </row>
    <row r="61" spans="1:7" x14ac:dyDescent="0.3">
      <c r="A61" s="35"/>
      <c r="B61" s="91" t="s">
        <v>47</v>
      </c>
      <c r="C61" s="92"/>
      <c r="D61" s="92"/>
      <c r="E61" s="93"/>
      <c r="F61" s="36">
        <f>SUM(F56:F60)</f>
        <v>39400</v>
      </c>
    </row>
    <row r="62" spans="1:7" ht="16.55" customHeight="1" x14ac:dyDescent="0.3">
      <c r="A62" s="23"/>
      <c r="B62" s="98" t="s">
        <v>26</v>
      </c>
      <c r="C62" s="99"/>
      <c r="D62" s="99"/>
      <c r="E62" s="100"/>
      <c r="F62" s="45">
        <f>F61+F54+F47+F27</f>
        <v>631938.06346666662</v>
      </c>
    </row>
    <row r="63" spans="1:7" ht="15.75" thickBot="1" x14ac:dyDescent="0.35">
      <c r="A63" s="23"/>
      <c r="B63" s="91" t="s">
        <v>43</v>
      </c>
      <c r="C63" s="92"/>
      <c r="D63" s="92"/>
      <c r="E63" s="93"/>
      <c r="F63" s="45">
        <f>F62*0.02</f>
        <v>12638.761269333332</v>
      </c>
    </row>
    <row r="64" spans="1:7" ht="15.75" thickBot="1" x14ac:dyDescent="0.35">
      <c r="A64" s="79" t="s">
        <v>11</v>
      </c>
      <c r="B64" s="80"/>
      <c r="C64" s="80"/>
      <c r="D64" s="81"/>
      <c r="E64" s="82">
        <f>F63+F62</f>
        <v>644576.82473599992</v>
      </c>
      <c r="F64" s="83"/>
    </row>
    <row r="65" spans="1:7" x14ac:dyDescent="0.3">
      <c r="A65" s="37"/>
      <c r="B65" s="30"/>
      <c r="C65" s="30"/>
      <c r="D65" s="30"/>
      <c r="E65" s="30"/>
      <c r="F65" s="38"/>
    </row>
    <row r="66" spans="1:7" ht="15.75" x14ac:dyDescent="0.3">
      <c r="A66" s="50"/>
      <c r="B66" s="84" t="s">
        <v>83</v>
      </c>
      <c r="C66" s="84"/>
      <c r="D66" s="84"/>
      <c r="E66" s="84"/>
      <c r="F66" s="85"/>
      <c r="G66" s="59"/>
    </row>
    <row r="67" spans="1:7" ht="20.95" customHeight="1" x14ac:dyDescent="0.3">
      <c r="A67" s="50"/>
      <c r="B67" s="62"/>
      <c r="C67" s="62"/>
      <c r="D67" s="62"/>
      <c r="E67" s="62"/>
      <c r="F67" s="63"/>
      <c r="G67" s="59"/>
    </row>
    <row r="68" spans="1:7" ht="15.75" x14ac:dyDescent="0.3">
      <c r="A68" s="50"/>
      <c r="B68" s="29" t="s">
        <v>50</v>
      </c>
      <c r="C68" s="48"/>
      <c r="D68" s="48"/>
      <c r="E68" s="48"/>
      <c r="F68" s="49"/>
      <c r="G68" s="30"/>
    </row>
    <row r="69" spans="1:7" ht="33.25" customHeight="1" x14ac:dyDescent="0.3">
      <c r="A69" s="50"/>
      <c r="B69" s="61" t="s">
        <v>51</v>
      </c>
      <c r="C69" s="94" t="s">
        <v>52</v>
      </c>
      <c r="D69" s="94"/>
      <c r="E69" s="94"/>
      <c r="F69" s="95"/>
    </row>
    <row r="70" spans="1:7" ht="44.2" customHeight="1" x14ac:dyDescent="0.3">
      <c r="A70" s="50"/>
      <c r="B70" s="51" t="s">
        <v>80</v>
      </c>
      <c r="C70" s="86">
        <f>CEILING(F54/2+F40-F39,1000)</f>
        <v>260000</v>
      </c>
      <c r="D70" s="87"/>
      <c r="E70" s="87"/>
      <c r="F70" s="88"/>
    </row>
    <row r="71" spans="1:7" ht="30.8" customHeight="1" x14ac:dyDescent="0.3">
      <c r="A71" s="50"/>
      <c r="B71" s="51" t="s">
        <v>81</v>
      </c>
      <c r="C71" s="86">
        <f>CEILING(F39+F56,1000)</f>
        <v>144000</v>
      </c>
      <c r="D71" s="87"/>
      <c r="E71" s="87"/>
      <c r="F71" s="88"/>
    </row>
    <row r="72" spans="1:7" ht="45.85" customHeight="1" x14ac:dyDescent="0.3">
      <c r="A72" s="50"/>
      <c r="B72" s="51" t="s">
        <v>82</v>
      </c>
      <c r="C72" s="86">
        <f>E64-C70-C71</f>
        <v>240576.82473599992</v>
      </c>
      <c r="D72" s="87"/>
      <c r="E72" s="87"/>
      <c r="F72" s="88"/>
    </row>
    <row r="73" spans="1:7" ht="18.850000000000001" customHeight="1" x14ac:dyDescent="0.3">
      <c r="A73" s="37"/>
      <c r="B73" s="30"/>
      <c r="C73" s="30"/>
      <c r="D73" s="30"/>
      <c r="E73" s="30"/>
      <c r="F73" s="38"/>
    </row>
    <row r="74" spans="1:7" ht="56.95" customHeight="1" x14ac:dyDescent="0.3">
      <c r="A74" s="50"/>
      <c r="B74" s="74" t="s">
        <v>76</v>
      </c>
      <c r="C74" s="74"/>
      <c r="D74" s="74"/>
      <c r="E74" s="74"/>
      <c r="F74" s="75"/>
      <c r="G74" s="59"/>
    </row>
    <row r="75" spans="1:7" ht="37.5" customHeight="1" x14ac:dyDescent="0.3">
      <c r="A75" s="37"/>
      <c r="B75" s="74" t="s">
        <v>77</v>
      </c>
      <c r="C75" s="74"/>
      <c r="D75" s="74"/>
      <c r="E75" s="74"/>
      <c r="F75" s="75"/>
    </row>
    <row r="76" spans="1:7" x14ac:dyDescent="0.3">
      <c r="A76" s="37"/>
      <c r="B76" s="62"/>
      <c r="C76" s="62"/>
      <c r="D76" s="62"/>
      <c r="E76" s="62"/>
      <c r="F76" s="63"/>
    </row>
    <row r="77" spans="1:7" ht="18" customHeight="1" x14ac:dyDescent="0.3">
      <c r="A77" s="37"/>
      <c r="B77" s="74" t="s">
        <v>79</v>
      </c>
      <c r="C77" s="74"/>
      <c r="D77" s="74"/>
      <c r="E77" s="74"/>
      <c r="F77" s="75"/>
    </row>
    <row r="78" spans="1:7" x14ac:dyDescent="0.3">
      <c r="A78" s="37"/>
      <c r="B78" s="64" t="s">
        <v>78</v>
      </c>
      <c r="C78" s="62"/>
      <c r="D78" s="62"/>
      <c r="E78" s="62"/>
      <c r="F78" s="63"/>
    </row>
    <row r="79" spans="1:7" x14ac:dyDescent="0.3">
      <c r="A79" s="70"/>
      <c r="B79" s="71"/>
      <c r="C79" s="71"/>
      <c r="D79" s="71"/>
      <c r="E79" s="71"/>
      <c r="F79" s="72"/>
    </row>
    <row r="90" ht="15.9" customHeight="1" x14ac:dyDescent="0.3"/>
    <row r="101" ht="15.25" customHeight="1" x14ac:dyDescent="0.3"/>
    <row r="140" ht="15.9" customHeight="1" x14ac:dyDescent="0.3"/>
    <row r="142" ht="18" customHeight="1" x14ac:dyDescent="0.3"/>
    <row r="143" ht="15.9" customHeight="1" x14ac:dyDescent="0.3"/>
    <row r="146" ht="14.25" customHeight="1" x14ac:dyDescent="0.3"/>
    <row r="158" ht="15.25" customHeight="1" x14ac:dyDescent="0.3"/>
    <row r="160" ht="15.9" customHeight="1" x14ac:dyDescent="0.3"/>
    <row r="179" ht="15.25" customHeight="1" x14ac:dyDescent="0.3"/>
    <row r="183" ht="15.9" customHeight="1" x14ac:dyDescent="0.3"/>
    <row r="212" ht="16.55" customHeight="1" x14ac:dyDescent="0.3"/>
    <row r="214" ht="15.25" customHeight="1" x14ac:dyDescent="0.3"/>
  </sheetData>
  <mergeCells count="22">
    <mergeCell ref="B1:F1"/>
    <mergeCell ref="B4:F4"/>
    <mergeCell ref="B62:E62"/>
    <mergeCell ref="C54:E54"/>
    <mergeCell ref="C27:E27"/>
    <mergeCell ref="C47:E47"/>
    <mergeCell ref="B48:F48"/>
    <mergeCell ref="B13:F13"/>
    <mergeCell ref="B61:E61"/>
    <mergeCell ref="B75:F75"/>
    <mergeCell ref="A3:F3"/>
    <mergeCell ref="A64:D64"/>
    <mergeCell ref="E64:F64"/>
    <mergeCell ref="B77:F77"/>
    <mergeCell ref="B74:F74"/>
    <mergeCell ref="B66:F66"/>
    <mergeCell ref="C72:F72"/>
    <mergeCell ref="B28:F28"/>
    <mergeCell ref="B63:E63"/>
    <mergeCell ref="C69:F69"/>
    <mergeCell ref="C70:F70"/>
    <mergeCell ref="C71:F71"/>
  </mergeCells>
  <hyperlinks>
    <hyperlink ref="B78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F3" sqref="F3"/>
    </sheetView>
  </sheetViews>
  <sheetFormatPr defaultRowHeight="15.05" x14ac:dyDescent="0.3"/>
  <cols>
    <col min="1" max="2" width="18.109375" customWidth="1"/>
    <col min="3" max="3" width="16.88671875" customWidth="1"/>
  </cols>
  <sheetData>
    <row r="2" spans="1:6" x14ac:dyDescent="0.3">
      <c r="B2" t="s">
        <v>35</v>
      </c>
      <c r="C2" t="s">
        <v>33</v>
      </c>
    </row>
    <row r="3" spans="1:6" x14ac:dyDescent="0.3">
      <c r="A3" t="s">
        <v>34</v>
      </c>
      <c r="B3" s="39">
        <f>Лист1!D18</f>
        <v>49.2</v>
      </c>
      <c r="C3">
        <f>B3/75</f>
        <v>0.65600000000000003</v>
      </c>
      <c r="D3">
        <f>D6</f>
        <v>17412.935323383084</v>
      </c>
      <c r="E3">
        <f>C3*D3</f>
        <v>11422.885572139303</v>
      </c>
      <c r="F3">
        <f>E3/B3</f>
        <v>232.17247097844111</v>
      </c>
    </row>
    <row r="4" spans="1:6" x14ac:dyDescent="0.3">
      <c r="A4" t="s">
        <v>36</v>
      </c>
      <c r="B4" s="39">
        <f>Лист1!D20</f>
        <v>50.4</v>
      </c>
      <c r="C4">
        <f>B4/75</f>
        <v>0.67199999999999993</v>
      </c>
      <c r="D4">
        <f>D3</f>
        <v>17412.935323383084</v>
      </c>
      <c r="E4">
        <f>C4*D4</f>
        <v>11701.492537313432</v>
      </c>
      <c r="F4">
        <f>E4/B4</f>
        <v>232.17247097844111</v>
      </c>
    </row>
    <row r="5" spans="1:6" x14ac:dyDescent="0.3">
      <c r="A5" t="s">
        <v>37</v>
      </c>
      <c r="B5" s="39">
        <f>Лист1!D21</f>
        <v>21</v>
      </c>
      <c r="C5">
        <f>B5/75</f>
        <v>0.28000000000000003</v>
      </c>
      <c r="D5">
        <f>D4</f>
        <v>17412.935323383084</v>
      </c>
      <c r="E5">
        <f>C5*D5</f>
        <v>4875.6218905472642</v>
      </c>
      <c r="F5">
        <f>E5/B5</f>
        <v>232.17247097844114</v>
      </c>
    </row>
    <row r="6" spans="1:6" x14ac:dyDescent="0.3">
      <c r="C6">
        <f>C3+C5+C4</f>
        <v>1.6080000000000001</v>
      </c>
      <c r="D6">
        <f>E6/C6</f>
        <v>17412.935323383084</v>
      </c>
      <c r="E6">
        <f>E7</f>
        <v>28000</v>
      </c>
    </row>
    <row r="7" spans="1:6" x14ac:dyDescent="0.3">
      <c r="B7" t="s">
        <v>38</v>
      </c>
      <c r="C7">
        <f>CEILING(C6,1)</f>
        <v>2</v>
      </c>
      <c r="D7">
        <v>14000</v>
      </c>
      <c r="E7">
        <f>C7*D7</f>
        <v>28000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2019-01-19T12:14:41Z</dcterms:modified>
</cp:coreProperties>
</file>