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345" windowHeight="9818"/>
  </bookViews>
  <sheets>
    <sheet name="Лист1" sheetId="1" r:id="rId1"/>
    <sheet name="Лист2" sheetId="2" r:id="rId2"/>
    <sheet name="Лист3" sheetId="3" r:id="rId3"/>
  </sheets>
  <calcPr calcId="162913" iterate="1"/>
</workbook>
</file>

<file path=xl/calcChain.xml><?xml version="1.0" encoding="utf-8"?>
<calcChain xmlns="http://schemas.openxmlformats.org/spreadsheetml/2006/main">
  <c r="F80" i="1" l="1"/>
  <c r="F33" i="1"/>
  <c r="F64" i="1"/>
  <c r="E61" i="1"/>
  <c r="E63" i="1"/>
  <c r="E70" i="1" l="1"/>
  <c r="E66" i="1"/>
  <c r="D59" i="1"/>
  <c r="D58" i="1"/>
  <c r="D77" i="1" s="1"/>
  <c r="F77" i="1" s="1"/>
  <c r="E73" i="1" l="1"/>
  <c r="E68" i="1"/>
  <c r="F68" i="1" s="1"/>
  <c r="F69" i="1"/>
  <c r="F66" i="1"/>
  <c r="E67" i="1"/>
  <c r="F67" i="1" s="1"/>
  <c r="F70" i="1"/>
  <c r="F71" i="1" l="1"/>
  <c r="D19" i="1"/>
  <c r="D32" i="1" l="1"/>
  <c r="F32" i="1" s="1"/>
  <c r="A67" i="1" l="1"/>
  <c r="A68" i="1" s="1"/>
  <c r="A69" i="1" s="1"/>
  <c r="A70" i="1" s="1"/>
  <c r="D48" i="1"/>
  <c r="D52" i="1" l="1"/>
  <c r="A74" i="1" l="1"/>
  <c r="A75" i="1" s="1"/>
  <c r="A76" i="1" s="1"/>
  <c r="F76" i="1"/>
  <c r="F75" i="1"/>
  <c r="A77" i="1" l="1"/>
  <c r="A78" i="1" s="1"/>
  <c r="D23" i="1"/>
  <c r="D36" i="1" s="1"/>
  <c r="F74" i="1" l="1"/>
  <c r="D61" i="1"/>
  <c r="D46" i="1"/>
  <c r="D26" i="1"/>
  <c r="D38" i="1"/>
  <c r="D44" i="1"/>
  <c r="F44" i="1" s="1"/>
  <c r="D22" i="1"/>
  <c r="D50" i="1"/>
  <c r="D21" i="1"/>
  <c r="D40" i="1" l="1"/>
  <c r="D37" i="1"/>
  <c r="D45" i="1"/>
  <c r="F45" i="1" s="1"/>
  <c r="D42" i="1"/>
  <c r="D43" i="1"/>
  <c r="D31" i="1"/>
  <c r="D62" i="1" l="1"/>
  <c r="D63" i="1"/>
  <c r="F63" i="1" s="1"/>
  <c r="D60" i="1"/>
  <c r="F31" i="1"/>
  <c r="F62" i="1"/>
  <c r="A36" i="1" l="1"/>
  <c r="A37" i="1" s="1"/>
  <c r="A38" i="1" s="1"/>
  <c r="A39" i="1" s="1"/>
  <c r="A40" i="1" s="1"/>
  <c r="A41" i="1" s="1"/>
  <c r="A42" i="1" l="1"/>
  <c r="A43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44" i="1"/>
  <c r="A45" i="1" s="1"/>
  <c r="D29" i="1" l="1"/>
  <c r="D35" i="1"/>
  <c r="D25" i="1"/>
  <c r="D56" i="1" l="1"/>
  <c r="F25" i="1"/>
  <c r="F24" i="1"/>
  <c r="F29" i="1"/>
  <c r="D27" i="1"/>
  <c r="F27" i="1" s="1"/>
  <c r="F18" i="1"/>
  <c r="D57" i="1"/>
  <c r="F26" i="1"/>
  <c r="D30" i="1" l="1"/>
  <c r="F30" i="1" s="1"/>
  <c r="D28" i="1"/>
  <c r="F28" i="1" s="1"/>
  <c r="F22" i="1"/>
  <c r="D41" i="1"/>
  <c r="D51" i="1"/>
  <c r="F73" i="1" l="1"/>
  <c r="F79" i="1" s="1"/>
  <c r="F60" i="1"/>
  <c r="F39" i="1"/>
  <c r="F37" i="1"/>
  <c r="F38" i="1"/>
  <c r="F40" i="1"/>
  <c r="F41" i="1"/>
  <c r="F42" i="1"/>
  <c r="F43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1" i="1"/>
  <c r="C89" i="1" l="1"/>
  <c r="F36" i="1"/>
  <c r="F23" i="1"/>
  <c r="F35" i="1"/>
  <c r="F21" i="1"/>
  <c r="C88" i="1" l="1"/>
  <c r="F19" i="1"/>
  <c r="D20" i="1"/>
  <c r="F20" i="1" s="1"/>
  <c r="F81" i="1" l="1"/>
  <c r="E82" i="1" s="1"/>
  <c r="C90" i="1" s="1"/>
</calcChain>
</file>

<file path=xl/comments1.xml><?xml version="1.0" encoding="utf-8"?>
<comments xmlns="http://schemas.openxmlformats.org/spreadsheetml/2006/main">
  <authors>
    <author>Автор</author>
  </authors>
  <commentList>
    <comment ref="C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Выбирается в зависимости от грунтов</t>
        </r>
      </text>
    </comment>
  </commentList>
</comments>
</file>

<file path=xl/sharedStrings.xml><?xml version="1.0" encoding="utf-8"?>
<sst xmlns="http://schemas.openxmlformats.org/spreadsheetml/2006/main" count="157" uniqueCount="108">
  <si>
    <t xml:space="preserve">ПЕРЕЧЕНЬ РАБОТ </t>
  </si>
  <si>
    <t>Ед.изм.</t>
  </si>
  <si>
    <t>ОБЪЁМ</t>
  </si>
  <si>
    <t>Работа</t>
  </si>
  <si>
    <t>Ручная подчистка грунта (дна траншей)</t>
  </si>
  <si>
    <t>Разводка канализации под домом</t>
  </si>
  <si>
    <t>Монтаж теплого пола с заполнением системы антифризом и опресовкой.</t>
  </si>
  <si>
    <t>Укладка бетона с вибрированием</t>
  </si>
  <si>
    <t>Материалы</t>
  </si>
  <si>
    <t>м2</t>
  </si>
  <si>
    <t>м3</t>
  </si>
  <si>
    <t>Труба дренажная в геотекстиле (бухта)</t>
  </si>
  <si>
    <t>Пена монтажная</t>
  </si>
  <si>
    <t>Пластиковые стяжки для крепления труб тёплого пола</t>
  </si>
  <si>
    <t>Энергофлекс</t>
  </si>
  <si>
    <t>Кран шаровой 25 мм (на коллектор)</t>
  </si>
  <si>
    <t>Антифриз Диксис</t>
  </si>
  <si>
    <t>Подставки под арматуру (стульчики)</t>
  </si>
  <si>
    <t>Проволока вязальная</t>
  </si>
  <si>
    <t>ЦЕНА</t>
  </si>
  <si>
    <t>СУММА</t>
  </si>
  <si>
    <t>Устройство  разделительного слоя из геотекстиля</t>
  </si>
  <si>
    <t>м.п</t>
  </si>
  <si>
    <t>Доставки</t>
  </si>
  <si>
    <t>Доставка арматуры</t>
  </si>
  <si>
    <t>Итого</t>
  </si>
  <si>
    <t>смена</t>
  </si>
  <si>
    <t>ИТОГО ПО СМЕТЕ:</t>
  </si>
  <si>
    <t>Уголок для труб</t>
  </si>
  <si>
    <t>Спецтехника и оборудование</t>
  </si>
  <si>
    <t>компл.</t>
  </si>
  <si>
    <t>шт.</t>
  </si>
  <si>
    <t>м.п.</t>
  </si>
  <si>
    <t>л.</t>
  </si>
  <si>
    <t>т.</t>
  </si>
  <si>
    <t>кг.</t>
  </si>
  <si>
    <t>СМЕТА СТОИМОСТИ СТРОИТЕЛЬСТВА УШП</t>
  </si>
  <si>
    <t>Монтаж опалубки</t>
  </si>
  <si>
    <t>Дренажный колодец</t>
  </si>
  <si>
    <t>Люк полипропиленовый</t>
  </si>
  <si>
    <t>Фитинги (евроконус)</t>
  </si>
  <si>
    <t>Площадь плиты</t>
  </si>
  <si>
    <t>Периметр</t>
  </si>
  <si>
    <t>п.м.</t>
  </si>
  <si>
    <t>Толщина песчаной подушки</t>
  </si>
  <si>
    <t>мм</t>
  </si>
  <si>
    <t xml:space="preserve">Канализационные трубы и фитинги </t>
  </si>
  <si>
    <t>Длина несущих ребер</t>
  </si>
  <si>
    <t>Высота несущих ребер</t>
  </si>
  <si>
    <t>Реб</t>
  </si>
  <si>
    <t>Пленка техническая (рукав-1,5м) 200мк</t>
  </si>
  <si>
    <t>Расстояние от КАД</t>
  </si>
  <si>
    <t>км</t>
  </si>
  <si>
    <t>Бетононасос</t>
  </si>
  <si>
    <t>Доска 40*150*6000</t>
  </si>
  <si>
    <t>Изготовление и установка арматурных каркасов, монтаж арматурной сетки</t>
  </si>
  <si>
    <t>точка</t>
  </si>
  <si>
    <t>Устройство вводов и выводов: водопровода, электричества.</t>
  </si>
  <si>
    <t>Труба Uponor Wirsbo pe PE-Xa Q&amp;E 20x2,0 мм</t>
  </si>
  <si>
    <t>Коллекторная группа с расходомерами (для теплого пола)</t>
  </si>
  <si>
    <t>Площадь укладки теплого пола</t>
  </si>
  <si>
    <t>Итого за работы и материалы:</t>
  </si>
  <si>
    <t>Обеспечение биотуалетом</t>
  </si>
  <si>
    <t>ООО «Фундамент-СПб», г. Санкт-Петербург, ул. Оптиков, дом 4, корпус 3, офис № 309 www.fundament-spb.ru, т.: 936-16-65.</t>
  </si>
  <si>
    <t>Наименование этапа</t>
  </si>
  <si>
    <t>Ориентировочная сумма платежа, рублей</t>
  </si>
  <si>
    <t>Порядок расчетов и суммы по этапам оплат:</t>
  </si>
  <si>
    <t>Устройство утепленной отмоски шириной 800 мм толщиной 50-100 мм (переменная)</t>
  </si>
  <si>
    <t>Сетка металлическая для армирования отмоски Вр 100х100</t>
  </si>
  <si>
    <t>Труба DKC (для закладных водопровода и электричества)</t>
  </si>
  <si>
    <t>Эппс Технониколь XPS CARBON PROF 400 580х1180 толщиной 100 мм под всей площадью плиты</t>
  </si>
  <si>
    <t>ПСБ С-35 толщиной 100 мм</t>
  </si>
  <si>
    <t xml:space="preserve">Пеноплэкс Комфорт толщиной 100 мм (для утепления отмостки и торца плиты) </t>
  </si>
  <si>
    <t>Монтаж ЭППС и ПСБ (все слои)</t>
  </si>
  <si>
    <t>Аренда и доставка затирочных машин для заглаживания бетона</t>
  </si>
  <si>
    <t>Итого за спецтехнику и доп. оборудование:</t>
  </si>
  <si>
    <t>Накладные расходы 2%:</t>
  </si>
  <si>
    <t>Арматура на ребра d12 А500 (Количество арматуры указано предварительно согласно типовым решениям и будет скорректированно после разработки проекта)</t>
  </si>
  <si>
    <t>Арматура  на сетку (150х150мм) и хомуты d8 (Количество арматуры указано предварительно согласно типовым решениям и будет скорректированно после разработки проекта)</t>
  </si>
  <si>
    <t>Геотекстиль Мегаизол Гео про 200</t>
  </si>
  <si>
    <t>Доставка эппс, пиломатериала, комплектующих для теплого пола, комплектующих для дренажа и канализации</t>
  </si>
  <si>
    <t>Затирка поверхности плиты затирочными машинами</t>
  </si>
  <si>
    <t>Толщина выбираемого слоя грунта</t>
  </si>
  <si>
    <t>Вынос осей, разбивка участка</t>
  </si>
  <si>
    <t xml:space="preserve">Устройство песчаной подушки с послойной трамбовкой виброплитой </t>
  </si>
  <si>
    <t>Вывоз мусора после завершения работ на объекте</t>
  </si>
  <si>
    <t>доставка</t>
  </si>
  <si>
    <t>Обеспечение строительным вагончиком, оборудованным для постоянного проживания бригады на объекте (Учитываются затраты на завоз и вывоз бытовки манипулятором)</t>
  </si>
  <si>
    <t>Песок строительный (средней крупности или крупный) (Кратно 10 м3)  с учетом доставки</t>
  </si>
  <si>
    <t>Щебень гранитный 20-40  для дренажа (Кратно 10 м3)  с учетом доставки</t>
  </si>
  <si>
    <t>Доставка и вывоз инструмента на прицепе</t>
  </si>
  <si>
    <t>Обеспечение водой: Воду предоставляет Заказчик - (При необходимости завозки на объект Еврокуб с водой будет стоить 3000 рублей с доставкой)</t>
  </si>
  <si>
    <t>Устройство дренажа фундамента с учетом установки дренажных колодцев d340 мм и устройством сбросной трассы 10 м.п.</t>
  </si>
  <si>
    <t>Данная смета является предварительной. Объемы и стоимость работ будут скорректированы после выезда технического специалиста на участок, разработки рабочей документации по фундаменту и согласования с Заказчиком.</t>
  </si>
  <si>
    <t>Актуальный срок данного коммерческого предложения составляет 14 календарных дней, т.к. цены на некоторые материалы могут изменяться.</t>
  </si>
  <si>
    <t>Посмотрите выполненные нами работы по ссылке:</t>
  </si>
  <si>
    <t>http://fundament-spb.ru/obekty</t>
  </si>
  <si>
    <r>
      <rPr>
        <b/>
        <sz val="10"/>
        <rFont val="Times New Roman"/>
        <family val="1"/>
        <charset val="204"/>
      </rPr>
      <t>1 этап:</t>
    </r>
    <r>
      <rPr>
        <sz val="10"/>
        <rFont val="Times New Roman"/>
        <family val="1"/>
        <charset val="204"/>
      </rPr>
      <t xml:space="preserve"> Материалы на устройство фундамента, (за исключением стоимости бетона), доставки: оплачиваются при подписании договора</t>
    </r>
  </si>
  <si>
    <r>
      <rPr>
        <b/>
        <sz val="10"/>
        <rFont val="Times New Roman"/>
        <family val="1"/>
        <charset val="204"/>
      </rPr>
      <t>2 этап:</t>
    </r>
    <r>
      <rPr>
        <sz val="10"/>
        <rFont val="Times New Roman"/>
        <family val="1"/>
        <charset val="204"/>
      </rPr>
      <t xml:space="preserve"> Стоимость бетона + бетононасос: оплачиваются по факту окончания работ по опалубке</t>
    </r>
  </si>
  <si>
    <r>
      <rPr>
        <b/>
        <sz val="10"/>
        <rFont val="Times New Roman"/>
        <family val="1"/>
        <charset val="204"/>
      </rPr>
      <t>3 этап:</t>
    </r>
    <r>
      <rPr>
        <sz val="10"/>
        <rFont val="Times New Roman"/>
        <family val="1"/>
        <charset val="204"/>
      </rPr>
      <t xml:space="preserve"> Оплата работ согласно смете: оплачивается в течение 5 дней после подписания акта приема-передачи всех работ по объекту</t>
    </r>
  </si>
  <si>
    <t>Выезд технического специалиста для уточнения сметы бесплатный.</t>
  </si>
  <si>
    <t>Земляные работы (без вывоза грунта) с учетом складирования грунта в конус  в радиусе 10 м от котлована</t>
  </si>
  <si>
    <t>Доставка остальных материалов</t>
  </si>
  <si>
    <t>Обеспечение электричеством: предоставляет Заказчик - (При необходимости электрогенератор и топливо будет стоить 1500 рублей за смену)</t>
  </si>
  <si>
    <t>смен.</t>
  </si>
  <si>
    <t xml:space="preserve">Бетон для отмостки B22,5 М300 П4 (С учетом доставки из СПб) </t>
  </si>
  <si>
    <t>Бетон для плиты B22,5 М300 П4 (С учетом доставки из СПб)</t>
  </si>
  <si>
    <t>Гарантируем сдачу объекта в срок. Или выполним все работы бесплатно! Зафиксируем это в договоре.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</si>
</sst>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0.0"/>
    <numFmt numFmtId="165" formatCode="#,##0_ ;\-#,##0\ "/>
  </numFmts>
  <fonts count="1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06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1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164" fontId="1" fillId="0" borderId="1" xfId="0" applyNumberFormat="1" applyFont="1" applyBorder="1" applyAlignment="1">
      <alignment wrapText="1"/>
    </xf>
    <xf numFmtId="164" fontId="4" fillId="0" borderId="1" xfId="0" applyNumberFormat="1" applyFont="1" applyBorder="1" applyAlignment="1">
      <alignment horizontal="right" wrapText="1"/>
    </xf>
    <xf numFmtId="164" fontId="4" fillId="3" borderId="1" xfId="0" applyNumberFormat="1" applyFont="1" applyFill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1" fontId="1" fillId="0" borderId="5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1" fillId="0" borderId="2" xfId="0" applyFont="1" applyBorder="1"/>
    <xf numFmtId="0" fontId="7" fillId="0" borderId="0" xfId="0" applyFont="1" applyAlignment="1">
      <alignment horizontal="center"/>
    </xf>
    <xf numFmtId="0" fontId="9" fillId="0" borderId="10" xfId="0" applyFont="1" applyBorder="1" applyAlignment="1">
      <alignment horizontal="right"/>
    </xf>
    <xf numFmtId="0" fontId="9" fillId="0" borderId="11" xfId="0" applyFont="1" applyBorder="1" applyAlignment="1">
      <alignment horizontal="right"/>
    </xf>
    <xf numFmtId="3" fontId="9" fillId="0" borderId="11" xfId="0" applyNumberFormat="1" applyFont="1" applyFill="1" applyBorder="1" applyAlignment="1">
      <alignment horizontal="right"/>
    </xf>
    <xf numFmtId="3" fontId="9" fillId="0" borderId="12" xfId="0" applyNumberFormat="1" applyFont="1" applyFill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6" fillId="0" borderId="13" xfId="0" applyFont="1" applyBorder="1"/>
    <xf numFmtId="0" fontId="6" fillId="0" borderId="0" xfId="0" applyFont="1"/>
    <xf numFmtId="0" fontId="10" fillId="0" borderId="0" xfId="0" applyFont="1" applyBorder="1"/>
    <xf numFmtId="0" fontId="11" fillId="0" borderId="9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7" fillId="0" borderId="16" xfId="0" applyFont="1" applyBorder="1" applyAlignment="1">
      <alignment horizontal="center"/>
    </xf>
    <xf numFmtId="3" fontId="3" fillId="0" borderId="5" xfId="0" applyNumberFormat="1" applyFont="1" applyBorder="1"/>
    <xf numFmtId="1" fontId="4" fillId="0" borderId="5" xfId="0" applyNumberFormat="1" applyFont="1" applyBorder="1" applyAlignment="1">
      <alignment horizontal="right" wrapText="1"/>
    </xf>
    <xf numFmtId="1" fontId="3" fillId="0" borderId="5" xfId="0" applyNumberFormat="1" applyFont="1" applyBorder="1"/>
    <xf numFmtId="3" fontId="1" fillId="0" borderId="5" xfId="0" applyNumberFormat="1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7" fillId="0" borderId="0" xfId="0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right" wrapText="1"/>
    </xf>
    <xf numFmtId="164" fontId="1" fillId="0" borderId="1" xfId="0" applyNumberFormat="1" applyFont="1" applyFill="1" applyBorder="1" applyAlignment="1">
      <alignment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7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2" fontId="4" fillId="0" borderId="1" xfId="0" applyNumberFormat="1" applyFont="1" applyBorder="1" applyAlignment="1">
      <alignment horizontal="right" wrapText="1"/>
    </xf>
    <xf numFmtId="0" fontId="4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left" wrapText="1"/>
    </xf>
    <xf numFmtId="165" fontId="12" fillId="0" borderId="0" xfId="1" applyNumberFormat="1" applyFont="1" applyBorder="1" applyAlignment="1">
      <alignment horizontal="center" vertical="center"/>
    </xf>
    <xf numFmtId="165" fontId="12" fillId="0" borderId="9" xfId="1" applyNumberFormat="1" applyFont="1" applyBorder="1" applyAlignment="1">
      <alignment horizontal="center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0" fontId="1" fillId="0" borderId="1" xfId="0" applyFont="1" applyFill="1" applyBorder="1" applyAlignment="1">
      <alignment wrapText="1"/>
    </xf>
    <xf numFmtId="1" fontId="1" fillId="0" borderId="5" xfId="0" applyNumberFormat="1" applyFont="1" applyBorder="1" applyAlignment="1">
      <alignment horizontal="right" vertical="center" wrapText="1"/>
    </xf>
    <xf numFmtId="0" fontId="0" fillId="0" borderId="0" xfId="0" applyFill="1"/>
    <xf numFmtId="0" fontId="11" fillId="0" borderId="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9" xfId="0" applyNumberFormat="1" applyFont="1" applyFill="1" applyBorder="1" applyAlignment="1">
      <alignment horizontal="right"/>
    </xf>
    <xf numFmtId="0" fontId="16" fillId="0" borderId="0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0" fillId="0" borderId="13" xfId="0" applyBorder="1"/>
    <xf numFmtId="0" fontId="17" fillId="0" borderId="0" xfId="2" applyBorder="1" applyAlignment="1">
      <alignment horizontal="left" wrapText="1"/>
    </xf>
    <xf numFmtId="0" fontId="1" fillId="0" borderId="1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0" fillId="0" borderId="0" xfId="0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15" fillId="2" borderId="18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2" borderId="20" xfId="0" applyFont="1" applyFill="1" applyBorder="1" applyAlignment="1">
      <alignment wrapText="1"/>
    </xf>
    <xf numFmtId="0" fontId="0" fillId="0" borderId="22" xfId="0" applyBorder="1"/>
    <xf numFmtId="0" fontId="0" fillId="0" borderId="21" xfId="0" applyBorder="1"/>
    <xf numFmtId="0" fontId="0" fillId="0" borderId="23" xfId="0" applyBorder="1"/>
    <xf numFmtId="0" fontId="7" fillId="0" borderId="0" xfId="0" applyFont="1" applyBorder="1" applyAlignment="1">
      <alignment horizontal="center"/>
    </xf>
    <xf numFmtId="0" fontId="6" fillId="2" borderId="1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65" fontId="12" fillId="0" borderId="14" xfId="1" applyNumberFormat="1" applyFont="1" applyBorder="1" applyAlignment="1">
      <alignment horizontal="center" vertical="center"/>
    </xf>
    <xf numFmtId="165" fontId="12" fillId="0" borderId="3" xfId="1" applyNumberFormat="1" applyFont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9" fillId="0" borderId="6" xfId="0" applyFont="1" applyBorder="1" applyAlignment="1">
      <alignment horizontal="right"/>
    </xf>
    <xf numFmtId="0" fontId="9" fillId="0" borderId="7" xfId="0" applyFont="1" applyBorder="1" applyAlignment="1">
      <alignment horizontal="right"/>
    </xf>
    <xf numFmtId="3" fontId="9" fillId="2" borderId="6" xfId="0" applyNumberFormat="1" applyFont="1" applyFill="1" applyBorder="1" applyAlignment="1">
      <alignment horizontal="right"/>
    </xf>
    <xf numFmtId="3" fontId="9" fillId="2" borderId="8" xfId="0" applyNumberFormat="1" applyFont="1" applyFill="1" applyBorder="1" applyAlignment="1">
      <alignment horizontal="right"/>
    </xf>
    <xf numFmtId="0" fontId="10" fillId="0" borderId="0" xfId="0" applyFont="1" applyBorder="1" applyAlignment="1">
      <alignment horizontal="left" wrapText="1"/>
    </xf>
    <xf numFmtId="0" fontId="10" fillId="0" borderId="9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3" fillId="0" borderId="14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3" fillId="0" borderId="14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18" fillId="0" borderId="0" xfId="0" applyFont="1" applyAlignment="1">
      <alignment horizontal="center" wrapText="1"/>
    </xf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224287</xdr:colOff>
      <xdr:row>0</xdr:row>
      <xdr:rowOff>69012</xdr:rowOff>
    </xdr:from>
    <xdr:to>
      <xdr:col>4</xdr:col>
      <xdr:colOff>437844</xdr:colOff>
      <xdr:row>0</xdr:row>
      <xdr:rowOff>736243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012"/>
          <a:ext cx="4932206" cy="6672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undament-spb.ru/obekty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15"/>
  <sheetViews>
    <sheetView tabSelected="1" view="pageBreakPreview" topLeftCell="A65" zoomScaleNormal="100" zoomScaleSheetLayoutView="100" workbookViewId="0">
      <selection activeCell="E82" sqref="E82:F82"/>
    </sheetView>
  </sheetViews>
  <sheetFormatPr defaultRowHeight="15.05" x14ac:dyDescent="0.3"/>
  <cols>
    <col min="1" max="1" width="3.33203125" style="22" customWidth="1"/>
    <col min="2" max="2" width="52.44140625" customWidth="1"/>
    <col min="3" max="3" width="8" customWidth="1"/>
    <col min="4" max="4" width="7.88671875" customWidth="1"/>
    <col min="5" max="5" width="8.88671875" customWidth="1"/>
    <col min="6" max="6" width="8.6640625" customWidth="1"/>
    <col min="7" max="7" width="7.6640625" customWidth="1"/>
    <col min="8" max="8" width="13.6640625" customWidth="1"/>
    <col min="9" max="9" width="9.44140625" customWidth="1"/>
  </cols>
  <sheetData>
    <row r="1" spans="1:9" ht="65.3" customHeight="1" x14ac:dyDescent="0.3">
      <c r="A1" s="81"/>
      <c r="B1" s="81"/>
      <c r="C1" s="81"/>
      <c r="D1" s="81"/>
      <c r="E1" s="81"/>
      <c r="F1" s="81"/>
      <c r="G1" s="8"/>
      <c r="H1" s="8"/>
      <c r="I1" s="8"/>
    </row>
    <row r="2" spans="1:9" ht="12.95" customHeight="1" x14ac:dyDescent="0.3">
      <c r="A2" s="41"/>
      <c r="B2" s="41"/>
      <c r="C2" s="41"/>
      <c r="D2" s="41"/>
      <c r="E2" s="41"/>
      <c r="F2" s="41"/>
      <c r="G2" s="73"/>
      <c r="H2" s="73"/>
      <c r="I2" s="73"/>
    </row>
    <row r="3" spans="1:9" ht="34.049999999999997" customHeight="1" x14ac:dyDescent="0.3">
      <c r="A3" s="82" t="s">
        <v>63</v>
      </c>
      <c r="B3" s="83"/>
      <c r="C3" s="83"/>
      <c r="D3" s="83"/>
      <c r="E3" s="83"/>
      <c r="F3" s="84"/>
    </row>
    <row r="4" spans="1:9" ht="16.399999999999999" thickBot="1" x14ac:dyDescent="0.35">
      <c r="A4" s="41"/>
      <c r="B4" s="98" t="s">
        <v>36</v>
      </c>
      <c r="C4" s="98"/>
      <c r="D4" s="98"/>
      <c r="E4" s="98"/>
      <c r="F4" s="98"/>
      <c r="G4" s="1"/>
      <c r="H4" s="1"/>
    </row>
    <row r="5" spans="1:9" ht="16.399999999999999" thickBot="1" x14ac:dyDescent="0.35">
      <c r="A5" s="41"/>
      <c r="B5" s="12" t="s">
        <v>41</v>
      </c>
      <c r="C5" s="10">
        <v>100</v>
      </c>
      <c r="D5" s="33" t="s">
        <v>9</v>
      </c>
      <c r="E5" s="34"/>
      <c r="F5" s="34"/>
      <c r="G5" s="1"/>
      <c r="H5" s="1"/>
    </row>
    <row r="6" spans="1:9" ht="16.399999999999999" thickBot="1" x14ac:dyDescent="0.35">
      <c r="A6" s="41"/>
      <c r="B6" s="12" t="s">
        <v>60</v>
      </c>
      <c r="C6" s="10">
        <v>80</v>
      </c>
      <c r="D6" s="33" t="s">
        <v>9</v>
      </c>
      <c r="E6" s="34"/>
      <c r="F6" s="34"/>
      <c r="G6" s="1"/>
      <c r="H6" s="1"/>
    </row>
    <row r="7" spans="1:9" ht="16.399999999999999" thickBot="1" x14ac:dyDescent="0.35">
      <c r="A7" s="41"/>
      <c r="B7" s="12" t="s">
        <v>42</v>
      </c>
      <c r="C7" s="10">
        <v>40</v>
      </c>
      <c r="D7" s="33" t="s">
        <v>43</v>
      </c>
      <c r="E7" s="34"/>
      <c r="F7" s="34"/>
      <c r="G7" s="1"/>
      <c r="H7" s="1"/>
    </row>
    <row r="8" spans="1:9" ht="16.399999999999999" thickBot="1" x14ac:dyDescent="0.35">
      <c r="A8" s="41"/>
      <c r="B8" s="12" t="s">
        <v>44</v>
      </c>
      <c r="C8" s="10">
        <v>300</v>
      </c>
      <c r="D8" s="33" t="s">
        <v>45</v>
      </c>
      <c r="E8" s="34"/>
      <c r="F8" s="34"/>
      <c r="G8" s="1"/>
      <c r="H8" s="1"/>
    </row>
    <row r="9" spans="1:9" ht="16.399999999999999" thickBot="1" x14ac:dyDescent="0.35">
      <c r="A9" s="29"/>
      <c r="B9" s="55" t="s">
        <v>82</v>
      </c>
      <c r="C9" s="10">
        <v>300</v>
      </c>
      <c r="D9" s="56" t="s">
        <v>45</v>
      </c>
      <c r="E9" s="57"/>
      <c r="F9" s="58"/>
      <c r="G9" s="1"/>
      <c r="H9" s="1"/>
    </row>
    <row r="10" spans="1:9" ht="16.399999999999999" thickBot="1" x14ac:dyDescent="0.35">
      <c r="A10" s="41"/>
      <c r="B10" s="12" t="s">
        <v>47</v>
      </c>
      <c r="C10" s="10">
        <v>50</v>
      </c>
      <c r="D10" s="33" t="s">
        <v>43</v>
      </c>
      <c r="E10" s="34"/>
      <c r="F10" s="34"/>
      <c r="G10" s="1"/>
      <c r="H10" s="1"/>
    </row>
    <row r="11" spans="1:9" ht="16.399999999999999" thickBot="1" x14ac:dyDescent="0.35">
      <c r="A11" s="41"/>
      <c r="B11" s="12" t="s">
        <v>48</v>
      </c>
      <c r="C11" s="10">
        <v>300</v>
      </c>
      <c r="D11" s="33" t="s">
        <v>45</v>
      </c>
      <c r="E11" s="12"/>
      <c r="F11" s="33"/>
      <c r="G11" s="1"/>
      <c r="H11" s="1"/>
    </row>
    <row r="12" spans="1:9" ht="16.399999999999999" thickBot="1" x14ac:dyDescent="0.35">
      <c r="A12" s="41"/>
      <c r="B12" s="12" t="s">
        <v>51</v>
      </c>
      <c r="C12" s="10">
        <v>30</v>
      </c>
      <c r="D12" s="33" t="s">
        <v>52</v>
      </c>
      <c r="E12" s="12"/>
      <c r="F12" s="33"/>
      <c r="G12" s="1"/>
      <c r="H12" s="1"/>
    </row>
    <row r="13" spans="1:9" ht="15.75" x14ac:dyDescent="0.3">
      <c r="A13" s="29"/>
      <c r="B13" s="55"/>
      <c r="C13" s="12"/>
      <c r="D13" s="56"/>
      <c r="E13" s="55"/>
      <c r="F13" s="56"/>
      <c r="G13" s="72"/>
      <c r="H13" s="1"/>
    </row>
    <row r="14" spans="1:9" ht="32.75" customHeight="1" x14ac:dyDescent="0.3">
      <c r="A14" s="29"/>
      <c r="B14" s="105" t="s">
        <v>107</v>
      </c>
      <c r="C14" s="105"/>
      <c r="D14" s="105"/>
      <c r="E14" s="105"/>
      <c r="F14" s="105"/>
      <c r="G14" s="72"/>
      <c r="H14" s="1"/>
    </row>
    <row r="15" spans="1:9" ht="20.95" customHeight="1" thickBot="1" x14ac:dyDescent="0.35">
      <c r="A15" s="29"/>
      <c r="B15" s="57"/>
      <c r="C15" s="55"/>
      <c r="D15" s="57"/>
      <c r="E15" s="57"/>
      <c r="F15" s="58"/>
      <c r="G15" s="72"/>
      <c r="H15" s="1"/>
    </row>
    <row r="16" spans="1:9" ht="15.75" thickBot="1" x14ac:dyDescent="0.35">
      <c r="A16" s="46"/>
      <c r="B16" s="44" t="s">
        <v>0</v>
      </c>
      <c r="C16" s="45" t="s">
        <v>1</v>
      </c>
      <c r="D16" s="45" t="s">
        <v>2</v>
      </c>
      <c r="E16" s="44" t="s">
        <v>19</v>
      </c>
      <c r="F16" s="44" t="s">
        <v>20</v>
      </c>
    </row>
    <row r="17" spans="1:6" ht="15.75" x14ac:dyDescent="0.3">
      <c r="A17" s="74"/>
      <c r="B17" s="75" t="s">
        <v>3</v>
      </c>
      <c r="C17" s="76"/>
      <c r="D17" s="76"/>
      <c r="E17" s="76"/>
      <c r="F17" s="77"/>
    </row>
    <row r="18" spans="1:6" x14ac:dyDescent="0.3">
      <c r="A18" s="35">
        <v>1</v>
      </c>
      <c r="B18" s="2" t="s">
        <v>83</v>
      </c>
      <c r="C18" s="3" t="s">
        <v>30</v>
      </c>
      <c r="D18" s="13">
        <v>1</v>
      </c>
      <c r="E18" s="3">
        <v>6500</v>
      </c>
      <c r="F18" s="17">
        <f t="shared" ref="F18:F32" si="0">D18*E18</f>
        <v>6500</v>
      </c>
    </row>
    <row r="19" spans="1:6" ht="27" customHeight="1" x14ac:dyDescent="0.3">
      <c r="A19" s="35">
        <f>A18+1</f>
        <v>2</v>
      </c>
      <c r="B19" s="2" t="s">
        <v>101</v>
      </c>
      <c r="C19" s="3" t="s">
        <v>10</v>
      </c>
      <c r="D19" s="13">
        <f>(C5+C7)*C9*0.001</f>
        <v>42</v>
      </c>
      <c r="E19" s="3">
        <v>300</v>
      </c>
      <c r="F19" s="17">
        <f t="shared" si="0"/>
        <v>12600</v>
      </c>
    </row>
    <row r="20" spans="1:6" x14ac:dyDescent="0.3">
      <c r="A20" s="35">
        <f t="shared" ref="A20:A32" si="1">A19+1</f>
        <v>3</v>
      </c>
      <c r="B20" s="18" t="s">
        <v>4</v>
      </c>
      <c r="C20" s="3" t="s">
        <v>10</v>
      </c>
      <c r="D20" s="13">
        <f>D19*0.1</f>
        <v>4.2</v>
      </c>
      <c r="E20" s="3">
        <v>400</v>
      </c>
      <c r="F20" s="17">
        <f t="shared" si="0"/>
        <v>1680</v>
      </c>
    </row>
    <row r="21" spans="1:6" x14ac:dyDescent="0.3">
      <c r="A21" s="35">
        <f t="shared" si="1"/>
        <v>4</v>
      </c>
      <c r="B21" s="18" t="s">
        <v>21</v>
      </c>
      <c r="C21" s="3" t="s">
        <v>9</v>
      </c>
      <c r="D21" s="13">
        <f>$C$5*1.1</f>
        <v>110.00000000000001</v>
      </c>
      <c r="E21" s="3">
        <v>20</v>
      </c>
      <c r="F21" s="17">
        <f t="shared" si="0"/>
        <v>2200.0000000000005</v>
      </c>
    </row>
    <row r="22" spans="1:6" ht="30.8" customHeight="1" x14ac:dyDescent="0.3">
      <c r="A22" s="35">
        <f t="shared" si="1"/>
        <v>5</v>
      </c>
      <c r="B22" s="18" t="s">
        <v>92</v>
      </c>
      <c r="C22" s="3" t="s">
        <v>32</v>
      </c>
      <c r="D22" s="13">
        <f>C7+8</f>
        <v>48</v>
      </c>
      <c r="E22" s="3">
        <v>1484</v>
      </c>
      <c r="F22" s="17">
        <f t="shared" si="0"/>
        <v>71232</v>
      </c>
    </row>
    <row r="23" spans="1:6" ht="17.05" customHeight="1" x14ac:dyDescent="0.3">
      <c r="A23" s="35">
        <f t="shared" si="1"/>
        <v>6</v>
      </c>
      <c r="B23" s="2" t="s">
        <v>84</v>
      </c>
      <c r="C23" s="3" t="s">
        <v>10</v>
      </c>
      <c r="D23" s="13">
        <f>CEILING(C5*C8*0.001*1.28+(C7+6)*1.5*C8*0.001*1.28,1)</f>
        <v>65</v>
      </c>
      <c r="E23" s="3">
        <v>400</v>
      </c>
      <c r="F23" s="17">
        <f t="shared" si="0"/>
        <v>26000</v>
      </c>
    </row>
    <row r="24" spans="1:6" x14ac:dyDescent="0.3">
      <c r="A24" s="35">
        <f t="shared" si="1"/>
        <v>7</v>
      </c>
      <c r="B24" s="18" t="s">
        <v>57</v>
      </c>
      <c r="C24" s="3" t="s">
        <v>56</v>
      </c>
      <c r="D24" s="13">
        <v>2</v>
      </c>
      <c r="E24" s="3">
        <v>2200</v>
      </c>
      <c r="F24" s="17">
        <f t="shared" si="0"/>
        <v>4400</v>
      </c>
    </row>
    <row r="25" spans="1:6" x14ac:dyDescent="0.3">
      <c r="A25" s="35">
        <f t="shared" si="1"/>
        <v>8</v>
      </c>
      <c r="B25" s="18" t="s">
        <v>5</v>
      </c>
      <c r="C25" s="3" t="s">
        <v>32</v>
      </c>
      <c r="D25" s="13">
        <f>C5*0.12</f>
        <v>12</v>
      </c>
      <c r="E25" s="3">
        <v>600</v>
      </c>
      <c r="F25" s="17">
        <f t="shared" si="0"/>
        <v>7200</v>
      </c>
    </row>
    <row r="26" spans="1:6" x14ac:dyDescent="0.3">
      <c r="A26" s="35">
        <f t="shared" si="1"/>
        <v>9</v>
      </c>
      <c r="B26" s="18" t="s">
        <v>73</v>
      </c>
      <c r="C26" s="3" t="s">
        <v>9</v>
      </c>
      <c r="D26" s="43">
        <f>C5</f>
        <v>100</v>
      </c>
      <c r="E26" s="3">
        <v>380</v>
      </c>
      <c r="F26" s="17">
        <f t="shared" si="0"/>
        <v>38000</v>
      </c>
    </row>
    <row r="27" spans="1:6" x14ac:dyDescent="0.3">
      <c r="A27" s="35">
        <f t="shared" si="1"/>
        <v>10</v>
      </c>
      <c r="B27" s="18" t="s">
        <v>37</v>
      </c>
      <c r="C27" s="3" t="s">
        <v>32</v>
      </c>
      <c r="D27" s="13">
        <f>C7</f>
        <v>40</v>
      </c>
      <c r="E27" s="3">
        <v>450</v>
      </c>
      <c r="F27" s="17">
        <f t="shared" si="0"/>
        <v>18000</v>
      </c>
    </row>
    <row r="28" spans="1:6" ht="26.85" x14ac:dyDescent="0.3">
      <c r="A28" s="35">
        <f t="shared" si="1"/>
        <v>11</v>
      </c>
      <c r="B28" s="18" t="s">
        <v>55</v>
      </c>
      <c r="C28" s="3" t="s">
        <v>34</v>
      </c>
      <c r="D28" s="13">
        <f>D58+D59</f>
        <v>0.97143000000000002</v>
      </c>
      <c r="E28" s="3">
        <v>17300</v>
      </c>
      <c r="F28" s="17">
        <f t="shared" si="0"/>
        <v>16805.739000000001</v>
      </c>
    </row>
    <row r="29" spans="1:6" x14ac:dyDescent="0.3">
      <c r="A29" s="35">
        <f t="shared" si="1"/>
        <v>12</v>
      </c>
      <c r="B29" s="18" t="s">
        <v>6</v>
      </c>
      <c r="C29" s="3" t="s">
        <v>9</v>
      </c>
      <c r="D29" s="13">
        <f>C6</f>
        <v>80</v>
      </c>
      <c r="E29" s="3">
        <v>500</v>
      </c>
      <c r="F29" s="17">
        <f t="shared" si="0"/>
        <v>40000</v>
      </c>
    </row>
    <row r="30" spans="1:6" x14ac:dyDescent="0.3">
      <c r="A30" s="35">
        <f t="shared" si="1"/>
        <v>13</v>
      </c>
      <c r="B30" s="18" t="s">
        <v>7</v>
      </c>
      <c r="C30" s="3" t="s">
        <v>10</v>
      </c>
      <c r="D30" s="13">
        <f>D61</f>
        <v>17</v>
      </c>
      <c r="E30" s="3">
        <v>1500</v>
      </c>
      <c r="F30" s="17">
        <f t="shared" si="0"/>
        <v>25500</v>
      </c>
    </row>
    <row r="31" spans="1:6" ht="26.85" x14ac:dyDescent="0.3">
      <c r="A31" s="35">
        <f t="shared" si="1"/>
        <v>14</v>
      </c>
      <c r="B31" s="18" t="s">
        <v>67</v>
      </c>
      <c r="C31" s="3" t="s">
        <v>9</v>
      </c>
      <c r="D31" s="13">
        <f>(C7+4)*0.8</f>
        <v>35.200000000000003</v>
      </c>
      <c r="E31" s="3">
        <v>850</v>
      </c>
      <c r="F31" s="17">
        <f t="shared" si="0"/>
        <v>29920.000000000004</v>
      </c>
    </row>
    <row r="32" spans="1:6" x14ac:dyDescent="0.3">
      <c r="A32" s="35">
        <f t="shared" si="1"/>
        <v>15</v>
      </c>
      <c r="B32" s="18" t="s">
        <v>81</v>
      </c>
      <c r="C32" s="3" t="s">
        <v>9</v>
      </c>
      <c r="D32" s="13">
        <f>C5</f>
        <v>100</v>
      </c>
      <c r="E32" s="3">
        <v>60</v>
      </c>
      <c r="F32" s="17">
        <f t="shared" si="0"/>
        <v>6000</v>
      </c>
    </row>
    <row r="33" spans="1:6" x14ac:dyDescent="0.3">
      <c r="A33" s="35"/>
      <c r="B33" s="18"/>
      <c r="C33" s="3"/>
      <c r="D33" s="2"/>
      <c r="E33" s="5" t="s">
        <v>25</v>
      </c>
      <c r="F33" s="36">
        <f>SUM(F18:F32)</f>
        <v>306037.739</v>
      </c>
    </row>
    <row r="34" spans="1:6" ht="15.75" x14ac:dyDescent="0.3">
      <c r="A34" s="74"/>
      <c r="B34" s="75" t="s">
        <v>8</v>
      </c>
      <c r="C34" s="76"/>
      <c r="D34" s="76"/>
      <c r="E34" s="76"/>
      <c r="F34" s="77"/>
    </row>
    <row r="35" spans="1:6" ht="17.55" customHeight="1" x14ac:dyDescent="0.3">
      <c r="A35" s="35">
        <v>1</v>
      </c>
      <c r="B35" s="49" t="s">
        <v>79</v>
      </c>
      <c r="C35" s="9" t="s">
        <v>9</v>
      </c>
      <c r="D35" s="14">
        <f>D21*1.2</f>
        <v>132</v>
      </c>
      <c r="E35" s="4">
        <v>30</v>
      </c>
      <c r="F35" s="37">
        <f>MMULT(D35,E35)</f>
        <v>3960</v>
      </c>
    </row>
    <row r="36" spans="1:6" ht="26.85" x14ac:dyDescent="0.3">
      <c r="A36" s="35">
        <f>A35+1</f>
        <v>2</v>
      </c>
      <c r="B36" s="49" t="s">
        <v>88</v>
      </c>
      <c r="C36" s="9" t="s">
        <v>10</v>
      </c>
      <c r="D36" s="14">
        <f>CEILING(D23,10)</f>
        <v>70</v>
      </c>
      <c r="E36" s="4">
        <v>600</v>
      </c>
      <c r="F36" s="37">
        <f t="shared" ref="F36:F63" si="2">MMULT(D36,E36)</f>
        <v>42000</v>
      </c>
    </row>
    <row r="37" spans="1:6" ht="29.45" customHeight="1" x14ac:dyDescent="0.3">
      <c r="A37" s="35">
        <f t="shared" ref="A37:A63" si="3">A36+1</f>
        <v>3</v>
      </c>
      <c r="B37" s="19" t="s">
        <v>89</v>
      </c>
      <c r="C37" s="9" t="s">
        <v>10</v>
      </c>
      <c r="D37" s="14">
        <f>CEILING(D22*0.4*0.5,10)</f>
        <v>10</v>
      </c>
      <c r="E37" s="4">
        <v>1400</v>
      </c>
      <c r="F37" s="37">
        <f t="shared" si="2"/>
        <v>14000</v>
      </c>
    </row>
    <row r="38" spans="1:6" ht="15.25" customHeight="1" x14ac:dyDescent="0.3">
      <c r="A38" s="35">
        <f t="shared" si="3"/>
        <v>4</v>
      </c>
      <c r="B38" s="19" t="s">
        <v>69</v>
      </c>
      <c r="C38" s="9" t="s">
        <v>22</v>
      </c>
      <c r="D38" s="14">
        <f>D24*15</f>
        <v>30</v>
      </c>
      <c r="E38" s="4">
        <v>100</v>
      </c>
      <c r="F38" s="37">
        <f t="shared" si="2"/>
        <v>3000</v>
      </c>
    </row>
    <row r="39" spans="1:6" ht="18" customHeight="1" x14ac:dyDescent="0.3">
      <c r="A39" s="35">
        <f t="shared" si="3"/>
        <v>5</v>
      </c>
      <c r="B39" s="19" t="s">
        <v>46</v>
      </c>
      <c r="C39" s="9" t="s">
        <v>30</v>
      </c>
      <c r="D39" s="14">
        <v>1</v>
      </c>
      <c r="E39" s="4">
        <v>16000</v>
      </c>
      <c r="F39" s="37">
        <f t="shared" si="2"/>
        <v>16000</v>
      </c>
    </row>
    <row r="40" spans="1:6" ht="15.25" customHeight="1" x14ac:dyDescent="0.3">
      <c r="A40" s="35">
        <f t="shared" si="3"/>
        <v>6</v>
      </c>
      <c r="B40" s="19" t="s">
        <v>38</v>
      </c>
      <c r="C40" s="9" t="s">
        <v>31</v>
      </c>
      <c r="D40" s="14">
        <f>CEILING(D22/15,4)</f>
        <v>4</v>
      </c>
      <c r="E40" s="4">
        <v>3000</v>
      </c>
      <c r="F40" s="37">
        <f t="shared" si="2"/>
        <v>12000</v>
      </c>
    </row>
    <row r="41" spans="1:6" ht="16.55" customHeight="1" x14ac:dyDescent="0.3">
      <c r="A41" s="35">
        <f t="shared" si="3"/>
        <v>7</v>
      </c>
      <c r="B41" s="19" t="s">
        <v>39</v>
      </c>
      <c r="C41" s="9" t="s">
        <v>31</v>
      </c>
      <c r="D41" s="14">
        <f>D40</f>
        <v>4</v>
      </c>
      <c r="E41" s="4">
        <v>1200</v>
      </c>
      <c r="F41" s="37">
        <f t="shared" si="2"/>
        <v>4800</v>
      </c>
    </row>
    <row r="42" spans="1:6" ht="15.25" customHeight="1" x14ac:dyDescent="0.3">
      <c r="A42" s="35">
        <f t="shared" si="3"/>
        <v>8</v>
      </c>
      <c r="B42" s="19" t="s">
        <v>11</v>
      </c>
      <c r="C42" s="9" t="s">
        <v>32</v>
      </c>
      <c r="D42" s="14">
        <f>D22</f>
        <v>48</v>
      </c>
      <c r="E42" s="4">
        <v>60</v>
      </c>
      <c r="F42" s="37">
        <f t="shared" si="2"/>
        <v>2880</v>
      </c>
    </row>
    <row r="43" spans="1:6" ht="26.85" customHeight="1" x14ac:dyDescent="0.3">
      <c r="A43" s="35">
        <f t="shared" si="3"/>
        <v>9</v>
      </c>
      <c r="B43" s="20" t="s">
        <v>70</v>
      </c>
      <c r="C43" s="9" t="s">
        <v>9</v>
      </c>
      <c r="D43" s="14">
        <f>CEILING(C5+C7*0.2,1)</f>
        <v>108</v>
      </c>
      <c r="E43" s="4">
        <v>550</v>
      </c>
      <c r="F43" s="37">
        <f t="shared" si="2"/>
        <v>59400</v>
      </c>
    </row>
    <row r="44" spans="1:6" ht="15.9" customHeight="1" x14ac:dyDescent="0.3">
      <c r="A44" s="35">
        <f t="shared" si="3"/>
        <v>10</v>
      </c>
      <c r="B44" s="20" t="s">
        <v>71</v>
      </c>
      <c r="C44" s="9" t="s">
        <v>10</v>
      </c>
      <c r="D44" s="14">
        <f>CEILING((C5-C10*0.3)*C11*0.001*1.05,1)</f>
        <v>27</v>
      </c>
      <c r="E44" s="4">
        <v>3400</v>
      </c>
      <c r="F44" s="37">
        <f t="shared" si="2"/>
        <v>91800</v>
      </c>
    </row>
    <row r="45" spans="1:6" ht="30.3" customHeight="1" x14ac:dyDescent="0.3">
      <c r="A45" s="35">
        <f t="shared" si="3"/>
        <v>11</v>
      </c>
      <c r="B45" s="20" t="s">
        <v>72</v>
      </c>
      <c r="C45" s="9" t="s">
        <v>9</v>
      </c>
      <c r="D45" s="14">
        <f>CEILING(C7*C11*0.001+(C7+4)*1,1)</f>
        <v>56</v>
      </c>
      <c r="E45" s="4">
        <v>565</v>
      </c>
      <c r="F45" s="37">
        <f t="shared" si="2"/>
        <v>31640</v>
      </c>
    </row>
    <row r="46" spans="1:6" ht="13.75" customHeight="1" x14ac:dyDescent="0.3">
      <c r="A46" s="35">
        <f>A43+1</f>
        <v>10</v>
      </c>
      <c r="B46" s="19" t="s">
        <v>50</v>
      </c>
      <c r="C46" s="9" t="s">
        <v>9</v>
      </c>
      <c r="D46" s="14">
        <f>C5*1.1</f>
        <v>110.00000000000001</v>
      </c>
      <c r="E46" s="4">
        <v>45</v>
      </c>
      <c r="F46" s="37">
        <f t="shared" si="2"/>
        <v>4950.0000000000009</v>
      </c>
    </row>
    <row r="47" spans="1:6" ht="14.25" customHeight="1" x14ac:dyDescent="0.3">
      <c r="A47" s="35">
        <f t="shared" si="3"/>
        <v>11</v>
      </c>
      <c r="B47" s="19" t="s">
        <v>12</v>
      </c>
      <c r="C47" s="9" t="s">
        <v>31</v>
      </c>
      <c r="D47" s="14">
        <v>8</v>
      </c>
      <c r="E47" s="4">
        <v>400</v>
      </c>
      <c r="F47" s="37">
        <f t="shared" si="2"/>
        <v>3200</v>
      </c>
    </row>
    <row r="48" spans="1:6" ht="13.75" customHeight="1" x14ac:dyDescent="0.3">
      <c r="A48" s="35">
        <f t="shared" si="3"/>
        <v>12</v>
      </c>
      <c r="B48" s="19" t="s">
        <v>58</v>
      </c>
      <c r="C48" s="9" t="s">
        <v>32</v>
      </c>
      <c r="D48" s="15">
        <f>C6/0.25*1.1</f>
        <v>352</v>
      </c>
      <c r="E48" s="4">
        <v>110</v>
      </c>
      <c r="F48" s="37">
        <f t="shared" si="2"/>
        <v>38720</v>
      </c>
    </row>
    <row r="49" spans="1:6" ht="17.55" customHeight="1" x14ac:dyDescent="0.3">
      <c r="A49" s="35">
        <f t="shared" si="3"/>
        <v>13</v>
      </c>
      <c r="B49" s="19" t="s">
        <v>28</v>
      </c>
      <c r="C49" s="9" t="s">
        <v>31</v>
      </c>
      <c r="D49" s="42">
        <v>14</v>
      </c>
      <c r="E49" s="4">
        <v>167</v>
      </c>
      <c r="F49" s="37">
        <f t="shared" si="2"/>
        <v>2338</v>
      </c>
    </row>
    <row r="50" spans="1:6" ht="16.55" customHeight="1" x14ac:dyDescent="0.3">
      <c r="A50" s="35">
        <f t="shared" si="3"/>
        <v>14</v>
      </c>
      <c r="B50" s="19" t="s">
        <v>13</v>
      </c>
      <c r="C50" s="9" t="s">
        <v>31</v>
      </c>
      <c r="D50" s="15">
        <f>D48*2</f>
        <v>704</v>
      </c>
      <c r="E50" s="4">
        <v>4</v>
      </c>
      <c r="F50" s="37">
        <f t="shared" si="2"/>
        <v>2816</v>
      </c>
    </row>
    <row r="51" spans="1:6" ht="18" customHeight="1" x14ac:dyDescent="0.3">
      <c r="A51" s="35">
        <f t="shared" si="3"/>
        <v>15</v>
      </c>
      <c r="B51" s="19" t="s">
        <v>14</v>
      </c>
      <c r="C51" s="9" t="s">
        <v>32</v>
      </c>
      <c r="D51" s="15">
        <f>D38</f>
        <v>30</v>
      </c>
      <c r="E51" s="4">
        <v>30</v>
      </c>
      <c r="F51" s="37">
        <f t="shared" si="2"/>
        <v>900</v>
      </c>
    </row>
    <row r="52" spans="1:6" ht="14.25" customHeight="1" x14ac:dyDescent="0.3">
      <c r="A52" s="35">
        <f t="shared" si="3"/>
        <v>16</v>
      </c>
      <c r="B52" s="19" t="s">
        <v>54</v>
      </c>
      <c r="C52" s="9" t="s">
        <v>10</v>
      </c>
      <c r="D52" s="15">
        <f>C7*0.021+0.25</f>
        <v>1.0900000000000001</v>
      </c>
      <c r="E52" s="4">
        <v>12500</v>
      </c>
      <c r="F52" s="37">
        <f t="shared" si="2"/>
        <v>13625.000000000002</v>
      </c>
    </row>
    <row r="53" spans="1:6" ht="16.55" customHeight="1" x14ac:dyDescent="0.3">
      <c r="A53" s="35">
        <f t="shared" si="3"/>
        <v>17</v>
      </c>
      <c r="B53" s="19" t="s">
        <v>40</v>
      </c>
      <c r="C53" s="9" t="s">
        <v>31</v>
      </c>
      <c r="D53" s="15">
        <v>14</v>
      </c>
      <c r="E53" s="4">
        <v>350</v>
      </c>
      <c r="F53" s="37">
        <f t="shared" si="2"/>
        <v>4900</v>
      </c>
    </row>
    <row r="54" spans="1:6" ht="15.9" customHeight="1" x14ac:dyDescent="0.3">
      <c r="A54" s="35">
        <f t="shared" si="3"/>
        <v>18</v>
      </c>
      <c r="B54" s="19" t="s">
        <v>59</v>
      </c>
      <c r="C54" s="9" t="s">
        <v>31</v>
      </c>
      <c r="D54" s="14">
        <v>1</v>
      </c>
      <c r="E54" s="4">
        <v>18000</v>
      </c>
      <c r="F54" s="37">
        <f t="shared" si="2"/>
        <v>18000</v>
      </c>
    </row>
    <row r="55" spans="1:6" ht="15.9" customHeight="1" x14ac:dyDescent="0.3">
      <c r="A55" s="35">
        <f t="shared" si="3"/>
        <v>19</v>
      </c>
      <c r="B55" s="19" t="s">
        <v>15</v>
      </c>
      <c r="C55" s="9" t="s">
        <v>31</v>
      </c>
      <c r="D55" s="14">
        <v>2</v>
      </c>
      <c r="E55" s="4">
        <v>700</v>
      </c>
      <c r="F55" s="37">
        <f t="shared" si="2"/>
        <v>1400</v>
      </c>
    </row>
    <row r="56" spans="1:6" ht="18.850000000000001" customHeight="1" x14ac:dyDescent="0.3">
      <c r="A56" s="35">
        <f t="shared" si="3"/>
        <v>20</v>
      </c>
      <c r="B56" s="19" t="s">
        <v>16</v>
      </c>
      <c r="C56" s="9" t="s">
        <v>33</v>
      </c>
      <c r="D56" s="15">
        <f>D48*0.2011</f>
        <v>70.787199999999999</v>
      </c>
      <c r="E56" s="4">
        <v>110</v>
      </c>
      <c r="F56" s="37">
        <f t="shared" si="2"/>
        <v>7786.5919999999996</v>
      </c>
    </row>
    <row r="57" spans="1:6" ht="17.55" customHeight="1" x14ac:dyDescent="0.3">
      <c r="A57" s="35">
        <f t="shared" si="3"/>
        <v>21</v>
      </c>
      <c r="B57" s="19" t="s">
        <v>17</v>
      </c>
      <c r="C57" s="9" t="s">
        <v>31</v>
      </c>
      <c r="D57" s="14">
        <f>C5*9</f>
        <v>900</v>
      </c>
      <c r="E57" s="4">
        <v>5</v>
      </c>
      <c r="F57" s="37">
        <f t="shared" si="2"/>
        <v>4500</v>
      </c>
    </row>
    <row r="58" spans="1:6" ht="39.799999999999997" customHeight="1" x14ac:dyDescent="0.3">
      <c r="A58" s="35">
        <f t="shared" si="3"/>
        <v>22</v>
      </c>
      <c r="B58" s="49" t="s">
        <v>77</v>
      </c>
      <c r="C58" s="9" t="s">
        <v>34</v>
      </c>
      <c r="D58" s="50">
        <f>(C10*6*1.2*0.888*0.001)</f>
        <v>0.31968000000000002</v>
      </c>
      <c r="E58" s="4">
        <v>41000</v>
      </c>
      <c r="F58" s="37">
        <f t="shared" si="2"/>
        <v>13106.880000000001</v>
      </c>
    </row>
    <row r="59" spans="1:6" ht="39.799999999999997" customHeight="1" x14ac:dyDescent="0.3">
      <c r="A59" s="35">
        <f t="shared" si="3"/>
        <v>23</v>
      </c>
      <c r="B59" s="19" t="s">
        <v>78</v>
      </c>
      <c r="C59" s="9" t="s">
        <v>34</v>
      </c>
      <c r="D59" s="50">
        <f>((C10/0.3*1.5+C5*14)*0.395*0.001)</f>
        <v>0.65175000000000005</v>
      </c>
      <c r="E59" s="4">
        <v>41000</v>
      </c>
      <c r="F59" s="37">
        <f>MMULT(D59,E59)</f>
        <v>26721.750000000004</v>
      </c>
    </row>
    <row r="60" spans="1:6" ht="15.9" customHeight="1" x14ac:dyDescent="0.3">
      <c r="A60" s="35">
        <f t="shared" si="3"/>
        <v>24</v>
      </c>
      <c r="B60" s="19" t="s">
        <v>18</v>
      </c>
      <c r="C60" s="9" t="s">
        <v>35</v>
      </c>
      <c r="D60" s="14">
        <f>(D58+D59)*9</f>
        <v>8.7428699999999999</v>
      </c>
      <c r="E60" s="4">
        <v>100</v>
      </c>
      <c r="F60" s="37">
        <f t="shared" si="2"/>
        <v>874.28700000000003</v>
      </c>
    </row>
    <row r="61" spans="1:6" x14ac:dyDescent="0.3">
      <c r="A61" s="35">
        <f t="shared" si="3"/>
        <v>25</v>
      </c>
      <c r="B61" s="49" t="s">
        <v>106</v>
      </c>
      <c r="C61" s="9" t="s">
        <v>10</v>
      </c>
      <c r="D61" s="14">
        <f>CEILING(C5*0.1+(0.4*C10*C11*0.001)*1.05,1)</f>
        <v>17</v>
      </c>
      <c r="E61" s="51">
        <f>IF($C$12&gt;30,($C$12-30)*15+4100,4100)</f>
        <v>4100</v>
      </c>
      <c r="F61" s="37">
        <f t="shared" si="2"/>
        <v>69700</v>
      </c>
    </row>
    <row r="62" spans="1:6" ht="17.55" customHeight="1" x14ac:dyDescent="0.3">
      <c r="A62" s="35">
        <f t="shared" si="3"/>
        <v>26</v>
      </c>
      <c r="B62" s="19" t="s">
        <v>68</v>
      </c>
      <c r="C62" s="9" t="s">
        <v>9</v>
      </c>
      <c r="D62" s="14">
        <f>D31*1.1</f>
        <v>38.720000000000006</v>
      </c>
      <c r="E62" s="11">
        <v>100</v>
      </c>
      <c r="F62" s="37">
        <f t="shared" si="2"/>
        <v>3872.0000000000005</v>
      </c>
    </row>
    <row r="63" spans="1:6" x14ac:dyDescent="0.3">
      <c r="A63" s="35">
        <f t="shared" si="3"/>
        <v>27</v>
      </c>
      <c r="B63" s="49" t="s">
        <v>105</v>
      </c>
      <c r="C63" s="9" t="s">
        <v>10</v>
      </c>
      <c r="D63" s="14">
        <f>D31*0.075*1.05</f>
        <v>2.7720000000000002</v>
      </c>
      <c r="E63" s="51">
        <f>IF($C$12&gt;30,($C$12-30)*15+4100,4100)</f>
        <v>4100</v>
      </c>
      <c r="F63" s="37">
        <f t="shared" si="2"/>
        <v>11365.2</v>
      </c>
    </row>
    <row r="64" spans="1:6" x14ac:dyDescent="0.3">
      <c r="A64" s="35"/>
      <c r="B64" s="19"/>
      <c r="C64" s="4"/>
      <c r="D64" s="4"/>
      <c r="E64" s="5" t="s">
        <v>25</v>
      </c>
      <c r="F64" s="38">
        <f>SUM(F35:F63)</f>
        <v>510255.70900000003</v>
      </c>
    </row>
    <row r="65" spans="1:7" ht="15.75" x14ac:dyDescent="0.3">
      <c r="A65" s="74"/>
      <c r="B65" s="75" t="s">
        <v>23</v>
      </c>
      <c r="C65" s="76"/>
      <c r="D65" s="76"/>
      <c r="E65" s="76"/>
      <c r="F65" s="77"/>
    </row>
    <row r="66" spans="1:7" ht="26.85" x14ac:dyDescent="0.3">
      <c r="A66" s="35">
        <v>1</v>
      </c>
      <c r="B66" s="18" t="s">
        <v>80</v>
      </c>
      <c r="C66" s="3" t="s">
        <v>86</v>
      </c>
      <c r="D66" s="3">
        <v>1</v>
      </c>
      <c r="E66" s="3">
        <f>IF($C$12&gt;30,($C$12-30)*35+9000,9000)</f>
        <v>9000</v>
      </c>
      <c r="F66" s="39">
        <f>D66*E66</f>
        <v>9000</v>
      </c>
    </row>
    <row r="67" spans="1:7" x14ac:dyDescent="0.3">
      <c r="A67" s="35">
        <f>A66+1</f>
        <v>2</v>
      </c>
      <c r="B67" s="18" t="s">
        <v>24</v>
      </c>
      <c r="C67" s="3" t="s">
        <v>86</v>
      </c>
      <c r="D67" s="3">
        <v>1</v>
      </c>
      <c r="E67" s="3">
        <f>IF($C$12&gt;30,($C$12-30)*35+9000,9000)</f>
        <v>9000</v>
      </c>
      <c r="F67" s="39">
        <f t="shared" ref="F67:F69" si="4">D67*E67</f>
        <v>9000</v>
      </c>
    </row>
    <row r="68" spans="1:7" ht="15.25" customHeight="1" x14ac:dyDescent="0.3">
      <c r="A68" s="35">
        <f t="shared" ref="A68:A69" si="5">A67+1</f>
        <v>3</v>
      </c>
      <c r="B68" s="2" t="s">
        <v>102</v>
      </c>
      <c r="C68" s="3" t="s">
        <v>86</v>
      </c>
      <c r="D68" s="3">
        <v>1</v>
      </c>
      <c r="E68" s="3">
        <f>IF($C$12&gt;30,($C$12-30)*35+4200,4200)</f>
        <v>4200</v>
      </c>
      <c r="F68" s="17">
        <f>D68*E68</f>
        <v>4200</v>
      </c>
      <c r="G68" s="61"/>
    </row>
    <row r="69" spans="1:7" x14ac:dyDescent="0.3">
      <c r="A69" s="35">
        <f t="shared" si="5"/>
        <v>4</v>
      </c>
      <c r="B69" s="2" t="s">
        <v>90</v>
      </c>
      <c r="C69" s="3" t="s">
        <v>86</v>
      </c>
      <c r="D69" s="3">
        <v>1</v>
      </c>
      <c r="E69" s="3">
        <v>2400</v>
      </c>
      <c r="F69" s="39">
        <f t="shared" si="4"/>
        <v>2400</v>
      </c>
    </row>
    <row r="70" spans="1:7" x14ac:dyDescent="0.3">
      <c r="A70" s="47">
        <f t="shared" ref="A70" si="6">A69+1</f>
        <v>5</v>
      </c>
      <c r="B70" s="59" t="s">
        <v>85</v>
      </c>
      <c r="C70" s="3" t="s">
        <v>86</v>
      </c>
      <c r="D70" s="3">
        <v>1</v>
      </c>
      <c r="E70" s="3">
        <f>FLOOR(C5/100,1)*5000</f>
        <v>5000</v>
      </c>
      <c r="F70" s="60">
        <f>D70*E70</f>
        <v>5000</v>
      </c>
    </row>
    <row r="71" spans="1:7" x14ac:dyDescent="0.3">
      <c r="A71" s="35"/>
      <c r="B71" s="21"/>
      <c r="C71" s="6"/>
      <c r="D71" s="6"/>
      <c r="E71" s="7" t="s">
        <v>25</v>
      </c>
      <c r="F71" s="36">
        <f>SUM(F66:F70)</f>
        <v>29600</v>
      </c>
    </row>
    <row r="72" spans="1:7" ht="15.75" x14ac:dyDescent="0.3">
      <c r="A72" s="74"/>
      <c r="B72" s="75" t="s">
        <v>29</v>
      </c>
      <c r="C72" s="76"/>
      <c r="D72" s="76"/>
      <c r="E72" s="76"/>
      <c r="F72" s="77"/>
    </row>
    <row r="73" spans="1:7" x14ac:dyDescent="0.3">
      <c r="A73" s="35">
        <v>1</v>
      </c>
      <c r="B73" s="18" t="s">
        <v>53</v>
      </c>
      <c r="C73" s="3" t="s">
        <v>26</v>
      </c>
      <c r="D73" s="3">
        <v>1</v>
      </c>
      <c r="E73" s="3">
        <f>IF($C$12&gt;30,($C$12-30)*115+14400,14400)</f>
        <v>14400</v>
      </c>
      <c r="F73" s="39">
        <f t="shared" ref="F73:F74" si="7">MMULT(D73,E73)</f>
        <v>14400</v>
      </c>
    </row>
    <row r="74" spans="1:7" ht="17.2" customHeight="1" x14ac:dyDescent="0.3">
      <c r="A74" s="35">
        <f>A73+1</f>
        <v>2</v>
      </c>
      <c r="B74" s="18" t="s">
        <v>74</v>
      </c>
      <c r="C74" s="3" t="s">
        <v>26</v>
      </c>
      <c r="D74" s="3">
        <v>1</v>
      </c>
      <c r="E74" s="3">
        <v>9000</v>
      </c>
      <c r="F74" s="39">
        <f t="shared" si="7"/>
        <v>9000</v>
      </c>
    </row>
    <row r="75" spans="1:7" ht="42.25" customHeight="1" x14ac:dyDescent="0.3">
      <c r="A75" s="35">
        <f t="shared" ref="A75:A78" si="8">A74+1</f>
        <v>3</v>
      </c>
      <c r="B75" s="2" t="s">
        <v>87</v>
      </c>
      <c r="C75" s="3" t="s">
        <v>31</v>
      </c>
      <c r="D75" s="2">
        <v>1</v>
      </c>
      <c r="E75" s="3">
        <v>20000</v>
      </c>
      <c r="F75" s="40">
        <f>D75*E75</f>
        <v>20000</v>
      </c>
    </row>
    <row r="76" spans="1:7" ht="18" customHeight="1" x14ac:dyDescent="0.3">
      <c r="A76" s="35">
        <f t="shared" si="8"/>
        <v>4</v>
      </c>
      <c r="B76" s="18" t="s">
        <v>62</v>
      </c>
      <c r="C76" s="3" t="s">
        <v>31</v>
      </c>
      <c r="D76" s="2">
        <v>1</v>
      </c>
      <c r="E76" s="16">
        <v>5000</v>
      </c>
      <c r="F76" s="17">
        <f>D76*E76</f>
        <v>5000</v>
      </c>
    </row>
    <row r="77" spans="1:7" ht="42.25" customHeight="1" x14ac:dyDescent="0.3">
      <c r="A77" s="71">
        <f t="shared" si="8"/>
        <v>5</v>
      </c>
      <c r="B77" s="2" t="s">
        <v>103</v>
      </c>
      <c r="C77" s="3" t="s">
        <v>104</v>
      </c>
      <c r="D77" s="2">
        <f>ROUND(D58/3,0)</f>
        <v>0</v>
      </c>
      <c r="E77" s="3">
        <v>0</v>
      </c>
      <c r="F77" s="17">
        <f>D77*E77</f>
        <v>0</v>
      </c>
      <c r="G77" s="61"/>
    </row>
    <row r="78" spans="1:7" ht="39.950000000000003" x14ac:dyDescent="0.3">
      <c r="A78" s="71">
        <f t="shared" si="8"/>
        <v>6</v>
      </c>
      <c r="B78" s="2" t="s">
        <v>91</v>
      </c>
      <c r="C78" s="3" t="s">
        <v>30</v>
      </c>
      <c r="D78" s="2">
        <v>0</v>
      </c>
      <c r="E78" s="16">
        <v>0</v>
      </c>
      <c r="F78" s="17">
        <v>0</v>
      </c>
    </row>
    <row r="79" spans="1:7" x14ac:dyDescent="0.3">
      <c r="A79" s="47"/>
      <c r="B79" s="99" t="s">
        <v>75</v>
      </c>
      <c r="C79" s="100"/>
      <c r="D79" s="100"/>
      <c r="E79" s="101"/>
      <c r="F79" s="48">
        <f>SUM(F73:F78)</f>
        <v>48400</v>
      </c>
    </row>
    <row r="80" spans="1:7" x14ac:dyDescent="0.3">
      <c r="A80" s="47"/>
      <c r="B80" s="102" t="s">
        <v>61</v>
      </c>
      <c r="C80" s="103"/>
      <c r="D80" s="103"/>
      <c r="E80" s="104"/>
      <c r="F80" s="48">
        <f>F33+F64+F71+F79</f>
        <v>894293.44800000009</v>
      </c>
    </row>
    <row r="81" spans="1:7" ht="15.75" thickBot="1" x14ac:dyDescent="0.35">
      <c r="A81" s="47"/>
      <c r="B81" s="99" t="s">
        <v>76</v>
      </c>
      <c r="C81" s="100"/>
      <c r="D81" s="100"/>
      <c r="E81" s="101"/>
      <c r="F81" s="48">
        <f>F80*0.02</f>
        <v>17885.868960000003</v>
      </c>
    </row>
    <row r="82" spans="1:7" ht="15.75" thickBot="1" x14ac:dyDescent="0.35">
      <c r="A82" s="92" t="s">
        <v>27</v>
      </c>
      <c r="B82" s="93"/>
      <c r="C82" s="93"/>
      <c r="D82" s="93"/>
      <c r="E82" s="94">
        <f>F81+F80</f>
        <v>912179.31696000008</v>
      </c>
      <c r="F82" s="95"/>
    </row>
    <row r="83" spans="1:7" x14ac:dyDescent="0.3">
      <c r="A83" s="23"/>
      <c r="B83" s="24"/>
      <c r="C83" s="24"/>
      <c r="D83" s="24"/>
      <c r="E83" s="25"/>
      <c r="F83" s="26"/>
      <c r="G83" s="61"/>
    </row>
    <row r="84" spans="1:7" ht="23.25" customHeight="1" x14ac:dyDescent="0.3">
      <c r="A84" s="28"/>
      <c r="B84" s="96" t="s">
        <v>100</v>
      </c>
      <c r="C84" s="96"/>
      <c r="D84" s="96"/>
      <c r="E84" s="96"/>
      <c r="F84" s="97"/>
    </row>
    <row r="85" spans="1:7" x14ac:dyDescent="0.3">
      <c r="A85" s="63"/>
      <c r="B85" s="64"/>
      <c r="C85" s="64"/>
      <c r="D85" s="64"/>
      <c r="E85" s="65"/>
      <c r="F85" s="66"/>
    </row>
    <row r="86" spans="1:7" ht="31.6" customHeight="1" x14ac:dyDescent="0.3">
      <c r="A86" s="28"/>
      <c r="B86" s="30" t="s">
        <v>66</v>
      </c>
      <c r="C86" s="27"/>
      <c r="D86" s="27"/>
      <c r="E86" s="27"/>
      <c r="F86" s="31"/>
    </row>
    <row r="87" spans="1:7" ht="42.9" customHeight="1" x14ac:dyDescent="0.3">
      <c r="A87" s="28"/>
      <c r="B87" s="62" t="s">
        <v>64</v>
      </c>
      <c r="C87" s="85" t="s">
        <v>65</v>
      </c>
      <c r="D87" s="85"/>
      <c r="E87" s="85"/>
      <c r="F87" s="86"/>
    </row>
    <row r="88" spans="1:7" ht="41.25" customHeight="1" x14ac:dyDescent="0.3">
      <c r="A88" s="28"/>
      <c r="B88" s="32" t="s">
        <v>97</v>
      </c>
      <c r="C88" s="87">
        <f>CEILING(F64+F71-F61,1000)</f>
        <v>471000</v>
      </c>
      <c r="D88" s="88"/>
      <c r="E88" s="88"/>
      <c r="F88" s="89"/>
    </row>
    <row r="89" spans="1:7" ht="37.5" customHeight="1" x14ac:dyDescent="0.3">
      <c r="A89" s="28"/>
      <c r="B89" s="32" t="s">
        <v>98</v>
      </c>
      <c r="C89" s="87">
        <f>CEILING(F61+F73,1000)</f>
        <v>85000</v>
      </c>
      <c r="D89" s="88"/>
      <c r="E89" s="88"/>
      <c r="F89" s="89"/>
    </row>
    <row r="90" spans="1:7" ht="26.85" x14ac:dyDescent="0.3">
      <c r="A90" s="28"/>
      <c r="B90" s="32" t="s">
        <v>99</v>
      </c>
      <c r="C90" s="87">
        <f>E82-C88-C89</f>
        <v>356179.31696000008</v>
      </c>
      <c r="D90" s="88"/>
      <c r="E90" s="88"/>
      <c r="F90" s="89"/>
    </row>
    <row r="91" spans="1:7" ht="56.95" customHeight="1" x14ac:dyDescent="0.3">
      <c r="A91" s="28"/>
      <c r="B91" s="52"/>
      <c r="C91" s="53"/>
      <c r="D91" s="53"/>
      <c r="E91" s="53"/>
      <c r="F91" s="54"/>
      <c r="G91" s="61"/>
    </row>
    <row r="92" spans="1:7" ht="37.5" customHeight="1" x14ac:dyDescent="0.3">
      <c r="A92" s="28"/>
      <c r="B92" s="90" t="s">
        <v>93</v>
      </c>
      <c r="C92" s="90"/>
      <c r="D92" s="90"/>
      <c r="E92" s="90"/>
      <c r="F92" s="91"/>
    </row>
    <row r="93" spans="1:7" x14ac:dyDescent="0.3">
      <c r="A93" s="69"/>
      <c r="B93" s="90" t="s">
        <v>94</v>
      </c>
      <c r="C93" s="90"/>
      <c r="D93" s="90"/>
      <c r="E93" s="90"/>
      <c r="F93" s="91"/>
    </row>
    <row r="94" spans="1:7" ht="24.9" customHeight="1" x14ac:dyDescent="0.3">
      <c r="A94" s="28"/>
      <c r="B94" s="27"/>
      <c r="C94" s="27"/>
      <c r="D94" s="27"/>
      <c r="E94" s="27"/>
      <c r="F94" s="31"/>
    </row>
    <row r="95" spans="1:7" x14ac:dyDescent="0.3">
      <c r="A95" s="69"/>
      <c r="B95" s="90" t="s">
        <v>95</v>
      </c>
      <c r="C95" s="90"/>
      <c r="D95" s="90"/>
      <c r="E95" s="90"/>
      <c r="F95" s="91"/>
    </row>
    <row r="96" spans="1:7" x14ac:dyDescent="0.3">
      <c r="A96" s="69"/>
      <c r="B96" s="70" t="s">
        <v>96</v>
      </c>
      <c r="C96" s="67"/>
      <c r="D96" s="67"/>
      <c r="E96" s="67"/>
      <c r="F96" s="68"/>
    </row>
    <row r="97" spans="1:6" ht="31.75" customHeight="1" x14ac:dyDescent="0.3">
      <c r="A97" s="78"/>
      <c r="B97" s="79"/>
      <c r="C97" s="79"/>
      <c r="D97" s="79"/>
      <c r="E97" s="79"/>
      <c r="F97" s="80"/>
    </row>
    <row r="102" spans="1:6" ht="15.25" customHeight="1" x14ac:dyDescent="0.3"/>
    <row r="141" ht="15.9" customHeight="1" x14ac:dyDescent="0.3"/>
    <row r="143" ht="18" customHeight="1" x14ac:dyDescent="0.3"/>
    <row r="144" ht="15.9" customHeight="1" x14ac:dyDescent="0.3"/>
    <row r="147" ht="14.25" customHeight="1" x14ac:dyDescent="0.3"/>
    <row r="159" ht="15.25" customHeight="1" x14ac:dyDescent="0.3"/>
    <row r="161" ht="15.9" customHeight="1" x14ac:dyDescent="0.3"/>
    <row r="180" ht="15.25" customHeight="1" x14ac:dyDescent="0.3"/>
    <row r="184" ht="15.9" customHeight="1" x14ac:dyDescent="0.3"/>
    <row r="213" ht="16.55" customHeight="1" x14ac:dyDescent="0.3"/>
    <row r="215" ht="15.25" customHeight="1" x14ac:dyDescent="0.3"/>
  </sheetData>
  <mergeCells count="17">
    <mergeCell ref="B95:F95"/>
    <mergeCell ref="B4:F4"/>
    <mergeCell ref="B79:E79"/>
    <mergeCell ref="B80:E80"/>
    <mergeCell ref="B81:E81"/>
    <mergeCell ref="B14:F14"/>
    <mergeCell ref="B93:F93"/>
    <mergeCell ref="A1:F1"/>
    <mergeCell ref="A3:F3"/>
    <mergeCell ref="C87:F87"/>
    <mergeCell ref="C88:F88"/>
    <mergeCell ref="B92:F92"/>
    <mergeCell ref="C89:F89"/>
    <mergeCell ref="C90:F90"/>
    <mergeCell ref="A82:D82"/>
    <mergeCell ref="E82:F82"/>
    <mergeCell ref="B84:F84"/>
  </mergeCells>
  <hyperlinks>
    <hyperlink ref="B96" r:id="rId1"/>
  </hyperlinks>
  <pageMargins left="0.7" right="0.7" top="0.75" bottom="0.75" header="0.3" footer="0.3"/>
  <pageSetup paperSize="9" scale="98" fitToHeight="0" orientation="portrait" horizontalDpi="180" verticalDpi="180" r:id="rId2"/>
  <rowBreaks count="1" manualBreakCount="1">
    <brk id="36" max="5" man="1"/>
  </rowBrea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A3" sqref="A3"/>
    </sheetView>
  </sheetViews>
  <sheetFormatPr defaultRowHeight="15.05" x14ac:dyDescent="0.3"/>
  <sheetData>
    <row r="3" spans="1:1" x14ac:dyDescent="0.3">
      <c r="A3" t="s">
        <v>49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2019-01-09T14:14:55Z</dcterms:modified>
</cp:coreProperties>
</file>