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135" windowHeight="10329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Лист1!$A$1:$F$124</definedName>
  </definedNames>
  <calcPr calcId="162913" iterate="1"/>
</workbook>
</file>

<file path=xl/calcChain.xml><?xml version="1.0" encoding="utf-8"?>
<calcChain xmlns="http://schemas.openxmlformats.org/spreadsheetml/2006/main">
  <c r="E77" i="1" l="1"/>
  <c r="E68" i="1"/>
  <c r="E61" i="1"/>
  <c r="E93" i="1" l="1"/>
  <c r="E81" i="1" l="1"/>
  <c r="F105" i="1"/>
  <c r="D104" i="1"/>
  <c r="F104" i="1" s="1"/>
  <c r="A81" i="1" l="1"/>
  <c r="A82" i="1" s="1"/>
  <c r="A83" i="1" s="1"/>
  <c r="E100" i="1" l="1"/>
  <c r="E96" i="1" l="1"/>
  <c r="D44" i="1" l="1"/>
  <c r="F44" i="1" s="1"/>
  <c r="F101" i="1"/>
  <c r="A87" i="1"/>
  <c r="A88" i="1" s="1"/>
  <c r="A89" i="1" s="1"/>
  <c r="A90" i="1" s="1"/>
  <c r="E90" i="1" l="1"/>
  <c r="F90" i="1" s="1"/>
  <c r="F89" i="1"/>
  <c r="C15" i="1" l="1"/>
  <c r="D71" i="1" s="1"/>
  <c r="C11" i="1"/>
  <c r="C10" i="1"/>
  <c r="C6" i="1"/>
  <c r="D96" i="1" s="1"/>
  <c r="F96" i="1" s="1"/>
  <c r="C5" i="1"/>
  <c r="E97" i="1" l="1"/>
  <c r="F97" i="1" s="1"/>
  <c r="D58" i="1"/>
  <c r="D76" i="1"/>
  <c r="F76" i="1" s="1"/>
  <c r="D88" i="1"/>
  <c r="F91" i="1"/>
  <c r="F103" i="1"/>
  <c r="F102" i="1"/>
  <c r="D95" i="1" l="1"/>
  <c r="C14" i="1" l="1"/>
  <c r="D64" i="1" s="1"/>
  <c r="E80" i="1" l="1"/>
  <c r="F80" i="1" s="1"/>
  <c r="E82" i="1"/>
  <c r="F82" i="1" s="1"/>
  <c r="F81" i="1"/>
  <c r="A100" i="1"/>
  <c r="A91" i="1"/>
  <c r="A92" i="1" s="1"/>
  <c r="A93" i="1" s="1"/>
  <c r="A94" i="1" s="1"/>
  <c r="A95" i="1" s="1"/>
  <c r="A96" i="1" s="1"/>
  <c r="A97" i="1" s="1"/>
  <c r="A71" i="1"/>
  <c r="A72" i="1" s="1"/>
  <c r="A73" i="1" s="1"/>
  <c r="A74" i="1" s="1"/>
  <c r="A75" i="1" s="1"/>
  <c r="A76" i="1" s="1"/>
  <c r="A77" i="1" s="1"/>
  <c r="A64" i="1"/>
  <c r="A65" i="1" s="1"/>
  <c r="A66" i="1" s="1"/>
  <c r="A67" i="1" s="1"/>
  <c r="A68" i="1" s="1"/>
  <c r="A57" i="1"/>
  <c r="A58" i="1" s="1"/>
  <c r="A59" i="1" s="1"/>
  <c r="A60" i="1" s="1"/>
  <c r="A61" i="1" s="1"/>
  <c r="A51" i="1"/>
  <c r="A52" i="1" s="1"/>
  <c r="A53" i="1" s="1"/>
  <c r="A43" i="1"/>
  <c r="A37" i="1"/>
  <c r="A38" i="1" s="1"/>
  <c r="A39" i="1" s="1"/>
  <c r="A40" i="1" s="1"/>
  <c r="A33" i="1"/>
  <c r="A34" i="1" s="1"/>
  <c r="A25" i="1"/>
  <c r="A26" i="1" s="1"/>
  <c r="A27" i="1" s="1"/>
  <c r="A28" i="1" s="1"/>
  <c r="A29" i="1" s="1"/>
  <c r="F84" i="1" l="1"/>
  <c r="A44" i="1"/>
  <c r="A45" i="1" s="1"/>
  <c r="A46" i="1" s="1"/>
  <c r="A101" i="1"/>
  <c r="A102" i="1" s="1"/>
  <c r="A103" i="1" s="1"/>
  <c r="A104" i="1" s="1"/>
  <c r="A105" i="1" s="1"/>
  <c r="D39" i="1"/>
  <c r="D32" i="1"/>
  <c r="F100" i="1" l="1"/>
  <c r="F106" i="1" s="1"/>
  <c r="F95" i="1"/>
  <c r="D94" i="1"/>
  <c r="F94" i="1" s="1"/>
  <c r="D93" i="1"/>
  <c r="F93" i="1" s="1"/>
  <c r="D92" i="1"/>
  <c r="F92" i="1" s="1"/>
  <c r="F88" i="1" l="1"/>
  <c r="D72" i="1"/>
  <c r="F71" i="1"/>
  <c r="D59" i="1"/>
  <c r="F58" i="1"/>
  <c r="D57" i="1"/>
  <c r="F57" i="1" s="1"/>
  <c r="D56" i="1"/>
  <c r="F72" i="1" l="1"/>
  <c r="D45" i="1"/>
  <c r="D73" i="1" s="1"/>
  <c r="F59" i="1"/>
  <c r="D33" i="1"/>
  <c r="F56" i="1"/>
  <c r="D46" i="1"/>
  <c r="D40" i="1"/>
  <c r="D34" i="1"/>
  <c r="D61" i="1" l="1"/>
  <c r="F61" i="1" s="1"/>
  <c r="D37" i="1"/>
  <c r="F37" i="1" s="1"/>
  <c r="F34" i="1"/>
  <c r="F32" i="1"/>
  <c r="D29" i="1"/>
  <c r="D28" i="1"/>
  <c r="D27" i="1"/>
  <c r="D26" i="1"/>
  <c r="F87" i="1" s="1"/>
  <c r="F98" i="1" s="1"/>
  <c r="F25" i="1"/>
  <c r="D53" i="1" l="1"/>
  <c r="F53" i="1" s="1"/>
  <c r="D52" i="1"/>
  <c r="F52" i="1" s="1"/>
  <c r="F26" i="1"/>
  <c r="F33" i="1"/>
  <c r="F35" i="1" s="1"/>
  <c r="D60" i="1"/>
  <c r="F60" i="1" s="1"/>
  <c r="F62" i="1" s="1"/>
  <c r="F29" i="1"/>
  <c r="F28" i="1"/>
  <c r="F27" i="1"/>
  <c r="D51" i="1"/>
  <c r="F51" i="1" s="1"/>
  <c r="F54" i="1" l="1"/>
  <c r="F30" i="1"/>
  <c r="D74" i="1"/>
  <c r="F74" i="1" s="1"/>
  <c r="D77" i="1"/>
  <c r="F45" i="1"/>
  <c r="D43" i="1"/>
  <c r="D75" i="1" s="1"/>
  <c r="F75" i="1" s="1"/>
  <c r="F43" i="1" l="1"/>
  <c r="F46" i="1"/>
  <c r="F77" i="1"/>
  <c r="F47" i="1" l="1"/>
  <c r="F73" i="1"/>
  <c r="F78" i="1" s="1"/>
  <c r="D66" i="1" l="1"/>
  <c r="F66" i="1" s="1"/>
  <c r="D67" i="1"/>
  <c r="F67" i="1" s="1"/>
  <c r="F40" i="1" l="1"/>
  <c r="D68" i="1"/>
  <c r="F39" i="1"/>
  <c r="F68" i="1" l="1"/>
  <c r="D38" i="1" l="1"/>
  <c r="F38" i="1" s="1"/>
  <c r="F41" i="1" s="1"/>
  <c r="F48" i="1" s="1"/>
  <c r="F64" i="1"/>
  <c r="C115" i="1" s="1"/>
  <c r="D65" i="1"/>
  <c r="F65" i="1" s="1"/>
  <c r="F69" i="1" l="1"/>
  <c r="C116" i="1" s="1"/>
  <c r="F85" i="1" l="1"/>
  <c r="F107" i="1" s="1"/>
  <c r="F108" i="1" s="1"/>
  <c r="E109" i="1" s="1"/>
  <c r="C117" i="1" s="1"/>
</calcChain>
</file>

<file path=xl/sharedStrings.xml><?xml version="1.0" encoding="utf-8"?>
<sst xmlns="http://schemas.openxmlformats.org/spreadsheetml/2006/main" count="193" uniqueCount="113">
  <si>
    <t>Ед.изм.</t>
  </si>
  <si>
    <t>ОБЪЁМ</t>
  </si>
  <si>
    <t>Укладка бетона с вибрированием</t>
  </si>
  <si>
    <t>м2</t>
  </si>
  <si>
    <t>м3</t>
  </si>
  <si>
    <t>Подставки под арматуру (стульчики)</t>
  </si>
  <si>
    <t>Проволока вязальная</t>
  </si>
  <si>
    <t>ЦЕНА</t>
  </si>
  <si>
    <t>СУММА</t>
  </si>
  <si>
    <t>Устройство  разделительного слоя из геотекстиля</t>
  </si>
  <si>
    <t>смена</t>
  </si>
  <si>
    <t>ИТОГО ПО СМЕТЕ:</t>
  </si>
  <si>
    <t>шт.</t>
  </si>
  <si>
    <t>м.п.</t>
  </si>
  <si>
    <t>т.</t>
  </si>
  <si>
    <t>кг.</t>
  </si>
  <si>
    <t>п.м.</t>
  </si>
  <si>
    <t>Толщина песчаной подушки</t>
  </si>
  <si>
    <t>мм</t>
  </si>
  <si>
    <t>Реб</t>
  </si>
  <si>
    <t>Расстояние от КАД</t>
  </si>
  <si>
    <t>км</t>
  </si>
  <si>
    <t>Бетононасос</t>
  </si>
  <si>
    <t>Толщина щебеночной подушки</t>
  </si>
  <si>
    <t>Итого за работы и материалы:</t>
  </si>
  <si>
    <t>Средняя глубина заложения фундамента</t>
  </si>
  <si>
    <t>Длинна стен</t>
  </si>
  <si>
    <t>м</t>
  </si>
  <si>
    <t>Фиксатор для арматуры вертикальной</t>
  </si>
  <si>
    <t xml:space="preserve">Толщина стен </t>
  </si>
  <si>
    <t>Периметр плиты перекрытия</t>
  </si>
  <si>
    <t xml:space="preserve">Толщина плиты перекрытия </t>
  </si>
  <si>
    <t>Периметр фундаментной плиты</t>
  </si>
  <si>
    <t>Площадь фундаментной плиты</t>
  </si>
  <si>
    <t>Толщина фундаментной плиты</t>
  </si>
  <si>
    <t>Фиксаторы</t>
  </si>
  <si>
    <t>№</t>
  </si>
  <si>
    <t>НАИМЕНОВАНИЕ</t>
  </si>
  <si>
    <t>Итого:</t>
  </si>
  <si>
    <t>Работы:</t>
  </si>
  <si>
    <t>Фундаментная плита:</t>
  </si>
  <si>
    <t>Стены цоколя:</t>
  </si>
  <si>
    <t>Плита перекрытия:</t>
  </si>
  <si>
    <t>Вынос осей, разбивка участка</t>
  </si>
  <si>
    <t>Монтаж, демонтаж опалубки</t>
  </si>
  <si>
    <t>Материалы:</t>
  </si>
  <si>
    <t>Земляные работы:</t>
  </si>
  <si>
    <t>Доставка:</t>
  </si>
  <si>
    <t>Итого за работы:</t>
  </si>
  <si>
    <t>Итого за материалы:</t>
  </si>
  <si>
    <t>Итого доп. работы:</t>
  </si>
  <si>
    <t>Высота этажа</t>
  </si>
  <si>
    <t>Гидроизоляция подошвы оклеечная Техноэласт 1 слой</t>
  </si>
  <si>
    <t>Гидроизоляция цокольной части оклеечная Техноэласт 1 слой</t>
  </si>
  <si>
    <t xml:space="preserve">Утепление цокольной части Пеноплекс 100мм </t>
  </si>
  <si>
    <t>Спецтехника и доп. оборудование:</t>
  </si>
  <si>
    <t>Итого за спецтехнику и доп. оборудование:</t>
  </si>
  <si>
    <t>Накладные расходы 2%:</t>
  </si>
  <si>
    <t xml:space="preserve">Устройство бетонной подготовки 100мм, B7,5 </t>
  </si>
  <si>
    <t>Площадь проемов в стенах</t>
  </si>
  <si>
    <t xml:space="preserve">Площадь плиты перекрытия </t>
  </si>
  <si>
    <t>смен.</t>
  </si>
  <si>
    <t>Обеспечение биотуалетом</t>
  </si>
  <si>
    <t>ООО «Фундамент-СПб», г. Санкт-Петербург, ул. Оптиков, дом 4, корпус 3, офис № 309 www.fundament-spb.ru, т.: 936-16-65.</t>
  </si>
  <si>
    <t>Наименование этапа</t>
  </si>
  <si>
    <t>Ориентировочная сумма платежа, рублей</t>
  </si>
  <si>
    <t>Порядок расчетов и суммы по этапам оплат:</t>
  </si>
  <si>
    <t>Арматура d12 А500 (Количество арматуры указано предварительно согласно типовым решениям и будет скорректированно после разработки проекта)</t>
  </si>
  <si>
    <t>Арматура d8 А500 (Количество арматуры указано предварительно согласно типовым решениям и будет скорректированно после разработки проекта)</t>
  </si>
  <si>
    <t>Геотекстиль Мегаизол Гео про 200</t>
  </si>
  <si>
    <t>Вывоз мусора после завершения работ на объекте</t>
  </si>
  <si>
    <t>пухто</t>
  </si>
  <si>
    <t xml:space="preserve">Кран автомобильный для разгрузки/погрузки стеновой опалубки при доставке/вывозе </t>
  </si>
  <si>
    <t>Фанера нешлифованная ФСФ 2440х1220х18 мм на подрезку</t>
  </si>
  <si>
    <t>Монтаж, демонтаж опалубки на горизонтальную часть перекрытия</t>
  </si>
  <si>
    <t>Монтаж, демонтаж опалубки на верикальное ребро перекрытия</t>
  </si>
  <si>
    <t>Опалубка инвентарная (аренда)</t>
  </si>
  <si>
    <t>СМЕТА СТОИМОСТИ СТРОИТЕЛЬСТВА МОНОЛИТНОГО ЦОКОЛЬНОГО ЭТАЖА</t>
  </si>
  <si>
    <t>Устройство гидрошпонки Аквастоп тип ХВН-120 с 2-мя набухающими резиновыми шнурами</t>
  </si>
  <si>
    <t xml:space="preserve">Устройство песчаной подушки с послойной трамбовкой виброплитой </t>
  </si>
  <si>
    <t xml:space="preserve">Устройство щебеночной подушки с послойной трамбовкой виброплитой </t>
  </si>
  <si>
    <t>Изготовление и установка арматурных каркасов (Соединение стержней арматуры выполняется с использованием вязальной проволоки)</t>
  </si>
  <si>
    <t>Доска 40*150*6000 для раскрепления инвентарных щитов</t>
  </si>
  <si>
    <t>Устройство закладной для ввода электричества (Гильза DKC d 63 мм с протяжкой) - Метраж предварительный и уточнится после разработки проекта</t>
  </si>
  <si>
    <t>Разводка канализации под домом (Трубы Оstendorf d 110 мм и комплект отводов, углов) - Метраж предварительный и уточнится после разработки проекта</t>
  </si>
  <si>
    <t xml:space="preserve">Обратная засыпка пазух фундамента песком (Кратно 10 м3) </t>
  </si>
  <si>
    <t>Доставка арматуры шаландой/манипулятором</t>
  </si>
  <si>
    <t>доставка</t>
  </si>
  <si>
    <t xml:space="preserve">Доставка и вывоз опалубки </t>
  </si>
  <si>
    <t>Устройство закладной гильзы для ввода водопровода (Гильза DKC 63 мм) - Метраж предварительный и уточнится после разработки проекта</t>
  </si>
  <si>
    <t>Обеспечение строительным вагончиком, оборудованным для постоянного проживания бригады на объекте (Учитываются затраты на завоз и вывоз бытовки манипулятором)</t>
  </si>
  <si>
    <t>Песок строительный (средней крупности или крупный) (Кратно 10 м3)  с учетом доставки</t>
  </si>
  <si>
    <t>Щебень гранитный фр. 20-40 мм. (Кратно 10 м3)  с учетом доставки</t>
  </si>
  <si>
    <t>Доставка и вывоз инструмента на прицепе</t>
  </si>
  <si>
    <t>Обеспечение водой: Воду предоставляет Заказчик - (При необходимости завозки на объект Еврокуб с водой будет стоить 3000 рублей с доставкой)</t>
  </si>
  <si>
    <t>компл.</t>
  </si>
  <si>
    <t>Данная смета является предварительной. Объемы и стоимость работ будут скорректированы после выезда технического специалиста на участок, разработки рабочей документации по фундаменту и согласования с Заказчиком.</t>
  </si>
  <si>
    <t>Актуальный срок данного коммерческого предложения составляет 14 календарных дней, т.к. цены на некоторые материалы могут изменяться.</t>
  </si>
  <si>
    <t>Посмотрите выполненные нами работы по ссылке:</t>
  </si>
  <si>
    <t>http://fundament-spb.ru/obekty</t>
  </si>
  <si>
    <t>Выезд технического специалиста для уточнения сметы бесплатный.</t>
  </si>
  <si>
    <r>
      <rPr>
        <b/>
        <sz val="10"/>
        <rFont val="Times New Roman"/>
        <family val="1"/>
        <charset val="204"/>
      </rPr>
      <t>3 этап:</t>
    </r>
    <r>
      <rPr>
        <sz val="10"/>
        <rFont val="Times New Roman"/>
        <family val="1"/>
        <charset val="204"/>
      </rPr>
      <t xml:space="preserve"> Оплата работ согласно смете: оплачивается в течение 5 дней после подписания акта приема-передачи всех работ по объекту</t>
    </r>
  </si>
  <si>
    <t>Земляные работы (без вывоза грунта) с учетом складирования грунта в конус  в радиусе 10 м от котлована</t>
  </si>
  <si>
    <t>Доп. Работы (данный раздел включает работы и материал):</t>
  </si>
  <si>
    <t>Доставка остальных материалов</t>
  </si>
  <si>
    <t>Планировка выбранного грунта из котлована по участку (С учетом коэффициента рыхления) - ПО ЗАПРОСУ ЗАКАЗЧИКА</t>
  </si>
  <si>
    <t>Обеспечение электричеством: предоставляет Заказчик - (При необходимости электрогенератор и топливо будет стоить 1500 рублей за смену)</t>
  </si>
  <si>
    <r>
      <rPr>
        <b/>
        <sz val="10"/>
        <rFont val="Times New Roman"/>
        <family val="1"/>
        <charset val="204"/>
      </rPr>
      <t>1 этап:</t>
    </r>
    <r>
      <rPr>
        <sz val="10"/>
        <rFont val="Times New Roman"/>
        <family val="1"/>
        <charset val="204"/>
      </rPr>
      <t xml:space="preserve"> Материалы на устройство фундамента, (за исключением стоимости бетона), арматура на стены и перекрытие, доставки: оплачиваются при подписании договора</t>
    </r>
  </si>
  <si>
    <t>Гарантируем сдачу объекта в срок. Или выполним все работы бесплатно! Зафиксируем это в договоре.</t>
  </si>
  <si>
    <t xml:space="preserve">Бетон для стен цоколя B22,5 М300 П4 (С учетом доставки из СПб) </t>
  </si>
  <si>
    <t xml:space="preserve">Бетон для перекрытия B22,5 М300 П4 (С учетом доставки из СПб) </t>
  </si>
  <si>
    <t xml:space="preserve">Бетон для плиты B22,5 М300 П4 (С учетом доставки из СПб) </t>
  </si>
  <si>
    <r>
      <rPr>
        <b/>
        <sz val="10"/>
        <rFont val="Times New Roman"/>
        <family val="1"/>
        <charset val="204"/>
      </rPr>
      <t>2 этап:</t>
    </r>
    <r>
      <rPr>
        <sz val="10"/>
        <rFont val="Times New Roman"/>
        <family val="1"/>
        <charset val="204"/>
      </rPr>
      <t xml:space="preserve"> Стоимость бетона + бетононасос + материалы на стены и перекрытие + оплата земляных работ и работ по устройству фундаментной плиты: оплачиваются по факту окончания работ по опалубке стен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</si>
</sst>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_ ;\-#,##0\ "/>
    <numFmt numFmtId="165" formatCode="0.0"/>
  </numFmts>
  <fonts count="1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2" fontId="4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" fontId="4" fillId="0" borderId="9" xfId="0" applyNumberFormat="1" applyFont="1" applyBorder="1" applyAlignment="1">
      <alignment horizontal="right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1" fontId="4" fillId="4" borderId="9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" fontId="3" fillId="0" borderId="9" xfId="0" applyNumberFormat="1" applyFont="1" applyBorder="1" applyAlignment="1">
      <alignment horizontal="right" vertical="center"/>
    </xf>
    <xf numFmtId="2" fontId="3" fillId="2" borderId="7" xfId="0" applyNumberFormat="1" applyFont="1" applyFill="1" applyBorder="1" applyAlignment="1">
      <alignment wrapText="1"/>
    </xf>
    <xf numFmtId="1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left" wrapText="1"/>
    </xf>
    <xf numFmtId="1" fontId="3" fillId="0" borderId="5" xfId="0" applyNumberFormat="1" applyFont="1" applyBorder="1" applyAlignment="1">
      <alignment horizontal="center" wrapText="1"/>
    </xf>
    <xf numFmtId="2" fontId="1" fillId="2" borderId="1" xfId="0" applyNumberFormat="1" applyFont="1" applyFill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wrapText="1"/>
    </xf>
    <xf numFmtId="2" fontId="1" fillId="0" borderId="1" xfId="0" applyNumberFormat="1" applyFont="1" applyBorder="1" applyAlignment="1">
      <alignment horizontal="right" vertical="center" wrapText="1"/>
    </xf>
    <xf numFmtId="1" fontId="3" fillId="0" borderId="9" xfId="0" applyNumberFormat="1" applyFont="1" applyBorder="1" applyAlignment="1">
      <alignment horizontal="right" wrapText="1"/>
    </xf>
    <xf numFmtId="3" fontId="1" fillId="0" borderId="9" xfId="0" applyNumberFormat="1" applyFont="1" applyBorder="1" applyAlignment="1">
      <alignment horizontal="right" wrapText="1"/>
    </xf>
    <xf numFmtId="0" fontId="1" fillId="0" borderId="10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wrapText="1"/>
    </xf>
    <xf numFmtId="0" fontId="8" fillId="0" borderId="0" xfId="0" applyFont="1"/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1" fontId="8" fillId="0" borderId="0" xfId="0" applyNumberFormat="1" applyFont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/>
    <xf numFmtId="0" fontId="7" fillId="2" borderId="1" xfId="0" applyFont="1" applyFill="1" applyBorder="1" applyAlignment="1">
      <alignment horizontal="left" wrapText="1"/>
    </xf>
    <xf numFmtId="0" fontId="1" fillId="2" borderId="15" xfId="0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wrapText="1"/>
    </xf>
    <xf numFmtId="1" fontId="3" fillId="4" borderId="9" xfId="0" applyNumberFormat="1" applyFont="1" applyFill="1" applyBorder="1"/>
    <xf numFmtId="1" fontId="3" fillId="2" borderId="9" xfId="0" applyNumberFormat="1" applyFont="1" applyFill="1" applyBorder="1"/>
    <xf numFmtId="1" fontId="1" fillId="0" borderId="9" xfId="0" applyNumberFormat="1" applyFont="1" applyBorder="1" applyAlignment="1">
      <alignment horizontal="right" wrapText="1"/>
    </xf>
    <xf numFmtId="0" fontId="1" fillId="4" borderId="8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right" wrapText="1"/>
    </xf>
    <xf numFmtId="1" fontId="1" fillId="2" borderId="9" xfId="0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0" xfId="0" applyFont="1" applyAlignment="1">
      <alignment horizontal="left"/>
    </xf>
    <xf numFmtId="0" fontId="8" fillId="0" borderId="2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6" fillId="0" borderId="24" xfId="0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3" fontId="6" fillId="0" borderId="22" xfId="0" applyNumberFormat="1" applyFont="1" applyFill="1" applyBorder="1" applyAlignment="1">
      <alignment horizontal="right"/>
    </xf>
    <xf numFmtId="3" fontId="6" fillId="0" borderId="23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165" fontId="1" fillId="0" borderId="1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 wrapText="1"/>
    </xf>
    <xf numFmtId="164" fontId="13" fillId="0" borderId="0" xfId="1" applyNumberFormat="1" applyFont="1" applyBorder="1" applyAlignment="1">
      <alignment horizontal="center" vertical="center"/>
    </xf>
    <xf numFmtId="164" fontId="13" fillId="0" borderId="2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wrapText="1"/>
    </xf>
    <xf numFmtId="0" fontId="0" fillId="0" borderId="0" xfId="0" applyFill="1"/>
    <xf numFmtId="0" fontId="12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21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0" fillId="0" borderId="20" xfId="0" applyBorder="1"/>
    <xf numFmtId="0" fontId="15" fillId="0" borderId="0" xfId="2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8" fillId="0" borderId="27" xfId="0" applyFont="1" applyBorder="1"/>
    <xf numFmtId="0" fontId="12" fillId="0" borderId="26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4" fillId="0" borderId="0" xfId="0" applyFont="1" applyBorder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164" fontId="13" fillId="0" borderId="3" xfId="1" applyNumberFormat="1" applyFont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13" fillId="0" borderId="25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6" fillId="3" borderId="12" xfId="0" applyNumberFormat="1" applyFont="1" applyFill="1" applyBorder="1" applyAlignment="1">
      <alignment horizontal="right"/>
    </xf>
    <xf numFmtId="3" fontId="6" fillId="3" borderId="14" xfId="0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11" fillId="0" borderId="21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7" fillId="2" borderId="17" xfId="0" applyFont="1" applyFill="1" applyBorder="1" applyAlignment="1">
      <alignment horizontal="left" wrapText="1"/>
    </xf>
    <xf numFmtId="0" fontId="7" fillId="2" borderId="18" xfId="0" applyFont="1" applyFill="1" applyBorder="1" applyAlignment="1">
      <alignment horizontal="left" wrapText="1"/>
    </xf>
    <xf numFmtId="0" fontId="7" fillId="2" borderId="19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6" fillId="0" borderId="0" xfId="0" applyFont="1" applyAlignment="1">
      <alignment horizont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360740</xdr:colOff>
      <xdr:row>0</xdr:row>
      <xdr:rowOff>62737</xdr:rowOff>
    </xdr:from>
    <xdr:to>
      <xdr:col>5</xdr:col>
      <xdr:colOff>164688</xdr:colOff>
      <xdr:row>0</xdr:row>
      <xdr:rowOff>771897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22" y="62737"/>
          <a:ext cx="5050376" cy="70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ament-spb.ru/obek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8"/>
  <sheetViews>
    <sheetView tabSelected="1" view="pageBreakPreview" topLeftCell="A109" zoomScaleNormal="100" zoomScaleSheetLayoutView="100" workbookViewId="0">
      <selection activeCell="C117" sqref="C117:F117"/>
    </sheetView>
  </sheetViews>
  <sheetFormatPr defaultRowHeight="15.05" x14ac:dyDescent="0.3"/>
  <cols>
    <col min="1" max="1" width="3.109375" style="50" customWidth="1"/>
    <col min="2" max="2" width="51" style="49" customWidth="1"/>
    <col min="3" max="3" width="8.33203125" style="49" customWidth="1"/>
    <col min="4" max="4" width="9.109375" style="49" customWidth="1"/>
    <col min="5" max="5" width="7.44140625" style="49" customWidth="1"/>
    <col min="6" max="6" width="9.6640625" style="52" customWidth="1"/>
    <col min="7" max="7" width="7.6640625" customWidth="1"/>
    <col min="8" max="8" width="13.6640625" customWidth="1"/>
    <col min="9" max="9" width="9.44140625" customWidth="1"/>
  </cols>
  <sheetData>
    <row r="1" spans="1:9" ht="67.25" customHeight="1" x14ac:dyDescent="0.3">
      <c r="A1" s="101"/>
      <c r="B1" s="101"/>
      <c r="C1" s="101"/>
      <c r="D1" s="101"/>
      <c r="E1" s="101"/>
      <c r="F1" s="101"/>
      <c r="G1" s="7"/>
      <c r="H1" s="7"/>
      <c r="I1" s="7"/>
    </row>
    <row r="2" spans="1:9" ht="12.95" customHeight="1" x14ac:dyDescent="0.3">
      <c r="A2" s="97"/>
      <c r="B2" s="97"/>
      <c r="C2" s="97"/>
      <c r="D2" s="97"/>
      <c r="E2" s="97"/>
      <c r="F2" s="97"/>
      <c r="G2" s="7"/>
      <c r="H2" s="7"/>
      <c r="I2" s="7"/>
    </row>
    <row r="3" spans="1:9" ht="30.8" customHeight="1" x14ac:dyDescent="0.3">
      <c r="A3" s="107" t="s">
        <v>63</v>
      </c>
      <c r="B3" s="108"/>
      <c r="C3" s="108"/>
      <c r="D3" s="108"/>
      <c r="E3" s="108"/>
      <c r="F3" s="109"/>
    </row>
    <row r="4" spans="1:9" ht="23.1" customHeight="1" thickBot="1" x14ac:dyDescent="0.35">
      <c r="B4" s="128" t="s">
        <v>77</v>
      </c>
      <c r="C4" s="128"/>
      <c r="D4" s="128"/>
      <c r="E4" s="128"/>
      <c r="F4" s="128"/>
      <c r="G4" s="1"/>
      <c r="H4" s="1"/>
    </row>
    <row r="5" spans="1:9" ht="16.399999999999999" thickBot="1" x14ac:dyDescent="0.35">
      <c r="B5" s="9" t="s">
        <v>33</v>
      </c>
      <c r="C5" s="65">
        <f>10.4*10.4</f>
        <v>108.16000000000001</v>
      </c>
      <c r="D5" s="11" t="s">
        <v>3</v>
      </c>
      <c r="E5" s="28"/>
      <c r="F5" s="38"/>
      <c r="G5" s="1"/>
      <c r="H5" s="1"/>
    </row>
    <row r="6" spans="1:9" ht="16.399999999999999" thickBot="1" x14ac:dyDescent="0.35">
      <c r="B6" s="9" t="s">
        <v>32</v>
      </c>
      <c r="C6" s="65">
        <f>10.4*4</f>
        <v>41.6</v>
      </c>
      <c r="D6" s="11" t="s">
        <v>16</v>
      </c>
      <c r="E6" s="28"/>
      <c r="F6" s="38"/>
      <c r="G6" s="1"/>
      <c r="H6" s="1"/>
    </row>
    <row r="7" spans="1:9" ht="16.399999999999999" thickBot="1" x14ac:dyDescent="0.35">
      <c r="B7" s="9" t="s">
        <v>34</v>
      </c>
      <c r="C7" s="10">
        <v>300</v>
      </c>
      <c r="D7" s="11" t="s">
        <v>18</v>
      </c>
      <c r="E7" s="28"/>
      <c r="F7" s="38"/>
      <c r="G7" s="1"/>
      <c r="H7" s="1"/>
    </row>
    <row r="8" spans="1:9" ht="16.399999999999999" thickBot="1" x14ac:dyDescent="0.35">
      <c r="B8" s="9" t="s">
        <v>17</v>
      </c>
      <c r="C8" s="10">
        <v>100</v>
      </c>
      <c r="D8" s="11" t="s">
        <v>18</v>
      </c>
      <c r="E8" s="28"/>
      <c r="F8" s="38"/>
      <c r="G8" s="1"/>
      <c r="H8" s="1"/>
    </row>
    <row r="9" spans="1:9" ht="16.399999999999999" thickBot="1" x14ac:dyDescent="0.35">
      <c r="B9" s="9" t="s">
        <v>23</v>
      </c>
      <c r="C9" s="10">
        <v>100</v>
      </c>
      <c r="D9" s="11" t="s">
        <v>18</v>
      </c>
      <c r="E9" s="28"/>
      <c r="F9" s="38"/>
      <c r="G9" s="1"/>
      <c r="H9" s="1"/>
    </row>
    <row r="10" spans="1:9" ht="16.399999999999999" thickBot="1" x14ac:dyDescent="0.35">
      <c r="B10" s="9" t="s">
        <v>25</v>
      </c>
      <c r="C10" s="65">
        <f>1500</f>
        <v>1500</v>
      </c>
      <c r="D10" s="11" t="s">
        <v>18</v>
      </c>
      <c r="E10" s="9"/>
      <c r="F10" s="39"/>
      <c r="G10" s="1"/>
      <c r="H10" s="1"/>
    </row>
    <row r="11" spans="1:9" ht="16.399999999999999" thickBot="1" x14ac:dyDescent="0.35">
      <c r="B11" s="9" t="s">
        <v>26</v>
      </c>
      <c r="C11" s="65">
        <f>10*5</f>
        <v>50</v>
      </c>
      <c r="D11" s="11" t="s">
        <v>27</v>
      </c>
      <c r="E11" s="28"/>
      <c r="F11" s="38"/>
      <c r="G11" s="1"/>
      <c r="H11" s="1"/>
    </row>
    <row r="12" spans="1:9" ht="16.399999999999999" thickBot="1" x14ac:dyDescent="0.35">
      <c r="B12" s="9" t="s">
        <v>51</v>
      </c>
      <c r="C12" s="66">
        <v>2.8</v>
      </c>
      <c r="D12" s="11" t="s">
        <v>27</v>
      </c>
      <c r="E12" s="28"/>
      <c r="F12" s="38"/>
      <c r="G12" s="1"/>
      <c r="H12" s="1"/>
    </row>
    <row r="13" spans="1:9" ht="16.399999999999999" thickBot="1" x14ac:dyDescent="0.35">
      <c r="B13" s="9" t="s">
        <v>29</v>
      </c>
      <c r="C13" s="10">
        <v>200</v>
      </c>
      <c r="D13" s="11" t="s">
        <v>18</v>
      </c>
      <c r="E13" s="28"/>
      <c r="F13" s="38"/>
      <c r="G13" s="1"/>
      <c r="H13" s="1"/>
    </row>
    <row r="14" spans="1:9" ht="16.399999999999999" thickBot="1" x14ac:dyDescent="0.35">
      <c r="B14" s="9" t="s">
        <v>59</v>
      </c>
      <c r="C14" s="65">
        <f>2.1*1</f>
        <v>2.1</v>
      </c>
      <c r="D14" s="11" t="s">
        <v>3</v>
      </c>
      <c r="E14" s="28"/>
      <c r="F14" s="38"/>
      <c r="G14" s="1"/>
      <c r="H14" s="1"/>
    </row>
    <row r="15" spans="1:9" ht="16.399999999999999" thickBot="1" x14ac:dyDescent="0.35">
      <c r="B15" s="9" t="s">
        <v>60</v>
      </c>
      <c r="C15" s="10">
        <f>100</f>
        <v>100</v>
      </c>
      <c r="D15" s="11" t="s">
        <v>3</v>
      </c>
      <c r="E15" s="28"/>
      <c r="F15" s="38"/>
      <c r="G15" s="1"/>
      <c r="H15" s="1"/>
    </row>
    <row r="16" spans="1:9" ht="16.399999999999999" thickBot="1" x14ac:dyDescent="0.35">
      <c r="B16" s="9" t="s">
        <v>30</v>
      </c>
      <c r="C16" s="10">
        <v>40</v>
      </c>
      <c r="D16" s="11" t="s">
        <v>16</v>
      </c>
      <c r="E16" s="28"/>
      <c r="F16" s="38"/>
      <c r="G16" s="1"/>
      <c r="H16" s="1"/>
    </row>
    <row r="17" spans="1:8" ht="16.399999999999999" thickBot="1" x14ac:dyDescent="0.35">
      <c r="B17" s="9" t="s">
        <v>31</v>
      </c>
      <c r="C17" s="10">
        <v>200</v>
      </c>
      <c r="D17" s="11" t="s">
        <v>18</v>
      </c>
      <c r="E17" s="28"/>
      <c r="F17" s="38"/>
      <c r="G17" s="1"/>
      <c r="H17" s="1"/>
    </row>
    <row r="18" spans="1:8" ht="16.399999999999999" thickBot="1" x14ac:dyDescent="0.35">
      <c r="B18" s="9" t="s">
        <v>20</v>
      </c>
      <c r="C18" s="10">
        <v>30</v>
      </c>
      <c r="D18" s="11" t="s">
        <v>21</v>
      </c>
      <c r="E18" s="9"/>
      <c r="F18" s="39"/>
      <c r="G18" s="1"/>
      <c r="H18" s="1"/>
    </row>
    <row r="19" spans="1:8" ht="15.75" x14ac:dyDescent="0.3">
      <c r="A19" s="49"/>
      <c r="B19" s="9"/>
      <c r="C19" s="95"/>
      <c r="D19" s="11"/>
      <c r="E19" s="9"/>
      <c r="F19" s="11"/>
      <c r="G19" s="96"/>
      <c r="H19" s="1"/>
    </row>
    <row r="20" spans="1:8" ht="32.75" customHeight="1" x14ac:dyDescent="0.3">
      <c r="A20" s="49"/>
      <c r="B20" s="139" t="s">
        <v>108</v>
      </c>
      <c r="C20" s="139"/>
      <c r="D20" s="139"/>
      <c r="E20" s="139"/>
      <c r="F20" s="139"/>
      <c r="G20" s="96"/>
      <c r="H20" s="1"/>
    </row>
    <row r="21" spans="1:8" ht="20.95" customHeight="1" thickBot="1" x14ac:dyDescent="0.35">
      <c r="A21" s="49"/>
      <c r="B21" s="28"/>
      <c r="C21" s="9"/>
      <c r="D21" s="28"/>
      <c r="E21" s="28"/>
      <c r="F21" s="38"/>
      <c r="G21" s="96"/>
      <c r="H21" s="1"/>
    </row>
    <row r="22" spans="1:8" ht="15.75" thickBot="1" x14ac:dyDescent="0.35">
      <c r="A22" s="51" t="s">
        <v>36</v>
      </c>
      <c r="B22" s="14" t="s">
        <v>37</v>
      </c>
      <c r="C22" s="15" t="s">
        <v>0</v>
      </c>
      <c r="D22" s="15" t="s">
        <v>1</v>
      </c>
      <c r="E22" s="14" t="s">
        <v>7</v>
      </c>
      <c r="F22" s="40" t="s">
        <v>8</v>
      </c>
    </row>
    <row r="23" spans="1:8" ht="15.75" x14ac:dyDescent="0.3">
      <c r="A23" s="57"/>
      <c r="B23" s="134" t="s">
        <v>39</v>
      </c>
      <c r="C23" s="135"/>
      <c r="D23" s="135"/>
      <c r="E23" s="135"/>
      <c r="F23" s="136"/>
    </row>
    <row r="24" spans="1:8" s="53" customFormat="1" ht="13.1" x14ac:dyDescent="0.25">
      <c r="A24" s="57"/>
      <c r="B24" s="16" t="s">
        <v>46</v>
      </c>
      <c r="C24" s="16"/>
      <c r="D24" s="16"/>
      <c r="E24" s="16"/>
      <c r="F24" s="58"/>
    </row>
    <row r="25" spans="1:8" s="53" customFormat="1" ht="13.1" x14ac:dyDescent="0.25">
      <c r="A25" s="29">
        <f>A24+1</f>
        <v>1</v>
      </c>
      <c r="B25" s="2" t="s">
        <v>43</v>
      </c>
      <c r="C25" s="17" t="s">
        <v>95</v>
      </c>
      <c r="D25" s="18">
        <v>1</v>
      </c>
      <c r="E25" s="17">
        <v>8500</v>
      </c>
      <c r="F25" s="30">
        <f t="shared" ref="F25:F34" si="0">D25*E25</f>
        <v>8500</v>
      </c>
    </row>
    <row r="26" spans="1:8" s="53" customFormat="1" ht="26.2" x14ac:dyDescent="0.25">
      <c r="A26" s="29">
        <f t="shared" ref="A26:A29" si="1">A25+1</f>
        <v>2</v>
      </c>
      <c r="B26" s="2" t="s">
        <v>102</v>
      </c>
      <c r="C26" s="17" t="s">
        <v>4</v>
      </c>
      <c r="D26" s="18">
        <f>(C5+C6)*(C8+C9+C10)*0.001</f>
        <v>254.59200000000004</v>
      </c>
      <c r="E26" s="17">
        <v>200</v>
      </c>
      <c r="F26" s="30">
        <f t="shared" si="0"/>
        <v>50918.400000000009</v>
      </c>
    </row>
    <row r="27" spans="1:8" s="53" customFormat="1" ht="13.1" x14ac:dyDescent="0.25">
      <c r="A27" s="29">
        <f t="shared" si="1"/>
        <v>3</v>
      </c>
      <c r="B27" s="2" t="s">
        <v>9</v>
      </c>
      <c r="C27" s="17" t="s">
        <v>3</v>
      </c>
      <c r="D27" s="18">
        <f>1.05*(C5+C6+C6*C10*0.001)</f>
        <v>222.76800000000003</v>
      </c>
      <c r="E27" s="17">
        <v>20</v>
      </c>
      <c r="F27" s="30">
        <f t="shared" si="0"/>
        <v>4455.3600000000006</v>
      </c>
    </row>
    <row r="28" spans="1:8" s="53" customFormat="1" ht="13.1" x14ac:dyDescent="0.25">
      <c r="A28" s="29">
        <f t="shared" si="1"/>
        <v>4</v>
      </c>
      <c r="B28" s="2" t="s">
        <v>79</v>
      </c>
      <c r="C28" s="17" t="s">
        <v>4</v>
      </c>
      <c r="D28" s="18">
        <f>CEILING((C5*C8*0.001+C6*C8*0.001)*1.28,1)</f>
        <v>20</v>
      </c>
      <c r="E28" s="17">
        <v>400</v>
      </c>
      <c r="F28" s="30">
        <f t="shared" si="0"/>
        <v>8000</v>
      </c>
    </row>
    <row r="29" spans="1:8" s="53" customFormat="1" ht="14.4" customHeight="1" x14ac:dyDescent="0.25">
      <c r="A29" s="29">
        <f t="shared" si="1"/>
        <v>5</v>
      </c>
      <c r="B29" s="2" t="s">
        <v>80</v>
      </c>
      <c r="C29" s="17" t="s">
        <v>4</v>
      </c>
      <c r="D29" s="18">
        <f>CEILING((C5*C9*0.001+C6*C9*0.001)*1.28,1)</f>
        <v>20</v>
      </c>
      <c r="E29" s="17">
        <v>400</v>
      </c>
      <c r="F29" s="30">
        <f>D29*E29</f>
        <v>8000</v>
      </c>
    </row>
    <row r="30" spans="1:8" s="53" customFormat="1" ht="13.1" x14ac:dyDescent="0.25">
      <c r="A30" s="29"/>
      <c r="B30" s="2"/>
      <c r="C30" s="3"/>
      <c r="D30" s="13"/>
      <c r="E30" s="21" t="s">
        <v>38</v>
      </c>
      <c r="F30" s="59">
        <f>SUM(F25:F29)</f>
        <v>79873.760000000009</v>
      </c>
    </row>
    <row r="31" spans="1:8" s="53" customFormat="1" ht="13.1" x14ac:dyDescent="0.25">
      <c r="A31" s="57"/>
      <c r="B31" s="16" t="s">
        <v>40</v>
      </c>
      <c r="C31" s="16"/>
      <c r="D31" s="37"/>
      <c r="E31" s="16"/>
      <c r="F31" s="58"/>
    </row>
    <row r="32" spans="1:8" s="53" customFormat="1" ht="13.1" x14ac:dyDescent="0.25">
      <c r="A32" s="29">
        <v>1</v>
      </c>
      <c r="B32" s="2" t="s">
        <v>44</v>
      </c>
      <c r="C32" s="17" t="s">
        <v>13</v>
      </c>
      <c r="D32" s="18">
        <f>C6*2</f>
        <v>83.2</v>
      </c>
      <c r="E32" s="17">
        <v>450</v>
      </c>
      <c r="F32" s="30">
        <f t="shared" si="0"/>
        <v>37440</v>
      </c>
    </row>
    <row r="33" spans="1:6" s="53" customFormat="1" ht="28.8" customHeight="1" x14ac:dyDescent="0.25">
      <c r="A33" s="29">
        <f t="shared" ref="A33:A34" si="2">A32+1</f>
        <v>2</v>
      </c>
      <c r="B33" s="2" t="s">
        <v>81</v>
      </c>
      <c r="C33" s="17" t="s">
        <v>14</v>
      </c>
      <c r="D33" s="18">
        <f>D58+D59</f>
        <v>2.2883028480000007</v>
      </c>
      <c r="E33" s="17">
        <v>17300</v>
      </c>
      <c r="F33" s="30">
        <f t="shared" si="0"/>
        <v>39587.63927040001</v>
      </c>
    </row>
    <row r="34" spans="1:6" s="53" customFormat="1" ht="13.1" x14ac:dyDescent="0.25">
      <c r="A34" s="29">
        <f t="shared" si="2"/>
        <v>3</v>
      </c>
      <c r="B34" s="2" t="s">
        <v>2</v>
      </c>
      <c r="C34" s="17" t="s">
        <v>4</v>
      </c>
      <c r="D34" s="18">
        <f>ROUNDUP(C5*C7*0.001*1.05/0.25,0)*0.25</f>
        <v>34.25</v>
      </c>
      <c r="E34" s="17">
        <v>1500</v>
      </c>
      <c r="F34" s="30">
        <f t="shared" si="0"/>
        <v>51375</v>
      </c>
    </row>
    <row r="35" spans="1:6" s="53" customFormat="1" ht="13.1" x14ac:dyDescent="0.25">
      <c r="A35" s="29"/>
      <c r="B35" s="2"/>
      <c r="C35" s="3"/>
      <c r="D35" s="13"/>
      <c r="E35" s="21" t="s">
        <v>38</v>
      </c>
      <c r="F35" s="59">
        <f>SUM(F32:F34)</f>
        <v>128402.63927040002</v>
      </c>
    </row>
    <row r="36" spans="1:6" s="53" customFormat="1" ht="13.1" x14ac:dyDescent="0.25">
      <c r="A36" s="42"/>
      <c r="B36" s="8" t="s">
        <v>41</v>
      </c>
      <c r="C36" s="19"/>
      <c r="D36" s="41"/>
      <c r="E36" s="20"/>
      <c r="F36" s="60"/>
    </row>
    <row r="37" spans="1:6" s="53" customFormat="1" ht="13.1" x14ac:dyDescent="0.25">
      <c r="A37" s="29">
        <f>A36+1</f>
        <v>1</v>
      </c>
      <c r="B37" s="2" t="s">
        <v>43</v>
      </c>
      <c r="C37" s="17" t="s">
        <v>3</v>
      </c>
      <c r="D37" s="18">
        <f>C5</f>
        <v>108.16000000000001</v>
      </c>
      <c r="E37" s="17">
        <v>40</v>
      </c>
      <c r="F37" s="30">
        <f t="shared" ref="F37" si="3">D37*E37</f>
        <v>4326.4000000000005</v>
      </c>
    </row>
    <row r="38" spans="1:6" s="53" customFormat="1" ht="26.85" customHeight="1" x14ac:dyDescent="0.25">
      <c r="A38" s="29">
        <f t="shared" ref="A38:A40" si="4">A37+1</f>
        <v>2</v>
      </c>
      <c r="B38" s="2" t="s">
        <v>81</v>
      </c>
      <c r="C38" s="3" t="s">
        <v>14</v>
      </c>
      <c r="D38" s="13">
        <f>D64</f>
        <v>3.1854900000000002</v>
      </c>
      <c r="E38" s="3">
        <v>21000</v>
      </c>
      <c r="F38" s="61">
        <f t="shared" ref="F38:F40" si="5">D38*E38</f>
        <v>66895.290000000008</v>
      </c>
    </row>
    <row r="39" spans="1:6" s="53" customFormat="1" ht="13.1" x14ac:dyDescent="0.25">
      <c r="A39" s="29">
        <f t="shared" si="4"/>
        <v>3</v>
      </c>
      <c r="B39" s="2" t="s">
        <v>44</v>
      </c>
      <c r="C39" s="3" t="s">
        <v>3</v>
      </c>
      <c r="D39" s="13">
        <f>C11*2*C12-C14</f>
        <v>277.89999999999998</v>
      </c>
      <c r="E39" s="3">
        <v>645</v>
      </c>
      <c r="F39" s="61">
        <f t="shared" si="5"/>
        <v>179245.49999999997</v>
      </c>
    </row>
    <row r="40" spans="1:6" s="53" customFormat="1" ht="13.1" x14ac:dyDescent="0.25">
      <c r="A40" s="29">
        <f t="shared" si="4"/>
        <v>4</v>
      </c>
      <c r="B40" s="2" t="s">
        <v>2</v>
      </c>
      <c r="C40" s="3" t="s">
        <v>4</v>
      </c>
      <c r="D40" s="13">
        <f>ROUNDUP((C11*C12-C14)*C13*0.001*1.05/0.25,0)*0.25</f>
        <v>29</v>
      </c>
      <c r="E40" s="3">
        <v>1500</v>
      </c>
      <c r="F40" s="61">
        <f t="shared" si="5"/>
        <v>43500</v>
      </c>
    </row>
    <row r="41" spans="1:6" s="53" customFormat="1" ht="13.1" x14ac:dyDescent="0.25">
      <c r="A41" s="29"/>
      <c r="B41" s="2"/>
      <c r="C41" s="3"/>
      <c r="D41" s="13"/>
      <c r="E41" s="21" t="s">
        <v>38</v>
      </c>
      <c r="F41" s="59">
        <f>SUM(F37:F40)</f>
        <v>293967.18999999994</v>
      </c>
    </row>
    <row r="42" spans="1:6" s="53" customFormat="1" ht="13.1" x14ac:dyDescent="0.25">
      <c r="A42" s="42"/>
      <c r="B42" s="8" t="s">
        <v>42</v>
      </c>
      <c r="C42" s="19"/>
      <c r="D42" s="41"/>
      <c r="E42" s="20"/>
      <c r="F42" s="60"/>
    </row>
    <row r="43" spans="1:6" s="53" customFormat="1" ht="13.1" x14ac:dyDescent="0.25">
      <c r="A43" s="29">
        <f>A42+1</f>
        <v>1</v>
      </c>
      <c r="B43" s="2" t="s">
        <v>74</v>
      </c>
      <c r="C43" s="3" t="s">
        <v>3</v>
      </c>
      <c r="D43" s="13">
        <f>C15</f>
        <v>100</v>
      </c>
      <c r="E43" s="3">
        <v>600</v>
      </c>
      <c r="F43" s="61">
        <f t="shared" ref="F43:F46" si="6">D43*E43</f>
        <v>60000</v>
      </c>
    </row>
    <row r="44" spans="1:6" s="53" customFormat="1" ht="16.399999999999999" customHeight="1" x14ac:dyDescent="0.25">
      <c r="A44" s="29">
        <f t="shared" ref="A44:A46" si="7">A43+1</f>
        <v>2</v>
      </c>
      <c r="B44" s="2" t="s">
        <v>75</v>
      </c>
      <c r="C44" s="3" t="s">
        <v>13</v>
      </c>
      <c r="D44" s="13">
        <f>C16</f>
        <v>40</v>
      </c>
      <c r="E44" s="3">
        <v>450</v>
      </c>
      <c r="F44" s="61">
        <f t="shared" si="6"/>
        <v>18000</v>
      </c>
    </row>
    <row r="45" spans="1:6" s="53" customFormat="1" ht="39.299999999999997" x14ac:dyDescent="0.25">
      <c r="A45" s="29">
        <f t="shared" si="7"/>
        <v>3</v>
      </c>
      <c r="B45" s="2" t="s">
        <v>81</v>
      </c>
      <c r="C45" s="3" t="s">
        <v>14</v>
      </c>
      <c r="D45" s="13">
        <f>D71+D72</f>
        <v>2.1160800000000002</v>
      </c>
      <c r="E45" s="3">
        <v>17300</v>
      </c>
      <c r="F45" s="61">
        <f t="shared" si="6"/>
        <v>36608.184000000001</v>
      </c>
    </row>
    <row r="46" spans="1:6" s="53" customFormat="1" ht="13.1" x14ac:dyDescent="0.25">
      <c r="A46" s="29">
        <f t="shared" si="7"/>
        <v>4</v>
      </c>
      <c r="B46" s="2" t="s">
        <v>2</v>
      </c>
      <c r="C46" s="3" t="s">
        <v>4</v>
      </c>
      <c r="D46" s="13">
        <f>ROUNDUP(C15*C17*0.001*1.05/0.25,0)*0.25</f>
        <v>21</v>
      </c>
      <c r="E46" s="3">
        <v>1500</v>
      </c>
      <c r="F46" s="61">
        <f t="shared" si="6"/>
        <v>31500</v>
      </c>
    </row>
    <row r="47" spans="1:6" s="53" customFormat="1" ht="13.1" x14ac:dyDescent="0.25">
      <c r="A47" s="29"/>
      <c r="B47" s="2"/>
      <c r="C47" s="3"/>
      <c r="D47" s="2"/>
      <c r="E47" s="21" t="s">
        <v>38</v>
      </c>
      <c r="F47" s="59">
        <f>SUM(F43:F46)</f>
        <v>146108.18400000001</v>
      </c>
    </row>
    <row r="48" spans="1:6" s="53" customFormat="1" ht="13.75" x14ac:dyDescent="0.25">
      <c r="A48" s="62"/>
      <c r="B48" s="22"/>
      <c r="C48" s="129" t="s">
        <v>48</v>
      </c>
      <c r="D48" s="130"/>
      <c r="E48" s="131"/>
      <c r="F48" s="59">
        <f>F47+F41+F35+F30</f>
        <v>648351.77327040001</v>
      </c>
    </row>
    <row r="49" spans="1:6" ht="15.75" x14ac:dyDescent="0.3">
      <c r="A49" s="42"/>
      <c r="B49" s="137" t="s">
        <v>45</v>
      </c>
      <c r="C49" s="137"/>
      <c r="D49" s="137"/>
      <c r="E49" s="137"/>
      <c r="F49" s="138"/>
    </row>
    <row r="50" spans="1:6" s="53" customFormat="1" ht="13.1" x14ac:dyDescent="0.25">
      <c r="A50" s="42"/>
      <c r="B50" s="132" t="s">
        <v>46</v>
      </c>
      <c r="C50" s="132"/>
      <c r="D50" s="132"/>
      <c r="E50" s="132"/>
      <c r="F50" s="133"/>
    </row>
    <row r="51" spans="1:6" s="53" customFormat="1" ht="13.1" x14ac:dyDescent="0.25">
      <c r="A51" s="29">
        <f>A50+1</f>
        <v>1</v>
      </c>
      <c r="B51" s="4" t="s">
        <v>69</v>
      </c>
      <c r="C51" s="23" t="s">
        <v>3</v>
      </c>
      <c r="D51" s="31">
        <f>D27*1.1</f>
        <v>245.04480000000004</v>
      </c>
      <c r="E51" s="23">
        <v>30</v>
      </c>
      <c r="F51" s="32">
        <f>MMULT(D51,E51)</f>
        <v>7351.344000000001</v>
      </c>
    </row>
    <row r="52" spans="1:6" s="53" customFormat="1" ht="26.2" x14ac:dyDescent="0.25">
      <c r="A52" s="29">
        <f t="shared" ref="A52:A53" si="8">A51+1</f>
        <v>2</v>
      </c>
      <c r="B52" s="4" t="s">
        <v>91</v>
      </c>
      <c r="C52" s="23" t="s">
        <v>4</v>
      </c>
      <c r="D52" s="31">
        <f>CEILING(D28,10)</f>
        <v>20</v>
      </c>
      <c r="E52" s="23">
        <v>600</v>
      </c>
      <c r="F52" s="32">
        <f t="shared" ref="F52:F57" si="9">MMULT(D52,E52)</f>
        <v>12000</v>
      </c>
    </row>
    <row r="53" spans="1:6" s="54" customFormat="1" ht="13.1" x14ac:dyDescent="0.25">
      <c r="A53" s="29">
        <f t="shared" si="8"/>
        <v>3</v>
      </c>
      <c r="B53" s="4" t="s">
        <v>92</v>
      </c>
      <c r="C53" s="24" t="s">
        <v>4</v>
      </c>
      <c r="D53" s="33">
        <f>CEILING(D29,10)</f>
        <v>20</v>
      </c>
      <c r="E53" s="24">
        <v>1400</v>
      </c>
      <c r="F53" s="34">
        <f>MMULT(D53,E53)</f>
        <v>28000</v>
      </c>
    </row>
    <row r="54" spans="1:6" s="53" customFormat="1" ht="13.1" x14ac:dyDescent="0.25">
      <c r="A54" s="29"/>
      <c r="B54" s="4"/>
      <c r="C54" s="23"/>
      <c r="D54" s="31"/>
      <c r="E54" s="35" t="s">
        <v>38</v>
      </c>
      <c r="F54" s="36">
        <f>SUM(F51:F53)</f>
        <v>47351.343999999997</v>
      </c>
    </row>
    <row r="55" spans="1:6" s="53" customFormat="1" ht="13.1" x14ac:dyDescent="0.25">
      <c r="A55" s="42"/>
      <c r="B55" s="132" t="s">
        <v>40</v>
      </c>
      <c r="C55" s="132"/>
      <c r="D55" s="132"/>
      <c r="E55" s="132"/>
      <c r="F55" s="133"/>
    </row>
    <row r="56" spans="1:6" s="53" customFormat="1" ht="13.1" x14ac:dyDescent="0.25">
      <c r="A56" s="29">
        <v>1</v>
      </c>
      <c r="B56" s="4" t="s">
        <v>82</v>
      </c>
      <c r="C56" s="24" t="s">
        <v>4</v>
      </c>
      <c r="D56" s="33">
        <f>ROUNDUP(C7/150,0)*C6*0.009+C6*0.0125</f>
        <v>1.2688000000000001</v>
      </c>
      <c r="E56" s="24">
        <v>12500</v>
      </c>
      <c r="F56" s="34">
        <f t="shared" si="9"/>
        <v>15860.000000000002</v>
      </c>
    </row>
    <row r="57" spans="1:6" s="53" customFormat="1" ht="13.1" x14ac:dyDescent="0.25">
      <c r="A57" s="29">
        <f t="shared" ref="A57:A61" si="10">A56+1</f>
        <v>2</v>
      </c>
      <c r="B57" s="4" t="s">
        <v>5</v>
      </c>
      <c r="C57" s="23" t="s">
        <v>12</v>
      </c>
      <c r="D57" s="31">
        <f>C5*4</f>
        <v>432.64000000000004</v>
      </c>
      <c r="E57" s="23">
        <v>5</v>
      </c>
      <c r="F57" s="32">
        <f t="shared" si="9"/>
        <v>2163.2000000000003</v>
      </c>
    </row>
    <row r="58" spans="1:6" s="53" customFormat="1" ht="39.299999999999997" x14ac:dyDescent="0.25">
      <c r="A58" s="29">
        <f t="shared" si="10"/>
        <v>3</v>
      </c>
      <c r="B58" s="4" t="s">
        <v>67</v>
      </c>
      <c r="C58" s="23" t="s">
        <v>14</v>
      </c>
      <c r="D58" s="31">
        <f>C5*21*0.888*1.1*0.001</f>
        <v>2.2186644480000006</v>
      </c>
      <c r="E58" s="23">
        <v>41000</v>
      </c>
      <c r="F58" s="32">
        <f>ROUNDUP(MMULT(D58,E58),0)</f>
        <v>90966</v>
      </c>
    </row>
    <row r="59" spans="1:6" s="53" customFormat="1" ht="39.299999999999997" x14ac:dyDescent="0.25">
      <c r="A59" s="29">
        <f t="shared" si="10"/>
        <v>4</v>
      </c>
      <c r="B59" s="4" t="s">
        <v>68</v>
      </c>
      <c r="C59" s="23" t="s">
        <v>14</v>
      </c>
      <c r="D59" s="31">
        <f>(C5+C6/2)*0.45*1.2*0.001</f>
        <v>6.9638400000000003E-2</v>
      </c>
      <c r="E59" s="23">
        <v>41000</v>
      </c>
      <c r="F59" s="32">
        <f>ROUNDUP(MMULT(D59,E59),0)</f>
        <v>2856</v>
      </c>
    </row>
    <row r="60" spans="1:6" s="53" customFormat="1" ht="13.1" x14ac:dyDescent="0.25">
      <c r="A60" s="29">
        <f t="shared" si="10"/>
        <v>5</v>
      </c>
      <c r="B60" s="4" t="s">
        <v>6</v>
      </c>
      <c r="C60" s="23" t="s">
        <v>15</v>
      </c>
      <c r="D60" s="31">
        <f>D33*9</f>
        <v>20.594725632000006</v>
      </c>
      <c r="E60" s="23">
        <v>100</v>
      </c>
      <c r="F60" s="32">
        <f>ROUNDUP(MMULT(D60,E60),0)</f>
        <v>2060</v>
      </c>
    </row>
    <row r="61" spans="1:6" s="53" customFormat="1" ht="13.1" x14ac:dyDescent="0.25">
      <c r="A61" s="29">
        <f t="shared" si="10"/>
        <v>6</v>
      </c>
      <c r="B61" s="4" t="s">
        <v>111</v>
      </c>
      <c r="C61" s="23" t="s">
        <v>4</v>
      </c>
      <c r="D61" s="31">
        <f>D34</f>
        <v>34.25</v>
      </c>
      <c r="E61" s="23">
        <f>IF($C$18&gt;30,($C$18-30)*15+4100,4100)</f>
        <v>4100</v>
      </c>
      <c r="F61" s="32">
        <f>ROUNDUP(MMULT(D61,E61),0)</f>
        <v>140425</v>
      </c>
    </row>
    <row r="62" spans="1:6" s="53" customFormat="1" ht="13.1" x14ac:dyDescent="0.25">
      <c r="A62" s="29"/>
      <c r="B62" s="4"/>
      <c r="C62" s="23"/>
      <c r="D62" s="31"/>
      <c r="E62" s="35" t="s">
        <v>38</v>
      </c>
      <c r="F62" s="36">
        <f>SUM(F56:F61)</f>
        <v>254330.2</v>
      </c>
    </row>
    <row r="63" spans="1:6" s="53" customFormat="1" ht="13.1" x14ac:dyDescent="0.25">
      <c r="A63" s="42"/>
      <c r="B63" s="8" t="s">
        <v>41</v>
      </c>
      <c r="C63" s="19"/>
      <c r="D63" s="41"/>
      <c r="E63" s="20"/>
      <c r="F63" s="60"/>
    </row>
    <row r="64" spans="1:6" s="53" customFormat="1" ht="39.299999999999997" x14ac:dyDescent="0.25">
      <c r="A64" s="29">
        <f>A63+1</f>
        <v>1</v>
      </c>
      <c r="B64" s="4" t="s">
        <v>67</v>
      </c>
      <c r="C64" s="23" t="s">
        <v>14</v>
      </c>
      <c r="D64" s="31">
        <f>((C11*C12)-C14)*21*1.1*0.001</f>
        <v>3.1854900000000002</v>
      </c>
      <c r="E64" s="23">
        <v>41000</v>
      </c>
      <c r="F64" s="32">
        <f t="shared" ref="F64:F68" si="11">MMULT(D64,E64)</f>
        <v>130605.09000000001</v>
      </c>
    </row>
    <row r="65" spans="1:8" s="53" customFormat="1" ht="13.1" x14ac:dyDescent="0.25">
      <c r="A65" s="29">
        <f t="shared" ref="A65:A68" si="12">A64+1</f>
        <v>2</v>
      </c>
      <c r="B65" s="4" t="s">
        <v>6</v>
      </c>
      <c r="C65" s="23" t="s">
        <v>15</v>
      </c>
      <c r="D65" s="12">
        <f>D64*9</f>
        <v>28.669410000000003</v>
      </c>
      <c r="E65" s="5">
        <v>100</v>
      </c>
      <c r="F65" s="63">
        <f t="shared" si="11"/>
        <v>2866.9410000000003</v>
      </c>
    </row>
    <row r="66" spans="1:8" s="53" customFormat="1" ht="13.1" x14ac:dyDescent="0.25">
      <c r="A66" s="29">
        <f t="shared" si="12"/>
        <v>3</v>
      </c>
      <c r="B66" s="4" t="s">
        <v>28</v>
      </c>
      <c r="C66" s="23" t="s">
        <v>12</v>
      </c>
      <c r="D66" s="83">
        <f>C11*C12*10</f>
        <v>1400</v>
      </c>
      <c r="E66" s="5">
        <v>4</v>
      </c>
      <c r="F66" s="63">
        <f t="shared" si="11"/>
        <v>5600</v>
      </c>
    </row>
    <row r="67" spans="1:8" s="53" customFormat="1" ht="13.1" x14ac:dyDescent="0.25">
      <c r="A67" s="29">
        <f t="shared" si="12"/>
        <v>4</v>
      </c>
      <c r="B67" s="4" t="s">
        <v>76</v>
      </c>
      <c r="C67" s="23" t="s">
        <v>3</v>
      </c>
      <c r="D67" s="12">
        <f>D39</f>
        <v>277.89999999999998</v>
      </c>
      <c r="E67" s="5">
        <v>330</v>
      </c>
      <c r="F67" s="63">
        <f t="shared" si="11"/>
        <v>91706.999999999985</v>
      </c>
    </row>
    <row r="68" spans="1:8" s="53" customFormat="1" ht="13.1" x14ac:dyDescent="0.25">
      <c r="A68" s="29">
        <f t="shared" si="12"/>
        <v>5</v>
      </c>
      <c r="B68" s="4" t="s">
        <v>109</v>
      </c>
      <c r="C68" s="23" t="s">
        <v>4</v>
      </c>
      <c r="D68" s="12">
        <f>D40</f>
        <v>29</v>
      </c>
      <c r="E68" s="5">
        <f>IF($C$18&gt;30,($C$18-30)*15+4100,4100)</f>
        <v>4100</v>
      </c>
      <c r="F68" s="63">
        <f t="shared" si="11"/>
        <v>118900</v>
      </c>
    </row>
    <row r="69" spans="1:8" s="53" customFormat="1" ht="13.1" x14ac:dyDescent="0.25">
      <c r="A69" s="29"/>
      <c r="B69" s="4"/>
      <c r="C69" s="5"/>
      <c r="D69" s="12"/>
      <c r="E69" s="21" t="s">
        <v>38</v>
      </c>
      <c r="F69" s="59">
        <f>SUM(F64:F68)</f>
        <v>349679.03100000002</v>
      </c>
      <c r="H69" s="55"/>
    </row>
    <row r="70" spans="1:8" s="53" customFormat="1" ht="13.1" x14ac:dyDescent="0.25">
      <c r="A70" s="42"/>
      <c r="B70" s="8" t="s">
        <v>42</v>
      </c>
      <c r="C70" s="19"/>
      <c r="D70" s="41"/>
      <c r="E70" s="20"/>
      <c r="F70" s="60"/>
    </row>
    <row r="71" spans="1:8" s="53" customFormat="1" ht="39.299999999999997" x14ac:dyDescent="0.25">
      <c r="A71" s="29">
        <f>A70+1</f>
        <v>1</v>
      </c>
      <c r="B71" s="4" t="s">
        <v>67</v>
      </c>
      <c r="C71" s="23" t="s">
        <v>14</v>
      </c>
      <c r="D71" s="31">
        <f>C15*21*0.888*1.1*0.001</f>
        <v>2.0512800000000002</v>
      </c>
      <c r="E71" s="23">
        <v>41000</v>
      </c>
      <c r="F71" s="32">
        <f>ROUNDUP(MMULT(D71,E71),0)</f>
        <v>84103</v>
      </c>
    </row>
    <row r="72" spans="1:8" s="53" customFormat="1" ht="39.299999999999997" x14ac:dyDescent="0.25">
      <c r="A72" s="29">
        <f t="shared" ref="A72:A77" si="13">A71+1</f>
        <v>2</v>
      </c>
      <c r="B72" s="4" t="s">
        <v>68</v>
      </c>
      <c r="C72" s="23" t="s">
        <v>14</v>
      </c>
      <c r="D72" s="31">
        <f>(C15+C16/2)*0.45*1.2*0.001</f>
        <v>6.4799999999999996E-2</v>
      </c>
      <c r="E72" s="23">
        <v>41000</v>
      </c>
      <c r="F72" s="32">
        <f>ROUNDUP(MMULT(D72,E72),0)</f>
        <v>2657</v>
      </c>
    </row>
    <row r="73" spans="1:8" s="53" customFormat="1" ht="13.1" x14ac:dyDescent="0.25">
      <c r="A73" s="29">
        <f t="shared" si="13"/>
        <v>3</v>
      </c>
      <c r="B73" s="4" t="s">
        <v>6</v>
      </c>
      <c r="C73" s="23" t="s">
        <v>15</v>
      </c>
      <c r="D73" s="12">
        <f>D45*9</f>
        <v>19.044720000000002</v>
      </c>
      <c r="E73" s="5">
        <v>100</v>
      </c>
      <c r="F73" s="63">
        <f t="shared" ref="F73:F77" si="14">MMULT(D73,E73)</f>
        <v>1904.4720000000002</v>
      </c>
    </row>
    <row r="74" spans="1:8" s="53" customFormat="1" ht="13.1" x14ac:dyDescent="0.25">
      <c r="A74" s="29">
        <f t="shared" si="13"/>
        <v>4</v>
      </c>
      <c r="B74" s="4" t="s">
        <v>35</v>
      </c>
      <c r="C74" s="23" t="s">
        <v>12</v>
      </c>
      <c r="D74" s="83">
        <f>C15*5</f>
        <v>500</v>
      </c>
      <c r="E74" s="5">
        <v>5</v>
      </c>
      <c r="F74" s="63">
        <f t="shared" si="14"/>
        <v>2500</v>
      </c>
    </row>
    <row r="75" spans="1:8" s="53" customFormat="1" ht="13.1" x14ac:dyDescent="0.25">
      <c r="A75" s="29">
        <f t="shared" si="13"/>
        <v>5</v>
      </c>
      <c r="B75" s="4" t="s">
        <v>76</v>
      </c>
      <c r="C75" s="23" t="s">
        <v>3</v>
      </c>
      <c r="D75" s="12">
        <f>D43</f>
        <v>100</v>
      </c>
      <c r="E75" s="5">
        <v>480</v>
      </c>
      <c r="F75" s="63">
        <f t="shared" si="14"/>
        <v>48000</v>
      </c>
    </row>
    <row r="76" spans="1:8" s="53" customFormat="1" ht="13.1" x14ac:dyDescent="0.25">
      <c r="A76" s="29">
        <f t="shared" si="13"/>
        <v>6</v>
      </c>
      <c r="B76" s="4" t="s">
        <v>73</v>
      </c>
      <c r="C76" s="23" t="s">
        <v>3</v>
      </c>
      <c r="D76" s="12">
        <f>C15*0.25</f>
        <v>25</v>
      </c>
      <c r="E76" s="5">
        <v>900</v>
      </c>
      <c r="F76" s="63">
        <f t="shared" si="14"/>
        <v>22500</v>
      </c>
    </row>
    <row r="77" spans="1:8" s="53" customFormat="1" ht="13.1" x14ac:dyDescent="0.25">
      <c r="A77" s="29">
        <f t="shared" si="13"/>
        <v>7</v>
      </c>
      <c r="B77" s="4" t="s">
        <v>110</v>
      </c>
      <c r="C77" s="23" t="s">
        <v>4</v>
      </c>
      <c r="D77" s="12">
        <f>D46</f>
        <v>21</v>
      </c>
      <c r="E77" s="5">
        <f>IF($C$18&gt;30,($C$18-30)*15+4100,4100)</f>
        <v>4100</v>
      </c>
      <c r="F77" s="63">
        <f t="shared" si="14"/>
        <v>86100</v>
      </c>
    </row>
    <row r="78" spans="1:8" s="53" customFormat="1" ht="13.1" x14ac:dyDescent="0.25">
      <c r="A78" s="29"/>
      <c r="B78" s="4"/>
      <c r="C78" s="5"/>
      <c r="D78" s="5"/>
      <c r="E78" s="21" t="s">
        <v>38</v>
      </c>
      <c r="F78" s="59">
        <f>SUM(F71:F77)</f>
        <v>247764.47200000001</v>
      </c>
    </row>
    <row r="79" spans="1:8" s="53" customFormat="1" ht="14.4" x14ac:dyDescent="0.25">
      <c r="A79" s="42"/>
      <c r="B79" s="94" t="s">
        <v>47</v>
      </c>
      <c r="C79" s="26"/>
      <c r="D79" s="26"/>
      <c r="E79" s="26"/>
      <c r="F79" s="64"/>
    </row>
    <row r="80" spans="1:8" ht="15.9" customHeight="1" x14ac:dyDescent="0.3">
      <c r="A80" s="29">
        <v>1</v>
      </c>
      <c r="B80" s="2" t="s">
        <v>86</v>
      </c>
      <c r="C80" s="3" t="s">
        <v>87</v>
      </c>
      <c r="D80" s="3">
        <v>1</v>
      </c>
      <c r="E80" s="3">
        <f>IF($C$14&gt;30,($C$14-30)*35+9000,9000)</f>
        <v>9000</v>
      </c>
      <c r="F80" s="61">
        <f>D80*E80</f>
        <v>9000</v>
      </c>
      <c r="G80" s="84"/>
    </row>
    <row r="81" spans="1:7" ht="15.9" customHeight="1" x14ac:dyDescent="0.3">
      <c r="A81" s="29">
        <f>A80+1</f>
        <v>2</v>
      </c>
      <c r="B81" s="2" t="s">
        <v>88</v>
      </c>
      <c r="C81" s="3" t="s">
        <v>87</v>
      </c>
      <c r="D81" s="3">
        <v>1</v>
      </c>
      <c r="E81" s="3">
        <f>IF($C$18&gt;30,($C$18-30)*35+9000,9000)</f>
        <v>9000</v>
      </c>
      <c r="F81" s="61">
        <f>D81*E81</f>
        <v>9000</v>
      </c>
      <c r="G81" s="84"/>
    </row>
    <row r="82" spans="1:7" ht="15.25" customHeight="1" x14ac:dyDescent="0.3">
      <c r="A82" s="29">
        <f t="shared" ref="A82:A83" si="15">A81+1</f>
        <v>3</v>
      </c>
      <c r="B82" s="2" t="s">
        <v>104</v>
      </c>
      <c r="C82" s="3" t="s">
        <v>87</v>
      </c>
      <c r="D82" s="3">
        <v>2</v>
      </c>
      <c r="E82" s="3">
        <f>IF($C$14&gt;30,($C$14-30)*35+4200,4200)</f>
        <v>4200</v>
      </c>
      <c r="F82" s="61">
        <f>D82*E82</f>
        <v>8400</v>
      </c>
      <c r="G82" s="84"/>
    </row>
    <row r="83" spans="1:7" x14ac:dyDescent="0.3">
      <c r="A83" s="29">
        <f t="shared" si="15"/>
        <v>4</v>
      </c>
      <c r="B83" s="2" t="s">
        <v>93</v>
      </c>
      <c r="C83" s="3"/>
      <c r="D83" s="3"/>
      <c r="E83" s="3"/>
      <c r="F83" s="61">
        <v>2400</v>
      </c>
      <c r="G83" s="84"/>
    </row>
    <row r="84" spans="1:7" s="53" customFormat="1" ht="13.1" x14ac:dyDescent="0.25">
      <c r="A84" s="29"/>
      <c r="B84" s="6"/>
      <c r="C84" s="6"/>
      <c r="D84" s="6"/>
      <c r="E84" s="27" t="s">
        <v>38</v>
      </c>
      <c r="F84" s="59">
        <f>SUM(F80:F83)</f>
        <v>28800</v>
      </c>
    </row>
    <row r="85" spans="1:7" s="53" customFormat="1" ht="13.75" x14ac:dyDescent="0.25">
      <c r="A85" s="62"/>
      <c r="B85" s="25"/>
      <c r="C85" s="129" t="s">
        <v>49</v>
      </c>
      <c r="D85" s="130"/>
      <c r="E85" s="131"/>
      <c r="F85" s="59">
        <f>F78+F69+F62+F54+F84</f>
        <v>927925.04700000002</v>
      </c>
    </row>
    <row r="86" spans="1:7" s="53" customFormat="1" x14ac:dyDescent="0.25">
      <c r="A86" s="42"/>
      <c r="B86" s="125" t="s">
        <v>103</v>
      </c>
      <c r="C86" s="126"/>
      <c r="D86" s="126"/>
      <c r="E86" s="126"/>
      <c r="F86" s="127"/>
    </row>
    <row r="87" spans="1:7" s="53" customFormat="1" ht="26.2" x14ac:dyDescent="0.25">
      <c r="A87" s="29">
        <f t="shared" ref="A87" si="16">A86+1</f>
        <v>1</v>
      </c>
      <c r="B87" s="78" t="s">
        <v>105</v>
      </c>
      <c r="C87" s="17" t="s">
        <v>4</v>
      </c>
      <c r="D87" s="79">
        <v>0</v>
      </c>
      <c r="E87" s="17">
        <v>150</v>
      </c>
      <c r="F87" s="30">
        <f>D87*E87</f>
        <v>0</v>
      </c>
    </row>
    <row r="88" spans="1:7" s="53" customFormat="1" ht="13.1" x14ac:dyDescent="0.25">
      <c r="A88" s="29">
        <f t="shared" ref="A88:A97" si="17">A87+1</f>
        <v>2</v>
      </c>
      <c r="B88" s="2" t="s">
        <v>85</v>
      </c>
      <c r="C88" s="17" t="s">
        <v>4</v>
      </c>
      <c r="D88" s="44">
        <f>CEILING(((C5+C6)*(C8+C9+C10)*0.001-(C5-C6*0.2)*C10*0.001)*1.28,10)</f>
        <v>140</v>
      </c>
      <c r="E88" s="17">
        <v>1000</v>
      </c>
      <c r="F88" s="30">
        <f>D88*E88</f>
        <v>140000</v>
      </c>
    </row>
    <row r="89" spans="1:7" s="53" customFormat="1" ht="27.5" customHeight="1" x14ac:dyDescent="0.25">
      <c r="A89" s="29">
        <f t="shared" si="17"/>
        <v>3</v>
      </c>
      <c r="B89" s="2" t="s">
        <v>89</v>
      </c>
      <c r="C89" s="17" t="s">
        <v>13</v>
      </c>
      <c r="D89" s="18">
        <v>5</v>
      </c>
      <c r="E89" s="17">
        <v>1200</v>
      </c>
      <c r="F89" s="30">
        <f t="shared" ref="F89:F91" si="18">D89*E89</f>
        <v>6000</v>
      </c>
    </row>
    <row r="90" spans="1:7" s="53" customFormat="1" ht="39.299999999999997" x14ac:dyDescent="0.25">
      <c r="A90" s="29">
        <f t="shared" si="17"/>
        <v>4</v>
      </c>
      <c r="B90" s="2" t="s">
        <v>83</v>
      </c>
      <c r="C90" s="17" t="s">
        <v>13</v>
      </c>
      <c r="D90" s="18">
        <v>10</v>
      </c>
      <c r="E90" s="17">
        <f>100*2</f>
        <v>200</v>
      </c>
      <c r="F90" s="30">
        <f t="shared" si="18"/>
        <v>2000</v>
      </c>
    </row>
    <row r="91" spans="1:7" s="53" customFormat="1" ht="39.299999999999997" x14ac:dyDescent="0.25">
      <c r="A91" s="29">
        <f t="shared" si="17"/>
        <v>5</v>
      </c>
      <c r="B91" s="2" t="s">
        <v>84</v>
      </c>
      <c r="C91" s="17" t="s">
        <v>13</v>
      </c>
      <c r="D91" s="18">
        <v>5</v>
      </c>
      <c r="E91" s="17">
        <v>1000</v>
      </c>
      <c r="F91" s="30">
        <f t="shared" si="18"/>
        <v>5000</v>
      </c>
    </row>
    <row r="92" spans="1:7" s="53" customFormat="1" ht="13.1" x14ac:dyDescent="0.25">
      <c r="A92" s="29">
        <f t="shared" si="17"/>
        <v>6</v>
      </c>
      <c r="B92" s="2" t="s">
        <v>58</v>
      </c>
      <c r="C92" s="17" t="s">
        <v>3</v>
      </c>
      <c r="D92" s="18">
        <f>C5+C6*0.1</f>
        <v>112.32000000000001</v>
      </c>
      <c r="E92" s="17">
        <v>520</v>
      </c>
      <c r="F92" s="30">
        <f t="shared" ref="F92:F96" si="19">D92*E92</f>
        <v>58406.400000000001</v>
      </c>
    </row>
    <row r="93" spans="1:7" s="53" customFormat="1" ht="13.1" x14ac:dyDescent="0.25">
      <c r="A93" s="29">
        <f t="shared" si="17"/>
        <v>7</v>
      </c>
      <c r="B93" s="2" t="s">
        <v>52</v>
      </c>
      <c r="C93" s="17" t="s">
        <v>3</v>
      </c>
      <c r="D93" s="18">
        <f>C5+C6*0.1</f>
        <v>112.32000000000001</v>
      </c>
      <c r="E93" s="17">
        <f>510</f>
        <v>510</v>
      </c>
      <c r="F93" s="30">
        <f t="shared" si="19"/>
        <v>57283.200000000004</v>
      </c>
    </row>
    <row r="94" spans="1:7" s="53" customFormat="1" ht="15.25" customHeight="1" x14ac:dyDescent="0.25">
      <c r="A94" s="29">
        <f t="shared" si="17"/>
        <v>8</v>
      </c>
      <c r="B94" s="2" t="s">
        <v>53</v>
      </c>
      <c r="C94" s="17" t="s">
        <v>3</v>
      </c>
      <c r="D94" s="18">
        <f>C6*(C12+C7*0.001+C17*0.001)</f>
        <v>137.28</v>
      </c>
      <c r="E94" s="17">
        <v>630</v>
      </c>
      <c r="F94" s="30">
        <f t="shared" si="19"/>
        <v>86486.399999999994</v>
      </c>
    </row>
    <row r="95" spans="1:7" s="53" customFormat="1" ht="13.1" x14ac:dyDescent="0.25">
      <c r="A95" s="29">
        <f t="shared" si="17"/>
        <v>9</v>
      </c>
      <c r="B95" s="2" t="s">
        <v>54</v>
      </c>
      <c r="C95" s="17" t="s">
        <v>3</v>
      </c>
      <c r="D95" s="18">
        <f>C6*(C12+C7*0.001+C17*0.001)</f>
        <v>137.28</v>
      </c>
      <c r="E95" s="17">
        <v>885</v>
      </c>
      <c r="F95" s="30">
        <f t="shared" si="19"/>
        <v>121492.8</v>
      </c>
    </row>
    <row r="96" spans="1:7" s="53" customFormat="1" ht="26.2" x14ac:dyDescent="0.25">
      <c r="A96" s="29">
        <f t="shared" si="17"/>
        <v>10</v>
      </c>
      <c r="B96" s="2" t="s">
        <v>78</v>
      </c>
      <c r="C96" s="17" t="s">
        <v>13</v>
      </c>
      <c r="D96" s="18">
        <f>C6</f>
        <v>41.6</v>
      </c>
      <c r="E96" s="17">
        <f>800</f>
        <v>800</v>
      </c>
      <c r="F96" s="30">
        <f t="shared" si="19"/>
        <v>33280</v>
      </c>
    </row>
    <row r="97" spans="1:7" s="53" customFormat="1" ht="15.25" customHeight="1" x14ac:dyDescent="0.25">
      <c r="A97" s="29">
        <f t="shared" si="17"/>
        <v>11</v>
      </c>
      <c r="B97" s="78" t="s">
        <v>70</v>
      </c>
      <c r="C97" s="23" t="s">
        <v>71</v>
      </c>
      <c r="D97" s="18">
        <v>1</v>
      </c>
      <c r="E97" s="17">
        <f>FLOOR(C5/100,1)*10000</f>
        <v>10000</v>
      </c>
      <c r="F97" s="30">
        <f>D97*E97</f>
        <v>10000</v>
      </c>
    </row>
    <row r="98" spans="1:7" s="53" customFormat="1" ht="13.75" x14ac:dyDescent="0.25">
      <c r="A98" s="29"/>
      <c r="B98" s="2"/>
      <c r="C98" s="102" t="s">
        <v>50</v>
      </c>
      <c r="D98" s="103"/>
      <c r="E98" s="104"/>
      <c r="F98" s="45">
        <f>SUM(F87:F97)</f>
        <v>519948.79999999999</v>
      </c>
    </row>
    <row r="99" spans="1:7" s="53" customFormat="1" x14ac:dyDescent="0.25">
      <c r="A99" s="42"/>
      <c r="B99" s="56" t="s">
        <v>55</v>
      </c>
      <c r="C99" s="26"/>
      <c r="D99" s="26"/>
      <c r="E99" s="26"/>
      <c r="F99" s="43"/>
    </row>
    <row r="100" spans="1:7" s="53" customFormat="1" ht="13.1" x14ac:dyDescent="0.25">
      <c r="A100" s="29">
        <f>A99+1</f>
        <v>1</v>
      </c>
      <c r="B100" s="2" t="s">
        <v>22</v>
      </c>
      <c r="C100" s="3" t="s">
        <v>10</v>
      </c>
      <c r="D100" s="3">
        <v>3</v>
      </c>
      <c r="E100" s="3">
        <f>IF($C$18&gt;30,($C$18-30)*115+14400,14400)</f>
        <v>14400</v>
      </c>
      <c r="F100" s="46">
        <f>MMULT(D100,E100)</f>
        <v>43200</v>
      </c>
    </row>
    <row r="101" spans="1:7" s="53" customFormat="1" ht="26.2" x14ac:dyDescent="0.25">
      <c r="A101" s="29">
        <f t="shared" ref="A101" si="20">A100+1</f>
        <v>2</v>
      </c>
      <c r="B101" s="2" t="s">
        <v>72</v>
      </c>
      <c r="C101" s="3" t="s">
        <v>10</v>
      </c>
      <c r="D101" s="3">
        <v>2</v>
      </c>
      <c r="E101" s="3">
        <v>12000</v>
      </c>
      <c r="F101" s="61">
        <f>D101*E101</f>
        <v>24000</v>
      </c>
    </row>
    <row r="102" spans="1:7" s="53" customFormat="1" ht="40.6" customHeight="1" x14ac:dyDescent="0.25">
      <c r="A102" s="29">
        <f>A101+1</f>
        <v>3</v>
      </c>
      <c r="B102" s="2" t="s">
        <v>90</v>
      </c>
      <c r="C102" s="3" t="s">
        <v>12</v>
      </c>
      <c r="D102" s="2">
        <v>1</v>
      </c>
      <c r="E102" s="3">
        <v>20000</v>
      </c>
      <c r="F102" s="61">
        <f>D102*E102</f>
        <v>20000</v>
      </c>
    </row>
    <row r="103" spans="1:7" s="53" customFormat="1" ht="13.1" x14ac:dyDescent="0.25">
      <c r="A103" s="29">
        <f t="shared" ref="A103:A105" si="21">A102+1</f>
        <v>4</v>
      </c>
      <c r="B103" s="2" t="s">
        <v>62</v>
      </c>
      <c r="C103" s="3" t="s">
        <v>12</v>
      </c>
      <c r="D103" s="2">
        <v>1</v>
      </c>
      <c r="E103" s="67">
        <v>5000</v>
      </c>
      <c r="F103" s="61">
        <f>D103*E103</f>
        <v>5000</v>
      </c>
    </row>
    <row r="104" spans="1:7" ht="39.950000000000003" x14ac:dyDescent="0.3">
      <c r="A104" s="29">
        <f t="shared" si="21"/>
        <v>5</v>
      </c>
      <c r="B104" s="2" t="s">
        <v>106</v>
      </c>
      <c r="C104" s="3" t="s">
        <v>61</v>
      </c>
      <c r="D104" s="2">
        <f>ROUND(D85/3,0)</f>
        <v>0</v>
      </c>
      <c r="E104" s="3">
        <v>0</v>
      </c>
      <c r="F104" s="61">
        <f>D104*E104</f>
        <v>0</v>
      </c>
      <c r="G104" s="84"/>
    </row>
    <row r="105" spans="1:7" s="53" customFormat="1" ht="39.299999999999997" x14ac:dyDescent="0.25">
      <c r="A105" s="29">
        <f t="shared" si="21"/>
        <v>6</v>
      </c>
      <c r="B105" s="2" t="s">
        <v>94</v>
      </c>
      <c r="C105" s="3" t="s">
        <v>95</v>
      </c>
      <c r="D105" s="2">
        <v>0</v>
      </c>
      <c r="E105" s="67">
        <v>0</v>
      </c>
      <c r="F105" s="61">
        <f>D105*E105</f>
        <v>0</v>
      </c>
    </row>
    <row r="106" spans="1:7" x14ac:dyDescent="0.3">
      <c r="A106" s="47"/>
      <c r="B106" s="102" t="s">
        <v>56</v>
      </c>
      <c r="C106" s="103"/>
      <c r="D106" s="103"/>
      <c r="E106" s="104"/>
      <c r="F106" s="48">
        <f>SUM(F100:F105)</f>
        <v>92200</v>
      </c>
    </row>
    <row r="107" spans="1:7" x14ac:dyDescent="0.3">
      <c r="A107" s="29"/>
      <c r="B107" s="113" t="s">
        <v>24</v>
      </c>
      <c r="C107" s="114"/>
      <c r="D107" s="114"/>
      <c r="E107" s="115"/>
      <c r="F107" s="45">
        <f>F106+F98+F85+F48</f>
        <v>2188425.6202704003</v>
      </c>
    </row>
    <row r="108" spans="1:7" ht="15.75" thickBot="1" x14ac:dyDescent="0.35">
      <c r="A108" s="29"/>
      <c r="B108" s="102" t="s">
        <v>57</v>
      </c>
      <c r="C108" s="103"/>
      <c r="D108" s="103"/>
      <c r="E108" s="104"/>
      <c r="F108" s="45">
        <f>F107*0.02</f>
        <v>43768.512405408008</v>
      </c>
    </row>
    <row r="109" spans="1:7" s="68" customFormat="1" thickBot="1" x14ac:dyDescent="0.3">
      <c r="A109" s="116" t="s">
        <v>11</v>
      </c>
      <c r="B109" s="117"/>
      <c r="C109" s="117"/>
      <c r="D109" s="118"/>
      <c r="E109" s="119">
        <f>F108+F107</f>
        <v>2232194.1326758084</v>
      </c>
      <c r="F109" s="120"/>
    </row>
    <row r="110" spans="1:7" x14ac:dyDescent="0.3">
      <c r="A110" s="74"/>
      <c r="B110" s="75"/>
      <c r="C110" s="75"/>
      <c r="D110" s="75"/>
      <c r="E110" s="76"/>
      <c r="F110" s="77"/>
      <c r="G110" s="84"/>
    </row>
    <row r="111" spans="1:7" s="68" customFormat="1" x14ac:dyDescent="0.25">
      <c r="A111" s="69"/>
      <c r="B111" s="123" t="s">
        <v>100</v>
      </c>
      <c r="C111" s="123"/>
      <c r="D111" s="123"/>
      <c r="E111" s="123"/>
      <c r="F111" s="124"/>
    </row>
    <row r="112" spans="1:7" ht="12.8" customHeight="1" x14ac:dyDescent="0.3">
      <c r="A112" s="86"/>
      <c r="B112" s="87"/>
      <c r="C112" s="87"/>
      <c r="D112" s="87"/>
      <c r="E112" s="88"/>
      <c r="F112" s="89"/>
    </row>
    <row r="113" spans="1:7" ht="20.95" customHeight="1" x14ac:dyDescent="0.3">
      <c r="A113" s="69"/>
      <c r="B113" s="70" t="s">
        <v>66</v>
      </c>
      <c r="C113" s="71"/>
      <c r="D113" s="71"/>
      <c r="E113" s="71"/>
      <c r="F113" s="72"/>
    </row>
    <row r="114" spans="1:7" ht="48.8" customHeight="1" x14ac:dyDescent="0.3">
      <c r="A114" s="69"/>
      <c r="B114" s="85" t="s">
        <v>64</v>
      </c>
      <c r="C114" s="121" t="s">
        <v>65</v>
      </c>
      <c r="D114" s="121"/>
      <c r="E114" s="121"/>
      <c r="F114" s="122"/>
    </row>
    <row r="115" spans="1:7" ht="40.6" customHeight="1" x14ac:dyDescent="0.3">
      <c r="A115" s="69"/>
      <c r="B115" s="73" t="s">
        <v>107</v>
      </c>
      <c r="C115" s="110">
        <f>CEILING(F54+F62+F64+F71+F84+F98/2,1000)</f>
        <v>806000</v>
      </c>
      <c r="D115" s="111"/>
      <c r="E115" s="111"/>
      <c r="F115" s="112"/>
    </row>
    <row r="116" spans="1:7" ht="61.55" customHeight="1" x14ac:dyDescent="0.3">
      <c r="A116" s="69"/>
      <c r="B116" s="73" t="s">
        <v>112</v>
      </c>
      <c r="C116" s="110">
        <f>CEILING(F69-F64+F78-F71+F106+F30+F35,1000)</f>
        <v>684000</v>
      </c>
      <c r="D116" s="111"/>
      <c r="E116" s="111"/>
      <c r="F116" s="112"/>
    </row>
    <row r="117" spans="1:7" ht="43.55" customHeight="1" x14ac:dyDescent="0.3">
      <c r="A117" s="69"/>
      <c r="B117" s="73" t="s">
        <v>101</v>
      </c>
      <c r="C117" s="110">
        <f>E109-C115-C116</f>
        <v>742194.13267580839</v>
      </c>
      <c r="D117" s="111"/>
      <c r="E117" s="111"/>
      <c r="F117" s="112"/>
    </row>
    <row r="118" spans="1:7" ht="9.85" customHeight="1" x14ac:dyDescent="0.3">
      <c r="A118" s="69"/>
      <c r="B118" s="80"/>
      <c r="C118" s="81"/>
      <c r="D118" s="81"/>
      <c r="E118" s="81"/>
      <c r="F118" s="82"/>
      <c r="G118" s="84"/>
    </row>
    <row r="119" spans="1:7" ht="47.45" customHeight="1" x14ac:dyDescent="0.3">
      <c r="A119" s="69"/>
      <c r="B119" s="105" t="s">
        <v>96</v>
      </c>
      <c r="C119" s="105"/>
      <c r="D119" s="105"/>
      <c r="E119" s="105"/>
      <c r="F119" s="106"/>
    </row>
    <row r="120" spans="1:7" ht="41.25" customHeight="1" x14ac:dyDescent="0.3">
      <c r="A120" s="92"/>
      <c r="B120" s="105" t="s">
        <v>97</v>
      </c>
      <c r="C120" s="105"/>
      <c r="D120" s="105"/>
      <c r="E120" s="105"/>
      <c r="F120" s="106"/>
    </row>
    <row r="121" spans="1:7" ht="12.3" customHeight="1" x14ac:dyDescent="0.3">
      <c r="A121" s="92"/>
      <c r="B121" s="90"/>
      <c r="C121" s="90"/>
      <c r="D121" s="90"/>
      <c r="E121" s="90"/>
      <c r="F121" s="91"/>
    </row>
    <row r="122" spans="1:7" x14ac:dyDescent="0.3">
      <c r="A122" s="92"/>
      <c r="B122" s="105" t="s">
        <v>98</v>
      </c>
      <c r="C122" s="105"/>
      <c r="D122" s="105"/>
      <c r="E122" s="105"/>
      <c r="F122" s="106"/>
    </row>
    <row r="123" spans="1:7" x14ac:dyDescent="0.3">
      <c r="A123" s="92"/>
      <c r="B123" s="93" t="s">
        <v>99</v>
      </c>
      <c r="C123" s="90"/>
      <c r="D123" s="90"/>
      <c r="E123" s="90"/>
      <c r="F123" s="91"/>
    </row>
    <row r="124" spans="1:7" ht="31.75" customHeight="1" x14ac:dyDescent="0.3">
      <c r="A124" s="98"/>
      <c r="B124" s="99"/>
      <c r="C124" s="99"/>
      <c r="D124" s="99"/>
      <c r="E124" s="99"/>
      <c r="F124" s="100"/>
    </row>
    <row r="154" ht="15.9" customHeight="1" x14ac:dyDescent="0.3"/>
    <row r="165" ht="15.25" customHeight="1" x14ac:dyDescent="0.3"/>
    <row r="204" ht="15.9" customHeight="1" x14ac:dyDescent="0.3"/>
    <row r="206" ht="18" customHeight="1" x14ac:dyDescent="0.3"/>
    <row r="207" ht="15.9" customHeight="1" x14ac:dyDescent="0.3"/>
    <row r="210" ht="14.25" customHeight="1" x14ac:dyDescent="0.3"/>
    <row r="222" ht="15.25" customHeight="1" x14ac:dyDescent="0.3"/>
    <row r="224" ht="15.9" customHeight="1" x14ac:dyDescent="0.3"/>
    <row r="243" ht="15.25" customHeight="1" x14ac:dyDescent="0.3"/>
    <row r="247" ht="15.9" customHeight="1" x14ac:dyDescent="0.3"/>
    <row r="276" ht="16.55" customHeight="1" x14ac:dyDescent="0.3"/>
    <row r="278" ht="15.25" customHeight="1" x14ac:dyDescent="0.3"/>
  </sheetData>
  <mergeCells count="25">
    <mergeCell ref="B86:F86"/>
    <mergeCell ref="B4:F4"/>
    <mergeCell ref="C48:E48"/>
    <mergeCell ref="C85:E85"/>
    <mergeCell ref="B50:F50"/>
    <mergeCell ref="B55:F55"/>
    <mergeCell ref="B23:F23"/>
    <mergeCell ref="B49:F49"/>
    <mergeCell ref="B20:F20"/>
    <mergeCell ref="A1:F1"/>
    <mergeCell ref="C98:E98"/>
    <mergeCell ref="B122:F122"/>
    <mergeCell ref="A3:F3"/>
    <mergeCell ref="B119:F119"/>
    <mergeCell ref="C115:F115"/>
    <mergeCell ref="C116:F116"/>
    <mergeCell ref="C117:F117"/>
    <mergeCell ref="B106:E106"/>
    <mergeCell ref="B107:E107"/>
    <mergeCell ref="B108:E108"/>
    <mergeCell ref="A109:D109"/>
    <mergeCell ref="E109:F109"/>
    <mergeCell ref="B120:F120"/>
    <mergeCell ref="C114:F114"/>
    <mergeCell ref="B111:F111"/>
  </mergeCells>
  <hyperlinks>
    <hyperlink ref="B123" r:id="rId1"/>
  </hyperlinks>
  <pageMargins left="0.70866141732283472" right="0.70866141732283472" top="0.74803149606299213" bottom="0.74803149606299213" header="0.31496062992125984" footer="0.31496062992125984"/>
  <pageSetup paperSize="9" scale="98" fitToHeight="0" orientation="portrait" horizontalDpi="180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5.05" x14ac:dyDescent="0.3"/>
  <sheetData>
    <row r="3" spans="1:1" x14ac:dyDescent="0.3">
      <c r="A3" t="s">
        <v>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2019-02-28T08:29:53Z</dcterms:modified>
</cp:coreProperties>
</file>