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apt33090.sharepoint.com/sites/OP_PME-LadderHoist/Shared Documents/General/"/>
    </mc:Choice>
  </mc:AlternateContent>
  <xr:revisionPtr revIDLastSave="1358" documentId="13_ncr:1_{A618BE22-37FD-41CE-9B1E-8EF042868ADF}" xr6:coauthVersionLast="47" xr6:coauthVersionMax="47" xr10:uidLastSave="{74FC604C-F690-4710-9364-5286635A0AEE}"/>
  <bookViews>
    <workbookView xWindow="28680" yWindow="-120" windowWidth="29040" windowHeight="15840" firstSheet="1" activeTab="1" xr2:uid="{4A258143-1D07-4735-B540-9259D3E42EA4}"/>
  </bookViews>
  <sheets>
    <sheet name="Dados" sheetId="1" r:id="rId1"/>
    <sheet name="Cabo aço V.2" sheetId="7" r:id="rId2"/>
    <sheet name="tambor_nervuras V2 " sheetId="4" r:id="rId3"/>
    <sheet name="Cabo aço" sheetId="2" r:id="rId4"/>
    <sheet name="tambor_nervuras" sheetId="6" r:id="rId5"/>
    <sheet name="Benchmarking" sheetId="5" r:id="rId6"/>
    <sheet name="Motor Freio Specs" sheetId="3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7" i="7" l="1"/>
  <c r="M46" i="7"/>
  <c r="R11" i="4"/>
  <c r="C12" i="4"/>
  <c r="C13" i="4" s="1"/>
  <c r="C14" i="4" s="1"/>
  <c r="C11" i="4"/>
  <c r="L46" i="7"/>
  <c r="J46" i="7"/>
  <c r="E46" i="7"/>
  <c r="G46" i="7" s="1"/>
  <c r="H46" i="7" s="1"/>
  <c r="I46" i="7"/>
  <c r="B40" i="7"/>
  <c r="K46" i="7"/>
  <c r="B6" i="7"/>
  <c r="I24" i="7"/>
  <c r="I25" i="7"/>
  <c r="I26" i="7"/>
  <c r="G26" i="7"/>
  <c r="H26" i="7" s="1"/>
  <c r="G25" i="7"/>
  <c r="H25" i="7" s="1"/>
  <c r="J26" i="7"/>
  <c r="J25" i="7"/>
  <c r="E24" i="7"/>
  <c r="J24" i="7" s="1"/>
  <c r="G24" i="7"/>
  <c r="I23" i="7"/>
  <c r="E23" i="7"/>
  <c r="J23" i="7" s="1"/>
  <c r="J2" i="7"/>
  <c r="B4" i="7"/>
  <c r="I19" i="7"/>
  <c r="E19" i="7"/>
  <c r="M19" i="7" s="1"/>
  <c r="I18" i="7"/>
  <c r="E18" i="7"/>
  <c r="M18" i="7" s="1"/>
  <c r="I17" i="7"/>
  <c r="E17" i="7"/>
  <c r="J17" i="7" s="1"/>
  <c r="I16" i="7"/>
  <c r="E16" i="7"/>
  <c r="J16" i="7" s="1"/>
  <c r="I15" i="7"/>
  <c r="E15" i="7"/>
  <c r="G15" i="7" s="1"/>
  <c r="B3" i="7"/>
  <c r="C10" i="4"/>
  <c r="I16" i="2"/>
  <c r="C5" i="2"/>
  <c r="C4" i="2"/>
  <c r="R12" i="4"/>
  <c r="H17" i="2"/>
  <c r="B15" i="6"/>
  <c r="F7" i="6"/>
  <c r="B13" i="6" s="1"/>
  <c r="B22" i="6" s="1"/>
  <c r="M7" i="6" s="1"/>
  <c r="B5" i="6"/>
  <c r="B14" i="6" s="1"/>
  <c r="K23" i="6" s="1"/>
  <c r="I17" i="2"/>
  <c r="I15" i="2"/>
  <c r="B14" i="2"/>
  <c r="G15" i="2"/>
  <c r="G16" i="2"/>
  <c r="G17" i="2"/>
  <c r="G13" i="2"/>
  <c r="B13" i="2"/>
  <c r="C13" i="2"/>
  <c r="E13" i="2"/>
  <c r="F13" i="2"/>
  <c r="C14" i="2"/>
  <c r="E14" i="2"/>
  <c r="F14" i="2"/>
  <c r="G14" i="2" s="1"/>
  <c r="B15" i="2"/>
  <c r="C15" i="2"/>
  <c r="E15" i="2"/>
  <c r="B16" i="2"/>
  <c r="F16" i="2" s="1"/>
  <c r="C16" i="2"/>
  <c r="D16" i="2"/>
  <c r="E16" i="2"/>
  <c r="B17" i="2"/>
  <c r="F17" i="2" s="1"/>
  <c r="C17" i="2"/>
  <c r="D17" i="2"/>
  <c r="E17" i="2"/>
  <c r="G3" i="2"/>
  <c r="D15" i="2" s="1"/>
  <c r="E8" i="2"/>
  <c r="E9" i="2" s="1"/>
  <c r="E6" i="1"/>
  <c r="C4" i="1"/>
  <c r="K26" i="7" l="1"/>
  <c r="K24" i="7"/>
  <c r="H24" i="7"/>
  <c r="K25" i="7"/>
  <c r="G23" i="7"/>
  <c r="H23" i="7" s="1"/>
  <c r="K23" i="7"/>
  <c r="H15" i="7"/>
  <c r="K17" i="7"/>
  <c r="G19" i="7"/>
  <c r="H19" i="7" s="1"/>
  <c r="M17" i="7"/>
  <c r="J19" i="7"/>
  <c r="K19" i="7" s="1"/>
  <c r="K16" i="7"/>
  <c r="G18" i="7"/>
  <c r="H18" i="7" s="1"/>
  <c r="G17" i="7"/>
  <c r="H17" i="7" s="1"/>
  <c r="G16" i="7"/>
  <c r="H16" i="7" s="1"/>
  <c r="J18" i="7"/>
  <c r="K18" i="7" s="1"/>
  <c r="L19" i="7"/>
  <c r="J15" i="7"/>
  <c r="K15" i="7" s="1"/>
  <c r="K24" i="6"/>
  <c r="B17" i="6"/>
  <c r="K26" i="6" s="1"/>
  <c r="B16" i="6"/>
  <c r="K25" i="6" s="1"/>
  <c r="D13" i="2"/>
  <c r="F15" i="2"/>
  <c r="D14" i="2"/>
  <c r="G20" i="4"/>
  <c r="G18" i="4" l="1"/>
  <c r="G17" i="4"/>
  <c r="G22" i="4" s="1"/>
  <c r="G12" i="4" s="1"/>
  <c r="G19" i="4"/>
</calcChain>
</file>

<file path=xl/sharedStrings.xml><?xml version="1.0" encoding="utf-8"?>
<sst xmlns="http://schemas.openxmlformats.org/spreadsheetml/2006/main" count="296" uniqueCount="168">
  <si>
    <t>Capacidade de Carga</t>
  </si>
  <si>
    <t>kg</t>
  </si>
  <si>
    <t>Área Elevação</t>
  </si>
  <si>
    <t>m2</t>
  </si>
  <si>
    <t>Capacidade Elevação</t>
  </si>
  <si>
    <t>m</t>
  </si>
  <si>
    <t>Velocidade Elevação</t>
  </si>
  <si>
    <t>m/min</t>
  </si>
  <si>
    <t>m/s</t>
  </si>
  <si>
    <t>Definição e dimensionamento da transmissão / sistema motriz</t>
  </si>
  <si>
    <t>Desenho de grande fiabilidade e elevado rendimento</t>
  </si>
  <si>
    <t>Dimensionar/Verificar rodos componentes (esforços)</t>
  </si>
  <si>
    <t>(engrenagens,veios,rolamentos,chavetas,estrutura suporte..)</t>
  </si>
  <si>
    <t>Desenho de conjunto comprrender a construção maquina</t>
  </si>
  <si>
    <t>Simulação com MEF os principais elementos estruturais</t>
  </si>
  <si>
    <t>Dimensoes Tambor cabo aço</t>
  </si>
  <si>
    <t>H máximo</t>
  </si>
  <si>
    <t>F</t>
  </si>
  <si>
    <t>N</t>
  </si>
  <si>
    <t>L Comp. Cabo</t>
  </si>
  <si>
    <t>https://electrolift.com/product/drums/</t>
  </si>
  <si>
    <t>Ø</t>
  </si>
  <si>
    <t>12"</t>
  </si>
  <si>
    <t>mm</t>
  </si>
  <si>
    <t>Cabo de aço</t>
  </si>
  <si>
    <t>Fs</t>
  </si>
  <si>
    <t>Classificação</t>
  </si>
  <si>
    <t>área cabo</t>
  </si>
  <si>
    <t>δ</t>
  </si>
  <si>
    <t>Carga Rutura min / Fs</t>
  </si>
  <si>
    <t>ΔL</t>
  </si>
  <si>
    <t>Ø Tambor</t>
  </si>
  <si>
    <t>1x7</t>
  </si>
  <si>
    <t>x</t>
  </si>
  <si>
    <t>1x19</t>
  </si>
  <si>
    <t>6x19</t>
  </si>
  <si>
    <t>6x25</t>
  </si>
  <si>
    <t>6x36</t>
  </si>
  <si>
    <t>For drums without rope grooves:</t>
  </si>
  <si>
    <t>and 20 x drum width ~ ß = 1.5º.</t>
  </si>
  <si>
    <t>i.e.</t>
  </si>
  <si>
    <t>Lmin = 20 x drum width.</t>
  </si>
  <si>
    <t>cabo L</t>
  </si>
  <si>
    <t>cabo Ø</t>
  </si>
  <si>
    <t>For drums with rope grooves:</t>
  </si>
  <si>
    <t>15 x drum width ~ ß = 2º,</t>
  </si>
  <si>
    <t>tambor Ø</t>
  </si>
  <si>
    <t>2*pi*r</t>
  </si>
  <si>
    <t>Lmin = 15 x drum width.</t>
  </si>
  <si>
    <t>Perímetro</t>
  </si>
  <si>
    <t>Lmin</t>
  </si>
  <si>
    <t>Nº Voltas</t>
  </si>
  <si>
    <t>un</t>
  </si>
  <si>
    <t>A</t>
  </si>
  <si>
    <t>B</t>
  </si>
  <si>
    <t>C</t>
  </si>
  <si>
    <t>R</t>
  </si>
  <si>
    <t>L tambor</t>
  </si>
  <si>
    <t>https://www.randers-reb.com/fishing-rope/rope-technology/handling-inspection-and-installation</t>
  </si>
  <si>
    <t xml:space="preserve">Easy Big WH-KI </t>
  </si>
  <si>
    <t>5,25 - 24</t>
  </si>
  <si>
    <t>3,5 -6,5</t>
  </si>
  <si>
    <t>º</t>
  </si>
  <si>
    <t>Motores Elétricos Trifásicos IEC com freio DC - Série BCL</t>
  </si>
  <si>
    <t xml:space="preserve">Fabricante </t>
  </si>
  <si>
    <t>Bernati</t>
  </si>
  <si>
    <t>Série</t>
  </si>
  <si>
    <t>BCL</t>
  </si>
  <si>
    <t>P</t>
  </si>
  <si>
    <t>Kw</t>
  </si>
  <si>
    <t>n</t>
  </si>
  <si>
    <t>rpm</t>
  </si>
  <si>
    <t>f</t>
  </si>
  <si>
    <t>Hz</t>
  </si>
  <si>
    <t>Polos</t>
  </si>
  <si>
    <t>IP65</t>
  </si>
  <si>
    <t>Freio</t>
  </si>
  <si>
    <t>DC</t>
  </si>
  <si>
    <t>Fornecedor</t>
  </si>
  <si>
    <t>Capacidade Máxima</t>
  </si>
  <si>
    <t>Alcance</t>
  </si>
  <si>
    <t>Alcance sem articulação</t>
  </si>
  <si>
    <t>Extensão</t>
  </si>
  <si>
    <t>Peso total</t>
  </si>
  <si>
    <t>Comprimento</t>
  </si>
  <si>
    <t>Largura</t>
  </si>
  <si>
    <t>Rotação</t>
  </si>
  <si>
    <t>Articulação de joelho e Sist. Hidráulico</t>
  </si>
  <si>
    <t>Travões de Disco multiplos / Guincho Elevação</t>
  </si>
  <si>
    <t>Reboque amovivel</t>
  </si>
  <si>
    <t>Controlo Remoto</t>
  </si>
  <si>
    <t>13 cv</t>
  </si>
  <si>
    <t>Motor Gasolina Honda</t>
  </si>
  <si>
    <t>Características</t>
  </si>
  <si>
    <t>B = diameter of groove diâmetro da ranhura= 1.06 x d</t>
  </si>
  <si>
    <t>A = elevation of groove elevação da ranhura = 1.08 x d</t>
  </si>
  <si>
    <t>C = depth of groove profundidade da ranhura = 0.30 x d</t>
  </si>
  <si>
    <t>R = upper radius  raio superior = approx. 0.15 x d</t>
  </si>
  <si>
    <t>Am [m2]</t>
  </si>
  <si>
    <t>FORNECEDOR</t>
  </si>
  <si>
    <t>MODELO</t>
  </si>
  <si>
    <t>M-358-P2</t>
  </si>
  <si>
    <t>20 1/2"</t>
  </si>
  <si>
    <t>TAMBOR DO MERCADO</t>
  </si>
  <si>
    <t>DIMENSIONAMENTO DO TAMBOR</t>
  </si>
  <si>
    <t>https://www.raseq.com/wire-rope/6x25-filler-wire-with-iwrc/</t>
  </si>
  <si>
    <t>RASEQ</t>
  </si>
  <si>
    <t xml:space="preserve">6x25 Filler </t>
  </si>
  <si>
    <t>Factor Segurança</t>
  </si>
  <si>
    <t>Ø [m]</t>
  </si>
  <si>
    <t>L cabo total</t>
  </si>
  <si>
    <t xml:space="preserve">Ø tambor </t>
  </si>
  <si>
    <t>L min polia</t>
  </si>
  <si>
    <t>Dados dos Problema</t>
  </si>
  <si>
    <t xml:space="preserve">caracteristicas </t>
  </si>
  <si>
    <t>Factor Segurança (Fs)</t>
  </si>
  <si>
    <t>Especificação cabo de aço</t>
  </si>
  <si>
    <t>Ø cabo x nº pernas x nº arames p/ perna + tipo alma</t>
  </si>
  <si>
    <t>Rotura teorica</t>
  </si>
  <si>
    <t>tensao rotura x A cabo</t>
  </si>
  <si>
    <t>1/5 carga rotura</t>
  </si>
  <si>
    <t>carga trabalho</t>
  </si>
  <si>
    <t>Carga de Trabalho [kN]</t>
  </si>
  <si>
    <t xml:space="preserve">Tensão Rotura </t>
  </si>
  <si>
    <t>Mpa</t>
  </si>
  <si>
    <t xml:space="preserve"> tipo</t>
  </si>
  <si>
    <r>
      <t>Area cabo [m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]</t>
    </r>
  </si>
  <si>
    <r>
      <t>Δ</t>
    </r>
    <r>
      <rPr>
        <b/>
        <vertAlign val="subscript"/>
        <sz val="11"/>
        <color theme="1"/>
        <rFont val="Calibri"/>
        <family val="2"/>
        <scheme val="minor"/>
      </rPr>
      <t>L</t>
    </r>
    <r>
      <rPr>
        <b/>
        <sz val="11"/>
        <color theme="1"/>
        <rFont val="Calibri"/>
        <family val="2"/>
        <scheme val="minor"/>
      </rPr>
      <t xml:space="preserve"> [m]</t>
    </r>
  </si>
  <si>
    <r>
      <t>A</t>
    </r>
    <r>
      <rPr>
        <b/>
        <vertAlign val="subscript"/>
        <sz val="11"/>
        <color theme="1"/>
        <rFont val="Calibri"/>
        <family val="2"/>
        <scheme val="minor"/>
      </rPr>
      <t>m</t>
    </r>
    <r>
      <rPr>
        <b/>
        <sz val="11"/>
        <color theme="1"/>
        <rFont val="Calibri"/>
        <family val="2"/>
        <scheme val="minor"/>
      </rPr>
      <t xml:space="preserve"> [m</t>
    </r>
    <r>
      <rPr>
        <b/>
        <vertAlign val="superscript"/>
        <sz val="11"/>
        <color theme="1"/>
        <rFont val="Calibri"/>
        <family val="2"/>
        <scheme val="minor"/>
      </rPr>
      <t>2</t>
    </r>
    <r>
      <rPr>
        <b/>
        <sz val="11"/>
        <color theme="1"/>
        <rFont val="Calibri"/>
        <family val="2"/>
        <scheme val="minor"/>
      </rPr>
      <t>]</t>
    </r>
  </si>
  <si>
    <t>L Tambor</t>
  </si>
  <si>
    <t>Guincho Obra</t>
  </si>
  <si>
    <t>Guindastes Gruas</t>
  </si>
  <si>
    <t>Uso Geral</t>
  </si>
  <si>
    <t xml:space="preserve">AF/AFA </t>
  </si>
  <si>
    <t>Alma de fibra</t>
  </si>
  <si>
    <t>AA e AACI</t>
  </si>
  <si>
    <t>Alma de aço</t>
  </si>
  <si>
    <t>Flexibilidade</t>
  </si>
  <si>
    <t>Tracao</t>
  </si>
  <si>
    <t xml:space="preserve"> +</t>
  </si>
  <si>
    <t xml:space="preserve"> -</t>
  </si>
  <si>
    <t>E [Gpa]</t>
  </si>
  <si>
    <t>65 - 100</t>
  </si>
  <si>
    <t>95 - 115</t>
  </si>
  <si>
    <t>6x7</t>
  </si>
  <si>
    <t>6x37</t>
  </si>
  <si>
    <t>8x19</t>
  </si>
  <si>
    <t>AF/AFA</t>
  </si>
  <si>
    <t>E min [Gpa]</t>
  </si>
  <si>
    <t>6x17</t>
  </si>
  <si>
    <t>Classe</t>
  </si>
  <si>
    <t>Filler + AACI</t>
  </si>
  <si>
    <t>Filler + AF</t>
  </si>
  <si>
    <t>Cordão</t>
  </si>
  <si>
    <t>AACI</t>
  </si>
  <si>
    <t>Carga Real [F]</t>
  </si>
  <si>
    <t xml:space="preserve">Carga x Fs </t>
  </si>
  <si>
    <t>https://www.caboscar.com.br/cabos-de-aco</t>
  </si>
  <si>
    <t>Kg</t>
  </si>
  <si>
    <t>Carga</t>
  </si>
  <si>
    <t>Guincho</t>
  </si>
  <si>
    <t>Carga Real</t>
  </si>
  <si>
    <t>Cabo</t>
  </si>
  <si>
    <t>6x7 CF</t>
  </si>
  <si>
    <t>ESCOLHIDO : DEFINIDO: FABRICANTE LUIZ GODINHO</t>
  </si>
  <si>
    <t>CF</t>
  </si>
  <si>
    <t>Ø Tambor [m]</t>
  </si>
  <si>
    <t>Ø cabo 6x7 CF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</si>
</sst>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"/>
    <numFmt numFmtId="166" formatCode="0.0000"/>
    <numFmt numFmtId="167" formatCode="0.000E+00"/>
  </numFmts>
  <fonts count="2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2"/>
      <color rgb="FF090E1D"/>
      <name val="Lato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2"/>
      <color rgb="FF444444"/>
      <name val="Nunito"/>
    </font>
    <font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rgb="FF333333"/>
      <name val="Libre Franklin"/>
    </font>
    <font>
      <b/>
      <sz val="11"/>
      <color theme="1"/>
      <name val="Calibri"/>
      <family val="2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vertAlign val="superscript"/>
      <sz val="11"/>
      <color theme="1"/>
      <name val="Calibri"/>
      <family val="2"/>
      <scheme val="minor"/>
    </font>
    <font>
      <b/>
      <vertAlign val="subscript"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rgb="FF090E1D"/>
      <name val="Lato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</fills>
  <borders count="6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233">
    <xf numFmtId="0" fontId="0" fillId="0" borderId="0" xfId="0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Border="1" applyAlignment="1">
      <alignment horizontal="left" vertical="center"/>
    </xf>
    <xf numFmtId="0" fontId="2" fillId="2" borderId="0" xfId="0" applyFont="1" applyFill="1"/>
    <xf numFmtId="0" fontId="0" fillId="0" borderId="0" xfId="0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4" fillId="0" borderId="0" xfId="0" applyFont="1"/>
    <xf numFmtId="0" fontId="1" fillId="0" borderId="0" xfId="0" applyFont="1" applyAlignment="1">
      <alignment horizontal="center" vertical="center"/>
    </xf>
    <xf numFmtId="2" fontId="0" fillId="0" borderId="0" xfId="0" applyNumberFormat="1"/>
    <xf numFmtId="0" fontId="5" fillId="4" borderId="0" xfId="0" applyFont="1" applyFill="1"/>
    <xf numFmtId="0" fontId="1" fillId="2" borderId="0" xfId="0" applyFont="1" applyFill="1"/>
    <xf numFmtId="0" fontId="6" fillId="0" borderId="0" xfId="0" applyFont="1" applyAlignment="1">
      <alignment horizontal="center" vertical="center"/>
    </xf>
    <xf numFmtId="164" fontId="1" fillId="2" borderId="0" xfId="0" applyNumberFormat="1" applyFont="1" applyFill="1"/>
    <xf numFmtId="1" fontId="1" fillId="4" borderId="0" xfId="0" applyNumberFormat="1" applyFont="1" applyFill="1"/>
    <xf numFmtId="165" fontId="1" fillId="2" borderId="0" xfId="0" applyNumberFormat="1" applyFont="1" applyFill="1"/>
    <xf numFmtId="0" fontId="1" fillId="0" borderId="0" xfId="0" applyFont="1"/>
    <xf numFmtId="0" fontId="0" fillId="0" borderId="1" xfId="0" applyBorder="1"/>
    <xf numFmtId="0" fontId="0" fillId="0" borderId="6" xfId="0" applyBorder="1"/>
    <xf numFmtId="0" fontId="0" fillId="0" borderId="7" xfId="0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5" xfId="0" applyBorder="1"/>
    <xf numFmtId="0" fontId="0" fillId="0" borderId="9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164" fontId="0" fillId="0" borderId="1" xfId="0" applyNumberFormat="1" applyBorder="1"/>
    <xf numFmtId="0" fontId="1" fillId="0" borderId="5" xfId="0" applyFont="1" applyBorder="1" applyAlignment="1">
      <alignment horizontal="center" vertical="center"/>
    </xf>
    <xf numFmtId="164" fontId="0" fillId="0" borderId="6" xfId="0" applyNumberFormat="1" applyBorder="1"/>
    <xf numFmtId="0" fontId="0" fillId="0" borderId="7" xfId="0" applyBorder="1" applyAlignment="1">
      <alignment horizontal="center" vertical="center"/>
    </xf>
    <xf numFmtId="0" fontId="1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164" fontId="0" fillId="0" borderId="9" xfId="0" applyNumberFormat="1" applyBorder="1"/>
    <xf numFmtId="0" fontId="0" fillId="0" borderId="10" xfId="0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horizontal="center"/>
    </xf>
    <xf numFmtId="0" fontId="3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 applyAlignment="1">
      <alignment horizontal="center" vertical="center"/>
    </xf>
    <xf numFmtId="165" fontId="0" fillId="3" borderId="0" xfId="0" applyNumberFormat="1" applyFill="1" applyAlignment="1">
      <alignment horizontal="center" vertical="center"/>
    </xf>
    <xf numFmtId="164" fontId="0" fillId="3" borderId="0" xfId="0" applyNumberFormat="1" applyFill="1" applyAlignment="1">
      <alignment horizontal="center" vertical="center"/>
    </xf>
    <xf numFmtId="1" fontId="0" fillId="3" borderId="0" xfId="0" applyNumberFormat="1" applyFill="1" applyAlignment="1">
      <alignment horizontal="center"/>
    </xf>
    <xf numFmtId="0" fontId="9" fillId="0" borderId="0" xfId="1"/>
    <xf numFmtId="164" fontId="8" fillId="0" borderId="1" xfId="0" applyNumberFormat="1" applyFont="1" applyBorder="1" applyAlignment="1">
      <alignment horizontal="center" vertical="center"/>
    </xf>
    <xf numFmtId="11" fontId="8" fillId="0" borderId="1" xfId="0" applyNumberFormat="1" applyFont="1" applyBorder="1" applyAlignment="1">
      <alignment horizontal="center" vertical="center"/>
    </xf>
    <xf numFmtId="0" fontId="0" fillId="6" borderId="0" xfId="0" applyFill="1"/>
    <xf numFmtId="0" fontId="0" fillId="10" borderId="1" xfId="0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165" fontId="8" fillId="0" borderId="1" xfId="0" applyNumberFormat="1" applyFont="1" applyBorder="1" applyAlignment="1">
      <alignment horizontal="center" vertical="center"/>
    </xf>
    <xf numFmtId="166" fontId="8" fillId="0" borderId="1" xfId="0" applyNumberFormat="1" applyFont="1" applyBorder="1" applyAlignment="1">
      <alignment horizontal="center" vertical="center"/>
    </xf>
    <xf numFmtId="164" fontId="8" fillId="0" borderId="1" xfId="0" applyNumberFormat="1" applyFont="1" applyBorder="1" applyAlignment="1">
      <alignment horizontal="center"/>
    </xf>
    <xf numFmtId="0" fontId="1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11" fontId="6" fillId="6" borderId="1" xfId="0" applyNumberFormat="1" applyFont="1" applyFill="1" applyBorder="1" applyAlignment="1">
      <alignment horizontal="center" vertical="center"/>
    </xf>
    <xf numFmtId="1" fontId="6" fillId="6" borderId="1" xfId="0" applyNumberFormat="1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11" fontId="12" fillId="6" borderId="1" xfId="0" applyNumberFormat="1" applyFont="1" applyFill="1" applyBorder="1" applyAlignment="1">
      <alignment horizontal="center" vertical="center"/>
    </xf>
    <xf numFmtId="164" fontId="12" fillId="6" borderId="1" xfId="0" applyNumberFormat="1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/>
    </xf>
    <xf numFmtId="0" fontId="0" fillId="0" borderId="22" xfId="0" applyBorder="1"/>
    <xf numFmtId="0" fontId="0" fillId="0" borderId="24" xfId="0" applyBorder="1"/>
    <xf numFmtId="0" fontId="0" fillId="12" borderId="0" xfId="0" applyFill="1"/>
    <xf numFmtId="0" fontId="1" fillId="0" borderId="1" xfId="0" applyFont="1" applyBorder="1" applyAlignment="1">
      <alignment vertical="center"/>
    </xf>
    <xf numFmtId="0" fontId="0" fillId="0" borderId="26" xfId="0" applyBorder="1"/>
    <xf numFmtId="2" fontId="0" fillId="0" borderId="25" xfId="0" applyNumberFormat="1" applyBorder="1" applyAlignment="1">
      <alignment horizontal="right" vertical="center"/>
    </xf>
    <xf numFmtId="165" fontId="0" fillId="0" borderId="25" xfId="0" applyNumberFormat="1" applyBorder="1"/>
    <xf numFmtId="0" fontId="1" fillId="0" borderId="1" xfId="0" applyFont="1" applyBorder="1"/>
    <xf numFmtId="0" fontId="0" fillId="0" borderId="29" xfId="0" applyBorder="1" applyAlignment="1">
      <alignment horizontal="right" vertical="center"/>
    </xf>
    <xf numFmtId="0" fontId="0" fillId="0" borderId="30" xfId="0" applyBorder="1" applyAlignment="1">
      <alignment horizontal="left" vertical="center"/>
    </xf>
    <xf numFmtId="0" fontId="0" fillId="0" borderId="27" xfId="0" applyBorder="1"/>
    <xf numFmtId="0" fontId="0" fillId="0" borderId="36" xfId="0" applyBorder="1"/>
    <xf numFmtId="0" fontId="0" fillId="0" borderId="37" xfId="0" applyBorder="1"/>
    <xf numFmtId="0" fontId="15" fillId="8" borderId="33" xfId="0" applyFont="1" applyFill="1" applyBorder="1" applyAlignment="1">
      <alignment horizontal="center" vertical="center"/>
    </xf>
    <xf numFmtId="0" fontId="16" fillId="0" borderId="31" xfId="0" applyFont="1" applyBorder="1" applyAlignment="1">
      <alignment horizontal="right" vertical="center"/>
    </xf>
    <xf numFmtId="0" fontId="15" fillId="0" borderId="28" xfId="0" applyFont="1" applyBorder="1" applyAlignment="1">
      <alignment horizontal="left" vertical="center"/>
    </xf>
    <xf numFmtId="0" fontId="15" fillId="0" borderId="0" xfId="0" applyFont="1"/>
    <xf numFmtId="0" fontId="15" fillId="8" borderId="34" xfId="0" applyFont="1" applyFill="1" applyBorder="1" applyAlignment="1">
      <alignment horizontal="center" vertical="center"/>
    </xf>
    <xf numFmtId="0" fontId="16" fillId="0" borderId="17" xfId="0" applyFont="1" applyBorder="1" applyAlignment="1">
      <alignment horizontal="right" vertical="center"/>
    </xf>
    <xf numFmtId="0" fontId="15" fillId="0" borderId="18" xfId="0" applyFont="1" applyBorder="1" applyAlignment="1">
      <alignment horizontal="left" vertical="center"/>
    </xf>
    <xf numFmtId="0" fontId="15" fillId="8" borderId="35" xfId="0" applyFont="1" applyFill="1" applyBorder="1" applyAlignment="1">
      <alignment horizontal="center" vertical="center"/>
    </xf>
    <xf numFmtId="0" fontId="15" fillId="0" borderId="32" xfId="0" applyFont="1" applyBorder="1" applyAlignment="1">
      <alignment horizontal="right" vertical="center"/>
    </xf>
    <xf numFmtId="0" fontId="15" fillId="0" borderId="30" xfId="0" applyFont="1" applyBorder="1" applyAlignment="1">
      <alignment horizontal="left" vertical="center"/>
    </xf>
    <xf numFmtId="2" fontId="16" fillId="0" borderId="2" xfId="0" applyNumberFormat="1" applyFont="1" applyBorder="1" applyAlignment="1">
      <alignment horizontal="right" vertical="center"/>
    </xf>
    <xf numFmtId="0" fontId="15" fillId="0" borderId="4" xfId="0" applyFont="1" applyBorder="1" applyAlignment="1">
      <alignment horizontal="left" vertical="center"/>
    </xf>
    <xf numFmtId="0" fontId="0" fillId="0" borderId="41" xfId="0" applyBorder="1" applyAlignment="1">
      <alignment horizontal="right" vertical="center"/>
    </xf>
    <xf numFmtId="0" fontId="0" fillId="0" borderId="42" xfId="0" applyBorder="1" applyAlignment="1">
      <alignment horizontal="left" vertical="center"/>
    </xf>
    <xf numFmtId="0" fontId="0" fillId="0" borderId="44" xfId="0" applyBorder="1" applyAlignment="1">
      <alignment horizontal="left" vertical="center"/>
    </xf>
    <xf numFmtId="1" fontId="0" fillId="0" borderId="3" xfId="0" applyNumberFormat="1" applyBorder="1"/>
    <xf numFmtId="0" fontId="1" fillId="10" borderId="44" xfId="0" applyFont="1" applyFill="1" applyBorder="1" applyAlignment="1">
      <alignment horizontal="left" vertical="center"/>
    </xf>
    <xf numFmtId="0" fontId="1" fillId="10" borderId="44" xfId="0" applyFont="1" applyFill="1" applyBorder="1" applyAlignment="1">
      <alignment horizontal="right" vertical="center"/>
    </xf>
    <xf numFmtId="0" fontId="14" fillId="7" borderId="43" xfId="0" applyFont="1" applyFill="1" applyBorder="1" applyAlignment="1">
      <alignment horizontal="left" vertical="center"/>
    </xf>
    <xf numFmtId="0" fontId="13" fillId="7" borderId="40" xfId="0" applyFont="1" applyFill="1" applyBorder="1" applyAlignment="1">
      <alignment horizontal="center" vertical="center"/>
    </xf>
    <xf numFmtId="0" fontId="13" fillId="7" borderId="8" xfId="0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 vertical="center" wrapText="1"/>
    </xf>
    <xf numFmtId="0" fontId="1" fillId="0" borderId="36" xfId="0" applyFont="1" applyBorder="1" applyAlignment="1">
      <alignment horizontal="center" vertical="center" wrapText="1"/>
    </xf>
    <xf numFmtId="0" fontId="1" fillId="0" borderId="39" xfId="0" applyFont="1" applyBorder="1" applyAlignment="1">
      <alignment horizontal="center" vertical="center" wrapText="1"/>
    </xf>
    <xf numFmtId="0" fontId="11" fillId="0" borderId="36" xfId="0" applyFont="1" applyBorder="1" applyAlignment="1">
      <alignment horizontal="center" vertical="center"/>
    </xf>
    <xf numFmtId="2" fontId="1" fillId="0" borderId="36" xfId="0" applyNumberFormat="1" applyFont="1" applyBorder="1" applyAlignment="1">
      <alignment horizontal="center" vertical="center" wrapText="1"/>
    </xf>
    <xf numFmtId="2" fontId="1" fillId="0" borderId="36" xfId="0" applyNumberFormat="1" applyFont="1" applyBorder="1" applyAlignment="1">
      <alignment horizontal="center" vertical="center"/>
    </xf>
    <xf numFmtId="0" fontId="16" fillId="2" borderId="0" xfId="0" applyFont="1" applyFill="1" applyAlignment="1">
      <alignment horizontal="center"/>
    </xf>
    <xf numFmtId="0" fontId="5" fillId="4" borderId="1" xfId="0" applyFont="1" applyFill="1" applyBorder="1" applyAlignment="1">
      <alignment horizontal="center" vertical="center"/>
    </xf>
    <xf numFmtId="0" fontId="1" fillId="0" borderId="5" xfId="0" applyFont="1" applyBorder="1"/>
    <xf numFmtId="0" fontId="1" fillId="0" borderId="7" xfId="0" applyFont="1" applyBorder="1"/>
    <xf numFmtId="0" fontId="1" fillId="0" borderId="8" xfId="0" applyFont="1" applyBorder="1"/>
    <xf numFmtId="0" fontId="1" fillId="0" borderId="10" xfId="0" applyFont="1" applyBorder="1"/>
    <xf numFmtId="0" fontId="1" fillId="0" borderId="29" xfId="0" applyFont="1" applyBorder="1" applyAlignment="1">
      <alignment horizontal="center" vertical="center"/>
    </xf>
    <xf numFmtId="0" fontId="0" fillId="0" borderId="35" xfId="0" applyBorder="1"/>
    <xf numFmtId="0" fontId="1" fillId="0" borderId="40" xfId="0" applyFont="1" applyBorder="1" applyAlignment="1">
      <alignment horizontal="center" vertical="center"/>
    </xf>
    <xf numFmtId="0" fontId="1" fillId="0" borderId="41" xfId="0" applyFont="1" applyBorder="1" applyAlignment="1">
      <alignment horizontal="center" vertical="center"/>
    </xf>
    <xf numFmtId="0" fontId="0" fillId="0" borderId="45" xfId="0" applyBorder="1"/>
    <xf numFmtId="0" fontId="1" fillId="0" borderId="46" xfId="0" applyFont="1" applyBorder="1" applyAlignment="1">
      <alignment horizontal="center" vertical="center"/>
    </xf>
    <xf numFmtId="0" fontId="1" fillId="0" borderId="27" xfId="0" applyFon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1" fillId="10" borderId="0" xfId="0" applyFont="1" applyFill="1" applyAlignment="1">
      <alignment horizontal="left" vertical="center"/>
    </xf>
    <xf numFmtId="0" fontId="0" fillId="0" borderId="48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9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3" xfId="0" applyBorder="1"/>
    <xf numFmtId="0" fontId="0" fillId="0" borderId="44" xfId="0" applyBorder="1"/>
    <xf numFmtId="0" fontId="13" fillId="7" borderId="43" xfId="0" applyFont="1" applyFill="1" applyBorder="1" applyAlignment="1">
      <alignment horizontal="center" vertical="center"/>
    </xf>
    <xf numFmtId="0" fontId="14" fillId="7" borderId="50" xfId="0" applyFont="1" applyFill="1" applyBorder="1" applyAlignment="1">
      <alignment horizontal="left" vertical="center"/>
    </xf>
    <xf numFmtId="0" fontId="1" fillId="10" borderId="51" xfId="0" applyFont="1" applyFill="1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53" xfId="0" applyBorder="1" applyAlignment="1">
      <alignment horizontal="center"/>
    </xf>
    <xf numFmtId="11" fontId="0" fillId="0" borderId="53" xfId="0" applyNumberFormat="1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0" borderId="56" xfId="0" applyBorder="1" applyAlignment="1">
      <alignment horizontal="center"/>
    </xf>
    <xf numFmtId="0" fontId="0" fillId="0" borderId="56" xfId="0" applyBorder="1" applyAlignment="1">
      <alignment horizontal="center" vertical="center"/>
    </xf>
    <xf numFmtId="1" fontId="0" fillId="0" borderId="53" xfId="0" applyNumberFormat="1" applyBorder="1" applyAlignment="1">
      <alignment horizontal="center" vertical="center"/>
    </xf>
    <xf numFmtId="2" fontId="0" fillId="0" borderId="53" xfId="0" applyNumberFormat="1" applyBorder="1" applyAlignment="1">
      <alignment horizontal="center" vertical="center"/>
    </xf>
    <xf numFmtId="0" fontId="0" fillId="0" borderId="56" xfId="0" applyBorder="1"/>
    <xf numFmtId="0" fontId="0" fillId="0" borderId="57" xfId="0" applyBorder="1"/>
    <xf numFmtId="0" fontId="0" fillId="0" borderId="58" xfId="0" applyBorder="1" applyAlignment="1">
      <alignment horizontal="center" vertical="center"/>
    </xf>
    <xf numFmtId="164" fontId="0" fillId="0" borderId="59" xfId="0" applyNumberFormat="1" applyBorder="1" applyAlignment="1">
      <alignment horizontal="center" vertical="center"/>
    </xf>
    <xf numFmtId="0" fontId="0" fillId="0" borderId="59" xfId="0" applyBorder="1" applyAlignment="1">
      <alignment horizontal="center" vertical="center"/>
    </xf>
    <xf numFmtId="1" fontId="0" fillId="0" borderId="59" xfId="0" applyNumberFormat="1" applyBorder="1" applyAlignment="1">
      <alignment horizontal="center" vertical="center"/>
    </xf>
    <xf numFmtId="2" fontId="0" fillId="0" borderId="59" xfId="0" applyNumberFormat="1" applyBorder="1" applyAlignment="1">
      <alignment horizontal="center" vertical="center"/>
    </xf>
    <xf numFmtId="11" fontId="0" fillId="0" borderId="59" xfId="0" applyNumberFormat="1" applyBorder="1" applyAlignment="1">
      <alignment horizontal="center" vertical="center"/>
    </xf>
    <xf numFmtId="0" fontId="0" fillId="0" borderId="59" xfId="0" applyBorder="1"/>
    <xf numFmtId="0" fontId="0" fillId="0" borderId="51" xfId="0" applyBorder="1"/>
    <xf numFmtId="1" fontId="0" fillId="0" borderId="56" xfId="0" applyNumberFormat="1" applyBorder="1" applyAlignment="1">
      <alignment horizontal="center" vertical="center"/>
    </xf>
    <xf numFmtId="11" fontId="0" fillId="0" borderId="56" xfId="0" applyNumberFormat="1" applyBorder="1" applyAlignment="1">
      <alignment horizontal="center" vertical="center"/>
    </xf>
    <xf numFmtId="2" fontId="0" fillId="0" borderId="56" xfId="0" applyNumberFormat="1" applyBorder="1" applyAlignment="1">
      <alignment horizontal="center" vertical="center"/>
    </xf>
    <xf numFmtId="2" fontId="0" fillId="0" borderId="53" xfId="0" applyNumberFormat="1" applyBorder="1" applyAlignment="1">
      <alignment horizontal="center"/>
    </xf>
    <xf numFmtId="2" fontId="0" fillId="0" borderId="56" xfId="0" applyNumberFormat="1" applyBorder="1" applyAlignment="1">
      <alignment horizontal="center"/>
    </xf>
    <xf numFmtId="1" fontId="19" fillId="13" borderId="53" xfId="0" applyNumberFormat="1" applyFont="1" applyFill="1" applyBorder="1"/>
    <xf numFmtId="0" fontId="1" fillId="0" borderId="43" xfId="0" applyFont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1" fillId="8" borderId="1" xfId="0" applyFont="1" applyFill="1" applyBorder="1" applyAlignment="1">
      <alignment horizontal="center" vertical="center"/>
    </xf>
    <xf numFmtId="164" fontId="1" fillId="4" borderId="1" xfId="0" applyNumberFormat="1" applyFont="1" applyFill="1" applyBorder="1" applyAlignment="1">
      <alignment horizontal="center" vertical="center"/>
    </xf>
    <xf numFmtId="1" fontId="2" fillId="2" borderId="1" xfId="0" applyNumberFormat="1" applyFont="1" applyFill="1" applyBorder="1" applyAlignment="1">
      <alignment horizontal="center" vertical="center"/>
    </xf>
    <xf numFmtId="165" fontId="1" fillId="2" borderId="3" xfId="0" applyNumberFormat="1" applyFont="1" applyFill="1" applyBorder="1" applyAlignment="1">
      <alignment horizontal="right" vertical="center"/>
    </xf>
    <xf numFmtId="0" fontId="0" fillId="0" borderId="4" xfId="0" applyBorder="1" applyAlignment="1">
      <alignment horizontal="left" vertical="center"/>
    </xf>
    <xf numFmtId="2" fontId="0" fillId="0" borderId="44" xfId="0" applyNumberFormat="1" applyBorder="1"/>
    <xf numFmtId="0" fontId="1" fillId="5" borderId="38" xfId="0" applyFont="1" applyFill="1" applyBorder="1" applyAlignment="1">
      <alignment horizontal="center" vertical="center" wrapText="1"/>
    </xf>
    <xf numFmtId="0" fontId="1" fillId="5" borderId="36" xfId="0" applyFont="1" applyFill="1" applyBorder="1" applyAlignment="1">
      <alignment horizontal="center" vertical="center" wrapText="1"/>
    </xf>
    <xf numFmtId="0" fontId="1" fillId="5" borderId="39" xfId="0" applyFont="1" applyFill="1" applyBorder="1" applyAlignment="1">
      <alignment horizontal="center" vertical="center" wrapText="1"/>
    </xf>
    <xf numFmtId="0" fontId="11" fillId="5" borderId="36" xfId="0" applyFont="1" applyFill="1" applyBorder="1" applyAlignment="1">
      <alignment horizontal="center" vertical="center"/>
    </xf>
    <xf numFmtId="2" fontId="1" fillId="5" borderId="36" xfId="0" applyNumberFormat="1" applyFont="1" applyFill="1" applyBorder="1" applyAlignment="1">
      <alignment horizontal="center" vertical="center" wrapText="1"/>
    </xf>
    <xf numFmtId="2" fontId="1" fillId="5" borderId="36" xfId="0" applyNumberFormat="1" applyFont="1" applyFill="1" applyBorder="1" applyAlignment="1">
      <alignment horizontal="center" vertical="center"/>
    </xf>
    <xf numFmtId="0" fontId="0" fillId="0" borderId="38" xfId="0" applyBorder="1"/>
    <xf numFmtId="0" fontId="0" fillId="0" borderId="60" xfId="0" applyBorder="1"/>
    <xf numFmtId="0" fontId="0" fillId="0" borderId="39" xfId="0" applyBorder="1"/>
    <xf numFmtId="0" fontId="0" fillId="0" borderId="61" xfId="0" applyBorder="1"/>
    <xf numFmtId="0" fontId="0" fillId="0" borderId="62" xfId="0" applyBorder="1"/>
    <xf numFmtId="0" fontId="0" fillId="0" borderId="63" xfId="0" applyBorder="1"/>
    <xf numFmtId="0" fontId="0" fillId="0" borderId="64" xfId="0" applyBorder="1"/>
    <xf numFmtId="0" fontId="0" fillId="0" borderId="65" xfId="0" applyBorder="1"/>
    <xf numFmtId="0" fontId="16" fillId="2" borderId="0" xfId="0" applyFont="1" applyFill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16" fillId="2" borderId="2" xfId="0" applyFont="1" applyFill="1" applyBorder="1" applyAlignment="1">
      <alignment horizontal="center"/>
    </xf>
    <xf numFmtId="0" fontId="16" fillId="2" borderId="3" xfId="0" applyFont="1" applyFill="1" applyBorder="1" applyAlignment="1">
      <alignment horizontal="center"/>
    </xf>
    <xf numFmtId="0" fontId="16" fillId="2" borderId="4" xfId="0" applyFont="1" applyFill="1" applyBorder="1" applyAlignment="1">
      <alignment horizontal="center"/>
    </xf>
    <xf numFmtId="0" fontId="0" fillId="7" borderId="2" xfId="0" applyFill="1" applyBorder="1" applyAlignment="1">
      <alignment horizontal="center"/>
    </xf>
    <xf numFmtId="0" fontId="0" fillId="7" borderId="4" xfId="0" applyFill="1" applyBorder="1" applyAlignment="1">
      <alignment horizontal="center"/>
    </xf>
    <xf numFmtId="0" fontId="20" fillId="3" borderId="0" xfId="0" applyFont="1" applyFill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50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12" fontId="1" fillId="6" borderId="25" xfId="0" applyNumberFormat="1" applyFont="1" applyFill="1" applyBorder="1" applyAlignment="1">
      <alignment horizontal="center"/>
    </xf>
    <xf numFmtId="12" fontId="1" fillId="6" borderId="26" xfId="0" applyNumberFormat="1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1" fillId="6" borderId="25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center"/>
    </xf>
    <xf numFmtId="0" fontId="1" fillId="10" borderId="0" xfId="0" applyFont="1" applyFill="1" applyAlignment="1">
      <alignment horizontal="center"/>
    </xf>
    <xf numFmtId="0" fontId="1" fillId="9" borderId="19" xfId="0" applyFont="1" applyFill="1" applyBorder="1" applyAlignment="1">
      <alignment horizontal="center" vertical="center"/>
    </xf>
    <xf numFmtId="0" fontId="1" fillId="9" borderId="20" xfId="0" applyFont="1" applyFill="1" applyBorder="1" applyAlignment="1">
      <alignment horizontal="center" vertical="center"/>
    </xf>
    <xf numFmtId="0" fontId="1" fillId="9" borderId="21" xfId="0" applyFont="1" applyFill="1" applyBorder="1" applyAlignment="1">
      <alignment horizontal="center" vertical="center"/>
    </xf>
    <xf numFmtId="0" fontId="9" fillId="0" borderId="1" xfId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0" fillId="11" borderId="17" xfId="0" applyFont="1" applyFill="1" applyBorder="1" applyAlignment="1">
      <alignment horizontal="center" vertical="center"/>
    </xf>
    <xf numFmtId="0" fontId="10" fillId="11" borderId="26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7" fillId="0" borderId="2" xfId="0" applyFont="1" applyBorder="1" applyAlignment="1">
      <alignment horizontal="center" vertical="center" wrapText="1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</cellXfs>
  <cellStyles count="2">
    <cellStyle name="Hiperligaçã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53340</xdr:colOff>
      <xdr:row>7</xdr:row>
      <xdr:rowOff>30480</xdr:rowOff>
    </xdr:from>
    <xdr:to>
      <xdr:col>6</xdr:col>
      <xdr:colOff>333225</xdr:colOff>
      <xdr:row>23</xdr:row>
      <xdr:rowOff>11430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B5E29472-8578-777B-A6EE-D357260942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" y="1569720"/>
          <a:ext cx="3465045" cy="29756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140755</xdr:colOff>
      <xdr:row>0</xdr:row>
      <xdr:rowOff>0</xdr:rowOff>
    </xdr:from>
    <xdr:to>
      <xdr:col>24</xdr:col>
      <xdr:colOff>300411</xdr:colOff>
      <xdr:row>11</xdr:row>
      <xdr:rowOff>64915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C9D163F-C834-4823-06C0-2A71CECDD6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539505" y="0"/>
          <a:ext cx="1993219" cy="2454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61929</xdr:colOff>
      <xdr:row>11</xdr:row>
      <xdr:rowOff>163286</xdr:rowOff>
    </xdr:from>
    <xdr:to>
      <xdr:col>27</xdr:col>
      <xdr:colOff>411095</xdr:colOff>
      <xdr:row>21</xdr:row>
      <xdr:rowOff>252421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6EE0B69-4854-7DA2-7C2D-01A693CB91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21872" y="2383972"/>
          <a:ext cx="2787566" cy="19505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72389</xdr:colOff>
      <xdr:row>8</xdr:row>
      <xdr:rowOff>137160</xdr:rowOff>
    </xdr:from>
    <xdr:to>
      <xdr:col>20</xdr:col>
      <xdr:colOff>569296</xdr:colOff>
      <xdr:row>31</xdr:row>
      <xdr:rowOff>167640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E82FC3E-41DA-9474-03C4-C5EEA5919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35564" y="1813560"/>
          <a:ext cx="5483245" cy="4783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200025</xdr:colOff>
      <xdr:row>31</xdr:row>
      <xdr:rowOff>142875</xdr:rowOff>
    </xdr:from>
    <xdr:to>
      <xdr:col>12</xdr:col>
      <xdr:colOff>361950</xdr:colOff>
      <xdr:row>42</xdr:row>
      <xdr:rowOff>19050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F9D0CB88-59BB-8D42-572B-363097FD2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33700" y="6638925"/>
          <a:ext cx="6248400" cy="1990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249555</xdr:colOff>
      <xdr:row>15</xdr:row>
      <xdr:rowOff>49530</xdr:rowOff>
    </xdr:from>
    <xdr:to>
      <xdr:col>4</xdr:col>
      <xdr:colOff>467858</xdr:colOff>
      <xdr:row>21</xdr:row>
      <xdr:rowOff>158115</xdr:rowOff>
    </xdr:to>
    <xdr:pic>
      <xdr:nvPicPr>
        <xdr:cNvPr id="2" name="Imagem 1" descr="rope technology fig 32">
          <a:extLst>
            <a:ext uri="{FF2B5EF4-FFF2-40B4-BE49-F238E27FC236}">
              <a16:creationId xmlns:a16="http://schemas.microsoft.com/office/drawing/2014/main" id="{1A5295F3-1988-4D95-A2C4-00667F015B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9555" y="3440430"/>
          <a:ext cx="2304278" cy="131254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66675</xdr:colOff>
      <xdr:row>10</xdr:row>
      <xdr:rowOff>19050</xdr:rowOff>
    </xdr:from>
    <xdr:to>
      <xdr:col>12</xdr:col>
      <xdr:colOff>603155</xdr:colOff>
      <xdr:row>16</xdr:row>
      <xdr:rowOff>19050</xdr:rowOff>
    </xdr:to>
    <xdr:pic>
      <xdr:nvPicPr>
        <xdr:cNvPr id="3" name="Imagem 2" descr="rope technology fig 33">
          <a:extLst>
            <a:ext uri="{FF2B5EF4-FFF2-40B4-BE49-F238E27FC236}">
              <a16:creationId xmlns:a16="http://schemas.microsoft.com/office/drawing/2014/main" id="{1DCDF795-555B-49D0-A77C-0A734DDD81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91050" y="1981200"/>
          <a:ext cx="3022505" cy="1285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137160</xdr:colOff>
      <xdr:row>20</xdr:row>
      <xdr:rowOff>68580</xdr:rowOff>
    </xdr:from>
    <xdr:to>
      <xdr:col>9</xdr:col>
      <xdr:colOff>559079</xdr:colOff>
      <xdr:row>24</xdr:row>
      <xdr:rowOff>171450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DBC2228-AA23-B394-255E-C703405882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61535" y="3964305"/>
          <a:ext cx="1079144" cy="8648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271030</xdr:colOff>
      <xdr:row>21</xdr:row>
      <xdr:rowOff>135947</xdr:rowOff>
    </xdr:from>
    <xdr:to>
      <xdr:col>24</xdr:col>
      <xdr:colOff>564079</xdr:colOff>
      <xdr:row>28</xdr:row>
      <xdr:rowOff>126423</xdr:rowOff>
    </xdr:to>
    <xdr:pic>
      <xdr:nvPicPr>
        <xdr:cNvPr id="5" name="Imagem 4" descr="rope technology fig 33">
          <a:extLst>
            <a:ext uri="{FF2B5EF4-FFF2-40B4-BE49-F238E27FC236}">
              <a16:creationId xmlns:a16="http://schemas.microsoft.com/office/drawing/2014/main" id="{D104A6EF-0A53-4A22-92F6-9BDFE06FCC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72085" y="4070638"/>
          <a:ext cx="2731449" cy="12512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27</xdr:col>
      <xdr:colOff>339767</xdr:colOff>
      <xdr:row>14</xdr:row>
      <xdr:rowOff>180108</xdr:rowOff>
    </xdr:from>
    <xdr:to>
      <xdr:col>33</xdr:col>
      <xdr:colOff>292329</xdr:colOff>
      <xdr:row>29</xdr:row>
      <xdr:rowOff>157249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209CF802-4EF6-D231-FF30-B9830BF750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08022" y="2840181"/>
          <a:ext cx="3610162" cy="2743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156210</xdr:colOff>
      <xdr:row>0</xdr:row>
      <xdr:rowOff>0</xdr:rowOff>
    </xdr:from>
    <xdr:to>
      <xdr:col>23</xdr:col>
      <xdr:colOff>41910</xdr:colOff>
      <xdr:row>32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84D8807-712E-47FE-B759-1DAAE5250C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2330" y="0"/>
          <a:ext cx="3543300" cy="58902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314325</xdr:colOff>
      <xdr:row>29</xdr:row>
      <xdr:rowOff>133350</xdr:rowOff>
    </xdr:from>
    <xdr:to>
      <xdr:col>7</xdr:col>
      <xdr:colOff>133350</xdr:colOff>
      <xdr:row>42</xdr:row>
      <xdr:rowOff>47625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D5D3A68-68DF-6014-C881-796C3E7E2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5" y="5657850"/>
          <a:ext cx="5648325" cy="2390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654424</xdr:colOff>
      <xdr:row>34</xdr:row>
      <xdr:rowOff>71717</xdr:rowOff>
    </xdr:from>
    <xdr:to>
      <xdr:col>10</xdr:col>
      <xdr:colOff>143435</xdr:colOff>
      <xdr:row>42</xdr:row>
      <xdr:rowOff>147917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C36A189-A780-C7AE-6811-427E7868C0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1812" y="6167717"/>
          <a:ext cx="1550894" cy="1510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78105</xdr:colOff>
      <xdr:row>7</xdr:row>
      <xdr:rowOff>125730</xdr:rowOff>
    </xdr:from>
    <xdr:to>
      <xdr:col>9</xdr:col>
      <xdr:colOff>129540</xdr:colOff>
      <xdr:row>17</xdr:row>
      <xdr:rowOff>13334</xdr:rowOff>
    </xdr:to>
    <xdr:pic>
      <xdr:nvPicPr>
        <xdr:cNvPr id="2" name="Imagem 1" descr="rope technology fig 32">
          <a:extLst>
            <a:ext uri="{FF2B5EF4-FFF2-40B4-BE49-F238E27FC236}">
              <a16:creationId xmlns:a16="http://schemas.microsoft.com/office/drawing/2014/main" id="{E5B6C45E-9E19-466E-8BCA-07B8825A9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03045" y="1588770"/>
          <a:ext cx="3168015" cy="171640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581025</xdr:colOff>
      <xdr:row>7</xdr:row>
      <xdr:rowOff>83820</xdr:rowOff>
    </xdr:from>
    <xdr:to>
      <xdr:col>17</xdr:col>
      <xdr:colOff>1222</xdr:colOff>
      <xdr:row>16</xdr:row>
      <xdr:rowOff>158115</xdr:rowOff>
    </xdr:to>
    <xdr:pic>
      <xdr:nvPicPr>
        <xdr:cNvPr id="3" name="Imagem 2" descr="rope technology fig 33">
          <a:extLst>
            <a:ext uri="{FF2B5EF4-FFF2-40B4-BE49-F238E27FC236}">
              <a16:creationId xmlns:a16="http://schemas.microsoft.com/office/drawing/2014/main" id="{C4098D74-909D-4E4F-AECE-A436D86223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32145" y="1546860"/>
          <a:ext cx="3603577" cy="1720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60959</xdr:colOff>
      <xdr:row>19</xdr:row>
      <xdr:rowOff>68580</xdr:rowOff>
    </xdr:from>
    <xdr:to>
      <xdr:col>6</xdr:col>
      <xdr:colOff>1720</xdr:colOff>
      <xdr:row>24</xdr:row>
      <xdr:rowOff>36195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ED1E131-7731-4E3B-8ADA-A93515747E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85899" y="3726180"/>
          <a:ext cx="1159961" cy="8896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550545</xdr:colOff>
      <xdr:row>2</xdr:row>
      <xdr:rowOff>0</xdr:rowOff>
    </xdr:from>
    <xdr:to>
      <xdr:col>12</xdr:col>
      <xdr:colOff>352080</xdr:colOff>
      <xdr:row>27</xdr:row>
      <xdr:rowOff>49530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08751CA-C7FC-4F0E-92B9-0709FE4FE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44565" y="369571"/>
          <a:ext cx="4068735" cy="4621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586739</xdr:colOff>
      <xdr:row>1</xdr:row>
      <xdr:rowOff>152400</xdr:rowOff>
    </xdr:from>
    <xdr:to>
      <xdr:col>20</xdr:col>
      <xdr:colOff>156072</xdr:colOff>
      <xdr:row>26</xdr:row>
      <xdr:rowOff>91440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70D878A-9470-4A43-9570-88748282D3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47959" y="335280"/>
          <a:ext cx="4446133" cy="451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228600</xdr:colOff>
      <xdr:row>24</xdr:row>
      <xdr:rowOff>30480</xdr:rowOff>
    </xdr:from>
    <xdr:to>
      <xdr:col>15</xdr:col>
      <xdr:colOff>114300</xdr:colOff>
      <xdr:row>55</xdr:row>
      <xdr:rowOff>136712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FB533D56-9619-4C00-AD41-8241BE9836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1020" y="4419600"/>
          <a:ext cx="3543300" cy="57755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15240</xdr:colOff>
      <xdr:row>3</xdr:row>
      <xdr:rowOff>17220</xdr:rowOff>
    </xdr:from>
    <xdr:to>
      <xdr:col>12</xdr:col>
      <xdr:colOff>289560</xdr:colOff>
      <xdr:row>15</xdr:row>
      <xdr:rowOff>106680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C9FFCB1-8CEF-38B0-A873-FEFF0384C1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15740" y="634440"/>
          <a:ext cx="2712720" cy="23068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aboscar.com.br/cabos-de-aco" TargetMode="External"/><Relationship Id="rId2" Type="http://schemas.openxmlformats.org/officeDocument/2006/relationships/hyperlink" Target="https://www.raseq.com/wire-rope/6x25-filler-wire-with-iwrc/" TargetMode="External"/><Relationship Id="rId1" Type="http://schemas.openxmlformats.org/officeDocument/2006/relationships/hyperlink" Target="https://electrolift.com/product/drums/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electrolift.com/product/drums/" TargetMode="External"/><Relationship Id="rId1" Type="http://schemas.openxmlformats.org/officeDocument/2006/relationships/hyperlink" Target="https://www.randers-reb.com/fishing-rope/rope-technology/handling-inspection-and-installation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s://www.raseq.com/wire-rope/6x25-filler-wire-with-iwrc/" TargetMode="External"/><Relationship Id="rId1" Type="http://schemas.openxmlformats.org/officeDocument/2006/relationships/hyperlink" Target="https://electrolift.com/product/drums/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s://www.randers-reb.com/fishing-rope/rope-technology/handling-inspection-and-install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D305D-6AF2-41F5-92FE-CAAAC01A98B3}">
  <dimension ref="B1:I17"/>
  <sheetViews>
    <sheetView workbookViewId="0">
      <selection activeCell="H5" sqref="H5"/>
    </sheetView>
  </sheetViews>
  <sheetFormatPr defaultRowHeight="15" x14ac:dyDescent="0.25"/>
  <cols>
    <col min="2" max="2" width="22.7109375" bestFit="1" customWidth="1"/>
    <col min="3" max="3" width="5.140625" customWidth="1"/>
    <col min="4" max="4" width="7.85546875" bestFit="1" customWidth="1"/>
    <col min="5" max="5" width="5.7109375" bestFit="1" customWidth="1"/>
    <col min="6" max="6" width="5" bestFit="1" customWidth="1"/>
    <col min="9" max="9" width="52.7109375" bestFit="1" customWidth="1"/>
    <col min="11" max="11" width="57.5703125" bestFit="1" customWidth="1"/>
  </cols>
  <sheetData>
    <row r="1" spans="2:9" ht="18.75" x14ac:dyDescent="0.3">
      <c r="B1" s="192" t="s">
        <v>113</v>
      </c>
      <c r="C1" s="192"/>
      <c r="D1" s="192"/>
      <c r="E1" s="192"/>
      <c r="F1" s="192"/>
    </row>
    <row r="2" spans="2:9" ht="15.75" thickBot="1" x14ac:dyDescent="0.3"/>
    <row r="3" spans="2:9" ht="18.75" x14ac:dyDescent="0.3">
      <c r="B3" s="84" t="s">
        <v>0</v>
      </c>
      <c r="C3" s="85">
        <v>250</v>
      </c>
      <c r="D3" s="86" t="s">
        <v>1</v>
      </c>
      <c r="E3" s="87"/>
      <c r="F3" s="87"/>
    </row>
    <row r="4" spans="2:9" ht="18.75" x14ac:dyDescent="0.3">
      <c r="B4" s="88" t="s">
        <v>2</v>
      </c>
      <c r="C4" s="89">
        <f>0.5*1</f>
        <v>0.5</v>
      </c>
      <c r="D4" s="90" t="s">
        <v>3</v>
      </c>
      <c r="E4" s="87"/>
      <c r="F4" s="87"/>
    </row>
    <row r="5" spans="2:9" ht="19.5" thickBot="1" x14ac:dyDescent="0.35">
      <c r="B5" s="88" t="s">
        <v>4</v>
      </c>
      <c r="C5" s="89">
        <v>12</v>
      </c>
      <c r="D5" s="90" t="s">
        <v>5</v>
      </c>
      <c r="E5" s="87"/>
      <c r="F5" s="87"/>
    </row>
    <row r="6" spans="2:9" ht="19.5" thickBot="1" x14ac:dyDescent="0.3">
      <c r="B6" s="91" t="s">
        <v>6</v>
      </c>
      <c r="C6" s="92">
        <v>35</v>
      </c>
      <c r="D6" s="93" t="s">
        <v>7</v>
      </c>
      <c r="E6" s="94">
        <f>C6/60</f>
        <v>0.58333333333333337</v>
      </c>
      <c r="F6" s="95" t="s">
        <v>8</v>
      </c>
    </row>
    <row r="7" spans="2:9" ht="15.75" thickBot="1" x14ac:dyDescent="0.3"/>
    <row r="8" spans="2:9" ht="15.75" thickBot="1" x14ac:dyDescent="0.3">
      <c r="I8" s="81" t="s">
        <v>9</v>
      </c>
    </row>
    <row r="9" spans="2:9" ht="15.75" thickBot="1" x14ac:dyDescent="0.3"/>
    <row r="10" spans="2:9" ht="15.75" thickBot="1" x14ac:dyDescent="0.3">
      <c r="I10" s="81" t="s">
        <v>10</v>
      </c>
    </row>
    <row r="11" spans="2:9" ht="15.75" thickBot="1" x14ac:dyDescent="0.3"/>
    <row r="12" spans="2:9" x14ac:dyDescent="0.25">
      <c r="I12" s="82" t="s">
        <v>11</v>
      </c>
    </row>
    <row r="13" spans="2:9" ht="15.75" thickBot="1" x14ac:dyDescent="0.3">
      <c r="I13" s="83" t="s">
        <v>12</v>
      </c>
    </row>
    <row r="14" spans="2:9" ht="15.75" thickBot="1" x14ac:dyDescent="0.3"/>
    <row r="15" spans="2:9" ht="15.75" thickBot="1" x14ac:dyDescent="0.3">
      <c r="I15" s="81" t="s">
        <v>13</v>
      </c>
    </row>
    <row r="16" spans="2:9" ht="15.75" thickBot="1" x14ac:dyDescent="0.3"/>
    <row r="17" spans="9:9" ht="15.75" thickBot="1" x14ac:dyDescent="0.3">
      <c r="I17" s="81" t="s">
        <v>14</v>
      </c>
    </row>
  </sheetData>
  <mergeCells count="1">
    <mergeCell ref="B1:F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EBCB8-EA4E-4878-A091-5F100860F88B}">
  <dimension ref="A1:AC46"/>
  <sheetViews>
    <sheetView tabSelected="1" topLeftCell="A8" zoomScaleNormal="100" workbookViewId="0">
      <selection activeCell="B38" sqref="B38"/>
    </sheetView>
  </sheetViews>
  <sheetFormatPr defaultRowHeight="15" x14ac:dyDescent="0.25"/>
  <cols>
    <col min="1" max="1" width="20.85546875" bestFit="1" customWidth="1"/>
    <col min="2" max="2" width="8.28515625" bestFit="1" customWidth="1"/>
    <col min="3" max="3" width="11.85546875" bestFit="1" customWidth="1"/>
    <col min="4" max="4" width="13" customWidth="1"/>
    <col min="5" max="5" width="6.85546875" bestFit="1" customWidth="1"/>
    <col min="6" max="6" width="6.85546875" customWidth="1"/>
    <col min="7" max="7" width="10.7109375" customWidth="1"/>
    <col min="8" max="8" width="5" bestFit="1" customWidth="1"/>
    <col min="9" max="9" width="16.85546875" customWidth="1"/>
    <col min="10" max="10" width="8.85546875" bestFit="1" customWidth="1"/>
    <col min="11" max="11" width="8.28515625" bestFit="1" customWidth="1"/>
    <col min="12" max="12" width="14.85546875" bestFit="1" customWidth="1"/>
    <col min="13" max="13" width="17.140625" customWidth="1"/>
    <col min="14" max="14" width="12.140625" customWidth="1"/>
    <col min="17" max="17" width="9.7109375" bestFit="1" customWidth="1"/>
    <col min="18" max="18" width="12.85546875" bestFit="1" customWidth="1"/>
    <col min="19" max="19" width="12" bestFit="1" customWidth="1"/>
    <col min="20" max="20" width="9.85546875" customWidth="1"/>
  </cols>
  <sheetData>
    <row r="1" spans="1:29" ht="30.75" thickBot="1" x14ac:dyDescent="0.35">
      <c r="A1" s="195" t="s">
        <v>114</v>
      </c>
      <c r="B1" s="196"/>
      <c r="C1" s="197"/>
      <c r="D1" s="111"/>
      <c r="N1" s="164" t="s">
        <v>137</v>
      </c>
      <c r="O1" s="122" t="s">
        <v>138</v>
      </c>
      <c r="P1" s="123" t="s">
        <v>141</v>
      </c>
      <c r="S1" t="s">
        <v>26</v>
      </c>
      <c r="T1" s="106" t="s">
        <v>148</v>
      </c>
    </row>
    <row r="2" spans="1:29" ht="15.75" x14ac:dyDescent="0.25">
      <c r="A2" s="103" t="s">
        <v>16</v>
      </c>
      <c r="B2" s="96">
        <v>12</v>
      </c>
      <c r="C2" s="97" t="s">
        <v>5</v>
      </c>
      <c r="D2" s="125"/>
      <c r="J2" s="7">
        <f>250*9.81</f>
        <v>2452.5</v>
      </c>
      <c r="K2" s="1"/>
      <c r="L2" s="113" t="s">
        <v>133</v>
      </c>
      <c r="M2" s="114" t="s">
        <v>134</v>
      </c>
      <c r="N2" s="119" t="s">
        <v>139</v>
      </c>
      <c r="O2" s="120" t="s">
        <v>140</v>
      </c>
      <c r="P2" s="121" t="s">
        <v>142</v>
      </c>
      <c r="R2" s="204" t="s">
        <v>147</v>
      </c>
      <c r="S2" s="127" t="s">
        <v>144</v>
      </c>
      <c r="T2" s="33">
        <v>90</v>
      </c>
    </row>
    <row r="3" spans="1:29" ht="16.5" thickBot="1" x14ac:dyDescent="0.3">
      <c r="A3" s="104" t="s">
        <v>19</v>
      </c>
      <c r="B3" s="79">
        <f>B2*2+2</f>
        <v>26</v>
      </c>
      <c r="C3" s="80" t="s">
        <v>5</v>
      </c>
      <c r="D3" s="125"/>
      <c r="L3" s="115" t="s">
        <v>135</v>
      </c>
      <c r="M3" s="116" t="s">
        <v>136</v>
      </c>
      <c r="N3" s="36" t="s">
        <v>140</v>
      </c>
      <c r="O3" s="117" t="s">
        <v>139</v>
      </c>
      <c r="P3" s="118" t="s">
        <v>143</v>
      </c>
      <c r="R3" s="205"/>
      <c r="S3" s="128" t="s">
        <v>35</v>
      </c>
      <c r="T3" s="35">
        <v>85</v>
      </c>
    </row>
    <row r="4" spans="1:29" ht="16.5" thickBot="1" x14ac:dyDescent="0.3">
      <c r="A4" s="104" t="s">
        <v>155</v>
      </c>
      <c r="B4" s="99">
        <f>250*9.81</f>
        <v>2452.5</v>
      </c>
      <c r="C4" s="98" t="s">
        <v>18</v>
      </c>
      <c r="D4" s="125"/>
      <c r="R4" s="205"/>
      <c r="S4" s="128" t="s">
        <v>145</v>
      </c>
      <c r="T4" s="35">
        <v>75</v>
      </c>
      <c r="Z4" s="5" t="s">
        <v>15</v>
      </c>
      <c r="AA4" s="5"/>
      <c r="AB4" s="5"/>
    </row>
    <row r="5" spans="1:29" ht="16.5" thickBot="1" x14ac:dyDescent="0.3">
      <c r="A5" s="137" t="s">
        <v>115</v>
      </c>
      <c r="B5" s="138">
        <v>5</v>
      </c>
      <c r="H5" s="198" t="s">
        <v>116</v>
      </c>
      <c r="I5" s="199"/>
      <c r="J5" s="201" t="s">
        <v>117</v>
      </c>
      <c r="K5" s="202"/>
      <c r="L5" s="202"/>
      <c r="M5" s="202"/>
      <c r="N5" s="202"/>
      <c r="O5" s="203"/>
      <c r="R5" s="206"/>
      <c r="S5" s="129" t="s">
        <v>146</v>
      </c>
      <c r="T5" s="38">
        <v>65</v>
      </c>
    </row>
    <row r="6" spans="1:29" ht="16.5" thickBot="1" x14ac:dyDescent="0.3">
      <c r="A6" s="136" t="s">
        <v>156</v>
      </c>
      <c r="B6" s="163">
        <f>250*5</f>
        <v>1250</v>
      </c>
      <c r="C6" s="98" t="s">
        <v>158</v>
      </c>
      <c r="D6" s="126"/>
      <c r="R6" s="207" t="s">
        <v>135</v>
      </c>
      <c r="S6" s="130" t="s">
        <v>149</v>
      </c>
      <c r="T6" s="124">
        <v>105</v>
      </c>
      <c r="Z6" s="52" t="s">
        <v>20</v>
      </c>
    </row>
    <row r="7" spans="1:29" x14ac:dyDescent="0.25">
      <c r="R7" s="205"/>
      <c r="S7" s="128" t="s">
        <v>35</v>
      </c>
      <c r="T7" s="35">
        <v>100</v>
      </c>
    </row>
    <row r="8" spans="1:29" ht="15.75" thickBot="1" x14ac:dyDescent="0.3">
      <c r="R8" s="206"/>
      <c r="S8" s="129" t="s">
        <v>145</v>
      </c>
      <c r="T8" s="38">
        <v>95</v>
      </c>
      <c r="Z8" s="1" t="s">
        <v>21</v>
      </c>
      <c r="AA8" s="1" t="s">
        <v>22</v>
      </c>
      <c r="AB8" s="1">
        <v>304.8</v>
      </c>
      <c r="AC8" s="1" t="s">
        <v>23</v>
      </c>
    </row>
    <row r="9" spans="1:29" ht="16.5" thickBot="1" x14ac:dyDescent="0.3">
      <c r="A9" s="102" t="s">
        <v>123</v>
      </c>
      <c r="B9" s="101">
        <v>1770</v>
      </c>
      <c r="C9" s="100" t="s">
        <v>124</v>
      </c>
      <c r="L9" t="s">
        <v>121</v>
      </c>
    </row>
    <row r="10" spans="1:29" x14ac:dyDescent="0.25">
      <c r="G10" t="s">
        <v>118</v>
      </c>
      <c r="I10" t="s">
        <v>119</v>
      </c>
      <c r="L10" t="s">
        <v>120</v>
      </c>
    </row>
    <row r="11" spans="1:29" x14ac:dyDescent="0.25">
      <c r="Z11" s="5" t="s">
        <v>24</v>
      </c>
      <c r="AA11" s="5"/>
      <c r="AB11" s="5"/>
    </row>
    <row r="12" spans="1:29" x14ac:dyDescent="0.25">
      <c r="H12">
        <v>1770</v>
      </c>
      <c r="I12">
        <v>1960</v>
      </c>
    </row>
    <row r="13" spans="1:29" x14ac:dyDescent="0.25">
      <c r="Z13" s="1" t="s">
        <v>21</v>
      </c>
    </row>
    <row r="14" spans="1:29" x14ac:dyDescent="0.25">
      <c r="C14" s="2" t="s">
        <v>125</v>
      </c>
      <c r="D14" s="2"/>
      <c r="E14" s="2" t="s">
        <v>109</v>
      </c>
      <c r="F14" s="2"/>
      <c r="G14" s="2" t="s">
        <v>27</v>
      </c>
      <c r="H14" s="62" t="s">
        <v>28</v>
      </c>
      <c r="I14" s="63" t="s">
        <v>29</v>
      </c>
      <c r="J14" s="63" t="s">
        <v>98</v>
      </c>
      <c r="K14" s="63" t="s">
        <v>30</v>
      </c>
      <c r="L14" s="63" t="s">
        <v>31</v>
      </c>
      <c r="M14" s="63" t="s">
        <v>31</v>
      </c>
    </row>
    <row r="15" spans="1:29" x14ac:dyDescent="0.25">
      <c r="C15" s="1" t="s">
        <v>32</v>
      </c>
      <c r="D15" s="1"/>
      <c r="E15" s="1">
        <f>4*10^-3</f>
        <v>4.0000000000000001E-3</v>
      </c>
      <c r="F15" s="1"/>
      <c r="G15" s="1">
        <f>(E15^2*PI())/4</f>
        <v>1.2566370614359172E-5</v>
      </c>
      <c r="H15" s="7">
        <f>(J2/G15)*10^-6</f>
        <v>195.16374896643669</v>
      </c>
      <c r="I15" s="39">
        <f>13.7/5</f>
        <v>2.7399999999999998</v>
      </c>
      <c r="J15" s="54">
        <f>(0.596*E15^2)</f>
        <v>9.5359999999999998E-6</v>
      </c>
      <c r="K15" s="53">
        <f>J$2*B$3/(J15*200*10^9)</f>
        <v>3.3433829697986577E-2</v>
      </c>
      <c r="L15" s="54"/>
      <c r="M15" s="40" t="s">
        <v>33</v>
      </c>
    </row>
    <row r="16" spans="1:29" x14ac:dyDescent="0.25">
      <c r="C16" s="1" t="s">
        <v>34</v>
      </c>
      <c r="D16" s="1"/>
      <c r="E16" s="1">
        <f>4*10^-3</f>
        <v>4.0000000000000001E-3</v>
      </c>
      <c r="F16" s="1"/>
      <c r="G16" s="1">
        <f>(E16^2*PI())/4</f>
        <v>1.2566370614359172E-5</v>
      </c>
      <c r="H16" s="7">
        <f>(J2/G16)*10^-6</f>
        <v>195.16374896643669</v>
      </c>
      <c r="I16" s="39">
        <f>13.2/5</f>
        <v>2.6399999999999997</v>
      </c>
      <c r="J16" s="54">
        <f>(0.58*E16^2)</f>
        <v>9.2799999999999992E-6</v>
      </c>
      <c r="K16" s="53">
        <f>J$2*B$3/(J16*200*10^9)</f>
        <v>3.4356142241379312E-2</v>
      </c>
      <c r="L16" s="54"/>
      <c r="M16" s="40" t="s">
        <v>33</v>
      </c>
    </row>
    <row r="17" spans="1:22" x14ac:dyDescent="0.25">
      <c r="C17" s="1" t="s">
        <v>35</v>
      </c>
      <c r="D17" s="1"/>
      <c r="E17" s="1">
        <f>7*10^-3</f>
        <v>7.0000000000000001E-3</v>
      </c>
      <c r="F17" s="1"/>
      <c r="G17" s="1">
        <f>(E17^2*PI())/4</f>
        <v>3.8484510006474972E-5</v>
      </c>
      <c r="H17" s="7">
        <f>($J$2/G17)*10^-6</f>
        <v>63.72693843802012</v>
      </c>
      <c r="I17" s="39">
        <f>27/5</f>
        <v>5.4</v>
      </c>
      <c r="J17" s="54">
        <f>(0.395*E17^2)</f>
        <v>1.9355000000000004E-5</v>
      </c>
      <c r="K17" s="53">
        <f>J$2*B$3/(J17*200*10^9)</f>
        <v>1.647248772926892E-2</v>
      </c>
      <c r="L17" s="54"/>
      <c r="M17" s="40">
        <f>34*E17</f>
        <v>0.23800000000000002</v>
      </c>
    </row>
    <row r="18" spans="1:22" x14ac:dyDescent="0.25">
      <c r="C18" s="64" t="s">
        <v>36</v>
      </c>
      <c r="D18" s="64"/>
      <c r="E18" s="64">
        <f>8*10^-3</f>
        <v>8.0000000000000002E-3</v>
      </c>
      <c r="F18" s="64"/>
      <c r="G18" s="65">
        <f>(E18^2*PI())/4</f>
        <v>5.0265482457436686E-5</v>
      </c>
      <c r="H18" s="66">
        <f>($J$2/G18)*10^-6</f>
        <v>48.790937241609171</v>
      </c>
      <c r="I18" s="67">
        <f>41/5</f>
        <v>8.1999999999999993</v>
      </c>
      <c r="J18" s="68">
        <f>(0.405*E18^2)</f>
        <v>2.5919999999999999E-5</v>
      </c>
      <c r="K18" s="69">
        <f>J$2*B$3/(J18*200*10^9)</f>
        <v>1.2300347222222223E-2</v>
      </c>
      <c r="L18" s="68"/>
      <c r="M18" s="70">
        <f>39*E18</f>
        <v>0.312</v>
      </c>
    </row>
    <row r="19" spans="1:22" x14ac:dyDescent="0.25">
      <c r="C19" s="1" t="s">
        <v>37</v>
      </c>
      <c r="D19" s="1"/>
      <c r="E19" s="57">
        <f>14*10^-3</f>
        <v>1.4E-2</v>
      </c>
      <c r="F19" s="57"/>
      <c r="G19" s="58">
        <f>(E19^2*PI())/4</f>
        <v>1.5393804002589989E-4</v>
      </c>
      <c r="H19" s="7">
        <f>($J$2/G19)*10^-6</f>
        <v>15.93173460950503</v>
      </c>
      <c r="I19" s="59">
        <f>51.646/5</f>
        <v>10.3292</v>
      </c>
      <c r="J19" s="54">
        <f>(0.405*E19^2)</f>
        <v>7.9380000000000016E-5</v>
      </c>
      <c r="K19" s="60">
        <f>J$2*B$3/(J19*200*10^9)</f>
        <v>4.016439909297051E-3</v>
      </c>
      <c r="L19" s="61">
        <f>34*E19</f>
        <v>0.47600000000000003</v>
      </c>
      <c r="M19" s="61">
        <f>23*E19</f>
        <v>0.32200000000000001</v>
      </c>
    </row>
    <row r="20" spans="1:22" x14ac:dyDescent="0.25">
      <c r="A20" s="6"/>
      <c r="B20" s="6"/>
      <c r="C20" s="6"/>
      <c r="D20" s="6"/>
    </row>
    <row r="21" spans="1:22" ht="15.75" thickBot="1" x14ac:dyDescent="0.3">
      <c r="A21" s="6"/>
      <c r="B21" s="6"/>
      <c r="C21" s="6"/>
      <c r="D21" s="6"/>
      <c r="E21" s="6"/>
      <c r="F21" s="6"/>
      <c r="G21" s="6"/>
      <c r="H21" s="6"/>
      <c r="I21" s="41"/>
      <c r="J21" s="6"/>
      <c r="K21" s="6"/>
      <c r="L21" s="6"/>
      <c r="M21" s="6"/>
      <c r="N21" s="6"/>
    </row>
    <row r="22" spans="1:22" ht="33" customHeight="1" thickBot="1" x14ac:dyDescent="0.3">
      <c r="A22" s="6"/>
      <c r="B22" s="6"/>
      <c r="C22" s="105" t="s">
        <v>26</v>
      </c>
      <c r="D22" s="105" t="s">
        <v>150</v>
      </c>
      <c r="E22" s="106" t="s">
        <v>109</v>
      </c>
      <c r="F22" s="107" t="s">
        <v>141</v>
      </c>
      <c r="G22" s="107" t="s">
        <v>126</v>
      </c>
      <c r="H22" s="108" t="s">
        <v>28</v>
      </c>
      <c r="I22" s="109" t="s">
        <v>122</v>
      </c>
      <c r="J22" s="110" t="s">
        <v>128</v>
      </c>
      <c r="K22" s="106" t="s">
        <v>127</v>
      </c>
      <c r="L22" s="106" t="s">
        <v>31</v>
      </c>
      <c r="M22" s="106" t="s">
        <v>129</v>
      </c>
    </row>
    <row r="23" spans="1:22" ht="15.75" thickBot="1" x14ac:dyDescent="0.3">
      <c r="A23" s="6"/>
      <c r="B23" s="6"/>
      <c r="C23" s="131" t="s">
        <v>34</v>
      </c>
      <c r="D23" s="150" t="s">
        <v>153</v>
      </c>
      <c r="E23" s="151">
        <f>4/1000</f>
        <v>4.0000000000000001E-3</v>
      </c>
      <c r="F23" s="151"/>
      <c r="G23" s="152">
        <f>PI()*(E23^2)/4</f>
        <v>1.2566370614359172E-5</v>
      </c>
      <c r="H23" s="153">
        <f>($B$4/G23)*10^-6</f>
        <v>195.16374896643669</v>
      </c>
      <c r="I23" s="154">
        <f>15/5</f>
        <v>3</v>
      </c>
      <c r="J23" s="155">
        <f>0.58*E23^2</f>
        <v>9.2799999999999992E-6</v>
      </c>
      <c r="K23" s="154">
        <f>(B4*B3)/(J23*65*10^9)</f>
        <v>0.10571120689655174</v>
      </c>
      <c r="L23" s="156"/>
      <c r="M23" s="157"/>
    </row>
    <row r="24" spans="1:22" ht="15.75" thickBot="1" x14ac:dyDescent="0.3">
      <c r="A24" s="208" t="s">
        <v>130</v>
      </c>
      <c r="B24" s="209"/>
      <c r="C24" s="132" t="s">
        <v>36</v>
      </c>
      <c r="D24" s="133" t="s">
        <v>154</v>
      </c>
      <c r="E24" s="139">
        <f>0.008</f>
        <v>8.0000000000000002E-3</v>
      </c>
      <c r="F24" s="139">
        <v>105</v>
      </c>
      <c r="G24" s="139">
        <f>(PI()*E24^2/4)</f>
        <v>5.0265482457436686E-5</v>
      </c>
      <c r="H24" s="146">
        <f t="shared" ref="H24:H26" si="0">($B$4/G24)*10^-6</f>
        <v>48.790937241609171</v>
      </c>
      <c r="I24" s="161">
        <f>41.53/5</f>
        <v>8.3060000000000009</v>
      </c>
      <c r="J24" s="141">
        <f>0.405*E24^2</f>
        <v>2.5919999999999999E-5</v>
      </c>
      <c r="K24" s="147">
        <f>(B5*B4)/(J24*65*10^9)</f>
        <v>7.278311965811966E-3</v>
      </c>
      <c r="L24" s="134"/>
      <c r="M24" s="135"/>
    </row>
    <row r="25" spans="1:22" ht="15.75" thickBot="1" x14ac:dyDescent="0.3">
      <c r="A25" s="193" t="s">
        <v>131</v>
      </c>
      <c r="B25" s="194"/>
      <c r="C25" s="132" t="s">
        <v>36</v>
      </c>
      <c r="D25" s="133" t="s">
        <v>151</v>
      </c>
      <c r="E25" s="140">
        <v>8.0000000000000002E-3</v>
      </c>
      <c r="F25" s="139">
        <v>105</v>
      </c>
      <c r="G25" s="139">
        <f>(PI()*E25^2/4)</f>
        <v>5.0265482457436686E-5</v>
      </c>
      <c r="H25" s="146">
        <f t="shared" si="0"/>
        <v>48.790937241609171</v>
      </c>
      <c r="I25" s="161">
        <f>41.53/5</f>
        <v>8.3060000000000009</v>
      </c>
      <c r="J25" s="141">
        <f>0.405*E25^2</f>
        <v>2.5919999999999999E-5</v>
      </c>
      <c r="K25" s="147">
        <f t="shared" ref="K25:K26" si="1">(B6*B5)/(J25*65*10^9)</f>
        <v>3.7096391263057929E-3</v>
      </c>
      <c r="L25" s="134"/>
      <c r="M25" s="135"/>
    </row>
    <row r="26" spans="1:22" ht="15.75" thickBot="1" x14ac:dyDescent="0.3">
      <c r="A26" s="193" t="s">
        <v>132</v>
      </c>
      <c r="B26" s="194"/>
      <c r="C26" s="142" t="s">
        <v>36</v>
      </c>
      <c r="D26" s="143" t="s">
        <v>152</v>
      </c>
      <c r="E26" s="144">
        <v>8.0000000000000002E-3</v>
      </c>
      <c r="F26" s="145">
        <v>85</v>
      </c>
      <c r="G26" s="145">
        <f>(PI()*E26^2/4)</f>
        <v>5.0265482457436686E-5</v>
      </c>
      <c r="H26" s="158">
        <f t="shared" si="0"/>
        <v>48.790937241609171</v>
      </c>
      <c r="I26" s="162">
        <f>38.65/5</f>
        <v>7.7299999999999995</v>
      </c>
      <c r="J26" s="159">
        <f>0.405*E26^2</f>
        <v>2.5919999999999999E-5</v>
      </c>
      <c r="K26" s="160">
        <f t="shared" si="1"/>
        <v>0</v>
      </c>
      <c r="L26" s="148"/>
      <c r="M26" s="149"/>
    </row>
    <row r="30" spans="1:22" ht="21" x14ac:dyDescent="0.25">
      <c r="A30" s="200" t="s">
        <v>164</v>
      </c>
      <c r="B30" s="200"/>
      <c r="C30" s="200"/>
      <c r="D30" s="200"/>
      <c r="E30" s="200"/>
      <c r="F30" s="200"/>
      <c r="G30" s="200"/>
      <c r="H30" s="200"/>
      <c r="I30" s="200"/>
      <c r="J30" s="200"/>
      <c r="K30" s="200"/>
      <c r="L30" s="200"/>
      <c r="M30" s="200"/>
    </row>
    <row r="31" spans="1:22" x14ac:dyDescent="0.25">
      <c r="V31" s="52" t="s">
        <v>105</v>
      </c>
    </row>
    <row r="33" spans="1:22" x14ac:dyDescent="0.25">
      <c r="V33" s="52" t="s">
        <v>157</v>
      </c>
    </row>
    <row r="34" spans="1:22" ht="15.75" thickBot="1" x14ac:dyDescent="0.3">
      <c r="A34" t="s">
        <v>160</v>
      </c>
    </row>
    <row r="35" spans="1:22" x14ac:dyDescent="0.25">
      <c r="A35" s="184" t="s">
        <v>159</v>
      </c>
      <c r="B35" s="185">
        <v>250</v>
      </c>
      <c r="C35" s="186" t="s">
        <v>1</v>
      </c>
    </row>
    <row r="36" spans="1:22" x14ac:dyDescent="0.25">
      <c r="A36" s="187" t="s">
        <v>108</v>
      </c>
      <c r="B36">
        <v>5</v>
      </c>
      <c r="C36" s="188"/>
    </row>
    <row r="37" spans="1:22" ht="15.75" thickBot="1" x14ac:dyDescent="0.3">
      <c r="A37" s="189" t="s">
        <v>161</v>
      </c>
      <c r="B37" s="190">
        <f>B36*B35</f>
        <v>1250</v>
      </c>
      <c r="C37" s="191" t="s">
        <v>1</v>
      </c>
    </row>
    <row r="39" spans="1:22" x14ac:dyDescent="0.25">
      <c r="A39" s="166" t="s">
        <v>162</v>
      </c>
      <c r="B39" s="9" t="s">
        <v>109</v>
      </c>
    </row>
    <row r="40" spans="1:22" x14ac:dyDescent="0.25">
      <c r="A40" s="166" t="s">
        <v>163</v>
      </c>
      <c r="B40" s="6">
        <f>5/1000</f>
        <v>5.0000000000000001E-3</v>
      </c>
    </row>
    <row r="44" spans="1:22" ht="15.75" thickBot="1" x14ac:dyDescent="0.3"/>
    <row r="45" spans="1:22" ht="33" thickBot="1" x14ac:dyDescent="0.3">
      <c r="C45" s="178" t="s">
        <v>26</v>
      </c>
      <c r="D45" s="178" t="s">
        <v>150</v>
      </c>
      <c r="E45" s="179" t="s">
        <v>109</v>
      </c>
      <c r="F45" s="180" t="s">
        <v>141</v>
      </c>
      <c r="G45" s="180" t="s">
        <v>126</v>
      </c>
      <c r="H45" s="181" t="s">
        <v>28</v>
      </c>
      <c r="I45" s="182" t="s">
        <v>122</v>
      </c>
      <c r="J45" s="183" t="s">
        <v>128</v>
      </c>
      <c r="K45" s="179" t="s">
        <v>127</v>
      </c>
      <c r="L45" s="179" t="s">
        <v>166</v>
      </c>
      <c r="M45" s="179" t="s">
        <v>129</v>
      </c>
    </row>
    <row r="46" spans="1:22" ht="15.75" thickBot="1" x14ac:dyDescent="0.3">
      <c r="C46" s="132" t="s">
        <v>144</v>
      </c>
      <c r="D46" s="133" t="s">
        <v>165</v>
      </c>
      <c r="E46" s="165">
        <f>B40</f>
        <v>5.0000000000000001E-3</v>
      </c>
      <c r="F46" s="165">
        <v>90</v>
      </c>
      <c r="G46" s="139">
        <f>PI()*(E46^2)/4</f>
        <v>1.9634954084936207E-5</v>
      </c>
      <c r="H46" s="146">
        <f>($B$4/G46)*10^-6</f>
        <v>124.90479933851947</v>
      </c>
      <c r="I46" s="147">
        <f>15/5</f>
        <v>3</v>
      </c>
      <c r="J46" s="141">
        <f>0.38*E46^2</f>
        <v>9.5000000000000005E-6</v>
      </c>
      <c r="K46" s="141">
        <f>((B37*9.8)*$B$3)/(J46*F46*10^9)</f>
        <v>0.37251461988304091</v>
      </c>
      <c r="L46" s="139">
        <f>72*E46</f>
        <v>0.36</v>
      </c>
      <c r="M46" s="177">
        <f>'tambor_nervuras V2 '!R11</f>
        <v>0.21590000000000001</v>
      </c>
    </row>
  </sheetData>
  <mergeCells count="9">
    <mergeCell ref="R2:R5"/>
    <mergeCell ref="R6:R8"/>
    <mergeCell ref="A25:B25"/>
    <mergeCell ref="A24:B24"/>
    <mergeCell ref="A26:B26"/>
    <mergeCell ref="A1:C1"/>
    <mergeCell ref="H5:I5"/>
    <mergeCell ref="A30:M30"/>
    <mergeCell ref="J5:O5"/>
  </mergeCells>
  <hyperlinks>
    <hyperlink ref="Z6" r:id="rId1" xr:uid="{6810CD99-1CA9-4A3A-B6CC-2BC4E58DE2CD}"/>
    <hyperlink ref="V31" r:id="rId2" xr:uid="{C9306052-4BA7-4EE9-80A1-026108A19C0A}"/>
    <hyperlink ref="V33" r:id="rId3" xr:uid="{8DF4FDD3-1455-46D4-9BBE-DB9F06D2C27F}"/>
  </hyperlinks>
  <pageMargins left="0.7" right="0.7" top="0.75" bottom="0.75" header="0.3" footer="0.3"/>
  <pageSetup paperSize="9"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9C838-B5B6-4DE7-8FBC-44B6E7B63D95}">
  <dimension ref="A1:W1048576"/>
  <sheetViews>
    <sheetView zoomScaleNormal="100" workbookViewId="0">
      <selection activeCell="G32" sqref="G32"/>
    </sheetView>
  </sheetViews>
  <sheetFormatPr defaultRowHeight="15" x14ac:dyDescent="0.25"/>
  <cols>
    <col min="1" max="1" width="5.42578125" customWidth="1"/>
    <col min="2" max="2" width="16.5703125" bestFit="1" customWidth="1"/>
    <col min="3" max="3" width="6" bestFit="1" customWidth="1"/>
    <col min="4" max="4" width="3.28515625" bestFit="1" customWidth="1"/>
    <col min="9" max="9" width="9.85546875" bestFit="1" customWidth="1"/>
    <col min="14" max="14" width="3.28515625" customWidth="1"/>
    <col min="17" max="17" width="13.140625" bestFit="1" customWidth="1"/>
  </cols>
  <sheetData>
    <row r="1" spans="1:23" ht="19.5" x14ac:dyDescent="0.4">
      <c r="G1" s="8" t="s">
        <v>94</v>
      </c>
    </row>
    <row r="2" spans="1:23" ht="19.5" x14ac:dyDescent="0.4">
      <c r="G2" s="8" t="s">
        <v>95</v>
      </c>
      <c r="N2" s="8" t="s">
        <v>38</v>
      </c>
      <c r="R2" s="8" t="s">
        <v>39</v>
      </c>
    </row>
    <row r="3" spans="1:23" ht="19.5" x14ac:dyDescent="0.4">
      <c r="G3" s="8" t="s">
        <v>96</v>
      </c>
      <c r="N3" s="8" t="s">
        <v>41</v>
      </c>
    </row>
    <row r="4" spans="1:23" ht="19.5" x14ac:dyDescent="0.4">
      <c r="G4" s="8" t="s">
        <v>97</v>
      </c>
    </row>
    <row r="5" spans="1:23" ht="19.5" x14ac:dyDescent="0.4">
      <c r="G5" s="13" t="s">
        <v>47</v>
      </c>
      <c r="R5" s="8" t="s">
        <v>45</v>
      </c>
    </row>
    <row r="6" spans="1:23" x14ac:dyDescent="0.25">
      <c r="N6" s="73"/>
    </row>
    <row r="7" spans="1:23" x14ac:dyDescent="0.25">
      <c r="N7" s="73"/>
    </row>
    <row r="8" spans="1:23" x14ac:dyDescent="0.25">
      <c r="A8" s="216" t="s">
        <v>104</v>
      </c>
      <c r="B8" s="216"/>
      <c r="C8" s="216"/>
      <c r="D8" s="216"/>
      <c r="E8" s="216"/>
      <c r="F8" s="216"/>
      <c r="G8" s="216"/>
      <c r="H8" s="216"/>
      <c r="I8" s="216"/>
      <c r="N8" s="73"/>
      <c r="Q8" s="217" t="s">
        <v>103</v>
      </c>
      <c r="R8" s="218"/>
      <c r="S8" s="218"/>
      <c r="T8" s="218"/>
      <c r="U8" s="218"/>
      <c r="V8" s="218"/>
      <c r="W8" s="219"/>
    </row>
    <row r="9" spans="1:23" x14ac:dyDescent="0.25">
      <c r="N9" s="73"/>
      <c r="Q9" s="78" t="s">
        <v>99</v>
      </c>
      <c r="R9" s="220" t="s">
        <v>20</v>
      </c>
      <c r="S9" s="221"/>
      <c r="T9" s="221"/>
      <c r="U9" s="221"/>
      <c r="V9" s="221"/>
      <c r="W9" s="221"/>
    </row>
    <row r="10" spans="1:23" ht="19.5" x14ac:dyDescent="0.4">
      <c r="B10" s="4" t="s">
        <v>110</v>
      </c>
      <c r="C10" s="112">
        <f>'Cabo aço'!C4</f>
        <v>26</v>
      </c>
      <c r="D10" s="4" t="s">
        <v>5</v>
      </c>
      <c r="F10" s="8" t="s">
        <v>44</v>
      </c>
      <c r="N10" s="73"/>
      <c r="Q10" s="78" t="s">
        <v>100</v>
      </c>
      <c r="R10" s="222" t="s">
        <v>101</v>
      </c>
      <c r="S10" s="222"/>
      <c r="T10" s="222"/>
      <c r="U10" s="222"/>
      <c r="V10" s="222"/>
      <c r="W10" s="223"/>
    </row>
    <row r="11" spans="1:23" ht="20.25" thickBot="1" x14ac:dyDescent="0.45">
      <c r="B11" s="4" t="s">
        <v>167</v>
      </c>
      <c r="C11" s="172">
        <f>'Cabo aço V.2'!B40</f>
        <v>5.0000000000000001E-3</v>
      </c>
      <c r="D11" s="4" t="s">
        <v>5</v>
      </c>
      <c r="F11" s="8" t="s">
        <v>48</v>
      </c>
      <c r="N11" s="73"/>
      <c r="Q11" s="74" t="s">
        <v>57</v>
      </c>
      <c r="R11" s="76">
        <f>215.9/1000</f>
        <v>0.21590000000000001</v>
      </c>
      <c r="S11" s="75" t="s">
        <v>5</v>
      </c>
      <c r="T11" s="214" t="s">
        <v>51</v>
      </c>
      <c r="U11" s="215"/>
      <c r="V11" s="210">
        <v>23.5</v>
      </c>
      <c r="W11" s="211"/>
    </row>
    <row r="12" spans="1:23" ht="20.25" thickBot="1" x14ac:dyDescent="0.3">
      <c r="B12" s="169" t="s">
        <v>111</v>
      </c>
      <c r="C12" s="168">
        <f>'Cabo aço V.2'!L46</f>
        <v>0.36</v>
      </c>
      <c r="D12" s="169" t="s">
        <v>5</v>
      </c>
      <c r="F12" s="167" t="s">
        <v>50</v>
      </c>
      <c r="G12" s="175">
        <f>15*G22</f>
        <v>1.9371128341751755</v>
      </c>
      <c r="H12" s="176" t="s">
        <v>5</v>
      </c>
      <c r="N12" s="73"/>
      <c r="Q12" s="74" t="s">
        <v>112</v>
      </c>
      <c r="R12" s="77">
        <f>15*R11</f>
        <v>3.2385000000000002</v>
      </c>
      <c r="S12" s="75" t="s">
        <v>5</v>
      </c>
      <c r="T12" s="212"/>
      <c r="U12" s="212"/>
      <c r="V12" s="212"/>
      <c r="W12" s="213"/>
    </row>
    <row r="13" spans="1:23" x14ac:dyDescent="0.25">
      <c r="B13" s="4" t="s">
        <v>49</v>
      </c>
      <c r="C13" s="173">
        <f>2*PI()*(C12/2)</f>
        <v>1.1309733552923256</v>
      </c>
      <c r="D13" s="4" t="s">
        <v>5</v>
      </c>
      <c r="N13" s="73"/>
    </row>
    <row r="14" spans="1:23" ht="15.6" customHeight="1" x14ac:dyDescent="0.25">
      <c r="B14" s="170" t="s">
        <v>51</v>
      </c>
      <c r="C14" s="174">
        <f>C10/C13</f>
        <v>22.989047335495993</v>
      </c>
      <c r="D14" s="171"/>
      <c r="N14" s="73"/>
    </row>
    <row r="15" spans="1:23" ht="15.6" customHeight="1" x14ac:dyDescent="0.4">
      <c r="N15" s="73"/>
      <c r="T15" s="8" t="s">
        <v>44</v>
      </c>
      <c r="W15" s="71"/>
    </row>
    <row r="16" spans="1:23" ht="19.5" x14ac:dyDescent="0.4">
      <c r="N16" s="73"/>
      <c r="R16" s="1" t="s">
        <v>102</v>
      </c>
      <c r="T16" s="8" t="s">
        <v>48</v>
      </c>
      <c r="W16" s="71"/>
    </row>
    <row r="17" spans="6:23" x14ac:dyDescent="0.25">
      <c r="F17" s="2" t="s">
        <v>53</v>
      </c>
      <c r="G17" s="30">
        <f>1.08*C11</f>
        <v>5.4000000000000003E-3</v>
      </c>
      <c r="H17" s="1" t="s">
        <v>5</v>
      </c>
      <c r="N17" s="73"/>
      <c r="Q17" s="74"/>
      <c r="W17" s="72"/>
    </row>
    <row r="18" spans="6:23" x14ac:dyDescent="0.25">
      <c r="F18" s="2" t="s">
        <v>54</v>
      </c>
      <c r="G18" s="30">
        <f>1.06*C11</f>
        <v>5.3E-3</v>
      </c>
      <c r="H18" s="1" t="s">
        <v>5</v>
      </c>
      <c r="N18" s="73"/>
    </row>
    <row r="19" spans="6:23" x14ac:dyDescent="0.25">
      <c r="F19" s="2" t="s">
        <v>55</v>
      </c>
      <c r="G19" s="30">
        <f>0.3*C11</f>
        <v>1.5E-3</v>
      </c>
      <c r="H19" s="1" t="s">
        <v>5</v>
      </c>
      <c r="N19" s="73"/>
    </row>
    <row r="20" spans="6:23" x14ac:dyDescent="0.25">
      <c r="F20" s="2" t="s">
        <v>56</v>
      </c>
      <c r="G20" s="30">
        <f>0.15*C11</f>
        <v>7.5000000000000002E-4</v>
      </c>
      <c r="H20" s="1" t="s">
        <v>5</v>
      </c>
      <c r="N20" s="73"/>
    </row>
    <row r="21" spans="6:23" x14ac:dyDescent="0.25">
      <c r="N21" s="73"/>
    </row>
    <row r="22" spans="6:23" x14ac:dyDescent="0.25">
      <c r="F22" s="9" t="s">
        <v>57</v>
      </c>
      <c r="G22" s="10">
        <f>(C14*G17)+C11</f>
        <v>0.12914085561167837</v>
      </c>
      <c r="H22" t="s">
        <v>5</v>
      </c>
      <c r="N22" s="73"/>
    </row>
    <row r="23" spans="6:23" x14ac:dyDescent="0.25">
      <c r="N23" s="73"/>
    </row>
    <row r="24" spans="6:23" x14ac:dyDescent="0.25">
      <c r="N24" s="73"/>
    </row>
    <row r="25" spans="6:23" x14ac:dyDescent="0.25">
      <c r="N25" s="73"/>
    </row>
    <row r="26" spans="6:23" x14ac:dyDescent="0.25">
      <c r="N26" s="73"/>
    </row>
    <row r="27" spans="6:23" x14ac:dyDescent="0.25">
      <c r="N27" s="73"/>
    </row>
    <row r="28" spans="6:23" x14ac:dyDescent="0.25">
      <c r="N28" s="73"/>
    </row>
    <row r="29" spans="6:23" x14ac:dyDescent="0.25">
      <c r="N29" s="73"/>
    </row>
    <row r="30" spans="6:23" x14ac:dyDescent="0.25">
      <c r="N30" s="73"/>
    </row>
    <row r="31" spans="6:23" x14ac:dyDescent="0.25">
      <c r="N31" s="73"/>
      <c r="P31" s="52" t="s">
        <v>58</v>
      </c>
    </row>
    <row r="32" spans="6:23" x14ac:dyDescent="0.25">
      <c r="N32" s="73"/>
    </row>
    <row r="33" spans="14:14" x14ac:dyDescent="0.25">
      <c r="N33" s="73"/>
    </row>
    <row r="34" spans="14:14" x14ac:dyDescent="0.25">
      <c r="N34" s="73"/>
    </row>
    <row r="1048576" spans="5:5" x14ac:dyDescent="0.25">
      <c r="E1048576" s="1" t="s">
        <v>21</v>
      </c>
    </row>
  </sheetData>
  <mergeCells count="7">
    <mergeCell ref="V11:W11"/>
    <mergeCell ref="T12:W12"/>
    <mergeCell ref="T11:U11"/>
    <mergeCell ref="A8:I8"/>
    <mergeCell ref="Q8:W8"/>
    <mergeCell ref="R9:W9"/>
    <mergeCell ref="R10:W10"/>
  </mergeCells>
  <hyperlinks>
    <hyperlink ref="P31" r:id="rId1" xr:uid="{2A9CB581-197A-4E27-A990-EE9D5F3B611F}"/>
    <hyperlink ref="R9" r:id="rId2" xr:uid="{E3962F17-2293-494B-B4CA-48D28A5C49A9}"/>
  </hyperlinks>
  <pageMargins left="0.7" right="0.7" top="0.75" bottom="0.75" header="0.3" footer="0.3"/>
  <pageSetup paperSize="9" orientation="portrait" r:id="rId3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BB5138-D6FA-4B7E-8EA7-42FEFF583B88}">
  <dimension ref="A2:P29"/>
  <sheetViews>
    <sheetView zoomScaleNormal="85" workbookViewId="0">
      <selection activeCell="E16" sqref="E16"/>
    </sheetView>
  </sheetViews>
  <sheetFormatPr defaultRowHeight="15" x14ac:dyDescent="0.25"/>
  <cols>
    <col min="1" max="1" width="11.5703125" bestFit="1" customWidth="1"/>
    <col min="2" max="2" width="12.28515625" bestFit="1" customWidth="1"/>
    <col min="3" max="3" width="12" bestFit="1" customWidth="1"/>
    <col min="4" max="4" width="9" bestFit="1" customWidth="1"/>
    <col min="5" max="5" width="18.5703125" bestFit="1" customWidth="1"/>
    <col min="6" max="7" width="12" bestFit="1" customWidth="1"/>
    <col min="8" max="8" width="12" customWidth="1"/>
    <col min="9" max="9" width="9.140625" bestFit="1" customWidth="1"/>
    <col min="11" max="11" width="4.7109375" customWidth="1"/>
  </cols>
  <sheetData>
    <row r="2" spans="1:16" x14ac:dyDescent="0.25">
      <c r="M2" s="5" t="s">
        <v>15</v>
      </c>
      <c r="N2" s="5"/>
      <c r="O2" s="5"/>
    </row>
    <row r="3" spans="1:16" x14ac:dyDescent="0.25">
      <c r="B3" s="3" t="s">
        <v>16</v>
      </c>
      <c r="C3" s="1">
        <v>12</v>
      </c>
      <c r="D3" s="4" t="s">
        <v>5</v>
      </c>
      <c r="F3" s="1" t="s">
        <v>17</v>
      </c>
      <c r="G3" s="1">
        <f>250*9.81</f>
        <v>2452.5</v>
      </c>
      <c r="H3" s="1"/>
      <c r="I3" s="4" t="s">
        <v>18</v>
      </c>
    </row>
    <row r="4" spans="1:16" x14ac:dyDescent="0.25">
      <c r="B4" s="3" t="s">
        <v>19</v>
      </c>
      <c r="C4" s="1">
        <f>C3*2+2</f>
        <v>26</v>
      </c>
      <c r="D4" s="4" t="s">
        <v>5</v>
      </c>
      <c r="M4" s="52" t="s">
        <v>20</v>
      </c>
    </row>
    <row r="5" spans="1:16" x14ac:dyDescent="0.25">
      <c r="C5">
        <f>C4*1000</f>
        <v>26000</v>
      </c>
      <c r="D5" t="s">
        <v>23</v>
      </c>
    </row>
    <row r="6" spans="1:16" x14ac:dyDescent="0.25">
      <c r="M6" s="1" t="s">
        <v>21</v>
      </c>
      <c r="N6" s="1" t="s">
        <v>22</v>
      </c>
      <c r="O6" s="1">
        <v>304.8</v>
      </c>
      <c r="P6" s="1" t="s">
        <v>23</v>
      </c>
    </row>
    <row r="8" spans="1:16" x14ac:dyDescent="0.25">
      <c r="E8">
        <f>250*9.8</f>
        <v>2450</v>
      </c>
    </row>
    <row r="9" spans="1:16" x14ac:dyDescent="0.25">
      <c r="A9" s="224" t="s">
        <v>108</v>
      </c>
      <c r="B9" s="224"/>
      <c r="E9">
        <f>E8*24</f>
        <v>58800</v>
      </c>
      <c r="M9" s="5" t="s">
        <v>24</v>
      </c>
      <c r="N9" s="5"/>
      <c r="O9" s="5"/>
    </row>
    <row r="10" spans="1:16" x14ac:dyDescent="0.25">
      <c r="A10" s="56" t="s">
        <v>25</v>
      </c>
      <c r="B10" s="56">
        <v>5</v>
      </c>
    </row>
    <row r="11" spans="1:16" x14ac:dyDescent="0.25">
      <c r="M11" s="1" t="s">
        <v>21</v>
      </c>
    </row>
    <row r="12" spans="1:16" x14ac:dyDescent="0.25">
      <c r="A12" s="2" t="s">
        <v>26</v>
      </c>
      <c r="B12" s="2" t="s">
        <v>109</v>
      </c>
      <c r="C12" s="2" t="s">
        <v>27</v>
      </c>
      <c r="D12" s="62" t="s">
        <v>28</v>
      </c>
      <c r="E12" s="63" t="s">
        <v>29</v>
      </c>
      <c r="F12" s="63" t="s">
        <v>98</v>
      </c>
      <c r="G12" s="63" t="s">
        <v>30</v>
      </c>
      <c r="H12" s="63" t="s">
        <v>31</v>
      </c>
      <c r="I12" s="63" t="s">
        <v>31</v>
      </c>
    </row>
    <row r="13" spans="1:16" x14ac:dyDescent="0.25">
      <c r="A13" s="1" t="s">
        <v>32</v>
      </c>
      <c r="B13" s="1">
        <f>4*10^-3</f>
        <v>4.0000000000000001E-3</v>
      </c>
      <c r="C13" s="1">
        <f>(B13^2*PI())/4</f>
        <v>1.2566370614359172E-5</v>
      </c>
      <c r="D13" s="7">
        <f>(G3/C13)*10^-6</f>
        <v>195.16374896643669</v>
      </c>
      <c r="E13" s="39">
        <f>13.7/5</f>
        <v>2.7399999999999998</v>
      </c>
      <c r="F13" s="54">
        <f>(0.596*B13^2)</f>
        <v>9.5359999999999998E-6</v>
      </c>
      <c r="G13" s="53">
        <f>G$3*C$4/(F13*200*10^9)</f>
        <v>3.3433829697986577E-2</v>
      </c>
      <c r="H13" s="54"/>
      <c r="I13" s="40" t="s">
        <v>33</v>
      </c>
    </row>
    <row r="14" spans="1:16" x14ac:dyDescent="0.25">
      <c r="A14" s="1" t="s">
        <v>34</v>
      </c>
      <c r="B14" s="1">
        <f>4*10^-3</f>
        <v>4.0000000000000001E-3</v>
      </c>
      <c r="C14" s="1">
        <f>(B14^2*PI())/4</f>
        <v>1.2566370614359172E-5</v>
      </c>
      <c r="D14" s="7">
        <f>(G3/C14)*10^-6</f>
        <v>195.16374896643669</v>
      </c>
      <c r="E14" s="39">
        <f>13.2/5</f>
        <v>2.6399999999999997</v>
      </c>
      <c r="F14" s="54">
        <f>(0.58*B14^2)</f>
        <v>9.2799999999999992E-6</v>
      </c>
      <c r="G14" s="53">
        <f t="shared" ref="G14:G17" si="0">G$3*C$4/(F14*200*10^9)</f>
        <v>3.4356142241379312E-2</v>
      </c>
      <c r="H14" s="54"/>
      <c r="I14" s="40" t="s">
        <v>33</v>
      </c>
    </row>
    <row r="15" spans="1:16" x14ac:dyDescent="0.25">
      <c r="A15" s="1" t="s">
        <v>35</v>
      </c>
      <c r="B15" s="1">
        <f>7*10^-3</f>
        <v>7.0000000000000001E-3</v>
      </c>
      <c r="C15" s="1">
        <f>(B15^2*PI())/4</f>
        <v>3.8484510006474972E-5</v>
      </c>
      <c r="D15" s="7">
        <f>($G$3/C15)*10^-6</f>
        <v>63.72693843802012</v>
      </c>
      <c r="E15" s="39">
        <f>27/5</f>
        <v>5.4</v>
      </c>
      <c r="F15" s="54">
        <f>(0.395*B15^2)</f>
        <v>1.9355000000000004E-5</v>
      </c>
      <c r="G15" s="53">
        <f t="shared" si="0"/>
        <v>1.647248772926892E-2</v>
      </c>
      <c r="H15" s="54"/>
      <c r="I15" s="40">
        <f>34*B15</f>
        <v>0.23800000000000002</v>
      </c>
    </row>
    <row r="16" spans="1:16" x14ac:dyDescent="0.25">
      <c r="A16" s="64" t="s">
        <v>36</v>
      </c>
      <c r="B16" s="64">
        <f>8*10^-3</f>
        <v>8.0000000000000002E-3</v>
      </c>
      <c r="C16" s="65">
        <f>(B16^2*PI())/4</f>
        <v>5.0265482457436686E-5</v>
      </c>
      <c r="D16" s="66">
        <f>($G$3/C16)*10^-6</f>
        <v>48.790937241609171</v>
      </c>
      <c r="E16" s="67">
        <f>41/5</f>
        <v>8.1999999999999993</v>
      </c>
      <c r="F16" s="68">
        <f>(0.405*B16^2)</f>
        <v>2.5919999999999999E-5</v>
      </c>
      <c r="G16" s="69">
        <f t="shared" si="0"/>
        <v>1.2300347222222223E-2</v>
      </c>
      <c r="H16" s="68"/>
      <c r="I16" s="70">
        <f>39*B16</f>
        <v>0.312</v>
      </c>
    </row>
    <row r="17" spans="1:9" x14ac:dyDescent="0.25">
      <c r="A17" s="1" t="s">
        <v>37</v>
      </c>
      <c r="B17" s="57">
        <f>14*10^-3</f>
        <v>1.4E-2</v>
      </c>
      <c r="C17" s="58">
        <f>(B17^2*PI())/4</f>
        <v>1.5393804002589989E-4</v>
      </c>
      <c r="D17" s="7">
        <f>($G$3/C17)*10^-6</f>
        <v>15.93173460950503</v>
      </c>
      <c r="E17" s="59">
        <f>51.646/5</f>
        <v>10.3292</v>
      </c>
      <c r="F17" s="54">
        <f>(0.405*B17^2)</f>
        <v>7.9380000000000016E-5</v>
      </c>
      <c r="G17" s="60">
        <f t="shared" si="0"/>
        <v>4.016439909297051E-3</v>
      </c>
      <c r="H17" s="61">
        <f>34*B17</f>
        <v>0.47600000000000003</v>
      </c>
      <c r="I17" s="61">
        <f>23*B17</f>
        <v>0.32200000000000001</v>
      </c>
    </row>
    <row r="19" spans="1:9" x14ac:dyDescent="0.25">
      <c r="A19" s="6"/>
      <c r="B19" s="6"/>
      <c r="C19" s="6"/>
      <c r="D19" s="41"/>
      <c r="E19" s="6"/>
      <c r="F19" s="6"/>
      <c r="G19" s="6"/>
      <c r="H19" s="6"/>
      <c r="I19" s="6"/>
    </row>
    <row r="20" spans="1:9" x14ac:dyDescent="0.25">
      <c r="A20" s="6"/>
      <c r="B20" s="6"/>
      <c r="C20" s="6"/>
      <c r="D20" s="42"/>
      <c r="E20" s="6"/>
      <c r="F20" s="43"/>
      <c r="G20" s="44"/>
      <c r="H20" s="44"/>
      <c r="I20" s="45"/>
    </row>
    <row r="21" spans="1:9" x14ac:dyDescent="0.25">
      <c r="A21" s="6"/>
      <c r="B21" s="6"/>
      <c r="C21" s="6"/>
      <c r="D21" s="42"/>
      <c r="E21" s="6"/>
      <c r="F21" s="43"/>
      <c r="G21" s="44"/>
      <c r="H21" s="44"/>
      <c r="I21" s="45"/>
    </row>
    <row r="22" spans="1:9" x14ac:dyDescent="0.25">
      <c r="A22" s="6"/>
      <c r="B22" s="6"/>
      <c r="C22" s="6"/>
      <c r="D22" s="42"/>
      <c r="E22" s="6"/>
      <c r="F22" s="43"/>
      <c r="G22" s="44"/>
      <c r="H22" s="44"/>
      <c r="I22" s="46"/>
    </row>
    <row r="23" spans="1:9" x14ac:dyDescent="0.25">
      <c r="A23" s="6"/>
      <c r="B23" s="6"/>
      <c r="C23" s="6"/>
      <c r="D23" s="42"/>
      <c r="E23" s="6"/>
      <c r="F23" s="43"/>
      <c r="G23" s="44"/>
      <c r="H23" s="44"/>
      <c r="I23" s="46"/>
    </row>
    <row r="24" spans="1:9" x14ac:dyDescent="0.25">
      <c r="A24" s="47"/>
      <c r="B24" s="48"/>
      <c r="C24" s="47"/>
      <c r="D24" s="48"/>
      <c r="E24" s="49"/>
      <c r="F24" s="50"/>
      <c r="G24" s="44"/>
      <c r="H24" s="44"/>
      <c r="I24" s="51"/>
    </row>
    <row r="27" spans="1:9" x14ac:dyDescent="0.25">
      <c r="E27" s="52" t="s">
        <v>105</v>
      </c>
    </row>
    <row r="29" spans="1:9" x14ac:dyDescent="0.25">
      <c r="E29" s="55" t="s">
        <v>78</v>
      </c>
      <c r="F29" s="55" t="s">
        <v>106</v>
      </c>
      <c r="G29" s="55" t="s">
        <v>107</v>
      </c>
    </row>
  </sheetData>
  <mergeCells count="1">
    <mergeCell ref="A9:B9"/>
  </mergeCells>
  <hyperlinks>
    <hyperlink ref="M4" r:id="rId1" xr:uid="{214B35D5-3E91-4A6C-B2F4-10B9350B151D}"/>
    <hyperlink ref="E27" r:id="rId2" xr:uid="{255EAAF6-A825-4C1B-BA25-1C19DB34B2B3}"/>
  </hyperlinks>
  <pageMargins left="0.7" right="0.7" top="0.75" bottom="0.75" header="0.3" footer="0.3"/>
  <pageSetup paperSize="9" orientation="portrait" r:id="rId3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AB49C-C62C-4AEC-B4FB-8AE5F41782F0}">
  <dimension ref="A1:R1048576"/>
  <sheetViews>
    <sheetView workbookViewId="0">
      <selection activeCell="H33" sqref="H33"/>
    </sheetView>
  </sheetViews>
  <sheetFormatPr defaultRowHeight="15" x14ac:dyDescent="0.25"/>
  <cols>
    <col min="2" max="2" width="6" bestFit="1" customWidth="1"/>
    <col min="3" max="3" width="3.28515625" bestFit="1" customWidth="1"/>
    <col min="4" max="4" width="2.5703125" bestFit="1" customWidth="1"/>
    <col min="9" max="9" width="9.85546875" bestFit="1" customWidth="1"/>
    <col min="17" max="17" width="7.7109375" customWidth="1"/>
  </cols>
  <sheetData>
    <row r="1" spans="1:18" ht="19.5" x14ac:dyDescent="0.4">
      <c r="G1" s="8" t="s">
        <v>94</v>
      </c>
    </row>
    <row r="2" spans="1:18" ht="19.5" x14ac:dyDescent="0.4">
      <c r="G2" s="8" t="s">
        <v>95</v>
      </c>
      <c r="N2" s="8" t="s">
        <v>38</v>
      </c>
      <c r="R2" s="8" t="s">
        <v>39</v>
      </c>
    </row>
    <row r="3" spans="1:18" ht="19.5" x14ac:dyDescent="0.4">
      <c r="B3" t="s">
        <v>40</v>
      </c>
      <c r="G3" s="8" t="s">
        <v>96</v>
      </c>
      <c r="N3" s="8" t="s">
        <v>41</v>
      </c>
    </row>
    <row r="4" spans="1:18" ht="19.5" x14ac:dyDescent="0.4">
      <c r="A4" t="s">
        <v>42</v>
      </c>
      <c r="B4" s="11">
        <v>26</v>
      </c>
      <c r="C4" t="s">
        <v>5</v>
      </c>
      <c r="G4" s="8" t="s">
        <v>97</v>
      </c>
    </row>
    <row r="5" spans="1:18" ht="19.5" x14ac:dyDescent="0.4">
      <c r="A5" t="s">
        <v>43</v>
      </c>
      <c r="B5" s="12">
        <f>'Cabo aço'!B17</f>
        <v>1.4E-2</v>
      </c>
      <c r="C5" t="s">
        <v>5</v>
      </c>
      <c r="L5" s="8" t="s">
        <v>44</v>
      </c>
      <c r="R5" s="8" t="s">
        <v>45</v>
      </c>
    </row>
    <row r="6" spans="1:18" ht="19.5" x14ac:dyDescent="0.4">
      <c r="A6" t="s">
        <v>46</v>
      </c>
      <c r="B6" s="12">
        <v>0.47599999999999998</v>
      </c>
      <c r="C6" t="s">
        <v>5</v>
      </c>
      <c r="F6" s="13" t="s">
        <v>47</v>
      </c>
      <c r="L6" s="8" t="s">
        <v>48</v>
      </c>
    </row>
    <row r="7" spans="1:18" ht="19.5" x14ac:dyDescent="0.4">
      <c r="E7" t="s">
        <v>49</v>
      </c>
      <c r="F7" s="14">
        <f>2*PI()*(B6/2)</f>
        <v>1.4953981031087415</v>
      </c>
      <c r="G7" t="s">
        <v>5</v>
      </c>
      <c r="L7" s="8" t="s">
        <v>50</v>
      </c>
      <c r="M7" s="16">
        <f>15*B22</f>
        <v>4.153297766488607</v>
      </c>
    </row>
    <row r="13" spans="1:18" x14ac:dyDescent="0.25">
      <c r="A13" s="9" t="s">
        <v>51</v>
      </c>
      <c r="B13" s="15">
        <f>B4/F7</f>
        <v>17.386674455417136</v>
      </c>
      <c r="C13" s="6" t="s">
        <v>52</v>
      </c>
    </row>
    <row r="14" spans="1:18" x14ac:dyDescent="0.25">
      <c r="A14" s="2" t="s">
        <v>53</v>
      </c>
      <c r="B14" s="30">
        <f>1.08*B5</f>
        <v>1.5120000000000001E-2</v>
      </c>
      <c r="C14" s="1" t="s">
        <v>5</v>
      </c>
    </row>
    <row r="15" spans="1:18" x14ac:dyDescent="0.25">
      <c r="A15" s="2" t="s">
        <v>54</v>
      </c>
      <c r="B15" s="30">
        <f>1.06*B5</f>
        <v>1.4840000000000001E-2</v>
      </c>
      <c r="C15" s="1" t="s">
        <v>5</v>
      </c>
    </row>
    <row r="16" spans="1:18" x14ac:dyDescent="0.25">
      <c r="A16" s="2" t="s">
        <v>55</v>
      </c>
      <c r="B16" s="30">
        <f>0.3*B5</f>
        <v>4.1999999999999997E-3</v>
      </c>
      <c r="C16" s="1" t="s">
        <v>5</v>
      </c>
    </row>
    <row r="17" spans="1:16" x14ac:dyDescent="0.25">
      <c r="A17" s="2" t="s">
        <v>56</v>
      </c>
      <c r="B17" s="30">
        <f>0.15*B5</f>
        <v>2.0999999999999999E-3</v>
      </c>
      <c r="C17" s="1" t="s">
        <v>5</v>
      </c>
    </row>
    <row r="22" spans="1:16" ht="15.75" thickBot="1" x14ac:dyDescent="0.3">
      <c r="A22" s="9" t="s">
        <v>57</v>
      </c>
      <c r="B22" s="10">
        <f>(B13*B14)+B5</f>
        <v>0.27688651776590711</v>
      </c>
      <c r="C22" t="s">
        <v>5</v>
      </c>
    </row>
    <row r="23" spans="1:16" x14ac:dyDescent="0.25">
      <c r="J23" s="31" t="s">
        <v>53</v>
      </c>
      <c r="K23" s="32">
        <f>B14</f>
        <v>1.5120000000000001E-2</v>
      </c>
      <c r="L23" s="33" t="s">
        <v>5</v>
      </c>
    </row>
    <row r="24" spans="1:16" x14ac:dyDescent="0.25">
      <c r="J24" s="34" t="s">
        <v>54</v>
      </c>
      <c r="K24" s="30">
        <f t="shared" ref="K24:K26" si="0">B15</f>
        <v>1.4840000000000001E-2</v>
      </c>
      <c r="L24" s="35" t="s">
        <v>5</v>
      </c>
    </row>
    <row r="25" spans="1:16" x14ac:dyDescent="0.25">
      <c r="J25" s="34" t="s">
        <v>55</v>
      </c>
      <c r="K25" s="30">
        <f t="shared" si="0"/>
        <v>4.1999999999999997E-3</v>
      </c>
      <c r="L25" s="35" t="s">
        <v>5</v>
      </c>
    </row>
    <row r="26" spans="1:16" ht="15.75" thickBot="1" x14ac:dyDescent="0.3">
      <c r="J26" s="36" t="s">
        <v>56</v>
      </c>
      <c r="K26" s="37">
        <f t="shared" si="0"/>
        <v>2.0999999999999999E-3</v>
      </c>
      <c r="L26" s="38" t="s">
        <v>5</v>
      </c>
      <c r="P26" s="52" t="s">
        <v>58</v>
      </c>
    </row>
    <row r="1048576" spans="5:5" x14ac:dyDescent="0.25">
      <c r="E1048576" s="1" t="s">
        <v>21</v>
      </c>
    </row>
  </sheetData>
  <hyperlinks>
    <hyperlink ref="P26" r:id="rId1" xr:uid="{3D61A323-E85C-41B4-B17B-744ECBBDE162}"/>
  </hyperlinks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68D52-EC4D-4CAA-A7E1-E6C2562FF5FB}">
  <dimension ref="C3:E18"/>
  <sheetViews>
    <sheetView topLeftCell="A25" workbookViewId="0">
      <selection activeCell="I44" sqref="I44"/>
    </sheetView>
  </sheetViews>
  <sheetFormatPr defaultRowHeight="15" x14ac:dyDescent="0.25"/>
  <cols>
    <col min="3" max="3" width="41.140625" bestFit="1" customWidth="1"/>
    <col min="4" max="4" width="13.140625" bestFit="1" customWidth="1"/>
    <col min="5" max="5" width="8.140625" bestFit="1" customWidth="1"/>
  </cols>
  <sheetData>
    <row r="3" spans="3:5" x14ac:dyDescent="0.25">
      <c r="C3" s="225" t="s">
        <v>59</v>
      </c>
      <c r="D3" s="225"/>
      <c r="E3" s="225"/>
    </row>
    <row r="4" spans="3:5" x14ac:dyDescent="0.25">
      <c r="C4" s="4" t="s">
        <v>79</v>
      </c>
      <c r="D4" s="1">
        <v>250</v>
      </c>
      <c r="E4" s="4" t="s">
        <v>1</v>
      </c>
    </row>
    <row r="5" spans="3:5" x14ac:dyDescent="0.25">
      <c r="C5" s="4" t="s">
        <v>80</v>
      </c>
      <c r="D5" s="1" t="s">
        <v>60</v>
      </c>
      <c r="E5" s="4" t="s">
        <v>5</v>
      </c>
    </row>
    <row r="6" spans="3:5" x14ac:dyDescent="0.25">
      <c r="C6" s="4" t="s">
        <v>81</v>
      </c>
      <c r="D6" s="1">
        <v>18</v>
      </c>
      <c r="E6" s="4" t="s">
        <v>5</v>
      </c>
    </row>
    <row r="7" spans="3:5" x14ac:dyDescent="0.25">
      <c r="C7" s="4" t="s">
        <v>82</v>
      </c>
      <c r="D7" s="1" t="s">
        <v>61</v>
      </c>
      <c r="E7" s="4" t="s">
        <v>5</v>
      </c>
    </row>
    <row r="8" spans="3:5" x14ac:dyDescent="0.25">
      <c r="C8" s="4" t="s">
        <v>83</v>
      </c>
      <c r="D8" s="1">
        <v>1600</v>
      </c>
      <c r="E8" s="4" t="s">
        <v>1</v>
      </c>
    </row>
    <row r="9" spans="3:5" x14ac:dyDescent="0.25">
      <c r="C9" s="4" t="s">
        <v>84</v>
      </c>
      <c r="D9" s="1">
        <v>6650</v>
      </c>
      <c r="E9" s="4" t="s">
        <v>23</v>
      </c>
    </row>
    <row r="10" spans="3:5" x14ac:dyDescent="0.25">
      <c r="C10" s="4" t="s">
        <v>85</v>
      </c>
      <c r="D10" s="1">
        <v>1800</v>
      </c>
      <c r="E10" s="4" t="s">
        <v>23</v>
      </c>
    </row>
    <row r="11" spans="3:5" x14ac:dyDescent="0.25">
      <c r="C11" s="4" t="s">
        <v>86</v>
      </c>
      <c r="D11" s="1">
        <v>360</v>
      </c>
      <c r="E11" s="4" t="s">
        <v>62</v>
      </c>
    </row>
    <row r="12" spans="3:5" x14ac:dyDescent="0.25">
      <c r="C12" s="4" t="s">
        <v>92</v>
      </c>
      <c r="D12" s="221" t="s">
        <v>91</v>
      </c>
      <c r="E12" s="221"/>
    </row>
    <row r="14" spans="3:5" x14ac:dyDescent="0.25">
      <c r="C14" s="226" t="s">
        <v>93</v>
      </c>
      <c r="D14" s="226"/>
      <c r="E14" s="226"/>
    </row>
    <row r="15" spans="3:5" x14ac:dyDescent="0.25">
      <c r="C15" s="221" t="s">
        <v>87</v>
      </c>
      <c r="D15" s="221"/>
      <c r="E15" s="221"/>
    </row>
    <row r="16" spans="3:5" x14ac:dyDescent="0.25">
      <c r="C16" s="221" t="s">
        <v>88</v>
      </c>
      <c r="D16" s="221"/>
      <c r="E16" s="221"/>
    </row>
    <row r="17" spans="3:5" x14ac:dyDescent="0.25">
      <c r="C17" s="221" t="s">
        <v>89</v>
      </c>
      <c r="D17" s="221"/>
      <c r="E17" s="221"/>
    </row>
    <row r="18" spans="3:5" x14ac:dyDescent="0.25">
      <c r="C18" s="221" t="s">
        <v>90</v>
      </c>
      <c r="D18" s="221"/>
      <c r="E18" s="221"/>
    </row>
  </sheetData>
  <mergeCells count="7">
    <mergeCell ref="C18:E18"/>
    <mergeCell ref="D12:E12"/>
    <mergeCell ref="C3:E3"/>
    <mergeCell ref="C14:E14"/>
    <mergeCell ref="C15:E15"/>
    <mergeCell ref="C16:E16"/>
    <mergeCell ref="C17:E17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3C126-D2F7-4AD0-998B-CCA20CE84AED}">
  <dimension ref="A1:H11"/>
  <sheetViews>
    <sheetView workbookViewId="0">
      <selection activeCell="E16" sqref="E16"/>
    </sheetView>
  </sheetViews>
  <sheetFormatPr defaultRowHeight="15" x14ac:dyDescent="0.25"/>
  <cols>
    <col min="2" max="2" width="10" bestFit="1" customWidth="1"/>
    <col min="3" max="3" width="7" bestFit="1" customWidth="1"/>
    <col min="4" max="4" width="5.42578125" bestFit="1" customWidth="1"/>
    <col min="5" max="5" width="5" bestFit="1" customWidth="1"/>
    <col min="6" max="6" width="4.28515625" bestFit="1" customWidth="1"/>
  </cols>
  <sheetData>
    <row r="1" spans="1:8" ht="15.75" thickBot="1" x14ac:dyDescent="0.3"/>
    <row r="2" spans="1:8" ht="18.75" thickBot="1" x14ac:dyDescent="0.3">
      <c r="B2" s="227" t="s">
        <v>63</v>
      </c>
      <c r="C2" s="228"/>
      <c r="D2" s="228"/>
      <c r="E2" s="228"/>
      <c r="F2" s="228"/>
      <c r="G2" s="228"/>
      <c r="H2" s="229"/>
    </row>
    <row r="4" spans="1:8" x14ac:dyDescent="0.25">
      <c r="B4" t="s">
        <v>64</v>
      </c>
      <c r="C4" s="17" t="s">
        <v>65</v>
      </c>
    </row>
    <row r="5" spans="1:8" ht="15.75" thickBot="1" x14ac:dyDescent="0.3"/>
    <row r="6" spans="1:8" x14ac:dyDescent="0.25">
      <c r="A6" s="6" t="s">
        <v>66</v>
      </c>
      <c r="B6" s="6" t="s">
        <v>67</v>
      </c>
      <c r="D6" s="26" t="s">
        <v>68</v>
      </c>
      <c r="E6" s="19">
        <v>1.5</v>
      </c>
      <c r="F6" s="20" t="s">
        <v>69</v>
      </c>
    </row>
    <row r="7" spans="1:8" ht="15.75" thickBot="1" x14ac:dyDescent="0.3">
      <c r="D7" s="27" t="s">
        <v>70</v>
      </c>
      <c r="E7" s="22">
        <v>1500</v>
      </c>
      <c r="F7" s="23" t="s">
        <v>71</v>
      </c>
    </row>
    <row r="8" spans="1:8" x14ac:dyDescent="0.25">
      <c r="D8" s="26" t="s">
        <v>72</v>
      </c>
      <c r="E8" s="19">
        <v>50</v>
      </c>
      <c r="F8" s="20" t="s">
        <v>73</v>
      </c>
    </row>
    <row r="9" spans="1:8" x14ac:dyDescent="0.25">
      <c r="D9" s="28" t="s">
        <v>74</v>
      </c>
      <c r="E9" s="18">
        <v>4</v>
      </c>
      <c r="F9" s="24"/>
    </row>
    <row r="10" spans="1:8" x14ac:dyDescent="0.25">
      <c r="D10" s="230" t="s">
        <v>75</v>
      </c>
      <c r="E10" s="231"/>
      <c r="F10" s="232"/>
    </row>
    <row r="11" spans="1:8" ht="15.75" thickBot="1" x14ac:dyDescent="0.3">
      <c r="D11" s="29" t="s">
        <v>76</v>
      </c>
      <c r="E11" s="25" t="s">
        <v>77</v>
      </c>
      <c r="F11" s="21"/>
    </row>
  </sheetData>
  <mergeCells count="2">
    <mergeCell ref="B2:H2"/>
    <mergeCell ref="D10:F10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8a5e2c68-b8de-418a-b652-24810715437a" xsi:nil="true"/>
    <lcf76f155ced4ddcb4097134ff3c332f xmlns="d4e5a025-47d9-4efb-8cce-dc2ac9faf6f9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5B639C93248C94E85FDF946DE95FB05" ma:contentTypeVersion="8" ma:contentTypeDescription="Create a new document." ma:contentTypeScope="" ma:versionID="18b4f58bb2e7f49304a2c5fde6db09f3">
  <xsd:schema xmlns:xsd="http://www.w3.org/2001/XMLSchema" xmlns:xs="http://www.w3.org/2001/XMLSchema" xmlns:p="http://schemas.microsoft.com/office/2006/metadata/properties" xmlns:ns2="d4e5a025-47d9-4efb-8cce-dc2ac9faf6f9" xmlns:ns3="8a5e2c68-b8de-418a-b652-24810715437a" targetNamespace="http://schemas.microsoft.com/office/2006/metadata/properties" ma:root="true" ma:fieldsID="074ac942caf7ecd57feef884d2e09d2e" ns2:_="" ns3:_="">
    <xsd:import namespace="d4e5a025-47d9-4efb-8cce-dc2ac9faf6f9"/>
    <xsd:import namespace="8a5e2c68-b8de-418a-b652-24810715437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e5a025-47d9-4efb-8cce-dc2ac9faf6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1" nillable="true" ma:taxonomy="true" ma:internalName="lcf76f155ced4ddcb4097134ff3c332f" ma:taxonomyFieldName="MediaServiceImageTags" ma:displayName="Image Tags" ma:readOnly="false" ma:fieldId="{5cf76f15-5ced-4ddc-b409-7134ff3c332f}" ma:taxonomyMulti="true" ma:sspId="1d602765-7830-46ba-a66b-13b8df2c5cf0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a5e2c68-b8de-418a-b652-24810715437a" elementFormDefault="qualified">
    <xsd:import namespace="http://schemas.microsoft.com/office/2006/documentManagement/types"/>
    <xsd:import namespace="http://schemas.microsoft.com/office/infopath/2007/PartnerControls"/>
    <xsd:element name="TaxCatchAll" ma:index="12" nillable="true" ma:displayName="Taxonomy Catch All Column" ma:hidden="true" ma:list="{e937804b-8c65-4f64-a07b-a2694d9bab14}" ma:internalName="TaxCatchAll" ma:showField="CatchAllData" ma:web="8a5e2c68-b8de-418a-b652-24810715437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F4D808A4-8B2F-4564-AFD4-14CA5B2278EB}">
  <ds:schemaRefs>
    <ds:schemaRef ds:uri="http://purl.org/dc/elements/1.1/"/>
    <ds:schemaRef ds:uri="8a5e2c68-b8de-418a-b652-24810715437a"/>
    <ds:schemaRef ds:uri="http://www.w3.org/XML/1998/namespace"/>
    <ds:schemaRef ds:uri="http://purl.org/dc/dcmitype/"/>
    <ds:schemaRef ds:uri="d4e5a025-47d9-4efb-8cce-dc2ac9faf6f9"/>
    <ds:schemaRef ds:uri="http://schemas.openxmlformats.org/package/2006/metadata/core-properties"/>
    <ds:schemaRef ds:uri="http://schemas.microsoft.com/office/2006/metadata/properties"/>
    <ds:schemaRef ds:uri="http://schemas.microsoft.com/office/infopath/2007/PartnerControls"/>
    <ds:schemaRef ds:uri="http://schemas.microsoft.com/office/2006/documentManagement/types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AB6A04F8-595B-48E1-815E-AC0A0AD77D3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94F3CAE-DDDC-409C-8171-F44A19A726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4e5a025-47d9-4efb-8cce-dc2ac9faf6f9"/>
    <ds:schemaRef ds:uri="8a5e2c68-b8de-418a-b652-24810715437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7</vt:i4>
      </vt:variant>
    </vt:vector>
  </HeadingPairs>
  <TitlesOfParts>
    <vt:vector size="7" baseType="lpstr">
      <vt:lpstr>Dados</vt:lpstr>
      <vt:lpstr>Cabo aço V.2</vt:lpstr>
      <vt:lpstr>tambor_nervuras V2 </vt:lpstr>
      <vt:lpstr>Cabo aço</vt:lpstr>
      <vt:lpstr>tambor_nervuras</vt:lpstr>
      <vt:lpstr>Benchmarking</vt:lpstr>
      <vt:lpstr>Motor Freio Specs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Acacio Cruz</dc:creator>
  <cp:keywords/>
  <dc:description/>
  <cp:lastModifiedBy>Acacio CRUZ</cp:lastModifiedBy>
  <cp:revision/>
  <dcterms:created xsi:type="dcterms:W3CDTF">2023-03-02T09:34:06Z</dcterms:created>
  <dcterms:modified xsi:type="dcterms:W3CDTF">2023-04-20T14:45:14Z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0x01010065B639C93248C94E85FDF946DE95FB05</vt:lpwstr>
  </property>
  <property fmtid="{D5CDD505-2E9C-101B-9397-08002B2CF9AE}" pid="3" name="MediaServiceImageTags">
    <vt:lpwstr/>
  </property>
</Properties>
</file>