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ministrator2/Documents/GitHub/capstone/6_Not_Capstone/"/>
    </mc:Choice>
  </mc:AlternateContent>
  <bookViews>
    <workbookView xWindow="680" yWindow="440" windowWidth="25600" windowHeight="14460" activeTab="3"/>
  </bookViews>
  <sheets>
    <sheet name="Options Comparison" sheetId="1" r:id="rId1"/>
    <sheet name="Options for Report" sheetId="2" r:id="rId2"/>
    <sheet name="Present Worth" sheetId="4" r:id="rId3"/>
    <sheet name="EAC" sheetId="9" r:id="rId4"/>
    <sheet name="Present Worth (UK)" sheetId="6" r:id="rId5"/>
    <sheet name="Incremental Rate of Return" sheetId="5" r:id="rId6"/>
    <sheet name="Incremental Rate of Return (UK)" sheetId="8" r:id="rId7"/>
  </sheets>
  <externalReferences>
    <externalReference r:id="rId8"/>
  </externalReferenc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12" i="9"/>
  <c r="D8" i="9"/>
  <c r="D12" i="9"/>
  <c r="E8" i="9"/>
  <c r="E12" i="9"/>
  <c r="B8" i="9"/>
  <c r="B12" i="9"/>
  <c r="E11" i="9"/>
  <c r="C11" i="9"/>
  <c r="D11" i="9"/>
  <c r="B11" i="9"/>
  <c r="B22" i="9"/>
  <c r="B20" i="9"/>
  <c r="B10" i="9"/>
  <c r="E9" i="9"/>
  <c r="E5" i="9"/>
  <c r="E10" i="9"/>
  <c r="E13" i="9"/>
  <c r="D9" i="9"/>
  <c r="D3" i="9"/>
  <c r="D5" i="9"/>
  <c r="D10" i="9"/>
  <c r="D13" i="9"/>
  <c r="C9" i="9"/>
  <c r="C5" i="9"/>
  <c r="C10" i="9"/>
  <c r="C13" i="9"/>
  <c r="B9" i="9"/>
  <c r="B3" i="9"/>
  <c r="B5" i="9"/>
  <c r="B13" i="9"/>
  <c r="S95" i="6"/>
  <c r="T95" i="6"/>
  <c r="U95" i="6"/>
  <c r="V95" i="6"/>
  <c r="W95" i="6"/>
  <c r="X95" i="6"/>
  <c r="Y95" i="6"/>
  <c r="R95" i="6"/>
  <c r="S95" i="4"/>
  <c r="T95" i="4"/>
  <c r="U95" i="4"/>
  <c r="V95" i="4"/>
  <c r="W95" i="4"/>
  <c r="X95" i="4"/>
  <c r="Y95" i="4"/>
  <c r="R95" i="4"/>
  <c r="P27" i="8"/>
  <c r="D3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J78" i="8"/>
  <c r="S6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I55" i="8"/>
  <c r="I79" i="8"/>
  <c r="J79" i="8"/>
  <c r="G55" i="8"/>
  <c r="J54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I34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G34" i="8"/>
  <c r="G33" i="8"/>
  <c r="H32" i="8"/>
  <c r="H33" i="8"/>
  <c r="G32" i="8"/>
  <c r="J31" i="8"/>
  <c r="G31" i="8"/>
  <c r="J30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H12" i="8"/>
  <c r="H13" i="8"/>
  <c r="G12" i="8"/>
  <c r="H11" i="8"/>
  <c r="I11" i="8"/>
  <c r="G11" i="8"/>
  <c r="H10" i="8"/>
  <c r="I10" i="8"/>
  <c r="G10" i="8"/>
  <c r="H9" i="8"/>
  <c r="I9" i="8"/>
  <c r="G9" i="8"/>
  <c r="H8" i="8"/>
  <c r="I8" i="8"/>
  <c r="J8" i="8"/>
  <c r="G8" i="8"/>
  <c r="I7" i="8"/>
  <c r="I31" i="8"/>
  <c r="G7" i="8"/>
  <c r="J6" i="8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3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7" i="5"/>
  <c r="G7" i="5"/>
  <c r="I13" i="8"/>
  <c r="H14" i="8"/>
  <c r="S7" i="8"/>
  <c r="I12" i="8"/>
  <c r="I32" i="8"/>
  <c r="M6" i="8"/>
  <c r="P6" i="8"/>
  <c r="J34" i="8"/>
  <c r="J10" i="8"/>
  <c r="J55" i="8"/>
  <c r="J7" i="8"/>
  <c r="M7" i="8"/>
  <c r="I33" i="8"/>
  <c r="J9" i="8"/>
  <c r="I35" i="8"/>
  <c r="J11" i="8"/>
  <c r="I58" i="8"/>
  <c r="H4" i="2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D15" i="4"/>
  <c r="C15" i="4"/>
  <c r="B15" i="4"/>
  <c r="D20" i="4"/>
  <c r="C20" i="4"/>
  <c r="B2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75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51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E5" i="2"/>
  <c r="D5" i="2"/>
  <c r="C5" i="2"/>
  <c r="B5" i="2"/>
  <c r="C4" i="2"/>
  <c r="D4" i="2"/>
  <c r="D3" i="2"/>
  <c r="B3" i="2"/>
  <c r="M10" i="8"/>
  <c r="J32" i="8"/>
  <c r="I56" i="8"/>
  <c r="I37" i="8"/>
  <c r="J13" i="8"/>
  <c r="I57" i="8"/>
  <c r="J33" i="8"/>
  <c r="M9" i="8"/>
  <c r="J12" i="8"/>
  <c r="I36" i="8"/>
  <c r="P7" i="8"/>
  <c r="I82" i="8"/>
  <c r="J82" i="8"/>
  <c r="J58" i="8"/>
  <c r="P10" i="8"/>
  <c r="H15" i="8"/>
  <c r="I14" i="8"/>
  <c r="M11" i="8"/>
  <c r="I59" i="8"/>
  <c r="J35" i="8"/>
  <c r="B10" i="6"/>
  <c r="C4" i="6"/>
  <c r="C3" i="6"/>
  <c r="D3" i="6"/>
  <c r="E3" i="6"/>
  <c r="B3" i="6"/>
  <c r="L76" i="6"/>
  <c r="I76" i="6"/>
  <c r="H76" i="6"/>
  <c r="J75" i="6"/>
  <c r="J76" i="6"/>
  <c r="I75" i="6"/>
  <c r="L52" i="6"/>
  <c r="L53" i="6"/>
  <c r="L54" i="6"/>
  <c r="L55" i="6"/>
  <c r="L56" i="6"/>
  <c r="L57" i="6"/>
  <c r="L58" i="6"/>
  <c r="L59" i="6"/>
  <c r="L60" i="6"/>
  <c r="H52" i="6"/>
  <c r="K51" i="6"/>
  <c r="J51" i="6"/>
  <c r="J52" i="6"/>
  <c r="I51" i="6"/>
  <c r="Y51" i="6"/>
  <c r="L28" i="6"/>
  <c r="H28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L4" i="6"/>
  <c r="H4" i="6"/>
  <c r="V3" i="6"/>
  <c r="J3" i="6"/>
  <c r="J4" i="6"/>
  <c r="I3" i="6"/>
  <c r="E2" i="6"/>
  <c r="D2" i="6"/>
  <c r="C2" i="6"/>
  <c r="B2" i="6"/>
  <c r="G98" i="5"/>
  <c r="J98" i="5"/>
  <c r="G97" i="5"/>
  <c r="J97" i="5"/>
  <c r="G96" i="5"/>
  <c r="J96" i="5"/>
  <c r="G95" i="5"/>
  <c r="J95" i="5"/>
  <c r="G94" i="5"/>
  <c r="J94" i="5"/>
  <c r="G93" i="5"/>
  <c r="J93" i="5"/>
  <c r="G92" i="5"/>
  <c r="J92" i="5"/>
  <c r="G91" i="5"/>
  <c r="J91" i="5"/>
  <c r="G90" i="5"/>
  <c r="J90" i="5"/>
  <c r="G89" i="5"/>
  <c r="J89" i="5"/>
  <c r="G88" i="5"/>
  <c r="J88" i="5"/>
  <c r="G87" i="5"/>
  <c r="J87" i="5"/>
  <c r="G86" i="5"/>
  <c r="J86" i="5"/>
  <c r="G85" i="5"/>
  <c r="J85" i="5"/>
  <c r="G84" i="5"/>
  <c r="J84" i="5"/>
  <c r="G83" i="5"/>
  <c r="J83" i="5"/>
  <c r="G82" i="5"/>
  <c r="J82" i="5"/>
  <c r="G81" i="5"/>
  <c r="J81" i="5"/>
  <c r="G80" i="5"/>
  <c r="J80" i="5"/>
  <c r="G79" i="5"/>
  <c r="J79" i="5"/>
  <c r="J78" i="5"/>
  <c r="G74" i="5"/>
  <c r="J74" i="5"/>
  <c r="G73" i="5"/>
  <c r="J73" i="5"/>
  <c r="G72" i="5"/>
  <c r="J72" i="5"/>
  <c r="G71" i="5"/>
  <c r="J71" i="5"/>
  <c r="G70" i="5"/>
  <c r="G69" i="5"/>
  <c r="J69" i="5"/>
  <c r="G68" i="5"/>
  <c r="J68" i="5"/>
  <c r="G67" i="5"/>
  <c r="J67" i="5"/>
  <c r="G66" i="5"/>
  <c r="J66" i="5"/>
  <c r="G65" i="5"/>
  <c r="J65" i="5"/>
  <c r="G64" i="5"/>
  <c r="J64" i="5"/>
  <c r="G63" i="5"/>
  <c r="J63" i="5"/>
  <c r="G62" i="5"/>
  <c r="G61" i="5"/>
  <c r="J61" i="5"/>
  <c r="G60" i="5"/>
  <c r="G59" i="5"/>
  <c r="G58" i="5"/>
  <c r="J58" i="5"/>
  <c r="G57" i="5"/>
  <c r="J57" i="5"/>
  <c r="G56" i="5"/>
  <c r="J56" i="5"/>
  <c r="G55" i="5"/>
  <c r="J55" i="5"/>
  <c r="J70" i="5"/>
  <c r="J62" i="5"/>
  <c r="J60" i="5"/>
  <c r="J59" i="5"/>
  <c r="J54" i="5"/>
  <c r="J6" i="5"/>
  <c r="J30" i="5"/>
  <c r="G8" i="5"/>
  <c r="G9" i="5"/>
  <c r="J9" i="5"/>
  <c r="G10" i="5"/>
  <c r="G11" i="5"/>
  <c r="J11" i="5"/>
  <c r="G12" i="5"/>
  <c r="G13" i="5"/>
  <c r="J13" i="5"/>
  <c r="G14" i="5"/>
  <c r="J14" i="5"/>
  <c r="G15" i="5"/>
  <c r="J15" i="5"/>
  <c r="G16" i="5"/>
  <c r="G17" i="5"/>
  <c r="J17" i="5"/>
  <c r="G18" i="5"/>
  <c r="J18" i="5"/>
  <c r="G19" i="5"/>
  <c r="J19" i="5"/>
  <c r="G20" i="5"/>
  <c r="G21" i="5"/>
  <c r="J21" i="5"/>
  <c r="G22" i="5"/>
  <c r="J22" i="5"/>
  <c r="G23" i="5"/>
  <c r="J23" i="5"/>
  <c r="G24" i="5"/>
  <c r="G25" i="5"/>
  <c r="J25" i="5"/>
  <c r="G26" i="5"/>
  <c r="J26" i="5"/>
  <c r="G31" i="5"/>
  <c r="G32" i="5"/>
  <c r="J32" i="5"/>
  <c r="G33" i="5"/>
  <c r="J33" i="5"/>
  <c r="G34" i="5"/>
  <c r="J34" i="5"/>
  <c r="G35" i="5"/>
  <c r="G36" i="5"/>
  <c r="J36" i="5"/>
  <c r="G37" i="5"/>
  <c r="J37" i="5"/>
  <c r="G38" i="5"/>
  <c r="J38" i="5"/>
  <c r="G39" i="5"/>
  <c r="G40" i="5"/>
  <c r="J40" i="5"/>
  <c r="G41" i="5"/>
  <c r="J41" i="5"/>
  <c r="G42" i="5"/>
  <c r="J42" i="5"/>
  <c r="G43" i="5"/>
  <c r="G44" i="5"/>
  <c r="J44" i="5"/>
  <c r="G45" i="5"/>
  <c r="J45" i="5"/>
  <c r="G46" i="5"/>
  <c r="J46" i="5"/>
  <c r="G47" i="5"/>
  <c r="G48" i="5"/>
  <c r="J48" i="5"/>
  <c r="G49" i="5"/>
  <c r="J49" i="5"/>
  <c r="G50" i="5"/>
  <c r="J50" i="5"/>
  <c r="J7" i="5"/>
  <c r="H32" i="5"/>
  <c r="H33" i="5"/>
  <c r="H8" i="5"/>
  <c r="J14" i="8"/>
  <c r="I38" i="8"/>
  <c r="J57" i="8"/>
  <c r="P9" i="8"/>
  <c r="I81" i="8"/>
  <c r="J81" i="8"/>
  <c r="H16" i="8"/>
  <c r="I15" i="8"/>
  <c r="S10" i="8"/>
  <c r="I61" i="8"/>
  <c r="J37" i="8"/>
  <c r="M13" i="8"/>
  <c r="I60" i="8"/>
  <c r="J36" i="8"/>
  <c r="M12" i="8"/>
  <c r="M8" i="8"/>
  <c r="J56" i="8"/>
  <c r="P8" i="8"/>
  <c r="I80" i="8"/>
  <c r="J80" i="8"/>
  <c r="S8" i="8"/>
  <c r="J59" i="8"/>
  <c r="P11" i="8"/>
  <c r="I83" i="8"/>
  <c r="J83" i="8"/>
  <c r="S20" i="5"/>
  <c r="S18" i="5"/>
  <c r="S15" i="5"/>
  <c r="S24" i="5"/>
  <c r="S22" i="5"/>
  <c r="S7" i="5"/>
  <c r="S23" i="5"/>
  <c r="S16" i="5"/>
  <c r="S12" i="5"/>
  <c r="S14" i="5"/>
  <c r="S13" i="5"/>
  <c r="S8" i="5"/>
  <c r="S25" i="5"/>
  <c r="S6" i="5"/>
  <c r="S10" i="5"/>
  <c r="S26" i="5"/>
  <c r="S21" i="5"/>
  <c r="S9" i="5"/>
  <c r="S17" i="5"/>
  <c r="S11" i="5"/>
  <c r="S19" i="5"/>
  <c r="P26" i="5"/>
  <c r="P18" i="5"/>
  <c r="P14" i="5"/>
  <c r="P22" i="5"/>
  <c r="K28" i="6"/>
  <c r="K39" i="6"/>
  <c r="X3" i="6"/>
  <c r="R3" i="6"/>
  <c r="K30" i="6"/>
  <c r="K34" i="6"/>
  <c r="K38" i="6"/>
  <c r="K42" i="6"/>
  <c r="W51" i="6"/>
  <c r="Y75" i="6"/>
  <c r="S75" i="6"/>
  <c r="K3" i="6"/>
  <c r="K27" i="6"/>
  <c r="K32" i="6"/>
  <c r="K36" i="6"/>
  <c r="K40" i="6"/>
  <c r="K44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K75" i="6"/>
  <c r="K31" i="6"/>
  <c r="K35" i="6"/>
  <c r="K43" i="6"/>
  <c r="N27" i="6"/>
  <c r="O27" i="6"/>
  <c r="K29" i="6"/>
  <c r="K33" i="6"/>
  <c r="K37" i="6"/>
  <c r="K41" i="6"/>
  <c r="S51" i="6"/>
  <c r="V75" i="6"/>
  <c r="E4" i="6"/>
  <c r="U28" i="6"/>
  <c r="W52" i="6"/>
  <c r="D4" i="6"/>
  <c r="B4" i="6"/>
  <c r="L5" i="6"/>
  <c r="J5" i="6"/>
  <c r="K4" i="6"/>
  <c r="N3" i="6"/>
  <c r="O3" i="6"/>
  <c r="H5" i="6"/>
  <c r="W27" i="6"/>
  <c r="U3" i="6"/>
  <c r="Y3" i="6"/>
  <c r="R27" i="6"/>
  <c r="V27" i="6"/>
  <c r="X28" i="6"/>
  <c r="T28" i="6"/>
  <c r="W28" i="6"/>
  <c r="S28" i="6"/>
  <c r="R28" i="6"/>
  <c r="H29" i="6"/>
  <c r="L61" i="6"/>
  <c r="V76" i="6"/>
  <c r="S27" i="6"/>
  <c r="S3" i="6"/>
  <c r="W3" i="6"/>
  <c r="I4" i="6"/>
  <c r="T27" i="6"/>
  <c r="X27" i="6"/>
  <c r="N28" i="6"/>
  <c r="O28" i="6"/>
  <c r="V28" i="6"/>
  <c r="L29" i="6"/>
  <c r="Y52" i="6"/>
  <c r="L77" i="6"/>
  <c r="K52" i="6"/>
  <c r="N52" i="6"/>
  <c r="O52" i="6"/>
  <c r="J53" i="6"/>
  <c r="T3" i="6"/>
  <c r="J46" i="6"/>
  <c r="K46" i="6"/>
  <c r="K45" i="6"/>
  <c r="U27" i="6"/>
  <c r="Y27" i="6"/>
  <c r="Y28" i="6"/>
  <c r="N51" i="6"/>
  <c r="O51" i="6"/>
  <c r="V51" i="6"/>
  <c r="R51" i="6"/>
  <c r="R52" i="6"/>
  <c r="V52" i="6"/>
  <c r="H53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T51" i="6"/>
  <c r="X51" i="6"/>
  <c r="T52" i="6"/>
  <c r="X52" i="6"/>
  <c r="K76" i="6"/>
  <c r="N76" i="6"/>
  <c r="O76" i="6"/>
  <c r="J77" i="6"/>
  <c r="S76" i="6"/>
  <c r="U51" i="6"/>
  <c r="U52" i="6"/>
  <c r="W76" i="6"/>
  <c r="N75" i="6"/>
  <c r="O75" i="6"/>
  <c r="W75" i="6"/>
  <c r="R75" i="6"/>
  <c r="Y76" i="6"/>
  <c r="U76" i="6"/>
  <c r="X76" i="6"/>
  <c r="T76" i="6"/>
  <c r="R76" i="6"/>
  <c r="H77" i="6"/>
  <c r="T75" i="6"/>
  <c r="X75" i="6"/>
  <c r="U75" i="6"/>
  <c r="P19" i="5"/>
  <c r="P25" i="5"/>
  <c r="P9" i="5"/>
  <c r="P13" i="5"/>
  <c r="P17" i="5"/>
  <c r="P21" i="5"/>
  <c r="P15" i="5"/>
  <c r="P11" i="5"/>
  <c r="P7" i="5"/>
  <c r="P23" i="5"/>
  <c r="P6" i="5"/>
  <c r="J47" i="5"/>
  <c r="J43" i="5"/>
  <c r="J39" i="5"/>
  <c r="J35" i="5"/>
  <c r="J31" i="5"/>
  <c r="J51" i="5"/>
  <c r="J24" i="5"/>
  <c r="P24" i="5"/>
  <c r="J20" i="5"/>
  <c r="P20" i="5"/>
  <c r="J16" i="5"/>
  <c r="P16" i="5"/>
  <c r="J12" i="5"/>
  <c r="P12" i="5"/>
  <c r="J8" i="5"/>
  <c r="P8" i="5"/>
  <c r="J10" i="5"/>
  <c r="P10" i="5"/>
  <c r="M6" i="5"/>
  <c r="H9" i="5"/>
  <c r="H34" i="5"/>
  <c r="J3" i="4"/>
  <c r="K3" i="4"/>
  <c r="I3" i="4"/>
  <c r="E2" i="4"/>
  <c r="D2" i="4"/>
  <c r="C2" i="4"/>
  <c r="C4" i="4"/>
  <c r="B2" i="4"/>
  <c r="J75" i="4"/>
  <c r="J76" i="4"/>
  <c r="K76" i="4"/>
  <c r="I75" i="4"/>
  <c r="L76" i="4"/>
  <c r="L77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J51" i="4"/>
  <c r="J52" i="4"/>
  <c r="K52" i="4"/>
  <c r="I51" i="4"/>
  <c r="L52" i="4"/>
  <c r="L53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J27" i="4"/>
  <c r="K27" i="4"/>
  <c r="I27" i="4"/>
  <c r="L28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L4" i="4"/>
  <c r="H4" i="4"/>
  <c r="E4" i="4"/>
  <c r="D4" i="4"/>
  <c r="B4" i="4"/>
  <c r="C11" i="2"/>
  <c r="D11" i="2"/>
  <c r="E11" i="2"/>
  <c r="B11" i="2"/>
  <c r="C10" i="2"/>
  <c r="D10" i="2"/>
  <c r="E10" i="2"/>
  <c r="B10" i="2"/>
  <c r="C9" i="2"/>
  <c r="D9" i="2"/>
  <c r="E9" i="2"/>
  <c r="B9" i="2"/>
  <c r="E2" i="2"/>
  <c r="D2" i="2"/>
  <c r="C2" i="2"/>
  <c r="B2" i="2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4" i="1"/>
  <c r="B82" i="1"/>
  <c r="B83" i="1"/>
  <c r="B84" i="1"/>
  <c r="B85" i="1"/>
  <c r="B86" i="1"/>
  <c r="B87" i="1"/>
  <c r="B88" i="1"/>
  <c r="B89" i="1"/>
  <c r="B90" i="1"/>
  <c r="B91" i="1"/>
  <c r="B92" i="1"/>
  <c r="B93" i="1"/>
  <c r="B76" i="1"/>
  <c r="B77" i="1"/>
  <c r="B78" i="1"/>
  <c r="B79" i="1"/>
  <c r="B80" i="1"/>
  <c r="B81" i="1"/>
  <c r="B7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I5" i="1"/>
  <c r="J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I4" i="1"/>
  <c r="G4" i="1"/>
  <c r="I3" i="1"/>
  <c r="J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I2" i="1"/>
  <c r="G2" i="1"/>
  <c r="E5" i="1"/>
  <c r="L5" i="1"/>
  <c r="E4" i="1"/>
  <c r="L4" i="1"/>
  <c r="D4" i="1"/>
  <c r="C4" i="1"/>
  <c r="E3" i="1"/>
  <c r="L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3" i="1"/>
  <c r="F3" i="1"/>
  <c r="E2" i="1"/>
  <c r="L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2" i="1"/>
  <c r="F2" i="1"/>
  <c r="B5" i="1"/>
  <c r="B4" i="1"/>
  <c r="B3" i="1"/>
  <c r="B2" i="1"/>
  <c r="S11" i="8"/>
  <c r="S9" i="8"/>
  <c r="I84" i="8"/>
  <c r="J84" i="8"/>
  <c r="J60" i="8"/>
  <c r="P12" i="8"/>
  <c r="I39" i="8"/>
  <c r="J15" i="8"/>
  <c r="I16" i="8"/>
  <c r="H17" i="8"/>
  <c r="J38" i="8"/>
  <c r="I62" i="8"/>
  <c r="I85" i="8"/>
  <c r="J85" i="8"/>
  <c r="J61" i="8"/>
  <c r="P13" i="8"/>
  <c r="S52" i="6"/>
  <c r="I76" i="4"/>
  <c r="Y75" i="4"/>
  <c r="X75" i="4"/>
  <c r="S75" i="4"/>
  <c r="V75" i="4"/>
  <c r="R75" i="4"/>
  <c r="U75" i="4"/>
  <c r="T75" i="4"/>
  <c r="W75" i="4"/>
  <c r="I52" i="4"/>
  <c r="Y51" i="4"/>
  <c r="U51" i="4"/>
  <c r="R51" i="4"/>
  <c r="X51" i="4"/>
  <c r="T51" i="4"/>
  <c r="W51" i="4"/>
  <c r="S51" i="4"/>
  <c r="V51" i="4"/>
  <c r="I28" i="4"/>
  <c r="Y27" i="4"/>
  <c r="U27" i="4"/>
  <c r="X27" i="4"/>
  <c r="T27" i="4"/>
  <c r="W27" i="4"/>
  <c r="S27" i="4"/>
  <c r="V27" i="4"/>
  <c r="R27" i="4"/>
  <c r="I4" i="4"/>
  <c r="W3" i="4"/>
  <c r="U3" i="4"/>
  <c r="Y3" i="4"/>
  <c r="T3" i="4"/>
  <c r="X3" i="4"/>
  <c r="V3" i="4"/>
  <c r="H78" i="6"/>
  <c r="Y53" i="6"/>
  <c r="U53" i="6"/>
  <c r="X53" i="6"/>
  <c r="T53" i="6"/>
  <c r="H54" i="6"/>
  <c r="V53" i="6"/>
  <c r="R53" i="6"/>
  <c r="W53" i="6"/>
  <c r="S53" i="6"/>
  <c r="Y77" i="6"/>
  <c r="L78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R4" i="6"/>
  <c r="H30" i="6"/>
  <c r="U4" i="6"/>
  <c r="T4" i="6"/>
  <c r="J6" i="6"/>
  <c r="K5" i="6"/>
  <c r="K77" i="6"/>
  <c r="J78" i="6"/>
  <c r="Y4" i="6"/>
  <c r="X4" i="6"/>
  <c r="N4" i="6"/>
  <c r="O4" i="6"/>
  <c r="K53" i="6"/>
  <c r="N53" i="6"/>
  <c r="O53" i="6"/>
  <c r="J54" i="6"/>
  <c r="L62" i="6"/>
  <c r="S4" i="6"/>
  <c r="L6" i="6"/>
  <c r="N29" i="6"/>
  <c r="O29" i="6"/>
  <c r="L30" i="6"/>
  <c r="X5" i="6"/>
  <c r="T5" i="6"/>
  <c r="Y5" i="6"/>
  <c r="U5" i="6"/>
  <c r="H6" i="6"/>
  <c r="R5" i="6"/>
  <c r="W4" i="6"/>
  <c r="V4" i="6"/>
  <c r="P27" i="5"/>
  <c r="H10" i="5"/>
  <c r="H11" i="5"/>
  <c r="H35" i="5"/>
  <c r="H5" i="4"/>
  <c r="S4" i="4"/>
  <c r="K51" i="4"/>
  <c r="N51" i="4"/>
  <c r="O51" i="4"/>
  <c r="S3" i="4"/>
  <c r="R3" i="4"/>
  <c r="N3" i="4"/>
  <c r="O3" i="4"/>
  <c r="K75" i="4"/>
  <c r="N75" i="4"/>
  <c r="O75" i="4"/>
  <c r="L29" i="4"/>
  <c r="L78" i="4"/>
  <c r="J77" i="4"/>
  <c r="K77" i="4"/>
  <c r="N76" i="4"/>
  <c r="O76" i="4"/>
  <c r="L54" i="4"/>
  <c r="J53" i="4"/>
  <c r="K53" i="4"/>
  <c r="N52" i="4"/>
  <c r="O52" i="4"/>
  <c r="N27" i="4"/>
  <c r="O27" i="4"/>
  <c r="J28" i="4"/>
  <c r="K28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J4" i="4"/>
  <c r="K4" i="4"/>
  <c r="J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J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F5" i="1"/>
  <c r="K2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K5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K4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K3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F4" i="1"/>
  <c r="J39" i="8"/>
  <c r="I63" i="8"/>
  <c r="M15" i="8"/>
  <c r="S13" i="8"/>
  <c r="J62" i="8"/>
  <c r="P14" i="8"/>
  <c r="I86" i="8"/>
  <c r="J86" i="8"/>
  <c r="S14" i="8"/>
  <c r="M14" i="8"/>
  <c r="I17" i="8"/>
  <c r="H18" i="8"/>
  <c r="S12" i="8"/>
  <c r="J16" i="8"/>
  <c r="I40" i="8"/>
  <c r="V5" i="6"/>
  <c r="S5" i="6"/>
  <c r="N5" i="6"/>
  <c r="O5" i="6"/>
  <c r="I77" i="4"/>
  <c r="Y76" i="4"/>
  <c r="W76" i="4"/>
  <c r="X76" i="4"/>
  <c r="S76" i="4"/>
  <c r="V76" i="4"/>
  <c r="R76" i="4"/>
  <c r="U76" i="4"/>
  <c r="T76" i="4"/>
  <c r="I53" i="4"/>
  <c r="Y52" i="4"/>
  <c r="U52" i="4"/>
  <c r="V52" i="4"/>
  <c r="X52" i="4"/>
  <c r="T52" i="4"/>
  <c r="R52" i="4"/>
  <c r="W52" i="4"/>
  <c r="S52" i="4"/>
  <c r="I29" i="4"/>
  <c r="Y28" i="4"/>
  <c r="U28" i="4"/>
  <c r="X28" i="4"/>
  <c r="T28" i="4"/>
  <c r="W28" i="4"/>
  <c r="S28" i="4"/>
  <c r="V28" i="4"/>
  <c r="R28" i="4"/>
  <c r="I5" i="4"/>
  <c r="U4" i="4"/>
  <c r="Y4" i="4"/>
  <c r="W4" i="4"/>
  <c r="V4" i="4"/>
  <c r="T4" i="4"/>
  <c r="X4" i="4"/>
  <c r="J7" i="6"/>
  <c r="K6" i="6"/>
  <c r="H31" i="6"/>
  <c r="S29" i="6"/>
  <c r="Y54" i="6"/>
  <c r="U54" i="6"/>
  <c r="X54" i="6"/>
  <c r="T54" i="6"/>
  <c r="H55" i="6"/>
  <c r="V54" i="6"/>
  <c r="R54" i="6"/>
  <c r="W54" i="6"/>
  <c r="S54" i="6"/>
  <c r="W77" i="6"/>
  <c r="X77" i="6"/>
  <c r="N6" i="6"/>
  <c r="O6" i="6"/>
  <c r="L7" i="6"/>
  <c r="L63" i="6"/>
  <c r="K78" i="6"/>
  <c r="J79" i="6"/>
  <c r="V29" i="6"/>
  <c r="W29" i="6"/>
  <c r="R77" i="6"/>
  <c r="U77" i="6"/>
  <c r="U29" i="6"/>
  <c r="T29" i="6"/>
  <c r="N78" i="6"/>
  <c r="O78" i="6"/>
  <c r="L79" i="6"/>
  <c r="S77" i="6"/>
  <c r="Y78" i="6"/>
  <c r="U78" i="6"/>
  <c r="T78" i="6"/>
  <c r="H79" i="6"/>
  <c r="R78" i="6"/>
  <c r="V78" i="6"/>
  <c r="S78" i="6"/>
  <c r="X6" i="6"/>
  <c r="T6" i="6"/>
  <c r="W6" i="6"/>
  <c r="S6" i="6"/>
  <c r="Y6" i="6"/>
  <c r="U6" i="6"/>
  <c r="H7" i="6"/>
  <c r="V6" i="6"/>
  <c r="R6" i="6"/>
  <c r="W5" i="6"/>
  <c r="N30" i="6"/>
  <c r="O30" i="6"/>
  <c r="L31" i="6"/>
  <c r="K54" i="6"/>
  <c r="N54" i="6"/>
  <c r="O54" i="6"/>
  <c r="J55" i="6"/>
  <c r="R29" i="6"/>
  <c r="Y29" i="6"/>
  <c r="X29" i="6"/>
  <c r="N77" i="6"/>
  <c r="O77" i="6"/>
  <c r="V77" i="6"/>
  <c r="T77" i="6"/>
  <c r="H36" i="5"/>
  <c r="H12" i="5"/>
  <c r="R4" i="4"/>
  <c r="H6" i="4"/>
  <c r="L30" i="4"/>
  <c r="J78" i="4"/>
  <c r="K78" i="4"/>
  <c r="L79" i="4"/>
  <c r="N53" i="4"/>
  <c r="O53" i="4"/>
  <c r="L55" i="4"/>
  <c r="J54" i="4"/>
  <c r="K54" i="4"/>
  <c r="J29" i="4"/>
  <c r="K29" i="4"/>
  <c r="N28" i="4"/>
  <c r="O28" i="4"/>
  <c r="J5" i="4"/>
  <c r="K5" i="4"/>
  <c r="J40" i="8"/>
  <c r="I64" i="8"/>
  <c r="M16" i="8"/>
  <c r="I18" i="8"/>
  <c r="H19" i="8"/>
  <c r="I87" i="8"/>
  <c r="J87" i="8"/>
  <c r="J63" i="8"/>
  <c r="P15" i="8"/>
  <c r="I41" i="8"/>
  <c r="J17" i="8"/>
  <c r="I78" i="4"/>
  <c r="T77" i="4"/>
  <c r="W77" i="4"/>
  <c r="V77" i="4"/>
  <c r="R77" i="4"/>
  <c r="Y77" i="4"/>
  <c r="U77" i="4"/>
  <c r="X77" i="4"/>
  <c r="S77" i="4"/>
  <c r="N77" i="4"/>
  <c r="O77" i="4"/>
  <c r="I54" i="4"/>
  <c r="Y53" i="4"/>
  <c r="U53" i="4"/>
  <c r="X53" i="4"/>
  <c r="T53" i="4"/>
  <c r="V53" i="4"/>
  <c r="W53" i="4"/>
  <c r="S53" i="4"/>
  <c r="R53" i="4"/>
  <c r="I30" i="4"/>
  <c r="Y29" i="4"/>
  <c r="U29" i="4"/>
  <c r="X29" i="4"/>
  <c r="T29" i="4"/>
  <c r="W29" i="4"/>
  <c r="S29" i="4"/>
  <c r="V29" i="4"/>
  <c r="R29" i="4"/>
  <c r="S5" i="4"/>
  <c r="I6" i="4"/>
  <c r="W5" i="4"/>
  <c r="U5" i="4"/>
  <c r="T5" i="4"/>
  <c r="X5" i="4"/>
  <c r="Y5" i="4"/>
  <c r="V5" i="4"/>
  <c r="W78" i="6"/>
  <c r="X78" i="6"/>
  <c r="L80" i="6"/>
  <c r="H32" i="6"/>
  <c r="W30" i="6"/>
  <c r="J8" i="6"/>
  <c r="K7" i="6"/>
  <c r="N31" i="6"/>
  <c r="O31" i="6"/>
  <c r="L32" i="6"/>
  <c r="L64" i="6"/>
  <c r="V30" i="6"/>
  <c r="T30" i="6"/>
  <c r="H8" i="6"/>
  <c r="Y79" i="6"/>
  <c r="U79" i="6"/>
  <c r="X79" i="6"/>
  <c r="T79" i="6"/>
  <c r="H80" i="6"/>
  <c r="R79" i="6"/>
  <c r="W79" i="6"/>
  <c r="V79" i="6"/>
  <c r="S79" i="6"/>
  <c r="U30" i="6"/>
  <c r="Y30" i="6"/>
  <c r="X30" i="6"/>
  <c r="K55" i="6"/>
  <c r="N55" i="6"/>
  <c r="O55" i="6"/>
  <c r="J56" i="6"/>
  <c r="K79" i="6"/>
  <c r="J80" i="6"/>
  <c r="N7" i="6"/>
  <c r="O7" i="6"/>
  <c r="L8" i="6"/>
  <c r="Y55" i="6"/>
  <c r="U55" i="6"/>
  <c r="X55" i="6"/>
  <c r="T55" i="6"/>
  <c r="H56" i="6"/>
  <c r="V55" i="6"/>
  <c r="R55" i="6"/>
  <c r="W55" i="6"/>
  <c r="S55" i="6"/>
  <c r="R30" i="6"/>
  <c r="S30" i="6"/>
  <c r="M7" i="5"/>
  <c r="H37" i="5"/>
  <c r="H13" i="5"/>
  <c r="L31" i="4"/>
  <c r="R5" i="4"/>
  <c r="H7" i="4"/>
  <c r="L80" i="4"/>
  <c r="J79" i="4"/>
  <c r="K79" i="4"/>
  <c r="N78" i="4"/>
  <c r="O78" i="4"/>
  <c r="L56" i="4"/>
  <c r="J55" i="4"/>
  <c r="K55" i="4"/>
  <c r="N54" i="4"/>
  <c r="O54" i="4"/>
  <c r="N4" i="4"/>
  <c r="O4" i="4"/>
  <c r="J30" i="4"/>
  <c r="K30" i="4"/>
  <c r="N29" i="4"/>
  <c r="O29" i="4"/>
  <c r="L32" i="4"/>
  <c r="J6" i="4"/>
  <c r="K6" i="4"/>
  <c r="J18" i="8"/>
  <c r="I42" i="8"/>
  <c r="S15" i="8"/>
  <c r="I19" i="8"/>
  <c r="H20" i="8"/>
  <c r="M17" i="8"/>
  <c r="J64" i="8"/>
  <c r="P16" i="8"/>
  <c r="I88" i="8"/>
  <c r="J88" i="8"/>
  <c r="S16" i="8"/>
  <c r="I65" i="8"/>
  <c r="J41" i="8"/>
  <c r="I79" i="4"/>
  <c r="U78" i="4"/>
  <c r="W78" i="4"/>
  <c r="X78" i="4"/>
  <c r="V78" i="4"/>
  <c r="R78" i="4"/>
  <c r="Y78" i="4"/>
  <c r="T78" i="4"/>
  <c r="S78" i="4"/>
  <c r="I55" i="4"/>
  <c r="Y54" i="4"/>
  <c r="U54" i="4"/>
  <c r="R54" i="4"/>
  <c r="X54" i="4"/>
  <c r="T54" i="4"/>
  <c r="W54" i="4"/>
  <c r="S54" i="4"/>
  <c r="V54" i="4"/>
  <c r="I31" i="4"/>
  <c r="Y30" i="4"/>
  <c r="U30" i="4"/>
  <c r="X30" i="4"/>
  <c r="T30" i="4"/>
  <c r="W30" i="4"/>
  <c r="S30" i="4"/>
  <c r="V30" i="4"/>
  <c r="R30" i="4"/>
  <c r="I7" i="4"/>
  <c r="U6" i="4"/>
  <c r="Y6" i="4"/>
  <c r="W6" i="4"/>
  <c r="V6" i="4"/>
  <c r="T6" i="4"/>
  <c r="X6" i="4"/>
  <c r="R6" i="4"/>
  <c r="S6" i="4"/>
  <c r="L9" i="6"/>
  <c r="V7" i="6"/>
  <c r="S7" i="6"/>
  <c r="L65" i="6"/>
  <c r="V31" i="6"/>
  <c r="T31" i="6"/>
  <c r="K56" i="6"/>
  <c r="N56" i="6"/>
  <c r="O56" i="6"/>
  <c r="J57" i="6"/>
  <c r="X8" i="6"/>
  <c r="T8" i="6"/>
  <c r="W8" i="6"/>
  <c r="S8" i="6"/>
  <c r="Y8" i="6"/>
  <c r="U8" i="6"/>
  <c r="H9" i="6"/>
  <c r="V8" i="6"/>
  <c r="R8" i="6"/>
  <c r="W7" i="6"/>
  <c r="U31" i="6"/>
  <c r="Y31" i="6"/>
  <c r="X31" i="6"/>
  <c r="K80" i="6"/>
  <c r="J81" i="6"/>
  <c r="H81" i="6"/>
  <c r="U7" i="6"/>
  <c r="T7" i="6"/>
  <c r="R31" i="6"/>
  <c r="S31" i="6"/>
  <c r="L81" i="6"/>
  <c r="Y56" i="6"/>
  <c r="U56" i="6"/>
  <c r="X56" i="6"/>
  <c r="T56" i="6"/>
  <c r="H57" i="6"/>
  <c r="V56" i="6"/>
  <c r="R56" i="6"/>
  <c r="W56" i="6"/>
  <c r="S56" i="6"/>
  <c r="R7" i="6"/>
  <c r="Y7" i="6"/>
  <c r="X7" i="6"/>
  <c r="N32" i="6"/>
  <c r="O32" i="6"/>
  <c r="L33" i="6"/>
  <c r="J9" i="6"/>
  <c r="K8" i="6"/>
  <c r="X32" i="6"/>
  <c r="T32" i="6"/>
  <c r="W32" i="6"/>
  <c r="S32" i="6"/>
  <c r="Y32" i="6"/>
  <c r="V32" i="6"/>
  <c r="H33" i="6"/>
  <c r="R32" i="6"/>
  <c r="U32" i="6"/>
  <c r="W31" i="6"/>
  <c r="N79" i="6"/>
  <c r="O79" i="6"/>
  <c r="M8" i="5"/>
  <c r="H38" i="5"/>
  <c r="H14" i="5"/>
  <c r="H8" i="4"/>
  <c r="R7" i="4"/>
  <c r="L81" i="4"/>
  <c r="J80" i="4"/>
  <c r="K80" i="4"/>
  <c r="L57" i="4"/>
  <c r="J56" i="4"/>
  <c r="K56" i="4"/>
  <c r="N5" i="4"/>
  <c r="O5" i="4"/>
  <c r="N30" i="4"/>
  <c r="O30" i="4"/>
  <c r="J31" i="4"/>
  <c r="K31" i="4"/>
  <c r="L33" i="4"/>
  <c r="J7" i="4"/>
  <c r="K7" i="4"/>
  <c r="H21" i="8"/>
  <c r="I20" i="8"/>
  <c r="I43" i="8"/>
  <c r="J19" i="8"/>
  <c r="J42" i="8"/>
  <c r="M18" i="8"/>
  <c r="I66" i="8"/>
  <c r="J65" i="8"/>
  <c r="P17" i="8"/>
  <c r="I89" i="8"/>
  <c r="J89" i="8"/>
  <c r="S17" i="8"/>
  <c r="N80" i="6"/>
  <c r="O80" i="6"/>
  <c r="I80" i="4"/>
  <c r="Y79" i="4"/>
  <c r="X79" i="4"/>
  <c r="T79" i="4"/>
  <c r="W79" i="4"/>
  <c r="V79" i="4"/>
  <c r="R79" i="4"/>
  <c r="U79" i="4"/>
  <c r="S79" i="4"/>
  <c r="N79" i="4"/>
  <c r="O79" i="4"/>
  <c r="I56" i="4"/>
  <c r="N56" i="4"/>
  <c r="O56" i="4"/>
  <c r="Y55" i="4"/>
  <c r="U55" i="4"/>
  <c r="V55" i="4"/>
  <c r="X55" i="4"/>
  <c r="T55" i="4"/>
  <c r="R55" i="4"/>
  <c r="W55" i="4"/>
  <c r="S55" i="4"/>
  <c r="N55" i="4"/>
  <c r="O55" i="4"/>
  <c r="I32" i="4"/>
  <c r="Y31" i="4"/>
  <c r="U31" i="4"/>
  <c r="X31" i="4"/>
  <c r="T31" i="4"/>
  <c r="W31" i="4"/>
  <c r="S31" i="4"/>
  <c r="V31" i="4"/>
  <c r="R31" i="4"/>
  <c r="I8" i="4"/>
  <c r="W7" i="4"/>
  <c r="U7" i="4"/>
  <c r="T7" i="4"/>
  <c r="X7" i="4"/>
  <c r="V7" i="4"/>
  <c r="Y7" i="4"/>
  <c r="S7" i="4"/>
  <c r="N33" i="6"/>
  <c r="O33" i="6"/>
  <c r="L34" i="6"/>
  <c r="S80" i="6"/>
  <c r="H82" i="6"/>
  <c r="Y80" i="6"/>
  <c r="Y57" i="6"/>
  <c r="U57" i="6"/>
  <c r="X57" i="6"/>
  <c r="T57" i="6"/>
  <c r="H58" i="6"/>
  <c r="V57" i="6"/>
  <c r="R57" i="6"/>
  <c r="W57" i="6"/>
  <c r="S57" i="6"/>
  <c r="V80" i="6"/>
  <c r="T80" i="6"/>
  <c r="K81" i="6"/>
  <c r="J82" i="6"/>
  <c r="K57" i="6"/>
  <c r="N57" i="6"/>
  <c r="O57" i="6"/>
  <c r="J58" i="6"/>
  <c r="L66" i="6"/>
  <c r="S9" i="6"/>
  <c r="L10" i="6"/>
  <c r="N81" i="6"/>
  <c r="O81" i="6"/>
  <c r="L82" i="6"/>
  <c r="W80" i="6"/>
  <c r="X80" i="6"/>
  <c r="W9" i="6"/>
  <c r="H10" i="6"/>
  <c r="N8" i="6"/>
  <c r="O8" i="6"/>
  <c r="X33" i="6"/>
  <c r="T33" i="6"/>
  <c r="W33" i="6"/>
  <c r="S33" i="6"/>
  <c r="Y33" i="6"/>
  <c r="V33" i="6"/>
  <c r="H34" i="6"/>
  <c r="R33" i="6"/>
  <c r="U33" i="6"/>
  <c r="J10" i="6"/>
  <c r="K9" i="6"/>
  <c r="R80" i="6"/>
  <c r="U80" i="6"/>
  <c r="M9" i="5"/>
  <c r="H39" i="5"/>
  <c r="H15" i="5"/>
  <c r="H9" i="4"/>
  <c r="J81" i="4"/>
  <c r="K81" i="4"/>
  <c r="L82" i="4"/>
  <c r="L58" i="4"/>
  <c r="J57" i="4"/>
  <c r="K57" i="4"/>
  <c r="N6" i="4"/>
  <c r="O6" i="4"/>
  <c r="N31" i="4"/>
  <c r="O31" i="4"/>
  <c r="J32" i="4"/>
  <c r="K32" i="4"/>
  <c r="L34" i="4"/>
  <c r="J8" i="4"/>
  <c r="K8" i="4"/>
  <c r="I90" i="8"/>
  <c r="J90" i="8"/>
  <c r="J66" i="8"/>
  <c r="P18" i="8"/>
  <c r="I67" i="8"/>
  <c r="J43" i="8"/>
  <c r="M19" i="8"/>
  <c r="J20" i="8"/>
  <c r="I44" i="8"/>
  <c r="I21" i="8"/>
  <c r="H22" i="8"/>
  <c r="I81" i="4"/>
  <c r="S80" i="4"/>
  <c r="X80" i="4"/>
  <c r="T80" i="4"/>
  <c r="V80" i="4"/>
  <c r="R80" i="4"/>
  <c r="Y80" i="4"/>
  <c r="U80" i="4"/>
  <c r="W80" i="4"/>
  <c r="N80" i="4"/>
  <c r="O80" i="4"/>
  <c r="I57" i="4"/>
  <c r="N57" i="4"/>
  <c r="O57" i="4"/>
  <c r="Y56" i="4"/>
  <c r="U56" i="4"/>
  <c r="X56" i="4"/>
  <c r="T56" i="4"/>
  <c r="V56" i="4"/>
  <c r="W56" i="4"/>
  <c r="S56" i="4"/>
  <c r="R56" i="4"/>
  <c r="I33" i="4"/>
  <c r="Y32" i="4"/>
  <c r="U32" i="4"/>
  <c r="X32" i="4"/>
  <c r="T32" i="4"/>
  <c r="W32" i="4"/>
  <c r="S32" i="4"/>
  <c r="V32" i="4"/>
  <c r="R32" i="4"/>
  <c r="R8" i="4"/>
  <c r="I9" i="4"/>
  <c r="R9" i="4"/>
  <c r="U8" i="4"/>
  <c r="Y8" i="4"/>
  <c r="W8" i="4"/>
  <c r="V8" i="4"/>
  <c r="T8" i="4"/>
  <c r="X8" i="4"/>
  <c r="V9" i="6"/>
  <c r="L11" i="6"/>
  <c r="K58" i="6"/>
  <c r="N58" i="6"/>
  <c r="O58" i="6"/>
  <c r="J59" i="6"/>
  <c r="S81" i="6"/>
  <c r="H83" i="6"/>
  <c r="Y81" i="6"/>
  <c r="H35" i="6"/>
  <c r="X10" i="6"/>
  <c r="T10" i="6"/>
  <c r="W10" i="6"/>
  <c r="S10" i="6"/>
  <c r="Y10" i="6"/>
  <c r="U10" i="6"/>
  <c r="H11" i="6"/>
  <c r="V10" i="6"/>
  <c r="R10" i="6"/>
  <c r="N9" i="6"/>
  <c r="O9" i="6"/>
  <c r="V81" i="6"/>
  <c r="T81" i="6"/>
  <c r="J11" i="6"/>
  <c r="K10" i="6"/>
  <c r="U9" i="6"/>
  <c r="T9" i="6"/>
  <c r="Y82" i="6"/>
  <c r="L83" i="6"/>
  <c r="L67" i="6"/>
  <c r="K82" i="6"/>
  <c r="J83" i="6"/>
  <c r="Y58" i="6"/>
  <c r="U58" i="6"/>
  <c r="X58" i="6"/>
  <c r="T58" i="6"/>
  <c r="H59" i="6"/>
  <c r="V58" i="6"/>
  <c r="R58" i="6"/>
  <c r="W58" i="6"/>
  <c r="S58" i="6"/>
  <c r="W81" i="6"/>
  <c r="X81" i="6"/>
  <c r="N34" i="6"/>
  <c r="O34" i="6"/>
  <c r="L35" i="6"/>
  <c r="R9" i="6"/>
  <c r="Y9" i="6"/>
  <c r="X9" i="6"/>
  <c r="R81" i="6"/>
  <c r="U81" i="6"/>
  <c r="M10" i="5"/>
  <c r="H40" i="5"/>
  <c r="H16" i="5"/>
  <c r="S8" i="4"/>
  <c r="H10" i="4"/>
  <c r="L83" i="4"/>
  <c r="N81" i="4"/>
  <c r="O81" i="4"/>
  <c r="J82" i="4"/>
  <c r="K82" i="4"/>
  <c r="J58" i="4"/>
  <c r="K58" i="4"/>
  <c r="L59" i="4"/>
  <c r="N7" i="4"/>
  <c r="O7" i="4"/>
  <c r="L35" i="4"/>
  <c r="N32" i="4"/>
  <c r="O32" i="4"/>
  <c r="J33" i="4"/>
  <c r="K33" i="4"/>
  <c r="J9" i="4"/>
  <c r="K9" i="4"/>
  <c r="I45" i="8"/>
  <c r="J21" i="8"/>
  <c r="I68" i="8"/>
  <c r="J44" i="8"/>
  <c r="M20" i="8"/>
  <c r="J67" i="8"/>
  <c r="P19" i="8"/>
  <c r="I91" i="8"/>
  <c r="J91" i="8"/>
  <c r="S19" i="8"/>
  <c r="H23" i="8"/>
  <c r="I22" i="8"/>
  <c r="S18" i="8"/>
  <c r="I82" i="4"/>
  <c r="U81" i="4"/>
  <c r="W81" i="4"/>
  <c r="X81" i="4"/>
  <c r="T81" i="4"/>
  <c r="S81" i="4"/>
  <c r="V81" i="4"/>
  <c r="R81" i="4"/>
  <c r="Y81" i="4"/>
  <c r="I58" i="4"/>
  <c r="N58" i="4"/>
  <c r="O58" i="4"/>
  <c r="Y57" i="4"/>
  <c r="U57" i="4"/>
  <c r="R57" i="4"/>
  <c r="X57" i="4"/>
  <c r="T57" i="4"/>
  <c r="W57" i="4"/>
  <c r="S57" i="4"/>
  <c r="V57" i="4"/>
  <c r="I34" i="4"/>
  <c r="Y33" i="4"/>
  <c r="U33" i="4"/>
  <c r="X33" i="4"/>
  <c r="T33" i="4"/>
  <c r="W33" i="4"/>
  <c r="S33" i="4"/>
  <c r="V33" i="4"/>
  <c r="R33" i="4"/>
  <c r="I10" i="4"/>
  <c r="W9" i="4"/>
  <c r="U9" i="4"/>
  <c r="T9" i="4"/>
  <c r="X9" i="4"/>
  <c r="Y9" i="4"/>
  <c r="V9" i="4"/>
  <c r="N35" i="6"/>
  <c r="O35" i="6"/>
  <c r="L36" i="6"/>
  <c r="W59" i="6"/>
  <c r="S59" i="6"/>
  <c r="H60" i="6"/>
  <c r="V59" i="6"/>
  <c r="X59" i="6"/>
  <c r="U59" i="6"/>
  <c r="Y59" i="6"/>
  <c r="R59" i="6"/>
  <c r="T59" i="6"/>
  <c r="H12" i="6"/>
  <c r="X35" i="6"/>
  <c r="T35" i="6"/>
  <c r="W35" i="6"/>
  <c r="S35" i="6"/>
  <c r="Y35" i="6"/>
  <c r="U35" i="6"/>
  <c r="V35" i="6"/>
  <c r="H36" i="6"/>
  <c r="R35" i="6"/>
  <c r="S34" i="6"/>
  <c r="R82" i="6"/>
  <c r="U82" i="6"/>
  <c r="K83" i="6"/>
  <c r="J84" i="6"/>
  <c r="N83" i="6"/>
  <c r="O83" i="6"/>
  <c r="L84" i="6"/>
  <c r="V34" i="6"/>
  <c r="W34" i="6"/>
  <c r="S82" i="6"/>
  <c r="U83" i="6"/>
  <c r="X83" i="6"/>
  <c r="T83" i="6"/>
  <c r="H84" i="6"/>
  <c r="R83" i="6"/>
  <c r="W83" i="6"/>
  <c r="V83" i="6"/>
  <c r="W11" i="6"/>
  <c r="L12" i="6"/>
  <c r="N82" i="6"/>
  <c r="O82" i="6"/>
  <c r="J12" i="6"/>
  <c r="K11" i="6"/>
  <c r="U34" i="6"/>
  <c r="T34" i="6"/>
  <c r="V82" i="6"/>
  <c r="T82" i="6"/>
  <c r="N10" i="6"/>
  <c r="O10" i="6"/>
  <c r="L68" i="6"/>
  <c r="R34" i="6"/>
  <c r="Y34" i="6"/>
  <c r="X34" i="6"/>
  <c r="W82" i="6"/>
  <c r="X82" i="6"/>
  <c r="K59" i="6"/>
  <c r="N59" i="6"/>
  <c r="O59" i="6"/>
  <c r="J60" i="6"/>
  <c r="M11" i="5"/>
  <c r="H41" i="5"/>
  <c r="H17" i="5"/>
  <c r="H11" i="4"/>
  <c r="S9" i="4"/>
  <c r="J83" i="4"/>
  <c r="K83" i="4"/>
  <c r="N82" i="4"/>
  <c r="O82" i="4"/>
  <c r="L84" i="4"/>
  <c r="J59" i="4"/>
  <c r="K59" i="4"/>
  <c r="L60" i="4"/>
  <c r="N8" i="4"/>
  <c r="O8" i="4"/>
  <c r="N33" i="4"/>
  <c r="O33" i="4"/>
  <c r="J34" i="4"/>
  <c r="K34" i="4"/>
  <c r="L36" i="4"/>
  <c r="J10" i="4"/>
  <c r="K10" i="4"/>
  <c r="H24" i="8"/>
  <c r="I23" i="8"/>
  <c r="I92" i="8"/>
  <c r="J92" i="8"/>
  <c r="J68" i="8"/>
  <c r="P20" i="8"/>
  <c r="I46" i="8"/>
  <c r="J22" i="8"/>
  <c r="J45" i="8"/>
  <c r="M21" i="8"/>
  <c r="I69" i="8"/>
  <c r="I83" i="4"/>
  <c r="X82" i="4"/>
  <c r="T82" i="4"/>
  <c r="W82" i="4"/>
  <c r="V82" i="4"/>
  <c r="R82" i="4"/>
  <c r="Y82" i="4"/>
  <c r="U82" i="4"/>
  <c r="S82" i="4"/>
  <c r="I59" i="4"/>
  <c r="Y58" i="4"/>
  <c r="U58" i="4"/>
  <c r="V58" i="4"/>
  <c r="X58" i="4"/>
  <c r="T58" i="4"/>
  <c r="R58" i="4"/>
  <c r="W58" i="4"/>
  <c r="S58" i="4"/>
  <c r="I35" i="4"/>
  <c r="Y34" i="4"/>
  <c r="U34" i="4"/>
  <c r="X34" i="4"/>
  <c r="T34" i="4"/>
  <c r="W34" i="4"/>
  <c r="S34" i="4"/>
  <c r="V34" i="4"/>
  <c r="R34" i="4"/>
  <c r="S10" i="4"/>
  <c r="I11" i="4"/>
  <c r="U10" i="4"/>
  <c r="Y10" i="4"/>
  <c r="W10" i="4"/>
  <c r="V10" i="4"/>
  <c r="T10" i="4"/>
  <c r="X10" i="4"/>
  <c r="V11" i="6"/>
  <c r="S11" i="6"/>
  <c r="L13" i="6"/>
  <c r="K84" i="6"/>
  <c r="J85" i="6"/>
  <c r="X12" i="6"/>
  <c r="W12" i="6"/>
  <c r="S12" i="6"/>
  <c r="Y12" i="6"/>
  <c r="H13" i="6"/>
  <c r="V12" i="6"/>
  <c r="R12" i="6"/>
  <c r="N11" i="6"/>
  <c r="O11" i="6"/>
  <c r="U11" i="6"/>
  <c r="T11" i="6"/>
  <c r="N36" i="6"/>
  <c r="O36" i="6"/>
  <c r="L37" i="6"/>
  <c r="K60" i="6"/>
  <c r="N60" i="6"/>
  <c r="O60" i="6"/>
  <c r="J61" i="6"/>
  <c r="L69" i="6"/>
  <c r="J13" i="6"/>
  <c r="K12" i="6"/>
  <c r="S83" i="6"/>
  <c r="T84" i="6"/>
  <c r="H85" i="6"/>
  <c r="V84" i="6"/>
  <c r="Y83" i="6"/>
  <c r="N84" i="6"/>
  <c r="O84" i="6"/>
  <c r="L85" i="6"/>
  <c r="T36" i="6"/>
  <c r="W36" i="6"/>
  <c r="S36" i="6"/>
  <c r="U36" i="6"/>
  <c r="V36" i="6"/>
  <c r="H37" i="6"/>
  <c r="R11" i="6"/>
  <c r="Y11" i="6"/>
  <c r="X11" i="6"/>
  <c r="W60" i="6"/>
  <c r="S60" i="6"/>
  <c r="H61" i="6"/>
  <c r="V60" i="6"/>
  <c r="R60" i="6"/>
  <c r="X60" i="6"/>
  <c r="U60" i="6"/>
  <c r="Y60" i="6"/>
  <c r="T60" i="6"/>
  <c r="M12" i="5"/>
  <c r="H42" i="5"/>
  <c r="H18" i="5"/>
  <c r="R10" i="4"/>
  <c r="H12" i="4"/>
  <c r="S11" i="4"/>
  <c r="L85" i="4"/>
  <c r="N83" i="4"/>
  <c r="O83" i="4"/>
  <c r="J84" i="4"/>
  <c r="K84" i="4"/>
  <c r="J60" i="4"/>
  <c r="K60" i="4"/>
  <c r="N59" i="4"/>
  <c r="O59" i="4"/>
  <c r="L61" i="4"/>
  <c r="N9" i="4"/>
  <c r="O9" i="4"/>
  <c r="L37" i="4"/>
  <c r="N34" i="4"/>
  <c r="O34" i="4"/>
  <c r="J35" i="4"/>
  <c r="K35" i="4"/>
  <c r="J11" i="4"/>
  <c r="K11" i="4"/>
  <c r="I70" i="8"/>
  <c r="J46" i="8"/>
  <c r="M22" i="8"/>
  <c r="S20" i="8"/>
  <c r="I47" i="8"/>
  <c r="J23" i="8"/>
  <c r="I93" i="8"/>
  <c r="J93" i="8"/>
  <c r="J69" i="8"/>
  <c r="P21" i="8"/>
  <c r="I24" i="8"/>
  <c r="H25" i="8"/>
  <c r="I84" i="4"/>
  <c r="U83" i="4"/>
  <c r="S83" i="4"/>
  <c r="X83" i="4"/>
  <c r="T83" i="4"/>
  <c r="V83" i="4"/>
  <c r="R83" i="4"/>
  <c r="Y83" i="4"/>
  <c r="W83" i="4"/>
  <c r="I60" i="4"/>
  <c r="Y59" i="4"/>
  <c r="U59" i="4"/>
  <c r="X59" i="4"/>
  <c r="T59" i="4"/>
  <c r="V59" i="4"/>
  <c r="W59" i="4"/>
  <c r="S59" i="4"/>
  <c r="R59" i="4"/>
  <c r="I36" i="4"/>
  <c r="Y35" i="4"/>
  <c r="U35" i="4"/>
  <c r="X35" i="4"/>
  <c r="T35" i="4"/>
  <c r="W35" i="4"/>
  <c r="S35" i="4"/>
  <c r="V35" i="4"/>
  <c r="R35" i="4"/>
  <c r="I12" i="4"/>
  <c r="W11" i="4"/>
  <c r="U11" i="4"/>
  <c r="T11" i="4"/>
  <c r="X11" i="4"/>
  <c r="V11" i="4"/>
  <c r="Y11" i="4"/>
  <c r="H38" i="6"/>
  <c r="L86" i="6"/>
  <c r="N12" i="6"/>
  <c r="O12" i="6"/>
  <c r="W84" i="6"/>
  <c r="X84" i="6"/>
  <c r="K61" i="6"/>
  <c r="N61" i="6"/>
  <c r="O61" i="6"/>
  <c r="J62" i="6"/>
  <c r="K85" i="6"/>
  <c r="J86" i="6"/>
  <c r="W61" i="6"/>
  <c r="S61" i="6"/>
  <c r="H62" i="6"/>
  <c r="V61" i="6"/>
  <c r="R61" i="6"/>
  <c r="X61" i="6"/>
  <c r="U61" i="6"/>
  <c r="Y61" i="6"/>
  <c r="T61" i="6"/>
  <c r="R84" i="6"/>
  <c r="U84" i="6"/>
  <c r="J14" i="6"/>
  <c r="K13" i="6"/>
  <c r="H14" i="6"/>
  <c r="R36" i="6"/>
  <c r="Y36" i="6"/>
  <c r="X36" i="6"/>
  <c r="S84" i="6"/>
  <c r="Y85" i="6"/>
  <c r="U85" i="6"/>
  <c r="X85" i="6"/>
  <c r="T85" i="6"/>
  <c r="H86" i="6"/>
  <c r="R85" i="6"/>
  <c r="W85" i="6"/>
  <c r="V85" i="6"/>
  <c r="S85" i="6"/>
  <c r="Y84" i="6"/>
  <c r="L70" i="6"/>
  <c r="N37" i="6"/>
  <c r="O37" i="6"/>
  <c r="L38" i="6"/>
  <c r="U12" i="6"/>
  <c r="T12" i="6"/>
  <c r="L14" i="6"/>
  <c r="M13" i="5"/>
  <c r="H43" i="5"/>
  <c r="H19" i="5"/>
  <c r="H13" i="4"/>
  <c r="S12" i="4"/>
  <c r="R11" i="4"/>
  <c r="J85" i="4"/>
  <c r="K85" i="4"/>
  <c r="L86" i="4"/>
  <c r="L62" i="4"/>
  <c r="N60" i="4"/>
  <c r="O60" i="4"/>
  <c r="J61" i="4"/>
  <c r="K61" i="4"/>
  <c r="N10" i="4"/>
  <c r="O10" i="4"/>
  <c r="L38" i="4"/>
  <c r="N35" i="4"/>
  <c r="O35" i="4"/>
  <c r="J36" i="4"/>
  <c r="K36" i="4"/>
  <c r="J12" i="4"/>
  <c r="K12" i="4"/>
  <c r="S21" i="8"/>
  <c r="I71" i="8"/>
  <c r="J47" i="8"/>
  <c r="M23" i="8"/>
  <c r="I25" i="8"/>
  <c r="H26" i="8"/>
  <c r="I26" i="8"/>
  <c r="J70" i="8"/>
  <c r="P22" i="8"/>
  <c r="I94" i="8"/>
  <c r="J94" i="8"/>
  <c r="S22" i="8"/>
  <c r="I48" i="8"/>
  <c r="J24" i="8"/>
  <c r="N13" i="6"/>
  <c r="O13" i="6"/>
  <c r="I85" i="4"/>
  <c r="N85" i="4"/>
  <c r="O85" i="4"/>
  <c r="Y84" i="4"/>
  <c r="X84" i="4"/>
  <c r="T84" i="4"/>
  <c r="S84" i="4"/>
  <c r="V84" i="4"/>
  <c r="R84" i="4"/>
  <c r="U84" i="4"/>
  <c r="W84" i="4"/>
  <c r="N84" i="4"/>
  <c r="O84" i="4"/>
  <c r="I61" i="4"/>
  <c r="Y60" i="4"/>
  <c r="U60" i="4"/>
  <c r="R60" i="4"/>
  <c r="X60" i="4"/>
  <c r="T60" i="4"/>
  <c r="W60" i="4"/>
  <c r="S60" i="4"/>
  <c r="V60" i="4"/>
  <c r="I37" i="4"/>
  <c r="Y36" i="4"/>
  <c r="U36" i="4"/>
  <c r="X36" i="4"/>
  <c r="T36" i="4"/>
  <c r="W36" i="4"/>
  <c r="S36" i="4"/>
  <c r="V36" i="4"/>
  <c r="R36" i="4"/>
  <c r="I13" i="4"/>
  <c r="U12" i="4"/>
  <c r="Y12" i="4"/>
  <c r="V12" i="4"/>
  <c r="W12" i="4"/>
  <c r="T12" i="4"/>
  <c r="X12" i="4"/>
  <c r="H15" i="6"/>
  <c r="S13" i="6"/>
  <c r="H39" i="6"/>
  <c r="S37" i="6"/>
  <c r="L15" i="6"/>
  <c r="N14" i="6"/>
  <c r="O14" i="6"/>
  <c r="N38" i="6"/>
  <c r="O38" i="6"/>
  <c r="L39" i="6"/>
  <c r="V13" i="6"/>
  <c r="W13" i="6"/>
  <c r="J15" i="6"/>
  <c r="K14" i="6"/>
  <c r="K86" i="6"/>
  <c r="J87" i="6"/>
  <c r="L87" i="6"/>
  <c r="V37" i="6"/>
  <c r="W37" i="6"/>
  <c r="Y86" i="6"/>
  <c r="T86" i="6"/>
  <c r="H87" i="6"/>
  <c r="V86" i="6"/>
  <c r="S86" i="6"/>
  <c r="U13" i="6"/>
  <c r="T13" i="6"/>
  <c r="W62" i="6"/>
  <c r="S62" i="6"/>
  <c r="H63" i="6"/>
  <c r="V62" i="6"/>
  <c r="R62" i="6"/>
  <c r="X62" i="6"/>
  <c r="U62" i="6"/>
  <c r="Y62" i="6"/>
  <c r="T62" i="6"/>
  <c r="N85" i="6"/>
  <c r="O85" i="6"/>
  <c r="U37" i="6"/>
  <c r="T37" i="6"/>
  <c r="R13" i="6"/>
  <c r="Y13" i="6"/>
  <c r="X13" i="6"/>
  <c r="K62" i="6"/>
  <c r="N62" i="6"/>
  <c r="O62" i="6"/>
  <c r="J63" i="6"/>
  <c r="R37" i="6"/>
  <c r="Y37" i="6"/>
  <c r="X37" i="6"/>
  <c r="M14" i="5"/>
  <c r="H44" i="5"/>
  <c r="H20" i="5"/>
  <c r="R12" i="4"/>
  <c r="H14" i="4"/>
  <c r="L87" i="4"/>
  <c r="J86" i="4"/>
  <c r="K86" i="4"/>
  <c r="N61" i="4"/>
  <c r="O61" i="4"/>
  <c r="J62" i="4"/>
  <c r="K62" i="4"/>
  <c r="L63" i="4"/>
  <c r="N11" i="4"/>
  <c r="O11" i="4"/>
  <c r="L39" i="4"/>
  <c r="N36" i="4"/>
  <c r="O36" i="4"/>
  <c r="J37" i="4"/>
  <c r="K37" i="4"/>
  <c r="J13" i="4"/>
  <c r="K13" i="4"/>
  <c r="J26" i="8"/>
  <c r="I50" i="8"/>
  <c r="I49" i="8"/>
  <c r="J25" i="8"/>
  <c r="I95" i="8"/>
  <c r="J95" i="8"/>
  <c r="J71" i="8"/>
  <c r="P23" i="8"/>
  <c r="J48" i="8"/>
  <c r="M24" i="8"/>
  <c r="I72" i="8"/>
  <c r="N86" i="6"/>
  <c r="O86" i="6"/>
  <c r="I86" i="4"/>
  <c r="Y85" i="4"/>
  <c r="S85" i="4"/>
  <c r="X85" i="4"/>
  <c r="T85" i="4"/>
  <c r="W85" i="4"/>
  <c r="V85" i="4"/>
  <c r="R85" i="4"/>
  <c r="U85" i="4"/>
  <c r="I62" i="4"/>
  <c r="Y61" i="4"/>
  <c r="U61" i="4"/>
  <c r="V61" i="4"/>
  <c r="X61" i="4"/>
  <c r="T61" i="4"/>
  <c r="R61" i="4"/>
  <c r="W61" i="4"/>
  <c r="S61" i="4"/>
  <c r="I38" i="4"/>
  <c r="Y37" i="4"/>
  <c r="U37" i="4"/>
  <c r="X37" i="4"/>
  <c r="T37" i="4"/>
  <c r="W37" i="4"/>
  <c r="S37" i="4"/>
  <c r="V37" i="4"/>
  <c r="R37" i="4"/>
  <c r="R13" i="4"/>
  <c r="I14" i="4"/>
  <c r="W13" i="4"/>
  <c r="U13" i="4"/>
  <c r="T13" i="4"/>
  <c r="X13" i="4"/>
  <c r="V13" i="4"/>
  <c r="Y13" i="4"/>
  <c r="K63" i="6"/>
  <c r="N63" i="6"/>
  <c r="O63" i="6"/>
  <c r="J64" i="6"/>
  <c r="H88" i="6"/>
  <c r="J16" i="6"/>
  <c r="K15" i="6"/>
  <c r="R38" i="6"/>
  <c r="Y38" i="6"/>
  <c r="X38" i="6"/>
  <c r="V14" i="6"/>
  <c r="W14" i="6"/>
  <c r="K87" i="6"/>
  <c r="J88" i="6"/>
  <c r="H40" i="6"/>
  <c r="S38" i="6"/>
  <c r="U14" i="6"/>
  <c r="T14" i="6"/>
  <c r="W86" i="6"/>
  <c r="X86" i="6"/>
  <c r="L16" i="6"/>
  <c r="U38" i="6"/>
  <c r="W38" i="6"/>
  <c r="X15" i="6"/>
  <c r="H16" i="6"/>
  <c r="W15" i="6"/>
  <c r="S15" i="6"/>
  <c r="Y15" i="6"/>
  <c r="U15" i="6"/>
  <c r="R15" i="6"/>
  <c r="Y14" i="6"/>
  <c r="X14" i="6"/>
  <c r="W63" i="6"/>
  <c r="S63" i="6"/>
  <c r="H64" i="6"/>
  <c r="V63" i="6"/>
  <c r="R63" i="6"/>
  <c r="X63" i="6"/>
  <c r="U63" i="6"/>
  <c r="Y63" i="6"/>
  <c r="T63" i="6"/>
  <c r="R86" i="6"/>
  <c r="U86" i="6"/>
  <c r="N87" i="6"/>
  <c r="O87" i="6"/>
  <c r="L88" i="6"/>
  <c r="N39" i="6"/>
  <c r="O39" i="6"/>
  <c r="L40" i="6"/>
  <c r="V38" i="6"/>
  <c r="T38" i="6"/>
  <c r="R14" i="6"/>
  <c r="S14" i="6"/>
  <c r="M15" i="5"/>
  <c r="H45" i="5"/>
  <c r="H21" i="5"/>
  <c r="S13" i="4"/>
  <c r="H15" i="4"/>
  <c r="R14" i="4"/>
  <c r="J87" i="4"/>
  <c r="K87" i="4"/>
  <c r="N86" i="4"/>
  <c r="O86" i="4"/>
  <c r="L88" i="4"/>
  <c r="L64" i="4"/>
  <c r="N62" i="4"/>
  <c r="O62" i="4"/>
  <c r="J63" i="4"/>
  <c r="K63" i="4"/>
  <c r="N12" i="4"/>
  <c r="O12" i="4"/>
  <c r="N37" i="4"/>
  <c r="O37" i="4"/>
  <c r="J38" i="4"/>
  <c r="K38" i="4"/>
  <c r="L40" i="4"/>
  <c r="J14" i="4"/>
  <c r="K14" i="4"/>
  <c r="S23" i="8"/>
  <c r="I73" i="8"/>
  <c r="J49" i="8"/>
  <c r="M25" i="8"/>
  <c r="J50" i="8"/>
  <c r="J51" i="8"/>
  <c r="I74" i="8"/>
  <c r="J72" i="8"/>
  <c r="P24" i="8"/>
  <c r="I96" i="8"/>
  <c r="J96" i="8"/>
  <c r="N15" i="6"/>
  <c r="O15" i="6"/>
  <c r="I87" i="4"/>
  <c r="Y86" i="4"/>
  <c r="W86" i="4"/>
  <c r="X86" i="4"/>
  <c r="T86" i="4"/>
  <c r="V86" i="4"/>
  <c r="R86" i="4"/>
  <c r="U86" i="4"/>
  <c r="S86" i="4"/>
  <c r="I63" i="4"/>
  <c r="Y62" i="4"/>
  <c r="U62" i="4"/>
  <c r="X62" i="4"/>
  <c r="T62" i="4"/>
  <c r="V62" i="4"/>
  <c r="W62" i="4"/>
  <c r="S62" i="4"/>
  <c r="R62" i="4"/>
  <c r="I39" i="4"/>
  <c r="Y38" i="4"/>
  <c r="U38" i="4"/>
  <c r="X38" i="4"/>
  <c r="T38" i="4"/>
  <c r="W38" i="4"/>
  <c r="S38" i="4"/>
  <c r="V38" i="4"/>
  <c r="R38" i="4"/>
  <c r="I15" i="4"/>
  <c r="U14" i="4"/>
  <c r="Y14" i="4"/>
  <c r="W14" i="4"/>
  <c r="V14" i="4"/>
  <c r="T14" i="4"/>
  <c r="X14" i="4"/>
  <c r="N40" i="6"/>
  <c r="O40" i="6"/>
  <c r="L41" i="6"/>
  <c r="W64" i="6"/>
  <c r="S64" i="6"/>
  <c r="H65" i="6"/>
  <c r="V64" i="6"/>
  <c r="R64" i="6"/>
  <c r="X64" i="6"/>
  <c r="U64" i="6"/>
  <c r="Y64" i="6"/>
  <c r="T64" i="6"/>
  <c r="V15" i="6"/>
  <c r="T15" i="6"/>
  <c r="L17" i="6"/>
  <c r="X40" i="6"/>
  <c r="T40" i="6"/>
  <c r="W40" i="6"/>
  <c r="S40" i="6"/>
  <c r="Y40" i="6"/>
  <c r="V40" i="6"/>
  <c r="U40" i="6"/>
  <c r="H41" i="6"/>
  <c r="R40" i="6"/>
  <c r="S39" i="6"/>
  <c r="K88" i="6"/>
  <c r="J89" i="6"/>
  <c r="J17" i="6"/>
  <c r="K16" i="6"/>
  <c r="R87" i="6"/>
  <c r="U87" i="6"/>
  <c r="U39" i="6"/>
  <c r="W39" i="6"/>
  <c r="S87" i="6"/>
  <c r="H89" i="6"/>
  <c r="R88" i="6"/>
  <c r="Y87" i="6"/>
  <c r="N88" i="6"/>
  <c r="O88" i="6"/>
  <c r="L89" i="6"/>
  <c r="V39" i="6"/>
  <c r="T39" i="6"/>
  <c r="V87" i="6"/>
  <c r="T87" i="6"/>
  <c r="K64" i="6"/>
  <c r="N64" i="6"/>
  <c r="O64" i="6"/>
  <c r="J65" i="6"/>
  <c r="X16" i="6"/>
  <c r="T16" i="6"/>
  <c r="V16" i="6"/>
  <c r="W16" i="6"/>
  <c r="S16" i="6"/>
  <c r="R16" i="6"/>
  <c r="Y16" i="6"/>
  <c r="U16" i="6"/>
  <c r="H17" i="6"/>
  <c r="R39" i="6"/>
  <c r="Y39" i="6"/>
  <c r="X39" i="6"/>
  <c r="W87" i="6"/>
  <c r="X87" i="6"/>
  <c r="M16" i="5"/>
  <c r="H46" i="5"/>
  <c r="H22" i="5"/>
  <c r="S14" i="4"/>
  <c r="H16" i="4"/>
  <c r="S15" i="4"/>
  <c r="L89" i="4"/>
  <c r="J88" i="4"/>
  <c r="K88" i="4"/>
  <c r="N87" i="4"/>
  <c r="O87" i="4"/>
  <c r="J64" i="4"/>
  <c r="K64" i="4"/>
  <c r="N63" i="4"/>
  <c r="O63" i="4"/>
  <c r="L65" i="4"/>
  <c r="N13" i="4"/>
  <c r="O13" i="4"/>
  <c r="L41" i="4"/>
  <c r="N38" i="4"/>
  <c r="O38" i="4"/>
  <c r="J39" i="4"/>
  <c r="K39" i="4"/>
  <c r="J15" i="4"/>
  <c r="K15" i="4"/>
  <c r="M26" i="8"/>
  <c r="M27" i="8"/>
  <c r="I98" i="8"/>
  <c r="J98" i="8"/>
  <c r="J74" i="8"/>
  <c r="P26" i="8"/>
  <c r="J73" i="8"/>
  <c r="P25" i="8"/>
  <c r="I97" i="8"/>
  <c r="J97" i="8"/>
  <c r="S25" i="8"/>
  <c r="S24" i="8"/>
  <c r="I88" i="4"/>
  <c r="Y87" i="4"/>
  <c r="U87" i="4"/>
  <c r="X87" i="4"/>
  <c r="T87" i="4"/>
  <c r="S87" i="4"/>
  <c r="V87" i="4"/>
  <c r="R87" i="4"/>
  <c r="W87" i="4"/>
  <c r="I64" i="4"/>
  <c r="Y63" i="4"/>
  <c r="U63" i="4"/>
  <c r="R63" i="4"/>
  <c r="X63" i="4"/>
  <c r="T63" i="4"/>
  <c r="W63" i="4"/>
  <c r="S63" i="4"/>
  <c r="V63" i="4"/>
  <c r="I40" i="4"/>
  <c r="Y39" i="4"/>
  <c r="U39" i="4"/>
  <c r="X39" i="4"/>
  <c r="T39" i="4"/>
  <c r="W39" i="4"/>
  <c r="S39" i="4"/>
  <c r="V39" i="4"/>
  <c r="R39" i="4"/>
  <c r="I16" i="4"/>
  <c r="W15" i="4"/>
  <c r="T15" i="4"/>
  <c r="X15" i="4"/>
  <c r="U15" i="4"/>
  <c r="V15" i="4"/>
  <c r="Y15" i="4"/>
  <c r="K65" i="6"/>
  <c r="N65" i="6"/>
  <c r="O65" i="6"/>
  <c r="J66" i="6"/>
  <c r="U88" i="6"/>
  <c r="J18" i="6"/>
  <c r="K17" i="6"/>
  <c r="S88" i="6"/>
  <c r="H90" i="6"/>
  <c r="Y88" i="6"/>
  <c r="K89" i="6"/>
  <c r="J90" i="6"/>
  <c r="H42" i="6"/>
  <c r="L18" i="6"/>
  <c r="N17" i="6"/>
  <c r="O17" i="6"/>
  <c r="L90" i="6"/>
  <c r="V88" i="6"/>
  <c r="T88" i="6"/>
  <c r="N16" i="6"/>
  <c r="O16" i="6"/>
  <c r="N41" i="6"/>
  <c r="O41" i="6"/>
  <c r="L42" i="6"/>
  <c r="X17" i="6"/>
  <c r="T17" i="6"/>
  <c r="R17" i="6"/>
  <c r="W17" i="6"/>
  <c r="S17" i="6"/>
  <c r="H18" i="6"/>
  <c r="Y17" i="6"/>
  <c r="U17" i="6"/>
  <c r="V17" i="6"/>
  <c r="W88" i="6"/>
  <c r="X88" i="6"/>
  <c r="W65" i="6"/>
  <c r="S65" i="6"/>
  <c r="H66" i="6"/>
  <c r="V65" i="6"/>
  <c r="R65" i="6"/>
  <c r="X65" i="6"/>
  <c r="U65" i="6"/>
  <c r="Y65" i="6"/>
  <c r="T65" i="6"/>
  <c r="M17" i="5"/>
  <c r="H47" i="5"/>
  <c r="H23" i="5"/>
  <c r="R15" i="4"/>
  <c r="H17" i="4"/>
  <c r="R16" i="4"/>
  <c r="J89" i="4"/>
  <c r="K89" i="4"/>
  <c r="N88" i="4"/>
  <c r="O88" i="4"/>
  <c r="L90" i="4"/>
  <c r="L66" i="4"/>
  <c r="N64" i="4"/>
  <c r="O64" i="4"/>
  <c r="J65" i="4"/>
  <c r="K65" i="4"/>
  <c r="N14" i="4"/>
  <c r="O14" i="4"/>
  <c r="L42" i="4"/>
  <c r="N39" i="4"/>
  <c r="O39" i="4"/>
  <c r="J40" i="4"/>
  <c r="K40" i="4"/>
  <c r="J16" i="4"/>
  <c r="K16" i="4"/>
  <c r="S26" i="8"/>
  <c r="S27" i="8"/>
  <c r="N89" i="6"/>
  <c r="O89" i="6"/>
  <c r="I89" i="4"/>
  <c r="Y88" i="4"/>
  <c r="U88" i="4"/>
  <c r="S88" i="4"/>
  <c r="X88" i="4"/>
  <c r="T88" i="4"/>
  <c r="V88" i="4"/>
  <c r="R88" i="4"/>
  <c r="W88" i="4"/>
  <c r="I65" i="4"/>
  <c r="Y64" i="4"/>
  <c r="U64" i="4"/>
  <c r="V64" i="4"/>
  <c r="X64" i="4"/>
  <c r="T64" i="4"/>
  <c r="R64" i="4"/>
  <c r="W64" i="4"/>
  <c r="S64" i="4"/>
  <c r="I41" i="4"/>
  <c r="Y40" i="4"/>
  <c r="U40" i="4"/>
  <c r="X40" i="4"/>
  <c r="T40" i="4"/>
  <c r="W40" i="4"/>
  <c r="S40" i="4"/>
  <c r="V40" i="4"/>
  <c r="R40" i="4"/>
  <c r="I17" i="4"/>
  <c r="U16" i="4"/>
  <c r="Y16" i="4"/>
  <c r="W16" i="4"/>
  <c r="V16" i="4"/>
  <c r="T16" i="4"/>
  <c r="X16" i="4"/>
  <c r="N42" i="6"/>
  <c r="O42" i="6"/>
  <c r="L43" i="6"/>
  <c r="L19" i="6"/>
  <c r="V41" i="6"/>
  <c r="T41" i="6"/>
  <c r="R89" i="6"/>
  <c r="U89" i="6"/>
  <c r="J19" i="6"/>
  <c r="K18" i="6"/>
  <c r="L91" i="6"/>
  <c r="R41" i="6"/>
  <c r="Y41" i="6"/>
  <c r="X41" i="6"/>
  <c r="S89" i="6"/>
  <c r="Y90" i="6"/>
  <c r="U90" i="6"/>
  <c r="X90" i="6"/>
  <c r="T90" i="6"/>
  <c r="H91" i="6"/>
  <c r="R90" i="6"/>
  <c r="W90" i="6"/>
  <c r="V90" i="6"/>
  <c r="S90" i="6"/>
  <c r="Y89" i="6"/>
  <c r="W66" i="6"/>
  <c r="S66" i="6"/>
  <c r="H67" i="6"/>
  <c r="V66" i="6"/>
  <c r="R66" i="6"/>
  <c r="X66" i="6"/>
  <c r="U66" i="6"/>
  <c r="Y66" i="6"/>
  <c r="T66" i="6"/>
  <c r="X18" i="6"/>
  <c r="T18" i="6"/>
  <c r="H19" i="6"/>
  <c r="W18" i="6"/>
  <c r="S18" i="6"/>
  <c r="V18" i="6"/>
  <c r="Y18" i="6"/>
  <c r="U18" i="6"/>
  <c r="R18" i="6"/>
  <c r="X42" i="6"/>
  <c r="T42" i="6"/>
  <c r="W42" i="6"/>
  <c r="S42" i="6"/>
  <c r="Y42" i="6"/>
  <c r="V42" i="6"/>
  <c r="U42" i="6"/>
  <c r="H43" i="6"/>
  <c r="R42" i="6"/>
  <c r="S41" i="6"/>
  <c r="K90" i="6"/>
  <c r="J91" i="6"/>
  <c r="V89" i="6"/>
  <c r="T89" i="6"/>
  <c r="K66" i="6"/>
  <c r="N66" i="6"/>
  <c r="O66" i="6"/>
  <c r="J67" i="6"/>
  <c r="U41" i="6"/>
  <c r="W41" i="6"/>
  <c r="W89" i="6"/>
  <c r="X89" i="6"/>
  <c r="M18" i="5"/>
  <c r="H48" i="5"/>
  <c r="H24" i="5"/>
  <c r="S16" i="4"/>
  <c r="H18" i="4"/>
  <c r="L91" i="4"/>
  <c r="J90" i="4"/>
  <c r="K90" i="4"/>
  <c r="N89" i="4"/>
  <c r="O89" i="4"/>
  <c r="J66" i="4"/>
  <c r="K66" i="4"/>
  <c r="N65" i="4"/>
  <c r="O65" i="4"/>
  <c r="L67" i="4"/>
  <c r="N15" i="4"/>
  <c r="O15" i="4"/>
  <c r="L43" i="4"/>
  <c r="J41" i="4"/>
  <c r="K41" i="4"/>
  <c r="N40" i="4"/>
  <c r="O40" i="4"/>
  <c r="J17" i="4"/>
  <c r="K17" i="4"/>
  <c r="I90" i="4"/>
  <c r="Y89" i="4"/>
  <c r="U89" i="4"/>
  <c r="W89" i="4"/>
  <c r="X89" i="4"/>
  <c r="T89" i="4"/>
  <c r="S89" i="4"/>
  <c r="V89" i="4"/>
  <c r="R89" i="4"/>
  <c r="I66" i="4"/>
  <c r="Y65" i="4"/>
  <c r="U65" i="4"/>
  <c r="X65" i="4"/>
  <c r="T65" i="4"/>
  <c r="V65" i="4"/>
  <c r="W65" i="4"/>
  <c r="S65" i="4"/>
  <c r="R65" i="4"/>
  <c r="I42" i="4"/>
  <c r="Y41" i="4"/>
  <c r="U41" i="4"/>
  <c r="X41" i="4"/>
  <c r="T41" i="4"/>
  <c r="W41" i="4"/>
  <c r="S41" i="4"/>
  <c r="V41" i="4"/>
  <c r="R41" i="4"/>
  <c r="R17" i="4"/>
  <c r="I18" i="4"/>
  <c r="W17" i="4"/>
  <c r="T17" i="4"/>
  <c r="X17" i="4"/>
  <c r="U17" i="4"/>
  <c r="V17" i="4"/>
  <c r="Y17" i="4"/>
  <c r="K67" i="6"/>
  <c r="N67" i="6"/>
  <c r="O67" i="6"/>
  <c r="J68" i="6"/>
  <c r="K91" i="6"/>
  <c r="J92" i="6"/>
  <c r="H44" i="6"/>
  <c r="N91" i="6"/>
  <c r="O91" i="6"/>
  <c r="L92" i="6"/>
  <c r="L20" i="6"/>
  <c r="X19" i="6"/>
  <c r="N90" i="6"/>
  <c r="O90" i="6"/>
  <c r="N18" i="6"/>
  <c r="O18" i="6"/>
  <c r="T19" i="6"/>
  <c r="V19" i="6"/>
  <c r="W19" i="6"/>
  <c r="R19" i="6"/>
  <c r="Y19" i="6"/>
  <c r="U19" i="6"/>
  <c r="H20" i="6"/>
  <c r="N43" i="6"/>
  <c r="O43" i="6"/>
  <c r="L44" i="6"/>
  <c r="W67" i="6"/>
  <c r="S67" i="6"/>
  <c r="H68" i="6"/>
  <c r="V67" i="6"/>
  <c r="R67" i="6"/>
  <c r="X67" i="6"/>
  <c r="U67" i="6"/>
  <c r="Y67" i="6"/>
  <c r="T67" i="6"/>
  <c r="Y91" i="6"/>
  <c r="U91" i="6"/>
  <c r="X91" i="6"/>
  <c r="T91" i="6"/>
  <c r="H92" i="6"/>
  <c r="R91" i="6"/>
  <c r="W91" i="6"/>
  <c r="V91" i="6"/>
  <c r="S91" i="6"/>
  <c r="J20" i="6"/>
  <c r="K19" i="6"/>
  <c r="M19" i="5"/>
  <c r="H49" i="5"/>
  <c r="H25" i="5"/>
  <c r="S17" i="4"/>
  <c r="H19" i="4"/>
  <c r="R18" i="4"/>
  <c r="J91" i="4"/>
  <c r="K91" i="4"/>
  <c r="N90" i="4"/>
  <c r="O90" i="4"/>
  <c r="L92" i="4"/>
  <c r="L68" i="4"/>
  <c r="N66" i="4"/>
  <c r="O66" i="4"/>
  <c r="J67" i="4"/>
  <c r="K67" i="4"/>
  <c r="N16" i="4"/>
  <c r="O16" i="4"/>
  <c r="L44" i="4"/>
  <c r="J42" i="4"/>
  <c r="K42" i="4"/>
  <c r="N41" i="4"/>
  <c r="O41" i="4"/>
  <c r="J18" i="4"/>
  <c r="K18" i="4"/>
  <c r="I91" i="4"/>
  <c r="Y90" i="4"/>
  <c r="U90" i="4"/>
  <c r="X90" i="4"/>
  <c r="T90" i="4"/>
  <c r="S90" i="4"/>
  <c r="V90" i="4"/>
  <c r="R90" i="4"/>
  <c r="W90" i="4"/>
  <c r="I67" i="4"/>
  <c r="Y66" i="4"/>
  <c r="U66" i="4"/>
  <c r="R66" i="4"/>
  <c r="X66" i="4"/>
  <c r="T66" i="4"/>
  <c r="W66" i="4"/>
  <c r="S66" i="4"/>
  <c r="V66" i="4"/>
  <c r="I43" i="4"/>
  <c r="Y42" i="4"/>
  <c r="U42" i="4"/>
  <c r="X42" i="4"/>
  <c r="T42" i="4"/>
  <c r="W42" i="4"/>
  <c r="S42" i="4"/>
  <c r="V42" i="4"/>
  <c r="R42" i="4"/>
  <c r="I19" i="4"/>
  <c r="U18" i="4"/>
  <c r="Y18" i="4"/>
  <c r="W18" i="4"/>
  <c r="V18" i="4"/>
  <c r="T18" i="4"/>
  <c r="X18" i="4"/>
  <c r="H93" i="6"/>
  <c r="H21" i="6"/>
  <c r="S19" i="6"/>
  <c r="L21" i="6"/>
  <c r="T44" i="6"/>
  <c r="U44" i="6"/>
  <c r="R44" i="6"/>
  <c r="H45" i="6"/>
  <c r="S43" i="6"/>
  <c r="K92" i="6"/>
  <c r="J93" i="6"/>
  <c r="X92" i="6"/>
  <c r="L93" i="6"/>
  <c r="U43" i="6"/>
  <c r="W43" i="6"/>
  <c r="N44" i="6"/>
  <c r="O44" i="6"/>
  <c r="L45" i="6"/>
  <c r="V43" i="6"/>
  <c r="T43" i="6"/>
  <c r="K68" i="6"/>
  <c r="N68" i="6"/>
  <c r="O68" i="6"/>
  <c r="J69" i="6"/>
  <c r="J21" i="6"/>
  <c r="K20" i="6"/>
  <c r="W68" i="6"/>
  <c r="S68" i="6"/>
  <c r="H69" i="6"/>
  <c r="V68" i="6"/>
  <c r="R68" i="6"/>
  <c r="X68" i="6"/>
  <c r="U68" i="6"/>
  <c r="Y68" i="6"/>
  <c r="T68" i="6"/>
  <c r="N19" i="6"/>
  <c r="O19" i="6"/>
  <c r="R43" i="6"/>
  <c r="Y43" i="6"/>
  <c r="X43" i="6"/>
  <c r="M20" i="5"/>
  <c r="H50" i="5"/>
  <c r="H26" i="5"/>
  <c r="S18" i="4"/>
  <c r="H20" i="4"/>
  <c r="L93" i="4"/>
  <c r="N91" i="4"/>
  <c r="O91" i="4"/>
  <c r="J92" i="4"/>
  <c r="K92" i="4"/>
  <c r="J68" i="4"/>
  <c r="K68" i="4"/>
  <c r="N67" i="4"/>
  <c r="O67" i="4"/>
  <c r="L69" i="4"/>
  <c r="N17" i="4"/>
  <c r="O17" i="4"/>
  <c r="J43" i="4"/>
  <c r="K43" i="4"/>
  <c r="N42" i="4"/>
  <c r="O42" i="4"/>
  <c r="L45" i="4"/>
  <c r="J19" i="4"/>
  <c r="K19" i="4"/>
  <c r="I92" i="4"/>
  <c r="Y91" i="4"/>
  <c r="U91" i="4"/>
  <c r="S91" i="4"/>
  <c r="X91" i="4"/>
  <c r="T91" i="4"/>
  <c r="W91" i="4"/>
  <c r="V91" i="4"/>
  <c r="R91" i="4"/>
  <c r="I68" i="4"/>
  <c r="Y67" i="4"/>
  <c r="U67" i="4"/>
  <c r="V67" i="4"/>
  <c r="X67" i="4"/>
  <c r="T67" i="4"/>
  <c r="R67" i="4"/>
  <c r="W67" i="4"/>
  <c r="S67" i="4"/>
  <c r="I44" i="4"/>
  <c r="Y43" i="4"/>
  <c r="U43" i="4"/>
  <c r="X43" i="4"/>
  <c r="T43" i="4"/>
  <c r="W43" i="4"/>
  <c r="S43" i="4"/>
  <c r="V43" i="4"/>
  <c r="R43" i="4"/>
  <c r="I20" i="4"/>
  <c r="W19" i="4"/>
  <c r="T19" i="4"/>
  <c r="X19" i="4"/>
  <c r="U19" i="4"/>
  <c r="V19" i="4"/>
  <c r="Y19" i="4"/>
  <c r="W69" i="6"/>
  <c r="S69" i="6"/>
  <c r="H70" i="6"/>
  <c r="V69" i="6"/>
  <c r="R69" i="6"/>
  <c r="X69" i="6"/>
  <c r="U69" i="6"/>
  <c r="Y69" i="6"/>
  <c r="T69" i="6"/>
  <c r="J22" i="6"/>
  <c r="K22" i="6"/>
  <c r="K21" i="6"/>
  <c r="W44" i="6"/>
  <c r="N20" i="6"/>
  <c r="O20" i="6"/>
  <c r="Y20" i="6"/>
  <c r="V20" i="6"/>
  <c r="V92" i="6"/>
  <c r="T92" i="6"/>
  <c r="K69" i="6"/>
  <c r="N69" i="6"/>
  <c r="O69" i="6"/>
  <c r="J70" i="6"/>
  <c r="K70" i="6"/>
  <c r="N70" i="6"/>
  <c r="O70" i="6"/>
  <c r="N45" i="6"/>
  <c r="O45" i="6"/>
  <c r="L46" i="6"/>
  <c r="L94" i="6"/>
  <c r="R20" i="6"/>
  <c r="T20" i="6"/>
  <c r="W92" i="6"/>
  <c r="N92" i="6"/>
  <c r="O92" i="6"/>
  <c r="V44" i="6"/>
  <c r="Y44" i="6"/>
  <c r="X44" i="6"/>
  <c r="H22" i="6"/>
  <c r="S20" i="6"/>
  <c r="X20" i="6"/>
  <c r="R92" i="6"/>
  <c r="U92" i="6"/>
  <c r="K93" i="6"/>
  <c r="J94" i="6"/>
  <c r="K94" i="6"/>
  <c r="X45" i="6"/>
  <c r="T45" i="6"/>
  <c r="W45" i="6"/>
  <c r="S45" i="6"/>
  <c r="Y45" i="6"/>
  <c r="U45" i="6"/>
  <c r="R45" i="6"/>
  <c r="H46" i="6"/>
  <c r="V45" i="6"/>
  <c r="S44" i="6"/>
  <c r="L22" i="6"/>
  <c r="N22" i="6"/>
  <c r="O22" i="6"/>
  <c r="U20" i="6"/>
  <c r="W20" i="6"/>
  <c r="S92" i="6"/>
  <c r="Y93" i="6"/>
  <c r="U93" i="6"/>
  <c r="X93" i="6"/>
  <c r="T93" i="6"/>
  <c r="H94" i="6"/>
  <c r="R93" i="6"/>
  <c r="W93" i="6"/>
  <c r="V93" i="6"/>
  <c r="S93" i="6"/>
  <c r="Y92" i="6"/>
  <c r="M21" i="5"/>
  <c r="S19" i="4"/>
  <c r="R19" i="4"/>
  <c r="H21" i="4"/>
  <c r="J93" i="4"/>
  <c r="K93" i="4"/>
  <c r="N92" i="4"/>
  <c r="O92" i="4"/>
  <c r="L94" i="4"/>
  <c r="J69" i="4"/>
  <c r="K69" i="4"/>
  <c r="L70" i="4"/>
  <c r="N68" i="4"/>
  <c r="O68" i="4"/>
  <c r="N18" i="4"/>
  <c r="O18" i="4"/>
  <c r="L46" i="4"/>
  <c r="N43" i="4"/>
  <c r="O43" i="4"/>
  <c r="J44" i="4"/>
  <c r="K44" i="4"/>
  <c r="J20" i="4"/>
  <c r="K20" i="4"/>
  <c r="N21" i="6"/>
  <c r="O21" i="6"/>
  <c r="O23" i="6"/>
  <c r="I93" i="4"/>
  <c r="Y92" i="4"/>
  <c r="U92" i="4"/>
  <c r="W92" i="4"/>
  <c r="X92" i="4"/>
  <c r="T92" i="4"/>
  <c r="V92" i="4"/>
  <c r="R92" i="4"/>
  <c r="S92" i="4"/>
  <c r="I69" i="4"/>
  <c r="Y68" i="4"/>
  <c r="U68" i="4"/>
  <c r="X68" i="4"/>
  <c r="T68" i="4"/>
  <c r="V68" i="4"/>
  <c r="W68" i="4"/>
  <c r="S68" i="4"/>
  <c r="R68" i="4"/>
  <c r="I45" i="4"/>
  <c r="Y44" i="4"/>
  <c r="U44" i="4"/>
  <c r="X44" i="4"/>
  <c r="T44" i="4"/>
  <c r="W44" i="4"/>
  <c r="S44" i="4"/>
  <c r="V44" i="4"/>
  <c r="R44" i="4"/>
  <c r="I21" i="4"/>
  <c r="U20" i="4"/>
  <c r="Y20" i="4"/>
  <c r="W20" i="4"/>
  <c r="V20" i="4"/>
  <c r="T20" i="4"/>
  <c r="X20" i="4"/>
  <c r="O71" i="6"/>
  <c r="D14" i="6"/>
  <c r="S21" i="6"/>
  <c r="T21" i="6"/>
  <c r="U21" i="6"/>
  <c r="W21" i="6"/>
  <c r="X21" i="6"/>
  <c r="N94" i="6"/>
  <c r="O94" i="6"/>
  <c r="D15" i="6"/>
  <c r="X70" i="6"/>
  <c r="X71" i="6"/>
  <c r="T70" i="6"/>
  <c r="T71" i="6"/>
  <c r="W70" i="6"/>
  <c r="W71" i="6"/>
  <c r="S70" i="6"/>
  <c r="S71" i="6"/>
  <c r="U70" i="6"/>
  <c r="U71" i="6"/>
  <c r="R70" i="6"/>
  <c r="R71" i="6"/>
  <c r="Y70" i="6"/>
  <c r="Y71" i="6"/>
  <c r="V70" i="6"/>
  <c r="V71" i="6"/>
  <c r="Y21" i="6"/>
  <c r="R21" i="6"/>
  <c r="N93" i="6"/>
  <c r="O93" i="6"/>
  <c r="V94" i="6"/>
  <c r="Y94" i="6"/>
  <c r="U94" i="6"/>
  <c r="X94" i="6"/>
  <c r="T94" i="6"/>
  <c r="R94" i="6"/>
  <c r="W94" i="6"/>
  <c r="S94" i="6"/>
  <c r="X46" i="6"/>
  <c r="X47" i="6"/>
  <c r="T46" i="6"/>
  <c r="T47" i="6"/>
  <c r="W46" i="6"/>
  <c r="W47" i="6"/>
  <c r="S46" i="6"/>
  <c r="S47" i="6"/>
  <c r="Y46" i="6"/>
  <c r="Y47" i="6"/>
  <c r="U46" i="6"/>
  <c r="U47" i="6"/>
  <c r="R46" i="6"/>
  <c r="R47" i="6"/>
  <c r="V46" i="6"/>
  <c r="V47" i="6"/>
  <c r="V21" i="6"/>
  <c r="X22" i="6"/>
  <c r="T22" i="6"/>
  <c r="R22" i="6"/>
  <c r="W22" i="6"/>
  <c r="W23" i="6"/>
  <c r="S22" i="6"/>
  <c r="V22" i="6"/>
  <c r="Y22" i="6"/>
  <c r="U22" i="6"/>
  <c r="N46" i="6"/>
  <c r="O46" i="6"/>
  <c r="O47" i="6"/>
  <c r="M22" i="5"/>
  <c r="R20" i="4"/>
  <c r="H22" i="4"/>
  <c r="S20" i="4"/>
  <c r="J94" i="4"/>
  <c r="N93" i="4"/>
  <c r="O93" i="4"/>
  <c r="J70" i="4"/>
  <c r="N69" i="4"/>
  <c r="O69" i="4"/>
  <c r="N19" i="4"/>
  <c r="O19" i="4"/>
  <c r="J45" i="4"/>
  <c r="K45" i="4"/>
  <c r="N44" i="4"/>
  <c r="O44" i="4"/>
  <c r="J21" i="4"/>
  <c r="K21" i="4"/>
  <c r="V23" i="6"/>
  <c r="S23" i="6"/>
  <c r="X23" i="6"/>
  <c r="I94" i="4"/>
  <c r="Y93" i="4"/>
  <c r="U93" i="4"/>
  <c r="X93" i="4"/>
  <c r="T93" i="4"/>
  <c r="S93" i="4"/>
  <c r="V93" i="4"/>
  <c r="R93" i="4"/>
  <c r="W93" i="4"/>
  <c r="I70" i="4"/>
  <c r="Y69" i="4"/>
  <c r="U69" i="4"/>
  <c r="V69" i="4"/>
  <c r="X69" i="4"/>
  <c r="T69" i="4"/>
  <c r="W69" i="4"/>
  <c r="S69" i="4"/>
  <c r="R69" i="4"/>
  <c r="I46" i="4"/>
  <c r="Y45" i="4"/>
  <c r="U45" i="4"/>
  <c r="X45" i="4"/>
  <c r="T45" i="4"/>
  <c r="W45" i="4"/>
  <c r="S45" i="4"/>
  <c r="V45" i="4"/>
  <c r="R45" i="4"/>
  <c r="R21" i="4"/>
  <c r="I22" i="4"/>
  <c r="W21" i="4"/>
  <c r="Y21" i="4"/>
  <c r="T21" i="4"/>
  <c r="X21" i="4"/>
  <c r="U21" i="4"/>
  <c r="V21" i="4"/>
  <c r="U23" i="6"/>
  <c r="Y23" i="6"/>
  <c r="T23" i="6"/>
  <c r="R23" i="6"/>
  <c r="B14" i="6"/>
  <c r="B15" i="6"/>
  <c r="C14" i="6"/>
  <c r="C15" i="6"/>
  <c r="O95" i="6"/>
  <c r="M23" i="5"/>
  <c r="S21" i="4"/>
  <c r="K70" i="4"/>
  <c r="N70" i="4"/>
  <c r="O70" i="4"/>
  <c r="O71" i="4"/>
  <c r="K94" i="4"/>
  <c r="N94" i="4"/>
  <c r="O94" i="4"/>
  <c r="O95" i="4"/>
  <c r="N20" i="4"/>
  <c r="O20" i="4"/>
  <c r="N45" i="4"/>
  <c r="O45" i="4"/>
  <c r="J46" i="4"/>
  <c r="J22" i="4"/>
  <c r="K22" i="4"/>
  <c r="E20" i="4"/>
  <c r="E15" i="4"/>
  <c r="Y94" i="4"/>
  <c r="U94" i="4"/>
  <c r="S94" i="4"/>
  <c r="X94" i="4"/>
  <c r="T94" i="4"/>
  <c r="W94" i="4"/>
  <c r="V94" i="4"/>
  <c r="R94" i="4"/>
  <c r="Y70" i="4"/>
  <c r="Y71" i="4"/>
  <c r="U70" i="4"/>
  <c r="U71" i="4"/>
  <c r="X70" i="4"/>
  <c r="X71" i="4"/>
  <c r="T70" i="4"/>
  <c r="T71" i="4"/>
  <c r="R70" i="4"/>
  <c r="R71" i="4"/>
  <c r="W70" i="4"/>
  <c r="W71" i="4"/>
  <c r="S70" i="4"/>
  <c r="S71" i="4"/>
  <c r="V70" i="4"/>
  <c r="V71" i="4"/>
  <c r="Y46" i="4"/>
  <c r="Y47" i="4"/>
  <c r="U46" i="4"/>
  <c r="U47" i="4"/>
  <c r="X46" i="4"/>
  <c r="X47" i="4"/>
  <c r="T46" i="4"/>
  <c r="T47" i="4"/>
  <c r="W46" i="4"/>
  <c r="W47" i="4"/>
  <c r="S46" i="4"/>
  <c r="S47" i="4"/>
  <c r="V46" i="4"/>
  <c r="V47" i="4"/>
  <c r="R46" i="4"/>
  <c r="R47" i="4"/>
  <c r="U22" i="4"/>
  <c r="U23" i="4"/>
  <c r="Y22" i="4"/>
  <c r="Y23" i="4"/>
  <c r="V22" i="4"/>
  <c r="V23" i="4"/>
  <c r="T22" i="4"/>
  <c r="T23" i="4"/>
  <c r="X22" i="4"/>
  <c r="X23" i="4"/>
  <c r="W22" i="4"/>
  <c r="W23" i="4"/>
  <c r="E14" i="6"/>
  <c r="E15" i="6"/>
  <c r="M24" i="5"/>
  <c r="S22" i="4"/>
  <c r="S23" i="4"/>
  <c r="R22" i="4"/>
  <c r="R23" i="4"/>
  <c r="E14" i="4"/>
  <c r="D14" i="4"/>
  <c r="K46" i="4"/>
  <c r="N46" i="4"/>
  <c r="O46" i="4"/>
  <c r="O47" i="4"/>
  <c r="N21" i="4"/>
  <c r="O21" i="4"/>
  <c r="N22" i="4"/>
  <c r="O22" i="4"/>
  <c r="M25" i="5"/>
  <c r="C14" i="4"/>
  <c r="O23" i="4"/>
  <c r="M26" i="5"/>
  <c r="M27" i="5"/>
  <c r="B14" i="4"/>
  <c r="S27" i="5"/>
</calcChain>
</file>

<file path=xl/sharedStrings.xml><?xml version="1.0" encoding="utf-8"?>
<sst xmlns="http://schemas.openxmlformats.org/spreadsheetml/2006/main" count="292" uniqueCount="78">
  <si>
    <t>Option</t>
  </si>
  <si>
    <t>Capital Cost (2018)</t>
  </si>
  <si>
    <t>Wind + Diesel</t>
  </si>
  <si>
    <t>Solar + Diesel</t>
  </si>
  <si>
    <t>Solar + Wind + Diesel</t>
  </si>
  <si>
    <t>Diesel</t>
  </si>
  <si>
    <t>Solar Energy (kWh)</t>
  </si>
  <si>
    <t>Wind Energy (kWh)</t>
  </si>
  <si>
    <t>Diesel Energy (kWh)</t>
  </si>
  <si>
    <t>Total Energy (kWh)</t>
  </si>
  <si>
    <t>Wind Maintenance (2018)</t>
  </si>
  <si>
    <t>Solar Maintenance (2018)</t>
  </si>
  <si>
    <t>Diesel Maintenance (2018)</t>
  </si>
  <si>
    <t>Total Maintenance (2018)</t>
  </si>
  <si>
    <t>Diesel cost/litre</t>
  </si>
  <si>
    <t>Diesel Energy/litre (kWh)</t>
  </si>
  <si>
    <t>Diesel Energy Production Figures</t>
  </si>
  <si>
    <t>CO2/kWh (kg)</t>
  </si>
  <si>
    <t>Diesel Fuel Cost (2018)</t>
  </si>
  <si>
    <t>Maintenance Costs</t>
  </si>
  <si>
    <t>CO2 Emissions</t>
  </si>
  <si>
    <t>kg CO2 Emissions (2018)</t>
  </si>
  <si>
    <t>Diesel Fuel Costs</t>
  </si>
  <si>
    <t>Energy Sales Revenue</t>
  </si>
  <si>
    <t>Selling Price ($/kWh)</t>
  </si>
  <si>
    <t>Total Revenue</t>
  </si>
  <si>
    <t>Capital Cost</t>
  </si>
  <si>
    <t>CTF</t>
  </si>
  <si>
    <t>Present Worth</t>
  </si>
  <si>
    <t>Maintenance</t>
  </si>
  <si>
    <t>Carbon Tax Cost</t>
  </si>
  <si>
    <t>CO2 Output (kg)</t>
  </si>
  <si>
    <t>Energy Price / kWh</t>
  </si>
  <si>
    <t>Income - Expenses</t>
  </si>
  <si>
    <t>Tax Rate</t>
  </si>
  <si>
    <t>MARR after tax</t>
  </si>
  <si>
    <t>Diesel Fuel Cost</t>
  </si>
  <si>
    <t>Carbon tax per kg</t>
  </si>
  <si>
    <t>Total Present Worth</t>
  </si>
  <si>
    <t>Annuities Present Worth</t>
  </si>
  <si>
    <t>Present worth vs carbon tax</t>
  </si>
  <si>
    <t>Diesel + Wind</t>
  </si>
  <si>
    <t>Capital</t>
  </si>
  <si>
    <t>Incremental Cash Flow</t>
  </si>
  <si>
    <t>IRR</t>
  </si>
  <si>
    <t>Year</t>
  </si>
  <si>
    <t>Carbon tax rate ($/kg-CO2)</t>
  </si>
  <si>
    <t>Cash Flow after Tax</t>
  </si>
  <si>
    <t>Diesel --&gt; Wind + Diesel</t>
  </si>
  <si>
    <t>Wind + Diesel --&gt; Wind + Solar + Diesel</t>
  </si>
  <si>
    <t>Wind + Solar + Diesel --&gt; Solar + Diesel</t>
  </si>
  <si>
    <t>1 - Tax Rate</t>
  </si>
  <si>
    <t>Tax Savings Per Year</t>
  </si>
  <si>
    <t>Hours per year</t>
  </si>
  <si>
    <t>Energy Produced with diesel</t>
  </si>
  <si>
    <t>Wind Maintenance (2019)</t>
  </si>
  <si>
    <t>Solar Maintenance (2019)</t>
  </si>
  <si>
    <t>Diesel Maintenance (2019)</t>
  </si>
  <si>
    <t>Diesel Fuel Cost (2019)</t>
  </si>
  <si>
    <t>CO2 Output (kg in 2019)</t>
  </si>
  <si>
    <t>EAC(capital cost)</t>
  </si>
  <si>
    <t>EAC(maintnance)</t>
  </si>
  <si>
    <t>EAC(operation) Diesel cost</t>
  </si>
  <si>
    <t>EAC(operation) Carbon tax cost</t>
  </si>
  <si>
    <t>EAC(total)</t>
  </si>
  <si>
    <t>MARR before tax</t>
  </si>
  <si>
    <t xml:space="preserve">Yearly maintnance cost raise </t>
  </si>
  <si>
    <t>Yearly diesel cost raise (inflation)</t>
  </si>
  <si>
    <t>Yearly CO2 output raise</t>
  </si>
  <si>
    <t>Carbon tax rate / kg</t>
  </si>
  <si>
    <t xml:space="preserve"> EAC (Solar + Wind + Diesel) </t>
  </si>
  <si>
    <t xml:space="preserve"> EAC (Diesel)</t>
  </si>
  <si>
    <t xml:space="preserve"> EAC (Solar + Diesel)</t>
  </si>
  <si>
    <t xml:space="preserve"> EAC (Wind + Diesel) </t>
  </si>
  <si>
    <t>EAC = EAC(capital cost) + EAC(maintnance) + EAC(diesel cost) + EAC(CO2 tax cost)</t>
  </si>
  <si>
    <t>i0 diesel inflation</t>
  </si>
  <si>
    <t>i0 CO2 raise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</si>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</sst>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##0.00_);_(&quot;$&quot;* \(#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44" fontId="0" fillId="0" borderId="0" xfId="1" applyFont="1"/>
    <xf numFmtId="0" fontId="2" fillId="0" borderId="0" xfId="0" applyFont="1"/>
    <xf numFmtId="8" fontId="0" fillId="0" borderId="0" xfId="0" applyNumberFormat="1"/>
    <xf numFmtId="0" fontId="0" fillId="0" borderId="0" xfId="0" applyFont="1"/>
    <xf numFmtId="44" fontId="0" fillId="0" borderId="0" xfId="0" applyNumberFormat="1" applyFont="1"/>
    <xf numFmtId="1" fontId="0" fillId="0" borderId="0" xfId="0" applyNumberFormat="1"/>
    <xf numFmtId="44" fontId="0" fillId="0" borderId="0" xfId="0" applyNumberForma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1" fontId="0" fillId="0" borderId="1" xfId="1" applyNumberFormat="1" applyFont="1" applyBorder="1"/>
    <xf numFmtId="0" fontId="0" fillId="0" borderId="0" xfId="0" applyFont="1" applyBorder="1"/>
    <xf numFmtId="44" fontId="0" fillId="0" borderId="0" xfId="1" applyFont="1" applyBorder="1"/>
    <xf numFmtId="1" fontId="0" fillId="0" borderId="0" xfId="1" applyNumberFormat="1" applyFont="1" applyBorder="1"/>
    <xf numFmtId="44" fontId="0" fillId="0" borderId="0" xfId="0" applyNumberFormat="1" applyBorder="1"/>
    <xf numFmtId="0" fontId="2" fillId="0" borderId="1" xfId="0" applyFont="1" applyFill="1" applyBorder="1"/>
    <xf numFmtId="10" fontId="2" fillId="0" borderId="1" xfId="0" applyNumberFormat="1" applyFont="1" applyBorder="1"/>
    <xf numFmtId="0" fontId="3" fillId="0" borderId="1" xfId="0" applyFont="1" applyFill="1" applyBorder="1"/>
    <xf numFmtId="44" fontId="0" fillId="0" borderId="0" xfId="1" applyFont="1" applyAlignment="1">
      <alignment horizontal="left" indent="1"/>
    </xf>
    <xf numFmtId="9" fontId="0" fillId="0" borderId="0" xfId="0" applyNumberFormat="1"/>
    <xf numFmtId="0" fontId="2" fillId="0" borderId="0" xfId="0" applyFont="1" applyAlignment="1">
      <alignment horizontal="center"/>
    </xf>
    <xf numFmtId="44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2" xfId="1" applyFont="1" applyFill="1" applyBorder="1"/>
    <xf numFmtId="44" fontId="0" fillId="2" borderId="1" xfId="1" applyFont="1" applyFill="1" applyBorder="1"/>
    <xf numFmtId="44" fontId="1" fillId="0" borderId="1" xfId="1" applyFont="1" applyBorder="1"/>
    <xf numFmtId="44" fontId="5" fillId="0" borderId="1" xfId="1" applyFont="1" applyBorder="1"/>
    <xf numFmtId="0" fontId="0" fillId="2" borderId="1" xfId="0" applyFill="1" applyBorder="1"/>
    <xf numFmtId="44" fontId="1" fillId="0" borderId="1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44" fontId="2" fillId="0" borderId="0" xfId="1" applyFont="1" applyFill="1" applyBorder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Worth'!$R$2:$Y$2</c:f>
              <c:numCache>
                <c:formatCode>_("$"* #,##0.00_);_("$"* \(#,##0.00\);_("$"* "-"??_);_(@_)</c:formatCode>
                <c:ptCount val="8"/>
                <c:pt idx="0">
                  <c:v>0.0</c:v>
                </c:pt>
                <c:pt idx="1">
                  <c:v>-0.015</c:v>
                </c:pt>
                <c:pt idx="2">
                  <c:v>-0.03</c:v>
                </c:pt>
                <c:pt idx="3">
                  <c:v>-0.045</c:v>
                </c:pt>
                <c:pt idx="4">
                  <c:v>-0.06</c:v>
                </c:pt>
                <c:pt idx="5">
                  <c:v>-0.075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Worth'!$R$23:$Y$23</c:f>
              <c:numCache>
                <c:formatCode>_("$"* #,##0.00_);_("$"* \(#,##0.00\);_("$"* "-"??_);_(@_)</c:formatCode>
                <c:ptCount val="8"/>
                <c:pt idx="0">
                  <c:v>1.13490065074432E9</c:v>
                </c:pt>
                <c:pt idx="1">
                  <c:v>1.09719838865334E9</c:v>
                </c:pt>
                <c:pt idx="2">
                  <c:v>1.05949612656235E9</c:v>
                </c:pt>
                <c:pt idx="3">
                  <c:v>1.02179386447136E9</c:v>
                </c:pt>
                <c:pt idx="4">
                  <c:v>9.84091602380377E8</c:v>
                </c:pt>
                <c:pt idx="5">
                  <c:v>9.4638934028939E8</c:v>
                </c:pt>
                <c:pt idx="6">
                  <c:v>9.08687078198403E8</c:v>
                </c:pt>
                <c:pt idx="7">
                  <c:v>8.70984816107416E8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7A-4F14-979B-C3E4778FDD23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Worth'!$R$47:$Y$47</c:f>
              <c:numCache>
                <c:formatCode>_("$"* #,##0.00_);_("$"* \(#,##0.00\);_("$"* "-"??_);_(@_)</c:formatCode>
                <c:ptCount val="8"/>
                <c:pt idx="0">
                  <c:v>9.37760033239742E8</c:v>
                </c:pt>
                <c:pt idx="1">
                  <c:v>8.79891444914041E8</c:v>
                </c:pt>
                <c:pt idx="2">
                  <c:v>8.2202285658834E8</c:v>
                </c:pt>
                <c:pt idx="3">
                  <c:v>7.6415426826264E8</c:v>
                </c:pt>
                <c:pt idx="4">
                  <c:v>7.06285679936939E8</c:v>
                </c:pt>
                <c:pt idx="5">
                  <c:v>6.48417091611238E8</c:v>
                </c:pt>
                <c:pt idx="6">
                  <c:v>5.90548503285538E8</c:v>
                </c:pt>
                <c:pt idx="7">
                  <c:v>5.32679914959837E8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7A-4F14-979B-C3E4778FDD23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Worth'!$R$71:$Y$71</c:f>
              <c:numCache>
                <c:formatCode>_("$"* #,##0.00_);_("$"* \(#,##0.00\);_("$"* "-"??_);_(@_)</c:formatCode>
                <c:ptCount val="8"/>
                <c:pt idx="0">
                  <c:v>1.39775901876709E9</c:v>
                </c:pt>
                <c:pt idx="1">
                  <c:v>1.3878512150083E9</c:v>
                </c:pt>
                <c:pt idx="2">
                  <c:v>1.37794341124951E9</c:v>
                </c:pt>
                <c:pt idx="3">
                  <c:v>1.36803560749071E9</c:v>
                </c:pt>
                <c:pt idx="4">
                  <c:v>1.35812780373192E9</c:v>
                </c:pt>
                <c:pt idx="5">
                  <c:v>1.34821999997312E9</c:v>
                </c:pt>
                <c:pt idx="6">
                  <c:v>1.33831219621433E9</c:v>
                </c:pt>
                <c:pt idx="7">
                  <c:v>1.32840439245553E9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7A-4F14-979B-C3E4778FDD23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Worth'!$R$95:$Y$95</c:f>
              <c:numCache>
                <c:formatCode>_("$"* #,##0.00_);_("$"* \(#,##0.00\);_("$"* "-"??_);_(@_)</c:formatCode>
                <c:ptCount val="8"/>
                <c:pt idx="0">
                  <c:v>8.56194795158973E8</c:v>
                </c:pt>
                <c:pt idx="1">
                  <c:v>7.86051051733882E8</c:v>
                </c:pt>
                <c:pt idx="2">
                  <c:v>7.1590730830879E8</c:v>
                </c:pt>
                <c:pt idx="3">
                  <c:v>6.45763564883698E8</c:v>
                </c:pt>
                <c:pt idx="4">
                  <c:v>5.75619821458607E8</c:v>
                </c:pt>
                <c:pt idx="5">
                  <c:v>5.05476078033515E8</c:v>
                </c:pt>
                <c:pt idx="6">
                  <c:v>4.35332334608423E8</c:v>
                </c:pt>
                <c:pt idx="7">
                  <c:v>3.65188591183332E8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7A-4F14-979B-C3E4778F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7168"/>
        <c:axId val="-2121577232"/>
      </c:lineChart>
      <c:catAx>
        <c:axId val="20996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7232"/>
        <c:crosses val="autoZero"/>
        <c:auto val="1"/>
        <c:lblAlgn val="ctr"/>
        <c:lblOffset val="100"/>
        <c:noMultiLvlLbl val="0"/>
      </c:catAx>
      <c:valAx>
        <c:axId val="-2121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Wind + Diesel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EAC!$B$26:$B$27</c:f>
              <c:numCache>
                <c:formatCode>_("$"* #,##0.00_);_("$"* \(#,##0.00\);_("$"* "-"??_);_(@_)</c:formatCode>
                <c:ptCount val="2"/>
                <c:pt idx="0" formatCode="_(&quot;$&quot;* ###0.00_);_(&quot;$&quot;* \(###0.00\);_(&quot;$&quot;* &quot;-&quot;??_);_(@_)">
                  <c:v>0.0</c:v>
                </c:pt>
                <c:pt idx="1">
                  <c:v>0.2</c:v>
                </c:pt>
              </c:numCache>
            </c:numRef>
          </c:cat>
          <c:val>
            <c:numRef>
              <c:f>EAC!$C$26:$C$27</c:f>
              <c:numCache>
                <c:formatCode>_("$"* #,##0.00_);_("$"* \(#,##0.00\);_("$"* "-"??_);_(@_)</c:formatCode>
                <c:ptCount val="2"/>
                <c:pt idx="0">
                  <c:v>9.91627708546772E7</c:v>
                </c:pt>
                <c:pt idx="1">
                  <c:v>2.10904223648515E8</c:v>
                </c:pt>
              </c:numCache>
            </c:numRef>
          </c:val>
        </c:ser>
        <c:ser>
          <c:idx val="0"/>
          <c:order val="1"/>
          <c:tx>
            <c:v>Solar + Diesel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EAC!$D$26:$D$27</c:f>
              <c:numCache>
                <c:formatCode>_("$"* #,##0.00_);_("$"* \(#,##0.00\);_("$"* "-"??_);_(@_)</c:formatCode>
                <c:ptCount val="2"/>
                <c:pt idx="0">
                  <c:v>1.43171997749009E8</c:v>
                </c:pt>
                <c:pt idx="1">
                  <c:v>3.14682134525798E8</c:v>
                </c:pt>
              </c:numCache>
            </c:numRef>
          </c:val>
        </c:ser>
        <c:ser>
          <c:idx val="2"/>
          <c:order val="2"/>
          <c:tx>
            <c:v>Solar + Wind + Diesel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EAC!$E$26:$E$27</c:f>
              <c:numCache>
                <c:formatCode>_("$"* #,##0.00_);_("$"* \(#,##0.00\);_("$"* "-"??_);_(@_)</c:formatCode>
                <c:ptCount val="2"/>
                <c:pt idx="0">
                  <c:v>4.08021380965811E7</c:v>
                </c:pt>
                <c:pt idx="1">
                  <c:v>7.01667523658604E7</c:v>
                </c:pt>
              </c:numCache>
            </c:numRef>
          </c:val>
        </c:ser>
        <c:ser>
          <c:idx val="3"/>
          <c:order val="3"/>
          <c:tx>
            <c:v>Diesel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EAC!$F$26:$F$27</c:f>
              <c:numCache>
                <c:formatCode>_("$"* #,##0.00_);_("$"* \(#,##0.00\);_("$"* "-"??_);_(@_)</c:formatCode>
                <c:ptCount val="2"/>
                <c:pt idx="0">
                  <c:v>1.59994682937492E8</c:v>
                </c:pt>
                <c:pt idx="1">
                  <c:v>3.67885757833205E8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0567632"/>
        <c:axId val="-2090090320"/>
      </c:barChart>
      <c:catAx>
        <c:axId val="-2090567632"/>
        <c:scaling>
          <c:orientation val="minMax"/>
        </c:scaling>
        <c:delete val="0"/>
        <c:axPos val="b"/>
        <c:numFmt formatCode="_(&quot;$&quot;* ###0.00_);_(&quot;$&quot;* \(#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90320"/>
        <c:crosses val="autoZero"/>
        <c:auto val="1"/>
        <c:lblAlgn val="ctr"/>
        <c:lblOffset val="100"/>
        <c:noMultiLvlLbl val="0"/>
      </c:catAx>
      <c:valAx>
        <c:axId val="-2090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676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 (UK)'!$R$2:$Y$2</c:f>
              <c:numCache>
                <c:formatCode>_("$"* #,##0.00_);_("$"* \(#,##0.00\);_("$"* "-"??_);_(@_)</c:formatCode>
                <c:ptCount val="8"/>
                <c:pt idx="0">
                  <c:v>0.0</c:v>
                </c:pt>
                <c:pt idx="1">
                  <c:v>-0.015</c:v>
                </c:pt>
                <c:pt idx="2">
                  <c:v>-0.03</c:v>
                </c:pt>
                <c:pt idx="3">
                  <c:v>-0.045</c:v>
                </c:pt>
                <c:pt idx="4">
                  <c:v>-0.06</c:v>
                </c:pt>
                <c:pt idx="5">
                  <c:v>-0.075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 (UK)'!$R$23:$Y$23</c:f>
              <c:numCache>
                <c:formatCode>_("$"* #,##0.00_);_("$"* \(#,##0.00\);_("$"* "-"??_);_(@_)</c:formatCode>
                <c:ptCount val="8"/>
                <c:pt idx="0">
                  <c:v>1.09875935934112E9</c:v>
                </c:pt>
                <c:pt idx="1">
                  <c:v>1.06040879404503E9</c:v>
                </c:pt>
                <c:pt idx="2">
                  <c:v>1.02205822874895E9</c:v>
                </c:pt>
                <c:pt idx="3">
                  <c:v>9.83707663452867E8</c:v>
                </c:pt>
                <c:pt idx="4">
                  <c:v>9.45357098156784E8</c:v>
                </c:pt>
                <c:pt idx="5">
                  <c:v>9.07006532860701E8</c:v>
                </c:pt>
                <c:pt idx="6">
                  <c:v>8.68655967564618E8</c:v>
                </c:pt>
                <c:pt idx="7">
                  <c:v>8.30305402268535E8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70-4592-97CA-FFC95B9F172E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 (UK)'!$R$47:$Y$47</c:f>
              <c:numCache>
                <c:formatCode>_("$"* #,##0.00_);_("$"* \(#,##0.00\);_("$"* "-"??_);_(@_)</c:formatCode>
                <c:ptCount val="8"/>
                <c:pt idx="0">
                  <c:v>8.97563252969438E8</c:v>
                </c:pt>
                <c:pt idx="1">
                  <c:v>8.38699594608008E8</c:v>
                </c:pt>
                <c:pt idx="2">
                  <c:v>7.79835936246579E8</c:v>
                </c:pt>
                <c:pt idx="3">
                  <c:v>7.20972277885149E8</c:v>
                </c:pt>
                <c:pt idx="4">
                  <c:v>6.6210861952372E8</c:v>
                </c:pt>
                <c:pt idx="5">
                  <c:v>6.0324496116229E8</c:v>
                </c:pt>
                <c:pt idx="6">
                  <c:v>5.44381302800861E8</c:v>
                </c:pt>
                <c:pt idx="7">
                  <c:v>4.85517644439431E8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70-4592-97CA-FFC95B9F172E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 (UK)'!$R$71:$Y$71</c:f>
              <c:numCache>
                <c:formatCode>_("$"* #,##0.00_);_("$"* \(#,##0.00\);_("$"* "-"??_);_(@_)</c:formatCode>
                <c:ptCount val="8"/>
                <c:pt idx="0">
                  <c:v>1.36589507718364E9</c:v>
                </c:pt>
                <c:pt idx="1">
                  <c:v>1.35581690537328E9</c:v>
                </c:pt>
                <c:pt idx="2">
                  <c:v>1.34573873356291E9</c:v>
                </c:pt>
                <c:pt idx="3">
                  <c:v>1.33566056175254E9</c:v>
                </c:pt>
                <c:pt idx="4">
                  <c:v>1.32558238994218E9</c:v>
                </c:pt>
                <c:pt idx="5">
                  <c:v>1.31550421813181E9</c:v>
                </c:pt>
                <c:pt idx="6">
                  <c:v>1.30542604632145E9</c:v>
                </c:pt>
                <c:pt idx="7">
                  <c:v>1.29534787451108E9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70-4592-97CA-FFC95B9F172E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 (UK)'!$R$95:$Y$95</c:f>
              <c:numCache>
                <c:formatCode>_("$"* #,##0.00_);_("$"* \(#,##0.00\);_("$"* "-"??_);_(@_)</c:formatCode>
                <c:ptCount val="8"/>
                <c:pt idx="0">
                  <c:v>8.19225542262937E8</c:v>
                </c:pt>
                <c:pt idx="1">
                  <c:v>7.47875653339992E8</c:v>
                </c:pt>
                <c:pt idx="2">
                  <c:v>6.76525764417047E8</c:v>
                </c:pt>
                <c:pt idx="3">
                  <c:v>6.05175875494102E8</c:v>
                </c:pt>
                <c:pt idx="4">
                  <c:v>5.33825986571157E8</c:v>
                </c:pt>
                <c:pt idx="5">
                  <c:v>4.62476097648213E8</c:v>
                </c:pt>
                <c:pt idx="6">
                  <c:v>3.91126208725268E8</c:v>
                </c:pt>
                <c:pt idx="7">
                  <c:v>3.19776319802323E8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70-4592-97CA-FFC95B9F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02512"/>
        <c:axId val="-2119754800"/>
      </c:lineChart>
      <c:catAx>
        <c:axId val="-21195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54800"/>
        <c:crosses val="autoZero"/>
        <c:auto val="1"/>
        <c:lblAlgn val="ctr"/>
        <c:lblOffset val="100"/>
        <c:noMultiLvlLbl val="0"/>
      </c:catAx>
      <c:valAx>
        <c:axId val="-21197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50800</xdr:rowOff>
    </xdr:from>
    <xdr:to>
      <xdr:col>16</xdr:col>
      <xdr:colOff>647700</xdr:colOff>
      <xdr:row>28</xdr:row>
      <xdr:rowOff>38100</xdr:rowOff>
    </xdr:to>
    <xdr:graphicFrame macro="">
      <xdr:nvGraphicFramePr>
        <xdr:cNvPr id="3" name="Chart 2" title="EAC vs CO2 t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2/Desktop/eca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 Comparison"/>
      <sheetName val="Options for Report"/>
      <sheetName val="Present Worth"/>
      <sheetName val="EAC"/>
      <sheetName val="Present Worth (UK)"/>
      <sheetName val="Incremental Rate of Return"/>
      <sheetName val="Incremental Rate of Return (UK)"/>
    </sheetNames>
    <sheetDataSet>
      <sheetData sheetId="0" refreshError="1"/>
      <sheetData sheetId="1" refreshError="1"/>
      <sheetData sheetId="2" refreshError="1"/>
      <sheetData sheetId="3">
        <row r="24">
          <cell r="B24">
            <v>0</v>
          </cell>
          <cell r="C24">
            <v>89302304.712497383</v>
          </cell>
          <cell r="D24">
            <v>128037328.64260714</v>
          </cell>
          <cell r="E24">
            <v>38210899.352686293</v>
          </cell>
          <cell r="F24">
            <v>141649629.46043009</v>
          </cell>
        </row>
        <row r="25">
          <cell r="B25">
            <v>0.01</v>
          </cell>
          <cell r="C25">
            <v>94199144.712497383</v>
          </cell>
          <cell r="D25">
            <v>135553408.64260712</v>
          </cell>
          <cell r="E25">
            <v>39497743.352686293</v>
          </cell>
          <cell r="F25">
            <v>150760029.46043009</v>
          </cell>
        </row>
        <row r="26">
          <cell r="B26">
            <v>0.02</v>
          </cell>
          <cell r="C26">
            <v>99095984.712497383</v>
          </cell>
          <cell r="D26">
            <v>143069488.64260712</v>
          </cell>
          <cell r="E26">
            <v>40784587.352686293</v>
          </cell>
          <cell r="F26">
            <v>159870429.46043009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20.83203125" bestFit="1" customWidth="1"/>
    <col min="2" max="2" width="19.33203125" bestFit="1" customWidth="1"/>
    <col min="3" max="3" width="20.5" bestFit="1" customWidth="1"/>
    <col min="4" max="4" width="20.1640625" bestFit="1" customWidth="1"/>
    <col min="5" max="5" width="20.83203125" bestFit="1" customWidth="1"/>
    <col min="6" max="6" width="20.1640625" bestFit="1" customWidth="1"/>
    <col min="7" max="7" width="25.6640625" bestFit="1" customWidth="1"/>
    <col min="8" max="8" width="26.5" bestFit="1" customWidth="1"/>
    <col min="9" max="9" width="27.33203125" bestFit="1" customWidth="1"/>
    <col min="10" max="10" width="26.5" bestFit="1" customWidth="1"/>
    <col min="11" max="11" width="23" bestFit="1" customWidth="1"/>
    <col min="12" max="12" width="24.5" bestFit="1" customWidth="1"/>
    <col min="14" max="14" width="15.33203125" bestFit="1" customWidth="1"/>
    <col min="15" max="15" width="23.83203125" bestFit="1" customWidth="1"/>
    <col min="16" max="16" width="13.5" bestFit="1" customWidth="1"/>
  </cols>
  <sheetData>
    <row r="1" spans="1:16" ht="16" x14ac:dyDescent="0.2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18</v>
      </c>
      <c r="L1" s="1" t="s">
        <v>21</v>
      </c>
      <c r="N1" s="26" t="s">
        <v>16</v>
      </c>
      <c r="O1" s="26"/>
      <c r="P1" s="26"/>
    </row>
    <row r="2" spans="1:16" x14ac:dyDescent="0.2">
      <c r="A2" s="3" t="s">
        <v>2</v>
      </c>
      <c r="B2" s="2">
        <f>94210*10^3</f>
        <v>94210000</v>
      </c>
      <c r="C2">
        <f>37*10^3</f>
        <v>37000</v>
      </c>
      <c r="D2">
        <v>0</v>
      </c>
      <c r="E2">
        <f>43*10^3</f>
        <v>43000</v>
      </c>
      <c r="F2">
        <f>SUM(C2:E2)</f>
        <v>80000</v>
      </c>
      <c r="G2" s="2">
        <f>1.2*10^2</f>
        <v>120</v>
      </c>
      <c r="H2" s="2">
        <v>0</v>
      </c>
      <c r="I2" s="2">
        <f>6.5*10^2</f>
        <v>650</v>
      </c>
      <c r="J2" s="2">
        <f>SUM(G2:I2)</f>
        <v>770</v>
      </c>
      <c r="K2" s="2">
        <f>$N$3*(E2/$O$3)</f>
        <v>7985.7142857142862</v>
      </c>
      <c r="L2">
        <f>$P$3*E2</f>
        <v>55900</v>
      </c>
      <c r="N2" t="s">
        <v>14</v>
      </c>
      <c r="O2" t="s">
        <v>15</v>
      </c>
      <c r="P2" t="s">
        <v>17</v>
      </c>
    </row>
    <row r="3" spans="1:16" x14ac:dyDescent="0.2">
      <c r="A3" s="3" t="s">
        <v>3</v>
      </c>
      <c r="B3" s="2">
        <f>100625*10^3</f>
        <v>100625000</v>
      </c>
      <c r="C3">
        <v>0</v>
      </c>
      <c r="D3">
        <f>14*10^3</f>
        <v>14000</v>
      </c>
      <c r="E3">
        <f>66*10^3</f>
        <v>66000</v>
      </c>
      <c r="F3">
        <f t="shared" ref="F3:F5" si="0">SUM(C3:E3)</f>
        <v>80000</v>
      </c>
      <c r="G3" s="2">
        <v>0</v>
      </c>
      <c r="H3" s="2">
        <v>0</v>
      </c>
      <c r="I3" s="2">
        <f>7.2*10^2</f>
        <v>720</v>
      </c>
      <c r="J3" s="2">
        <f t="shared" ref="J3:J5" si="1">SUM(G3:I3)</f>
        <v>720</v>
      </c>
      <c r="K3" s="2">
        <f>$N$3*(E3/$O$3)</f>
        <v>12257.142857142859</v>
      </c>
      <c r="L3">
        <f>$P$3*E3</f>
        <v>85800</v>
      </c>
      <c r="N3" s="4">
        <v>1.3</v>
      </c>
      <c r="O3">
        <v>7</v>
      </c>
      <c r="P3">
        <v>1.3</v>
      </c>
    </row>
    <row r="4" spans="1:16" x14ac:dyDescent="0.2">
      <c r="A4" s="3" t="s">
        <v>4</v>
      </c>
      <c r="B4" s="2">
        <f>96548*10^3</f>
        <v>96548000</v>
      </c>
      <c r="C4">
        <f>42*10^3</f>
        <v>42000</v>
      </c>
      <c r="D4">
        <f>26.7*10^3</f>
        <v>26700</v>
      </c>
      <c r="E4">
        <f>11.3*10^3</f>
        <v>11300</v>
      </c>
      <c r="F4">
        <f t="shared" si="0"/>
        <v>80000</v>
      </c>
      <c r="G4" s="2">
        <f>1.2*10^2</f>
        <v>120</v>
      </c>
      <c r="H4" s="2">
        <v>0</v>
      </c>
      <c r="I4" s="2">
        <f>5*10^2</f>
        <v>500</v>
      </c>
      <c r="J4" s="2">
        <f t="shared" si="1"/>
        <v>620</v>
      </c>
      <c r="K4" s="2">
        <f>$N$3*(E4/$O$3)</f>
        <v>2098.5714285714284</v>
      </c>
      <c r="L4">
        <f>$P$3*E4</f>
        <v>14690</v>
      </c>
    </row>
    <row r="5" spans="1:16" x14ac:dyDescent="0.2">
      <c r="A5" s="3" t="s">
        <v>5</v>
      </c>
      <c r="B5" s="2">
        <f>56000*10^3</f>
        <v>56000000</v>
      </c>
      <c r="C5">
        <v>0</v>
      </c>
      <c r="D5">
        <v>0</v>
      </c>
      <c r="E5">
        <f>80*10^3</f>
        <v>80000</v>
      </c>
      <c r="F5">
        <f t="shared" si="0"/>
        <v>80000</v>
      </c>
      <c r="G5" s="2">
        <v>0</v>
      </c>
      <c r="H5" s="2">
        <v>0</v>
      </c>
      <c r="I5" s="2">
        <f>10.4*10^2</f>
        <v>1040</v>
      </c>
      <c r="J5" s="2">
        <f t="shared" si="1"/>
        <v>1040</v>
      </c>
      <c r="K5" s="2">
        <f>$N$3*(E5/$O$3)</f>
        <v>14857.142857142859</v>
      </c>
      <c r="L5">
        <f>$P$3*E5</f>
        <v>104000</v>
      </c>
    </row>
    <row r="7" spans="1:16" x14ac:dyDescent="0.2">
      <c r="A7" s="3" t="s">
        <v>19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 x14ac:dyDescent="0.2">
      <c r="A8" s="5">
        <v>2019</v>
      </c>
      <c r="B8" s="6">
        <f>$J$2</f>
        <v>770</v>
      </c>
      <c r="C8" s="6">
        <f>$J$3</f>
        <v>720</v>
      </c>
      <c r="D8" s="6">
        <f>$J$4</f>
        <v>620</v>
      </c>
      <c r="E8" s="6">
        <f>$J$5</f>
        <v>1040</v>
      </c>
    </row>
    <row r="9" spans="1:16" x14ac:dyDescent="0.2">
      <c r="A9" s="5">
        <v>2020</v>
      </c>
      <c r="B9" s="6">
        <f>B8*1.05</f>
        <v>808.5</v>
      </c>
      <c r="C9" s="6">
        <f t="shared" ref="C9:E24" si="2">C8*1.05</f>
        <v>756</v>
      </c>
      <c r="D9" s="6">
        <f t="shared" si="2"/>
        <v>651</v>
      </c>
      <c r="E9" s="6">
        <f t="shared" si="2"/>
        <v>1092</v>
      </c>
    </row>
    <row r="10" spans="1:16" x14ac:dyDescent="0.2">
      <c r="A10" s="5">
        <v>2021</v>
      </c>
      <c r="B10" s="6">
        <f t="shared" ref="B10:B27" si="3">B9*1.05</f>
        <v>848.92500000000007</v>
      </c>
      <c r="C10" s="6">
        <f t="shared" si="2"/>
        <v>793.80000000000007</v>
      </c>
      <c r="D10" s="6">
        <f t="shared" si="2"/>
        <v>683.55000000000007</v>
      </c>
      <c r="E10" s="6">
        <f t="shared" si="2"/>
        <v>1146.6000000000001</v>
      </c>
    </row>
    <row r="11" spans="1:16" x14ac:dyDescent="0.2">
      <c r="A11" s="5">
        <v>2022</v>
      </c>
      <c r="B11" s="6">
        <f t="shared" si="3"/>
        <v>891.37125000000015</v>
      </c>
      <c r="C11" s="6">
        <f t="shared" si="2"/>
        <v>833.49000000000012</v>
      </c>
      <c r="D11" s="6">
        <f t="shared" si="2"/>
        <v>717.72750000000008</v>
      </c>
      <c r="E11" s="6">
        <f t="shared" si="2"/>
        <v>1203.9300000000003</v>
      </c>
    </row>
    <row r="12" spans="1:16" x14ac:dyDescent="0.2">
      <c r="A12" s="5">
        <v>2023</v>
      </c>
      <c r="B12" s="6">
        <f t="shared" si="3"/>
        <v>935.93981250000024</v>
      </c>
      <c r="C12" s="6">
        <f t="shared" si="2"/>
        <v>875.1645000000002</v>
      </c>
      <c r="D12" s="6">
        <f t="shared" si="2"/>
        <v>753.61387500000012</v>
      </c>
      <c r="E12" s="6">
        <f t="shared" si="2"/>
        <v>1264.1265000000003</v>
      </c>
    </row>
    <row r="13" spans="1:16" x14ac:dyDescent="0.2">
      <c r="A13" s="5">
        <v>2024</v>
      </c>
      <c r="B13" s="6">
        <f t="shared" si="3"/>
        <v>982.73680312500028</v>
      </c>
      <c r="C13" s="6">
        <f t="shared" si="2"/>
        <v>918.92272500000024</v>
      </c>
      <c r="D13" s="6">
        <f t="shared" si="2"/>
        <v>791.29456875000017</v>
      </c>
      <c r="E13" s="6">
        <f t="shared" si="2"/>
        <v>1327.3328250000004</v>
      </c>
    </row>
    <row r="14" spans="1:16" x14ac:dyDescent="0.2">
      <c r="A14" s="5">
        <v>2025</v>
      </c>
      <c r="B14" s="6">
        <f t="shared" si="3"/>
        <v>1031.8736432812502</v>
      </c>
      <c r="C14" s="6">
        <f t="shared" si="2"/>
        <v>964.86886125000035</v>
      </c>
      <c r="D14" s="6">
        <f t="shared" si="2"/>
        <v>830.85929718750026</v>
      </c>
      <c r="E14" s="6">
        <f t="shared" si="2"/>
        <v>1393.6994662500006</v>
      </c>
    </row>
    <row r="15" spans="1:16" x14ac:dyDescent="0.2">
      <c r="A15" s="5">
        <v>2026</v>
      </c>
      <c r="B15" s="6">
        <f t="shared" si="3"/>
        <v>1083.4673254453128</v>
      </c>
      <c r="C15" s="6">
        <f t="shared" si="2"/>
        <v>1013.1123043125004</v>
      </c>
      <c r="D15" s="6">
        <f t="shared" si="2"/>
        <v>872.40226204687531</v>
      </c>
      <c r="E15" s="6">
        <f t="shared" si="2"/>
        <v>1463.3844395625006</v>
      </c>
    </row>
    <row r="16" spans="1:16" x14ac:dyDescent="0.2">
      <c r="A16" s="5">
        <v>2027</v>
      </c>
      <c r="B16" s="6">
        <f t="shared" si="3"/>
        <v>1137.6406917175784</v>
      </c>
      <c r="C16" s="6">
        <f t="shared" si="2"/>
        <v>1063.7679195281255</v>
      </c>
      <c r="D16" s="6">
        <f t="shared" si="2"/>
        <v>916.0223751492191</v>
      </c>
      <c r="E16" s="6">
        <f t="shared" si="2"/>
        <v>1536.5536615406256</v>
      </c>
    </row>
    <row r="17" spans="1:5" x14ac:dyDescent="0.2">
      <c r="A17" s="5">
        <v>2028</v>
      </c>
      <c r="B17" s="6">
        <f t="shared" si="3"/>
        <v>1194.5227263034574</v>
      </c>
      <c r="C17" s="6">
        <f t="shared" si="2"/>
        <v>1116.9563155045319</v>
      </c>
      <c r="D17" s="6">
        <f t="shared" si="2"/>
        <v>961.82349390668014</v>
      </c>
      <c r="E17" s="6">
        <f t="shared" si="2"/>
        <v>1613.3813446176571</v>
      </c>
    </row>
    <row r="18" spans="1:5" x14ac:dyDescent="0.2">
      <c r="A18" s="5">
        <v>2029</v>
      </c>
      <c r="B18" s="6">
        <f t="shared" si="3"/>
        <v>1254.2488626186303</v>
      </c>
      <c r="C18" s="6">
        <f t="shared" si="2"/>
        <v>1172.8041312797584</v>
      </c>
      <c r="D18" s="6">
        <f t="shared" si="2"/>
        <v>1009.9146686020142</v>
      </c>
      <c r="E18" s="6">
        <f t="shared" si="2"/>
        <v>1694.0504118485401</v>
      </c>
    </row>
    <row r="19" spans="1:5" x14ac:dyDescent="0.2">
      <c r="A19" s="5">
        <v>2030</v>
      </c>
      <c r="B19" s="6">
        <f t="shared" si="3"/>
        <v>1316.9613057495619</v>
      </c>
      <c r="C19" s="6">
        <f t="shared" si="2"/>
        <v>1231.4443378437463</v>
      </c>
      <c r="D19" s="6">
        <f t="shared" si="2"/>
        <v>1060.4104020321149</v>
      </c>
      <c r="E19" s="6">
        <f t="shared" si="2"/>
        <v>1778.7529324409672</v>
      </c>
    </row>
    <row r="20" spans="1:5" x14ac:dyDescent="0.2">
      <c r="A20" s="5">
        <v>2031</v>
      </c>
      <c r="B20" s="6">
        <f t="shared" si="3"/>
        <v>1382.8093710370401</v>
      </c>
      <c r="C20" s="6">
        <f t="shared" si="2"/>
        <v>1293.0165547359336</v>
      </c>
      <c r="D20" s="6">
        <f t="shared" si="2"/>
        <v>1113.4309221337207</v>
      </c>
      <c r="E20" s="6">
        <f t="shared" si="2"/>
        <v>1867.6905790630158</v>
      </c>
    </row>
    <row r="21" spans="1:5" x14ac:dyDescent="0.2">
      <c r="A21" s="5">
        <v>2032</v>
      </c>
      <c r="B21" s="6">
        <f t="shared" si="3"/>
        <v>1451.9498395888922</v>
      </c>
      <c r="C21" s="6">
        <f t="shared" si="2"/>
        <v>1357.6673824727304</v>
      </c>
      <c r="D21" s="6">
        <f t="shared" si="2"/>
        <v>1169.1024682404068</v>
      </c>
      <c r="E21" s="6">
        <f t="shared" si="2"/>
        <v>1961.0751080161667</v>
      </c>
    </row>
    <row r="22" spans="1:5" x14ac:dyDescent="0.2">
      <c r="A22" s="5">
        <v>2033</v>
      </c>
      <c r="B22" s="6">
        <f t="shared" si="3"/>
        <v>1524.5473315683369</v>
      </c>
      <c r="C22" s="6">
        <f t="shared" si="2"/>
        <v>1425.550751596367</v>
      </c>
      <c r="D22" s="6">
        <f t="shared" si="2"/>
        <v>1227.5575916524272</v>
      </c>
      <c r="E22" s="6">
        <f t="shared" si="2"/>
        <v>2059.128863416975</v>
      </c>
    </row>
    <row r="23" spans="1:5" x14ac:dyDescent="0.2">
      <c r="A23" s="5">
        <v>2034</v>
      </c>
      <c r="B23" s="6">
        <f t="shared" si="3"/>
        <v>1600.7746981467537</v>
      </c>
      <c r="C23" s="6">
        <f t="shared" si="2"/>
        <v>1496.8282891761855</v>
      </c>
      <c r="D23" s="6">
        <f t="shared" si="2"/>
        <v>1288.9354712350487</v>
      </c>
      <c r="E23" s="6">
        <f t="shared" si="2"/>
        <v>2162.0853065878241</v>
      </c>
    </row>
    <row r="24" spans="1:5" x14ac:dyDescent="0.2">
      <c r="A24" s="5">
        <v>2035</v>
      </c>
      <c r="B24" s="6">
        <f t="shared" si="3"/>
        <v>1680.8134330540915</v>
      </c>
      <c r="C24" s="6">
        <f t="shared" si="2"/>
        <v>1571.6697036349949</v>
      </c>
      <c r="D24" s="6">
        <f t="shared" si="2"/>
        <v>1353.3822447968012</v>
      </c>
      <c r="E24" s="6">
        <f t="shared" si="2"/>
        <v>2270.1895719172153</v>
      </c>
    </row>
    <row r="25" spans="1:5" x14ac:dyDescent="0.2">
      <c r="A25" s="5">
        <v>2036</v>
      </c>
      <c r="B25" s="6">
        <f t="shared" si="3"/>
        <v>1764.8541047067963</v>
      </c>
      <c r="C25" s="6">
        <f t="shared" ref="C25:C27" si="4">C24*1.05</f>
        <v>1650.2531888167448</v>
      </c>
      <c r="D25" s="6">
        <f t="shared" ref="D25:D27" si="5">D24*1.05</f>
        <v>1421.0513570366413</v>
      </c>
      <c r="E25" s="6">
        <f t="shared" ref="E25:E27" si="6">E24*1.05</f>
        <v>2383.6990505130761</v>
      </c>
    </row>
    <row r="26" spans="1:5" x14ac:dyDescent="0.2">
      <c r="A26" s="5">
        <v>2037</v>
      </c>
      <c r="B26" s="6">
        <f t="shared" si="3"/>
        <v>1853.0968099421361</v>
      </c>
      <c r="C26" s="6">
        <f t="shared" si="4"/>
        <v>1732.7658482575821</v>
      </c>
      <c r="D26" s="6">
        <f t="shared" si="5"/>
        <v>1492.1039248884736</v>
      </c>
      <c r="E26" s="6">
        <f t="shared" si="6"/>
        <v>2502.88400303873</v>
      </c>
    </row>
    <row r="27" spans="1:5" x14ac:dyDescent="0.2">
      <c r="A27" s="5">
        <v>2038</v>
      </c>
      <c r="B27" s="6">
        <f t="shared" si="3"/>
        <v>1945.7516504392431</v>
      </c>
      <c r="C27" s="6">
        <f t="shared" si="4"/>
        <v>1819.4041406704612</v>
      </c>
      <c r="D27" s="6">
        <f t="shared" si="5"/>
        <v>1566.7091211328973</v>
      </c>
      <c r="E27" s="6">
        <f t="shared" si="6"/>
        <v>2628.0282031906668</v>
      </c>
    </row>
    <row r="28" spans="1:5" x14ac:dyDescent="0.2">
      <c r="A28" s="5"/>
    </row>
    <row r="29" spans="1:5" x14ac:dyDescent="0.2">
      <c r="A29" s="3" t="s">
        <v>20</v>
      </c>
      <c r="B29" s="3" t="s">
        <v>2</v>
      </c>
      <c r="C29" s="3" t="s">
        <v>3</v>
      </c>
      <c r="D29" s="3" t="s">
        <v>4</v>
      </c>
      <c r="E29" s="3" t="s">
        <v>5</v>
      </c>
    </row>
    <row r="30" spans="1:5" x14ac:dyDescent="0.2">
      <c r="A30" s="5">
        <v>2019</v>
      </c>
      <c r="B30" s="7">
        <f>$L$2</f>
        <v>55900</v>
      </c>
      <c r="C30" s="7">
        <f>$L$3</f>
        <v>85800</v>
      </c>
      <c r="D30" s="7">
        <f>$L$4</f>
        <v>14690</v>
      </c>
      <c r="E30" s="7">
        <f>$L$5</f>
        <v>104000</v>
      </c>
    </row>
    <row r="31" spans="1:5" x14ac:dyDescent="0.2">
      <c r="A31" s="5">
        <v>2020</v>
      </c>
      <c r="B31" s="7">
        <f>B30*1.02</f>
        <v>57018</v>
      </c>
      <c r="C31" s="7">
        <f t="shared" ref="C31:E46" si="7">C30*1.02</f>
        <v>87516</v>
      </c>
      <c r="D31" s="7">
        <f t="shared" si="7"/>
        <v>14983.800000000001</v>
      </c>
      <c r="E31" s="7">
        <f t="shared" si="7"/>
        <v>106080</v>
      </c>
    </row>
    <row r="32" spans="1:5" x14ac:dyDescent="0.2">
      <c r="A32" s="5">
        <v>2021</v>
      </c>
      <c r="B32" s="7">
        <f t="shared" ref="B32:B49" si="8">B31*1.02</f>
        <v>58158.36</v>
      </c>
      <c r="C32" s="7">
        <f t="shared" si="7"/>
        <v>89266.32</v>
      </c>
      <c r="D32" s="7">
        <f t="shared" si="7"/>
        <v>15283.476000000001</v>
      </c>
      <c r="E32" s="7">
        <f t="shared" si="7"/>
        <v>108201.60000000001</v>
      </c>
    </row>
    <row r="33" spans="1:5" x14ac:dyDescent="0.2">
      <c r="A33" s="5">
        <v>2022</v>
      </c>
      <c r="B33" s="7">
        <f t="shared" si="8"/>
        <v>59321.527200000004</v>
      </c>
      <c r="C33" s="7">
        <f t="shared" si="7"/>
        <v>91051.646400000012</v>
      </c>
      <c r="D33" s="7">
        <f t="shared" si="7"/>
        <v>15589.14552</v>
      </c>
      <c r="E33" s="7">
        <f t="shared" si="7"/>
        <v>110365.63200000001</v>
      </c>
    </row>
    <row r="34" spans="1:5" x14ac:dyDescent="0.2">
      <c r="A34" s="5">
        <v>2023</v>
      </c>
      <c r="B34" s="7">
        <f t="shared" si="8"/>
        <v>60507.957744000007</v>
      </c>
      <c r="C34" s="7">
        <f t="shared" si="7"/>
        <v>92872.679328000013</v>
      </c>
      <c r="D34" s="7">
        <f t="shared" si="7"/>
        <v>15900.928430400001</v>
      </c>
      <c r="E34" s="7">
        <f t="shared" si="7"/>
        <v>112572.94464000002</v>
      </c>
    </row>
    <row r="35" spans="1:5" x14ac:dyDescent="0.2">
      <c r="A35" s="5">
        <v>2024</v>
      </c>
      <c r="B35" s="7">
        <f t="shared" si="8"/>
        <v>61718.116898880005</v>
      </c>
      <c r="C35" s="7">
        <f t="shared" si="7"/>
        <v>94730.132914560018</v>
      </c>
      <c r="D35" s="7">
        <f t="shared" si="7"/>
        <v>16218.946999008002</v>
      </c>
      <c r="E35" s="7">
        <f t="shared" si="7"/>
        <v>114824.40353280002</v>
      </c>
    </row>
    <row r="36" spans="1:5" x14ac:dyDescent="0.2">
      <c r="A36" s="5">
        <v>2025</v>
      </c>
      <c r="B36" s="7">
        <f t="shared" si="8"/>
        <v>62952.479236857609</v>
      </c>
      <c r="C36" s="7">
        <f t="shared" si="7"/>
        <v>96624.735572851219</v>
      </c>
      <c r="D36" s="7">
        <f t="shared" si="7"/>
        <v>16543.32593898816</v>
      </c>
      <c r="E36" s="7">
        <f t="shared" si="7"/>
        <v>117120.89160345602</v>
      </c>
    </row>
    <row r="37" spans="1:5" x14ac:dyDescent="0.2">
      <c r="A37" s="5">
        <v>2026</v>
      </c>
      <c r="B37" s="7">
        <f t="shared" si="8"/>
        <v>64211.528821594766</v>
      </c>
      <c r="C37" s="7">
        <f t="shared" si="7"/>
        <v>98557.230284308243</v>
      </c>
      <c r="D37" s="7">
        <f t="shared" si="7"/>
        <v>16874.192457767924</v>
      </c>
      <c r="E37" s="7">
        <f t="shared" si="7"/>
        <v>119463.30943552515</v>
      </c>
    </row>
    <row r="38" spans="1:5" x14ac:dyDescent="0.2">
      <c r="A38" s="5">
        <v>2027</v>
      </c>
      <c r="B38" s="7">
        <f t="shared" si="8"/>
        <v>65495.759398026661</v>
      </c>
      <c r="C38" s="7">
        <f t="shared" si="7"/>
        <v>100528.3748899944</v>
      </c>
      <c r="D38" s="7">
        <f t="shared" si="7"/>
        <v>17211.676306923284</v>
      </c>
      <c r="E38" s="7">
        <f t="shared" si="7"/>
        <v>121852.57562423566</v>
      </c>
    </row>
    <row r="39" spans="1:5" x14ac:dyDescent="0.2">
      <c r="A39" s="5">
        <v>2028</v>
      </c>
      <c r="B39" s="7">
        <f t="shared" si="8"/>
        <v>66805.674585987203</v>
      </c>
      <c r="C39" s="7">
        <f t="shared" si="7"/>
        <v>102538.94238779429</v>
      </c>
      <c r="D39" s="7">
        <f t="shared" si="7"/>
        <v>17555.909833061749</v>
      </c>
      <c r="E39" s="7">
        <f t="shared" si="7"/>
        <v>124289.62713672037</v>
      </c>
    </row>
    <row r="40" spans="1:5" x14ac:dyDescent="0.2">
      <c r="A40" s="5">
        <v>2029</v>
      </c>
      <c r="B40" s="7">
        <f t="shared" si="8"/>
        <v>68141.788077706951</v>
      </c>
      <c r="C40" s="7">
        <f t="shared" si="7"/>
        <v>104589.72123555018</v>
      </c>
      <c r="D40" s="7">
        <f t="shared" si="7"/>
        <v>17907.028029722984</v>
      </c>
      <c r="E40" s="7">
        <f t="shared" si="7"/>
        <v>126775.41967945479</v>
      </c>
    </row>
    <row r="41" spans="1:5" x14ac:dyDescent="0.2">
      <c r="A41" s="5">
        <v>2030</v>
      </c>
      <c r="B41" s="7">
        <f t="shared" si="8"/>
        <v>69504.623839261098</v>
      </c>
      <c r="C41" s="7">
        <f t="shared" si="7"/>
        <v>106681.51566026118</v>
      </c>
      <c r="D41" s="7">
        <f t="shared" si="7"/>
        <v>18265.168590317444</v>
      </c>
      <c r="E41" s="7">
        <f t="shared" si="7"/>
        <v>129310.92807304389</v>
      </c>
    </row>
    <row r="42" spans="1:5" x14ac:dyDescent="0.2">
      <c r="A42" s="5">
        <v>2031</v>
      </c>
      <c r="B42" s="7">
        <f t="shared" si="8"/>
        <v>70894.716316046324</v>
      </c>
      <c r="C42" s="7">
        <f t="shared" si="7"/>
        <v>108815.14597346641</v>
      </c>
      <c r="D42" s="7">
        <f t="shared" si="7"/>
        <v>18630.471962123793</v>
      </c>
      <c r="E42" s="7">
        <f t="shared" si="7"/>
        <v>131897.14663450478</v>
      </c>
    </row>
    <row r="43" spans="1:5" x14ac:dyDescent="0.2">
      <c r="A43" s="5">
        <v>2032</v>
      </c>
      <c r="B43" s="7">
        <f t="shared" si="8"/>
        <v>72312.610642367246</v>
      </c>
      <c r="C43" s="7">
        <f t="shared" si="7"/>
        <v>110991.44889293575</v>
      </c>
      <c r="D43" s="7">
        <f t="shared" si="7"/>
        <v>19003.081401366268</v>
      </c>
      <c r="E43" s="7">
        <f t="shared" si="7"/>
        <v>134535.08956719487</v>
      </c>
    </row>
    <row r="44" spans="1:5" x14ac:dyDescent="0.2">
      <c r="A44" s="5">
        <v>2033</v>
      </c>
      <c r="B44" s="7">
        <f t="shared" si="8"/>
        <v>73758.862855214596</v>
      </c>
      <c r="C44" s="7">
        <f t="shared" si="7"/>
        <v>113211.27787079447</v>
      </c>
      <c r="D44" s="7">
        <f t="shared" si="7"/>
        <v>19383.143029393592</v>
      </c>
      <c r="E44" s="7">
        <f t="shared" si="7"/>
        <v>137225.79135853876</v>
      </c>
    </row>
    <row r="45" spans="1:5" x14ac:dyDescent="0.2">
      <c r="A45" s="5">
        <v>2034</v>
      </c>
      <c r="B45" s="7">
        <f t="shared" si="8"/>
        <v>75234.040112318893</v>
      </c>
      <c r="C45" s="7">
        <f t="shared" si="7"/>
        <v>115475.50342821036</v>
      </c>
      <c r="D45" s="7">
        <f t="shared" si="7"/>
        <v>19770.805889981464</v>
      </c>
      <c r="E45" s="7">
        <f t="shared" si="7"/>
        <v>139970.30718570953</v>
      </c>
    </row>
    <row r="46" spans="1:5" x14ac:dyDescent="0.2">
      <c r="A46" s="5">
        <v>2035</v>
      </c>
      <c r="B46" s="7">
        <f t="shared" si="8"/>
        <v>76738.720914565274</v>
      </c>
      <c r="C46" s="7">
        <f t="shared" si="7"/>
        <v>117785.01349677457</v>
      </c>
      <c r="D46" s="7">
        <f t="shared" si="7"/>
        <v>20166.222007781093</v>
      </c>
      <c r="E46" s="7">
        <f t="shared" si="7"/>
        <v>142769.71332942371</v>
      </c>
    </row>
    <row r="47" spans="1:5" x14ac:dyDescent="0.2">
      <c r="A47" s="5">
        <v>2036</v>
      </c>
      <c r="B47" s="7">
        <f t="shared" si="8"/>
        <v>78273.495332856575</v>
      </c>
      <c r="C47" s="7">
        <f t="shared" ref="C47:C49" si="9">C46*1.02</f>
        <v>120140.71376671006</v>
      </c>
      <c r="D47" s="7">
        <f t="shared" ref="D47:D49" si="10">D46*1.02</f>
        <v>20569.546447936715</v>
      </c>
      <c r="E47" s="7">
        <f t="shared" ref="E47:E49" si="11">E46*1.02</f>
        <v>145625.10759601218</v>
      </c>
    </row>
    <row r="48" spans="1:5" x14ac:dyDescent="0.2">
      <c r="A48" s="5">
        <v>2037</v>
      </c>
      <c r="B48" s="7">
        <f t="shared" si="8"/>
        <v>79838.965239513709</v>
      </c>
      <c r="C48" s="7">
        <f t="shared" si="9"/>
        <v>122543.52804204426</v>
      </c>
      <c r="D48" s="7">
        <f t="shared" si="10"/>
        <v>20980.93737689545</v>
      </c>
      <c r="E48" s="7">
        <f t="shared" si="11"/>
        <v>148537.60974793244</v>
      </c>
    </row>
    <row r="49" spans="1:5" x14ac:dyDescent="0.2">
      <c r="A49" s="5">
        <v>2038</v>
      </c>
      <c r="B49" s="7">
        <f t="shared" si="8"/>
        <v>81435.744544303991</v>
      </c>
      <c r="C49" s="7">
        <f t="shared" si="9"/>
        <v>124994.39860288515</v>
      </c>
      <c r="D49" s="7">
        <f t="shared" si="10"/>
        <v>21400.556124433358</v>
      </c>
      <c r="E49" s="7">
        <f t="shared" si="11"/>
        <v>151508.36194289109</v>
      </c>
    </row>
    <row r="51" spans="1:5" x14ac:dyDescent="0.2">
      <c r="A51" s="3" t="s">
        <v>22</v>
      </c>
      <c r="B51" s="3" t="s">
        <v>2</v>
      </c>
      <c r="C51" s="3" t="s">
        <v>3</v>
      </c>
      <c r="D51" s="3" t="s">
        <v>4</v>
      </c>
      <c r="E51" s="3" t="s">
        <v>5</v>
      </c>
    </row>
    <row r="52" spans="1:5" x14ac:dyDescent="0.2">
      <c r="A52" s="5">
        <v>2019</v>
      </c>
      <c r="B52" s="8">
        <f>$K$2</f>
        <v>7985.7142857142862</v>
      </c>
      <c r="C52" s="8">
        <f>$K$3</f>
        <v>12257.142857142859</v>
      </c>
      <c r="D52" s="8">
        <f>$K$4</f>
        <v>2098.5714285714284</v>
      </c>
      <c r="E52" s="8">
        <f>$K$5</f>
        <v>14857.142857142859</v>
      </c>
    </row>
    <row r="53" spans="1:5" x14ac:dyDescent="0.2">
      <c r="A53" s="5">
        <v>2020</v>
      </c>
      <c r="B53" s="8">
        <f>B52*1.02</f>
        <v>8145.4285714285725</v>
      </c>
      <c r="C53" s="8">
        <f t="shared" ref="C53:E68" si="12">C52*1.02</f>
        <v>12502.285714285716</v>
      </c>
      <c r="D53" s="8">
        <f t="shared" si="12"/>
        <v>2140.542857142857</v>
      </c>
      <c r="E53" s="8">
        <f t="shared" si="12"/>
        <v>15154.285714285716</v>
      </c>
    </row>
    <row r="54" spans="1:5" x14ac:dyDescent="0.2">
      <c r="A54" s="5">
        <v>2021</v>
      </c>
      <c r="B54" s="8">
        <f t="shared" ref="B54:B71" si="13">B53*1.02</f>
        <v>8308.3371428571445</v>
      </c>
      <c r="C54" s="8">
        <f t="shared" si="12"/>
        <v>12752.33142857143</v>
      </c>
      <c r="D54" s="8">
        <f t="shared" si="12"/>
        <v>2183.353714285714</v>
      </c>
      <c r="E54" s="8">
        <f t="shared" si="12"/>
        <v>15457.37142857143</v>
      </c>
    </row>
    <row r="55" spans="1:5" x14ac:dyDescent="0.2">
      <c r="A55" s="5">
        <v>2022</v>
      </c>
      <c r="B55" s="8">
        <f t="shared" si="13"/>
        <v>8474.5038857142881</v>
      </c>
      <c r="C55" s="8">
        <f t="shared" si="12"/>
        <v>13007.378057142858</v>
      </c>
      <c r="D55" s="8">
        <f t="shared" si="12"/>
        <v>2227.0207885714285</v>
      </c>
      <c r="E55" s="8">
        <f t="shared" si="12"/>
        <v>15766.518857142859</v>
      </c>
    </row>
    <row r="56" spans="1:5" x14ac:dyDescent="0.2">
      <c r="A56" s="5">
        <v>2023</v>
      </c>
      <c r="B56" s="8">
        <f t="shared" si="13"/>
        <v>8643.9939634285747</v>
      </c>
      <c r="C56" s="8">
        <f t="shared" si="12"/>
        <v>13267.525618285716</v>
      </c>
      <c r="D56" s="8">
        <f t="shared" si="12"/>
        <v>2271.5612043428573</v>
      </c>
      <c r="E56" s="8">
        <f t="shared" si="12"/>
        <v>16081.849234285717</v>
      </c>
    </row>
    <row r="57" spans="1:5" x14ac:dyDescent="0.2">
      <c r="A57" s="5">
        <v>2024</v>
      </c>
      <c r="B57" s="8">
        <f t="shared" si="13"/>
        <v>8816.8738426971468</v>
      </c>
      <c r="C57" s="8">
        <f t="shared" si="12"/>
        <v>13532.87613065143</v>
      </c>
      <c r="D57" s="8">
        <f t="shared" si="12"/>
        <v>2316.9924284297144</v>
      </c>
      <c r="E57" s="8">
        <f t="shared" si="12"/>
        <v>16403.486218971433</v>
      </c>
    </row>
    <row r="58" spans="1:5" x14ac:dyDescent="0.2">
      <c r="A58" s="5">
        <v>2025</v>
      </c>
      <c r="B58" s="8">
        <f t="shared" si="13"/>
        <v>8993.2113195510901</v>
      </c>
      <c r="C58" s="8">
        <f t="shared" si="12"/>
        <v>13803.533653264458</v>
      </c>
      <c r="D58" s="8">
        <f t="shared" si="12"/>
        <v>2363.3322769983088</v>
      </c>
      <c r="E58" s="8">
        <f t="shared" si="12"/>
        <v>16731.555943350861</v>
      </c>
    </row>
    <row r="59" spans="1:5" x14ac:dyDescent="0.2">
      <c r="A59" s="5">
        <v>2026</v>
      </c>
      <c r="B59" s="8">
        <f t="shared" si="13"/>
        <v>9173.0755459421125</v>
      </c>
      <c r="C59" s="8">
        <f t="shared" si="12"/>
        <v>14079.604326329747</v>
      </c>
      <c r="D59" s="8">
        <f t="shared" si="12"/>
        <v>2410.598922538275</v>
      </c>
      <c r="E59" s="8">
        <f t="shared" si="12"/>
        <v>17066.187062217879</v>
      </c>
    </row>
    <row r="60" spans="1:5" x14ac:dyDescent="0.2">
      <c r="A60" s="5">
        <v>2027</v>
      </c>
      <c r="B60" s="8">
        <f t="shared" si="13"/>
        <v>9356.5370568609542</v>
      </c>
      <c r="C60" s="8">
        <f t="shared" si="12"/>
        <v>14361.196412856341</v>
      </c>
      <c r="D60" s="8">
        <f t="shared" si="12"/>
        <v>2458.8109009890404</v>
      </c>
      <c r="E60" s="8">
        <f t="shared" si="12"/>
        <v>17407.510803462239</v>
      </c>
    </row>
    <row r="61" spans="1:5" x14ac:dyDescent="0.2">
      <c r="A61" s="5">
        <v>2028</v>
      </c>
      <c r="B61" s="8">
        <f t="shared" si="13"/>
        <v>9543.6677979981741</v>
      </c>
      <c r="C61" s="8">
        <f t="shared" si="12"/>
        <v>14648.420341113468</v>
      </c>
      <c r="D61" s="8">
        <f t="shared" si="12"/>
        <v>2507.9871190088211</v>
      </c>
      <c r="E61" s="8">
        <f t="shared" si="12"/>
        <v>17755.661019531482</v>
      </c>
    </row>
    <row r="62" spans="1:5" x14ac:dyDescent="0.2">
      <c r="A62" s="5">
        <v>2029</v>
      </c>
      <c r="B62" s="8">
        <f t="shared" si="13"/>
        <v>9734.5411539581382</v>
      </c>
      <c r="C62" s="8">
        <f t="shared" si="12"/>
        <v>14941.388747935738</v>
      </c>
      <c r="D62" s="8">
        <f t="shared" si="12"/>
        <v>2558.1468613889974</v>
      </c>
      <c r="E62" s="8">
        <f t="shared" si="12"/>
        <v>18110.774239922113</v>
      </c>
    </row>
    <row r="63" spans="1:5" x14ac:dyDescent="0.2">
      <c r="A63" s="5">
        <v>2030</v>
      </c>
      <c r="B63" s="8">
        <f t="shared" si="13"/>
        <v>9929.2319770373015</v>
      </c>
      <c r="C63" s="8">
        <f t="shared" si="12"/>
        <v>15240.216522894452</v>
      </c>
      <c r="D63" s="8">
        <f t="shared" si="12"/>
        <v>2609.3097986167772</v>
      </c>
      <c r="E63" s="8">
        <f t="shared" si="12"/>
        <v>18472.989724720555</v>
      </c>
    </row>
    <row r="64" spans="1:5" x14ac:dyDescent="0.2">
      <c r="A64" s="5">
        <v>2031</v>
      </c>
      <c r="B64" s="8">
        <f t="shared" si="13"/>
        <v>10127.816616578048</v>
      </c>
      <c r="C64" s="8">
        <f t="shared" si="12"/>
        <v>15545.020853352342</v>
      </c>
      <c r="D64" s="8">
        <f t="shared" si="12"/>
        <v>2661.4959945891128</v>
      </c>
      <c r="E64" s="8">
        <f t="shared" si="12"/>
        <v>18842.449519214966</v>
      </c>
    </row>
    <row r="65" spans="1:5" x14ac:dyDescent="0.2">
      <c r="A65" s="5">
        <v>2032</v>
      </c>
      <c r="B65" s="8">
        <f t="shared" si="13"/>
        <v>10330.372948909609</v>
      </c>
      <c r="C65" s="8">
        <f t="shared" si="12"/>
        <v>15855.921270419389</v>
      </c>
      <c r="D65" s="8">
        <f t="shared" si="12"/>
        <v>2714.725914480895</v>
      </c>
      <c r="E65" s="8">
        <f t="shared" si="12"/>
        <v>19219.298509599266</v>
      </c>
    </row>
    <row r="66" spans="1:5" x14ac:dyDescent="0.2">
      <c r="A66" s="5">
        <v>2033</v>
      </c>
      <c r="B66" s="8">
        <f t="shared" si="13"/>
        <v>10536.980407887802</v>
      </c>
      <c r="C66" s="8">
        <f t="shared" si="12"/>
        <v>16173.039695827776</v>
      </c>
      <c r="D66" s="8">
        <f t="shared" si="12"/>
        <v>2769.0204327705128</v>
      </c>
      <c r="E66" s="8">
        <f t="shared" si="12"/>
        <v>19603.684479791253</v>
      </c>
    </row>
    <row r="67" spans="1:5" x14ac:dyDescent="0.2">
      <c r="A67" s="5">
        <v>2034</v>
      </c>
      <c r="B67" s="8">
        <f t="shared" si="13"/>
        <v>10747.720016045558</v>
      </c>
      <c r="C67" s="8">
        <f t="shared" si="12"/>
        <v>16496.500489744332</v>
      </c>
      <c r="D67" s="8">
        <f t="shared" si="12"/>
        <v>2824.4008414259233</v>
      </c>
      <c r="E67" s="8">
        <f t="shared" si="12"/>
        <v>19995.758169387078</v>
      </c>
    </row>
    <row r="68" spans="1:5" x14ac:dyDescent="0.2">
      <c r="A68" s="5">
        <v>2035</v>
      </c>
      <c r="B68" s="8">
        <f t="shared" si="13"/>
        <v>10962.67441636647</v>
      </c>
      <c r="C68" s="8">
        <f t="shared" si="12"/>
        <v>16826.430499539219</v>
      </c>
      <c r="D68" s="8">
        <f t="shared" si="12"/>
        <v>2880.8888582544419</v>
      </c>
      <c r="E68" s="8">
        <f t="shared" si="12"/>
        <v>20395.673332774819</v>
      </c>
    </row>
    <row r="69" spans="1:5" x14ac:dyDescent="0.2">
      <c r="A69" s="5">
        <v>2036</v>
      </c>
      <c r="B69" s="8">
        <f t="shared" si="13"/>
        <v>11181.927904693799</v>
      </c>
      <c r="C69" s="8">
        <f t="shared" ref="C69:C71" si="14">C68*1.02</f>
        <v>17162.959109530006</v>
      </c>
      <c r="D69" s="8">
        <f t="shared" ref="D69:D71" si="15">D68*1.02</f>
        <v>2938.5066354195305</v>
      </c>
      <c r="E69" s="8">
        <f t="shared" ref="E69:E71" si="16">E68*1.02</f>
        <v>20803.586799430315</v>
      </c>
    </row>
    <row r="70" spans="1:5" x14ac:dyDescent="0.2">
      <c r="A70" s="5">
        <v>2037</v>
      </c>
      <c r="B70" s="8">
        <f t="shared" si="13"/>
        <v>11405.566462787676</v>
      </c>
      <c r="C70" s="8">
        <f t="shared" si="14"/>
        <v>17506.218291720605</v>
      </c>
      <c r="D70" s="8">
        <f t="shared" si="15"/>
        <v>2997.2767681279211</v>
      </c>
      <c r="E70" s="8">
        <f t="shared" si="16"/>
        <v>21219.658535418923</v>
      </c>
    </row>
    <row r="71" spans="1:5" x14ac:dyDescent="0.2">
      <c r="A71" s="5">
        <v>2038</v>
      </c>
      <c r="B71" s="8">
        <f t="shared" si="13"/>
        <v>11633.677792043429</v>
      </c>
      <c r="C71" s="8">
        <f t="shared" si="14"/>
        <v>17856.342657555018</v>
      </c>
      <c r="D71" s="8">
        <f t="shared" si="15"/>
        <v>3057.2223034904796</v>
      </c>
      <c r="E71" s="8">
        <f t="shared" si="16"/>
        <v>21644.051706127302</v>
      </c>
    </row>
    <row r="73" spans="1:5" x14ac:dyDescent="0.2">
      <c r="A73" s="3" t="s">
        <v>23</v>
      </c>
      <c r="B73" s="3" t="s">
        <v>24</v>
      </c>
      <c r="C73" s="3" t="s">
        <v>25</v>
      </c>
      <c r="D73" s="3"/>
      <c r="E73" s="3"/>
    </row>
    <row r="74" spans="1:5" x14ac:dyDescent="0.2">
      <c r="A74" s="5">
        <v>2019</v>
      </c>
      <c r="B74" s="4">
        <v>0.2</v>
      </c>
      <c r="C74" s="4">
        <f>B74*$F$2</f>
        <v>16000</v>
      </c>
    </row>
    <row r="75" spans="1:5" x14ac:dyDescent="0.2">
      <c r="A75" s="5">
        <v>2020</v>
      </c>
      <c r="B75" s="4">
        <f>B74+0.05</f>
        <v>0.25</v>
      </c>
      <c r="C75" s="4">
        <f t="shared" ref="C75:C93" si="17">B75*$F$2</f>
        <v>20000</v>
      </c>
    </row>
    <row r="76" spans="1:5" x14ac:dyDescent="0.2">
      <c r="A76" s="5">
        <v>2021</v>
      </c>
      <c r="B76" s="4">
        <f t="shared" ref="B76:B93" si="18">B75+0.05</f>
        <v>0.3</v>
      </c>
      <c r="C76" s="4">
        <f t="shared" si="17"/>
        <v>24000</v>
      </c>
    </row>
    <row r="77" spans="1:5" x14ac:dyDescent="0.2">
      <c r="A77" s="5">
        <v>2022</v>
      </c>
      <c r="B77" s="4">
        <f t="shared" si="18"/>
        <v>0.35</v>
      </c>
      <c r="C77" s="4">
        <f t="shared" si="17"/>
        <v>28000</v>
      </c>
    </row>
    <row r="78" spans="1:5" x14ac:dyDescent="0.2">
      <c r="A78" s="5">
        <v>2023</v>
      </c>
      <c r="B78" s="4">
        <f t="shared" si="18"/>
        <v>0.39999999999999997</v>
      </c>
      <c r="C78" s="4">
        <f t="shared" si="17"/>
        <v>31999.999999999996</v>
      </c>
    </row>
    <row r="79" spans="1:5" x14ac:dyDescent="0.2">
      <c r="A79" s="5">
        <v>2024</v>
      </c>
      <c r="B79" s="4">
        <f t="shared" si="18"/>
        <v>0.44999999999999996</v>
      </c>
      <c r="C79" s="4">
        <f t="shared" si="17"/>
        <v>36000</v>
      </c>
    </row>
    <row r="80" spans="1:5" x14ac:dyDescent="0.2">
      <c r="A80" s="5">
        <v>2025</v>
      </c>
      <c r="B80" s="4">
        <f t="shared" si="18"/>
        <v>0.49999999999999994</v>
      </c>
      <c r="C80" s="4">
        <f t="shared" si="17"/>
        <v>39999.999999999993</v>
      </c>
    </row>
    <row r="81" spans="1:3" x14ac:dyDescent="0.2">
      <c r="A81" s="5">
        <v>2026</v>
      </c>
      <c r="B81" s="4">
        <f t="shared" si="18"/>
        <v>0.54999999999999993</v>
      </c>
      <c r="C81" s="4">
        <f t="shared" si="17"/>
        <v>43999.999999999993</v>
      </c>
    </row>
    <row r="82" spans="1:3" x14ac:dyDescent="0.2">
      <c r="A82" s="5">
        <v>2027</v>
      </c>
      <c r="B82" s="4">
        <f t="shared" si="18"/>
        <v>0.6</v>
      </c>
      <c r="C82" s="4">
        <f t="shared" si="17"/>
        <v>48000</v>
      </c>
    </row>
    <row r="83" spans="1:3" x14ac:dyDescent="0.2">
      <c r="A83" s="5">
        <v>2028</v>
      </c>
      <c r="B83" s="4">
        <f t="shared" si="18"/>
        <v>0.65</v>
      </c>
      <c r="C83" s="4">
        <f t="shared" si="17"/>
        <v>52000</v>
      </c>
    </row>
    <row r="84" spans="1:3" x14ac:dyDescent="0.2">
      <c r="A84" s="5">
        <v>2029</v>
      </c>
      <c r="B84" s="4">
        <f t="shared" si="18"/>
        <v>0.70000000000000007</v>
      </c>
      <c r="C84" s="4">
        <f t="shared" si="17"/>
        <v>56000.000000000007</v>
      </c>
    </row>
    <row r="85" spans="1:3" x14ac:dyDescent="0.2">
      <c r="A85" s="5">
        <v>2030</v>
      </c>
      <c r="B85" s="4">
        <f t="shared" si="18"/>
        <v>0.75000000000000011</v>
      </c>
      <c r="C85" s="4">
        <f t="shared" si="17"/>
        <v>60000.000000000007</v>
      </c>
    </row>
    <row r="86" spans="1:3" x14ac:dyDescent="0.2">
      <c r="A86" s="5">
        <v>2031</v>
      </c>
      <c r="B86" s="4">
        <f t="shared" si="18"/>
        <v>0.80000000000000016</v>
      </c>
      <c r="C86" s="4">
        <f t="shared" si="17"/>
        <v>64000.000000000015</v>
      </c>
    </row>
    <row r="87" spans="1:3" x14ac:dyDescent="0.2">
      <c r="A87" s="5">
        <v>2032</v>
      </c>
      <c r="B87" s="4">
        <f t="shared" si="18"/>
        <v>0.8500000000000002</v>
      </c>
      <c r="C87" s="4">
        <f t="shared" si="17"/>
        <v>68000.000000000015</v>
      </c>
    </row>
    <row r="88" spans="1:3" x14ac:dyDescent="0.2">
      <c r="A88" s="5">
        <v>2033</v>
      </c>
      <c r="B88" s="4">
        <f t="shared" si="18"/>
        <v>0.90000000000000024</v>
      </c>
      <c r="C88" s="4">
        <f t="shared" si="17"/>
        <v>72000.000000000015</v>
      </c>
    </row>
    <row r="89" spans="1:3" x14ac:dyDescent="0.2">
      <c r="A89" s="5">
        <v>2034</v>
      </c>
      <c r="B89" s="4">
        <f t="shared" si="18"/>
        <v>0.95000000000000029</v>
      </c>
      <c r="C89" s="4">
        <f t="shared" si="17"/>
        <v>76000.000000000029</v>
      </c>
    </row>
    <row r="90" spans="1:3" x14ac:dyDescent="0.2">
      <c r="A90" s="5">
        <v>2035</v>
      </c>
      <c r="B90" s="4">
        <f t="shared" si="18"/>
        <v>1.0000000000000002</v>
      </c>
      <c r="C90" s="4">
        <f t="shared" si="17"/>
        <v>80000.000000000015</v>
      </c>
    </row>
    <row r="91" spans="1:3" x14ac:dyDescent="0.2">
      <c r="A91" s="5">
        <v>2036</v>
      </c>
      <c r="B91" s="4">
        <f t="shared" si="18"/>
        <v>1.0500000000000003</v>
      </c>
      <c r="C91" s="4">
        <f t="shared" si="17"/>
        <v>84000.000000000015</v>
      </c>
    </row>
    <row r="92" spans="1:3" x14ac:dyDescent="0.2">
      <c r="A92" s="5">
        <v>2037</v>
      </c>
      <c r="B92" s="4">
        <f t="shared" si="18"/>
        <v>1.1000000000000003</v>
      </c>
      <c r="C92" s="4">
        <f t="shared" si="17"/>
        <v>88000.000000000029</v>
      </c>
    </row>
    <row r="93" spans="1:3" x14ac:dyDescent="0.2">
      <c r="A93" s="5">
        <v>2038</v>
      </c>
      <c r="B93" s="4">
        <f t="shared" si="18"/>
        <v>1.1500000000000004</v>
      </c>
      <c r="C93" s="4">
        <f t="shared" si="17"/>
        <v>92000.000000000029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49" sqref="D49"/>
    </sheetView>
  </sheetViews>
  <sheetFormatPr baseColWidth="10" defaultColWidth="8.83203125" defaultRowHeight="15" x14ac:dyDescent="0.2"/>
  <cols>
    <col min="1" max="1" width="26.5" customWidth="1"/>
    <col min="2" max="2" width="15.33203125" bestFit="1" customWidth="1"/>
    <col min="3" max="3" width="16.33203125" bestFit="1" customWidth="1"/>
    <col min="4" max="4" width="22" bestFit="1" customWidth="1"/>
    <col min="5" max="5" width="16.33203125" bestFit="1" customWidth="1"/>
  </cols>
  <sheetData>
    <row r="1" spans="1:11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</row>
    <row r="2" spans="1:11" ht="16" x14ac:dyDescent="0.2">
      <c r="A2" s="10" t="s">
        <v>26</v>
      </c>
      <c r="B2" s="11">
        <f>94210*10^3</f>
        <v>94210000</v>
      </c>
      <c r="C2" s="11">
        <f>100625*10^3</f>
        <v>100625000</v>
      </c>
      <c r="D2" s="11">
        <f>96548*10^3</f>
        <v>96548000</v>
      </c>
      <c r="E2" s="11">
        <f>56000*10^3</f>
        <v>56000000</v>
      </c>
      <c r="F2" s="1"/>
      <c r="G2" s="1"/>
      <c r="H2" s="1"/>
      <c r="I2" s="1"/>
      <c r="J2" s="1"/>
    </row>
    <row r="3" spans="1:11" ht="16" x14ac:dyDescent="0.2">
      <c r="A3" s="10" t="s">
        <v>7</v>
      </c>
      <c r="B3" s="12">
        <f>37000*$H$4</f>
        <v>324120000</v>
      </c>
      <c r="C3" s="12">
        <v>0</v>
      </c>
      <c r="D3" s="12">
        <f>42000*$H$4</f>
        <v>367920000</v>
      </c>
      <c r="E3" s="12">
        <v>0</v>
      </c>
      <c r="H3" t="s">
        <v>53</v>
      </c>
    </row>
    <row r="4" spans="1:11" ht="16" x14ac:dyDescent="0.2">
      <c r="A4" s="10" t="s">
        <v>6</v>
      </c>
      <c r="B4" s="12">
        <v>0</v>
      </c>
      <c r="C4" s="12">
        <f>14000*$H$4</f>
        <v>122640000</v>
      </c>
      <c r="D4" s="12">
        <f>26700*$H$4</f>
        <v>233892000</v>
      </c>
      <c r="E4" s="12">
        <v>0</v>
      </c>
      <c r="H4">
        <f>365*24</f>
        <v>8760</v>
      </c>
    </row>
    <row r="5" spans="1:11" ht="16" x14ac:dyDescent="0.2">
      <c r="A5" s="10" t="s">
        <v>8</v>
      </c>
      <c r="B5" s="12">
        <f>43000*$H$4</f>
        <v>376680000</v>
      </c>
      <c r="C5" s="12">
        <f>66000*$H$4</f>
        <v>578160000</v>
      </c>
      <c r="D5" s="12">
        <f>11300*$H$4</f>
        <v>98988000</v>
      </c>
      <c r="E5" s="12">
        <f>80000*$H$4</f>
        <v>700800000</v>
      </c>
    </row>
    <row r="6" spans="1:11" ht="16" x14ac:dyDescent="0.2">
      <c r="A6" s="10" t="s">
        <v>10</v>
      </c>
      <c r="B6" s="11">
        <v>120</v>
      </c>
      <c r="C6" s="11">
        <v>0</v>
      </c>
      <c r="D6" s="11">
        <v>120</v>
      </c>
      <c r="E6" s="11"/>
    </row>
    <row r="7" spans="1:11" ht="16" x14ac:dyDescent="0.2">
      <c r="A7" s="10" t="s">
        <v>11</v>
      </c>
      <c r="B7" s="11">
        <v>0</v>
      </c>
      <c r="C7" s="11">
        <v>0</v>
      </c>
      <c r="D7" s="11">
        <v>0</v>
      </c>
      <c r="E7" s="11">
        <v>0</v>
      </c>
    </row>
    <row r="8" spans="1:11" ht="16" x14ac:dyDescent="0.2">
      <c r="A8" s="10" t="s">
        <v>12</v>
      </c>
      <c r="B8" s="11">
        <v>650</v>
      </c>
      <c r="C8" s="11">
        <v>720</v>
      </c>
      <c r="D8" s="11">
        <v>500</v>
      </c>
      <c r="E8" s="11">
        <v>1040</v>
      </c>
    </row>
    <row r="9" spans="1:11" ht="16" x14ac:dyDescent="0.2">
      <c r="A9" s="10" t="s">
        <v>13</v>
      </c>
      <c r="B9" s="11">
        <f>SUM(B6:B8)</f>
        <v>770</v>
      </c>
      <c r="C9" s="11">
        <f t="shared" ref="C9:E9" si="0">SUM(C6:C8)</f>
        <v>720</v>
      </c>
      <c r="D9" s="11">
        <f t="shared" si="0"/>
        <v>620</v>
      </c>
      <c r="E9" s="11">
        <f t="shared" si="0"/>
        <v>1040</v>
      </c>
    </row>
    <row r="10" spans="1:11" ht="16" x14ac:dyDescent="0.2">
      <c r="A10" s="10" t="s">
        <v>18</v>
      </c>
      <c r="B10" s="13">
        <f>1.3*B5/7</f>
        <v>69954857.142857149</v>
      </c>
      <c r="C10" s="13">
        <f>1.3*C5/7</f>
        <v>107372571.42857143</v>
      </c>
      <c r="D10" s="13">
        <f>1.3*D5/7</f>
        <v>18383485.714285713</v>
      </c>
      <c r="E10" s="13">
        <f>1.3*E5/7</f>
        <v>130148571.42857143</v>
      </c>
    </row>
    <row r="11" spans="1:11" ht="16" x14ac:dyDescent="0.2">
      <c r="A11" s="10" t="s">
        <v>21</v>
      </c>
      <c r="B11" s="12">
        <f>1.3*B5</f>
        <v>489684000</v>
      </c>
      <c r="C11" s="12">
        <f t="shared" ref="C11:E11" si="1">1.3*C5</f>
        <v>751608000</v>
      </c>
      <c r="D11" s="12">
        <f t="shared" si="1"/>
        <v>128684400</v>
      </c>
      <c r="E11" s="12">
        <f t="shared" si="1"/>
        <v>911040000</v>
      </c>
    </row>
    <row r="14" spans="1:11" ht="16" x14ac:dyDescent="0.2">
      <c r="G14" s="1"/>
      <c r="H14" s="1"/>
      <c r="I14" s="1"/>
      <c r="J14" s="1"/>
      <c r="K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workbookViewId="0">
      <selection activeCell="J63" sqref="I63:J64"/>
    </sheetView>
  </sheetViews>
  <sheetFormatPr baseColWidth="10" defaultColWidth="8.83203125" defaultRowHeight="15" x14ac:dyDescent="0.2"/>
  <cols>
    <col min="1" max="1" width="27.6640625" bestFit="1" customWidth="1"/>
    <col min="2" max="3" width="18" bestFit="1" customWidth="1"/>
    <col min="4" max="4" width="22" bestFit="1" customWidth="1"/>
    <col min="5" max="5" width="17" bestFit="1" customWidth="1"/>
    <col min="7" max="7" width="5" bestFit="1" customWidth="1"/>
    <col min="8" max="8" width="12.6640625" bestFit="1" customWidth="1"/>
    <col min="9" max="9" width="17" bestFit="1" customWidth="1"/>
    <col min="10" max="10" width="15.33203125" bestFit="1" customWidth="1"/>
    <col min="11" max="11" width="15.1640625" bestFit="1" customWidth="1"/>
    <col min="12" max="12" width="17.5" bestFit="1" customWidth="1"/>
    <col min="13" max="13" width="20.5" bestFit="1" customWidth="1"/>
    <col min="14" max="14" width="17.6640625" bestFit="1" customWidth="1"/>
    <col min="15" max="15" width="18" bestFit="1" customWidth="1"/>
    <col min="18" max="18" width="19.5" customWidth="1"/>
    <col min="19" max="20" width="19.6640625" bestFit="1" customWidth="1"/>
    <col min="21" max="25" width="20.6640625" bestFit="1" customWidth="1"/>
  </cols>
  <sheetData>
    <row r="1" spans="1:25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6" x14ac:dyDescent="0.2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4">
        <v>-1.4999999999999999E-2</v>
      </c>
      <c r="T2" s="2">
        <v>-0.03</v>
      </c>
      <c r="U2" s="24">
        <v>-4.4999999999999998E-2</v>
      </c>
      <c r="V2" s="2">
        <v>-0.06</v>
      </c>
      <c r="W2" s="24">
        <v>-7.4999999999999997E-2</v>
      </c>
      <c r="X2" s="2">
        <v>-0.09</v>
      </c>
      <c r="Y2" s="24">
        <v>-0.105</v>
      </c>
    </row>
    <row r="3" spans="1:25" ht="16" x14ac:dyDescent="0.2">
      <c r="A3" s="10" t="s">
        <v>27</v>
      </c>
      <c r="B3" s="12">
        <v>0.79200000000000004</v>
      </c>
      <c r="C3" s="12">
        <v>0.79200000000000004</v>
      </c>
      <c r="D3" s="12">
        <v>0.79200000000000004</v>
      </c>
      <c r="E3" s="12">
        <v>0.79200000000000004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39777083.042839408</v>
      </c>
      <c r="P3">
        <v>1</v>
      </c>
      <c r="R3" s="2">
        <f>($H3+$I3+$M3+($J3*R$2))*(1-$B$9)/((1+$B$10)^$P3)</f>
        <v>39777083.042839408</v>
      </c>
      <c r="S3" s="2">
        <f t="shared" ref="S3:Y3" si="0">($H3+$I3+$M3+($J3*S$2))*(1-$B$9)/((1+$B$10)^$P3)</f>
        <v>35615333.495047249</v>
      </c>
      <c r="T3" s="2">
        <f t="shared" si="0"/>
        <v>31453583.947255082</v>
      </c>
      <c r="U3" s="2">
        <f t="shared" si="0"/>
        <v>27291834.399462923</v>
      </c>
      <c r="V3" s="2">
        <f t="shared" si="0"/>
        <v>23130084.851670761</v>
      </c>
      <c r="W3" s="2">
        <f t="shared" si="0"/>
        <v>18968335.303878598</v>
      </c>
      <c r="X3" s="2">
        <f t="shared" si="0"/>
        <v>14806585.756086437</v>
      </c>
      <c r="Y3" s="2">
        <f t="shared" si="0"/>
        <v>10644836.208294274</v>
      </c>
    </row>
    <row r="4" spans="1:25" ht="16" x14ac:dyDescent="0.2">
      <c r="A4" s="10" t="s">
        <v>28</v>
      </c>
      <c r="B4" s="13">
        <f>B2*B3</f>
        <v>-74614320</v>
      </c>
      <c r="C4" s="13">
        <f t="shared" ref="C4:E4" si="1">C2*C3</f>
        <v>-79695000</v>
      </c>
      <c r="D4" s="13">
        <f t="shared" si="1"/>
        <v>-76466016</v>
      </c>
      <c r="E4" s="13">
        <f t="shared" si="1"/>
        <v>-44352000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2">J4*$B$11</f>
        <v>0</v>
      </c>
      <c r="L4" s="11">
        <f>L3+0.05</f>
        <v>0.25</v>
      </c>
      <c r="M4" s="11">
        <f t="shared" ref="M4:M22" si="3">L4*80000*365*24</f>
        <v>175200000</v>
      </c>
      <c r="N4" s="13">
        <f t="shared" ref="N4:N22" si="4">M4+K4+H4+I4</f>
        <v>103845237.2142857</v>
      </c>
      <c r="O4" s="13">
        <f t="shared" ref="O4:O22" si="5">N4*(1-$B$9)/((1+$B$10)^$P4)</f>
        <v>52170291.145190157</v>
      </c>
      <c r="P4">
        <v>2</v>
      </c>
      <c r="R4" s="2">
        <f t="shared" ref="R4:Y22" si="6">($H4+$I4+$M4+($J4*R$2))*(1-$B$9)/((1+$B$10)^$P4)</f>
        <v>52170291.145190157</v>
      </c>
      <c r="S4" s="2">
        <f t="shared" si="6"/>
        <v>48406339.612340361</v>
      </c>
      <c r="T4" s="2">
        <f t="shared" si="6"/>
        <v>44642388.079490557</v>
      </c>
      <c r="U4" s="2">
        <f t="shared" si="6"/>
        <v>40878436.546640761</v>
      </c>
      <c r="V4" s="2">
        <f t="shared" si="6"/>
        <v>37114485.013790958</v>
      </c>
      <c r="W4" s="2">
        <f t="shared" si="6"/>
        <v>33350533.480941158</v>
      </c>
      <c r="X4" s="2">
        <f t="shared" si="6"/>
        <v>29586581.948091358</v>
      </c>
      <c r="Y4" s="2">
        <f t="shared" si="6"/>
        <v>25822630.415241554</v>
      </c>
    </row>
    <row r="5" spans="1:25" x14ac:dyDescent="0.2">
      <c r="G5" s="15">
        <v>2021</v>
      </c>
      <c r="H5" s="11">
        <f t="shared" ref="H5:H22" si="7">H4*1.05</f>
        <v>-848.92500000000007</v>
      </c>
      <c r="I5" s="11">
        <f t="shared" ref="I5:I22" si="8">I4*1.02</f>
        <v>-72781033.371428579</v>
      </c>
      <c r="J5" s="16">
        <f t="shared" ref="J5:J22" si="9">J4*1.02</f>
        <v>509467233.60000002</v>
      </c>
      <c r="K5" s="11">
        <f t="shared" si="2"/>
        <v>0</v>
      </c>
      <c r="L5" s="11">
        <f t="shared" ref="L5:L22" si="10">L4+0.05</f>
        <v>0.3</v>
      </c>
      <c r="M5" s="11">
        <f t="shared" si="3"/>
        <v>210240000</v>
      </c>
      <c r="N5" s="13">
        <f t="shared" si="4"/>
        <v>137458117.70357141</v>
      </c>
      <c r="O5" s="13">
        <f t="shared" si="5"/>
        <v>61231511.476324894</v>
      </c>
      <c r="P5">
        <v>3</v>
      </c>
      <c r="R5" s="2">
        <f t="shared" si="6"/>
        <v>61231511.476324916</v>
      </c>
      <c r="S5" s="2">
        <f t="shared" si="6"/>
        <v>57827334.704284839</v>
      </c>
      <c r="T5" s="2">
        <f t="shared" si="6"/>
        <v>54423157.932244755</v>
      </c>
      <c r="U5" s="2">
        <f t="shared" si="6"/>
        <v>51018981.160204694</v>
      </c>
      <c r="V5" s="2">
        <f t="shared" si="6"/>
        <v>47614804.388164602</v>
      </c>
      <c r="W5" s="2">
        <f t="shared" si="6"/>
        <v>44210627.616124533</v>
      </c>
      <c r="X5" s="2">
        <f t="shared" si="6"/>
        <v>40806450.844084457</v>
      </c>
      <c r="Y5" s="2">
        <f t="shared" si="6"/>
        <v>37402274.07204438</v>
      </c>
    </row>
    <row r="6" spans="1:25" x14ac:dyDescent="0.2">
      <c r="G6" s="15">
        <v>2022</v>
      </c>
      <c r="H6" s="11">
        <f t="shared" si="7"/>
        <v>-891.37125000000015</v>
      </c>
      <c r="I6" s="11">
        <f t="shared" si="8"/>
        <v>-74236654.038857147</v>
      </c>
      <c r="J6" s="16">
        <f t="shared" si="9"/>
        <v>519656578.27200001</v>
      </c>
      <c r="K6" s="11">
        <f t="shared" si="2"/>
        <v>0</v>
      </c>
      <c r="L6" s="11">
        <f t="shared" si="10"/>
        <v>0.35</v>
      </c>
      <c r="M6" s="11">
        <f t="shared" si="3"/>
        <v>245280000</v>
      </c>
      <c r="N6" s="13">
        <f t="shared" si="4"/>
        <v>171042454.58989286</v>
      </c>
      <c r="O6" s="13">
        <f t="shared" si="5"/>
        <v>67557942.96684745</v>
      </c>
      <c r="P6">
        <v>4</v>
      </c>
      <c r="R6" s="2">
        <f t="shared" si="6"/>
        <v>67557942.96684745</v>
      </c>
      <c r="S6" s="2">
        <f t="shared" si="6"/>
        <v>64479152.128506534</v>
      </c>
      <c r="T6" s="2">
        <f t="shared" si="6"/>
        <v>61400361.290165633</v>
      </c>
      <c r="U6" s="2">
        <f t="shared" si="6"/>
        <v>58321570.451824725</v>
      </c>
      <c r="V6" s="2">
        <f t="shared" si="6"/>
        <v>55242779.613483816</v>
      </c>
      <c r="W6" s="2">
        <f t="shared" si="6"/>
        <v>52163988.775142901</v>
      </c>
      <c r="X6" s="2">
        <f t="shared" si="6"/>
        <v>49085197.936802</v>
      </c>
      <c r="Y6" s="2">
        <f t="shared" si="6"/>
        <v>46006407.098461077</v>
      </c>
    </row>
    <row r="7" spans="1:25" ht="16" x14ac:dyDescent="0.2">
      <c r="A7" s="23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7"/>
        <v>-935.93981250000024</v>
      </c>
      <c r="I7" s="11">
        <f t="shared" si="8"/>
        <v>-75721387.119634286</v>
      </c>
      <c r="J7" s="16">
        <f t="shared" si="9"/>
        <v>530049709.83744001</v>
      </c>
      <c r="K7" s="11">
        <f t="shared" si="2"/>
        <v>0</v>
      </c>
      <c r="L7" s="11">
        <f t="shared" si="10"/>
        <v>0.39999999999999997</v>
      </c>
      <c r="M7" s="11">
        <f t="shared" si="3"/>
        <v>280319999.99999994</v>
      </c>
      <c r="N7" s="13">
        <f t="shared" si="4"/>
        <v>204597676.94055319</v>
      </c>
      <c r="O7" s="13">
        <f t="shared" si="5"/>
        <v>71654109.852085367</v>
      </c>
      <c r="P7">
        <v>5</v>
      </c>
      <c r="R7" s="2">
        <f t="shared" si="6"/>
        <v>71654109.852085352</v>
      </c>
      <c r="S7" s="2">
        <f t="shared" si="6"/>
        <v>68869603.153107047</v>
      </c>
      <c r="T7" s="2">
        <f t="shared" si="6"/>
        <v>66085096.454128765</v>
      </c>
      <c r="U7" s="2">
        <f t="shared" si="6"/>
        <v>63300589.755150452</v>
      </c>
      <c r="V7" s="2">
        <f t="shared" si="6"/>
        <v>60516083.056172147</v>
      </c>
      <c r="W7" s="2">
        <f t="shared" si="6"/>
        <v>57731576.357193857</v>
      </c>
      <c r="X7" s="2">
        <f t="shared" si="6"/>
        <v>54947069.658215553</v>
      </c>
      <c r="Y7" s="2">
        <f t="shared" si="6"/>
        <v>52162562.959237248</v>
      </c>
    </row>
    <row r="8" spans="1:25" x14ac:dyDescent="0.2">
      <c r="G8" s="15">
        <v>2024</v>
      </c>
      <c r="H8" s="11">
        <f t="shared" si="7"/>
        <v>-982.73680312500028</v>
      </c>
      <c r="I8" s="11">
        <f t="shared" si="8"/>
        <v>-77235814.862026975</v>
      </c>
      <c r="J8" s="16">
        <f t="shared" si="9"/>
        <v>540650704.03418887</v>
      </c>
      <c r="K8" s="11">
        <f t="shared" si="2"/>
        <v>0</v>
      </c>
      <c r="L8" s="11">
        <f t="shared" si="10"/>
        <v>0.44999999999999996</v>
      </c>
      <c r="M8" s="11">
        <f t="shared" si="3"/>
        <v>315360000</v>
      </c>
      <c r="N8" s="13">
        <f t="shared" si="4"/>
        <v>238123202.4011699</v>
      </c>
      <c r="O8" s="13">
        <f t="shared" si="5"/>
        <v>73945207.365141928</v>
      </c>
      <c r="P8">
        <v>6</v>
      </c>
      <c r="R8" s="2">
        <f t="shared" si="6"/>
        <v>73945207.365141928</v>
      </c>
      <c r="S8" s="2">
        <f t="shared" si="6"/>
        <v>71426855.85515976</v>
      </c>
      <c r="T8" s="2">
        <f t="shared" si="6"/>
        <v>68908504.345177636</v>
      </c>
      <c r="U8" s="2">
        <f t="shared" si="6"/>
        <v>66390152.835195474</v>
      </c>
      <c r="V8" s="2">
        <f t="shared" si="6"/>
        <v>63871801.325213328</v>
      </c>
      <c r="W8" s="2">
        <f t="shared" si="6"/>
        <v>61353449.815231174</v>
      </c>
      <c r="X8" s="2">
        <f t="shared" si="6"/>
        <v>58835098.305249028</v>
      </c>
      <c r="Y8" s="2">
        <f t="shared" si="6"/>
        <v>56316746.795266874</v>
      </c>
    </row>
    <row r="9" spans="1:25" x14ac:dyDescent="0.2">
      <c r="A9" t="s">
        <v>34</v>
      </c>
      <c r="B9">
        <v>0.36099999999999999</v>
      </c>
      <c r="G9" s="15">
        <v>2025</v>
      </c>
      <c r="H9" s="11">
        <f t="shared" si="7"/>
        <v>-1031.8736432812502</v>
      </c>
      <c r="I9" s="11">
        <f t="shared" si="8"/>
        <v>-78780531.159267515</v>
      </c>
      <c r="J9" s="16">
        <f t="shared" si="9"/>
        <v>551463718.11487269</v>
      </c>
      <c r="K9" s="11">
        <f t="shared" si="2"/>
        <v>0</v>
      </c>
      <c r="L9" s="11">
        <f t="shared" si="10"/>
        <v>0.49999999999999994</v>
      </c>
      <c r="M9" s="11">
        <f t="shared" si="3"/>
        <v>350399999.99999994</v>
      </c>
      <c r="N9" s="13">
        <f t="shared" si="4"/>
        <v>271618436.96708918</v>
      </c>
      <c r="O9" s="13">
        <f t="shared" si="5"/>
        <v>74788611.808073208</v>
      </c>
      <c r="P9">
        <v>7</v>
      </c>
      <c r="R9" s="2">
        <f t="shared" si="6"/>
        <v>74788611.808073208</v>
      </c>
      <c r="S9" s="2">
        <f t="shared" si="6"/>
        <v>72510975.223411217</v>
      </c>
      <c r="T9" s="2">
        <f t="shared" si="6"/>
        <v>70233338.638749227</v>
      </c>
      <c r="U9" s="2">
        <f t="shared" si="6"/>
        <v>67955702.054087237</v>
      </c>
      <c r="V9" s="2">
        <f t="shared" si="6"/>
        <v>65678065.469425254</v>
      </c>
      <c r="W9" s="2">
        <f t="shared" si="6"/>
        <v>63400428.884763248</v>
      </c>
      <c r="X9" s="2">
        <f t="shared" si="6"/>
        <v>61122792.300101265</v>
      </c>
      <c r="Y9" s="2">
        <f t="shared" si="6"/>
        <v>58845155.715439282</v>
      </c>
    </row>
    <row r="10" spans="1:25" x14ac:dyDescent="0.2">
      <c r="A10" t="s">
        <v>35</v>
      </c>
      <c r="B10">
        <v>0.1278</v>
      </c>
      <c r="G10" s="15">
        <v>2026</v>
      </c>
      <c r="H10" s="11">
        <f t="shared" si="7"/>
        <v>-1083.4673254453128</v>
      </c>
      <c r="I10" s="11">
        <f t="shared" si="8"/>
        <v>-80356141.782452866</v>
      </c>
      <c r="J10" s="16">
        <f t="shared" si="9"/>
        <v>562492992.47717011</v>
      </c>
      <c r="K10" s="11">
        <f t="shared" si="2"/>
        <v>0</v>
      </c>
      <c r="L10" s="11">
        <f t="shared" si="10"/>
        <v>0.54999999999999993</v>
      </c>
      <c r="M10" s="11">
        <f t="shared" si="3"/>
        <v>385439999.99999994</v>
      </c>
      <c r="N10" s="13">
        <f t="shared" si="4"/>
        <v>305082774.75022161</v>
      </c>
      <c r="O10" s="13">
        <f t="shared" si="5"/>
        <v>74483799.746988595</v>
      </c>
      <c r="P10">
        <v>8</v>
      </c>
      <c r="R10" s="2">
        <f t="shared" si="6"/>
        <v>74483799.746988595</v>
      </c>
      <c r="S10" s="2">
        <f t="shared" si="6"/>
        <v>72423869.514362931</v>
      </c>
      <c r="T10" s="2">
        <f t="shared" si="6"/>
        <v>70363939.281737268</v>
      </c>
      <c r="U10" s="2">
        <f t="shared" si="6"/>
        <v>68304009.04911159</v>
      </c>
      <c r="V10" s="2">
        <f t="shared" si="6"/>
        <v>66244078.816485919</v>
      </c>
      <c r="W10" s="2">
        <f t="shared" si="6"/>
        <v>64184148.583860248</v>
      </c>
      <c r="X10" s="2">
        <f t="shared" si="6"/>
        <v>62124218.351234585</v>
      </c>
      <c r="Y10" s="2">
        <f t="shared" si="6"/>
        <v>60064288.118608914</v>
      </c>
    </row>
    <row r="11" spans="1:25" x14ac:dyDescent="0.2">
      <c r="A11" t="s">
        <v>37</v>
      </c>
      <c r="B11">
        <v>0</v>
      </c>
      <c r="G11" s="15">
        <v>2027</v>
      </c>
      <c r="H11" s="11">
        <f t="shared" si="7"/>
        <v>-1137.6406917175784</v>
      </c>
      <c r="I11" s="11">
        <f t="shared" si="8"/>
        <v>-81963264.618101925</v>
      </c>
      <c r="J11" s="16">
        <f t="shared" si="9"/>
        <v>573742852.32671356</v>
      </c>
      <c r="K11" s="11">
        <f t="shared" si="2"/>
        <v>0</v>
      </c>
      <c r="L11" s="11">
        <f t="shared" si="10"/>
        <v>0.6</v>
      </c>
      <c r="M11" s="11">
        <f t="shared" si="3"/>
        <v>420480000</v>
      </c>
      <c r="N11" s="13">
        <f t="shared" si="4"/>
        <v>338515597.74120641</v>
      </c>
      <c r="O11" s="13">
        <f t="shared" si="5"/>
        <v>73280889.17032291</v>
      </c>
      <c r="P11">
        <v>9</v>
      </c>
      <c r="R11" s="2">
        <f t="shared" si="6"/>
        <v>73280889.17032291</v>
      </c>
      <c r="S11" s="2">
        <f t="shared" si="6"/>
        <v>71417855.97536087</v>
      </c>
      <c r="T11" s="2">
        <f t="shared" si="6"/>
        <v>69554822.780398846</v>
      </c>
      <c r="U11" s="2">
        <f t="shared" si="6"/>
        <v>67691789.585436806</v>
      </c>
      <c r="V11" s="2">
        <f t="shared" si="6"/>
        <v>65828756.390474766</v>
      </c>
      <c r="W11" s="2">
        <f t="shared" si="6"/>
        <v>63965723.195512742</v>
      </c>
      <c r="X11" s="2">
        <f t="shared" si="6"/>
        <v>62102690.000550695</v>
      </c>
      <c r="Y11" s="2">
        <f t="shared" si="6"/>
        <v>60239656.805588655</v>
      </c>
    </row>
    <row r="12" spans="1:25" x14ac:dyDescent="0.2">
      <c r="G12" s="15">
        <v>2028</v>
      </c>
      <c r="H12" s="11">
        <f t="shared" si="7"/>
        <v>-1194.5227263034574</v>
      </c>
      <c r="I12" s="11">
        <f t="shared" si="8"/>
        <v>-83602529.910463959</v>
      </c>
      <c r="J12" s="16">
        <f t="shared" si="9"/>
        <v>585217709.37324786</v>
      </c>
      <c r="K12" s="11">
        <f t="shared" si="2"/>
        <v>0</v>
      </c>
      <c r="L12" s="11">
        <f t="shared" si="10"/>
        <v>0.65</v>
      </c>
      <c r="M12" s="11">
        <f t="shared" si="3"/>
        <v>455520000</v>
      </c>
      <c r="N12" s="13">
        <f t="shared" si="4"/>
        <v>371916275.56680977</v>
      </c>
      <c r="O12" s="13">
        <f t="shared" si="5"/>
        <v>71387987.632289141</v>
      </c>
      <c r="P12">
        <v>10</v>
      </c>
      <c r="R12" s="2">
        <f t="shared" si="6"/>
        <v>71387987.632289141</v>
      </c>
      <c r="S12" s="2">
        <f t="shared" si="6"/>
        <v>69703031.204854056</v>
      </c>
      <c r="T12" s="2">
        <f t="shared" si="6"/>
        <v>68018074.777419001</v>
      </c>
      <c r="U12" s="2">
        <f t="shared" si="6"/>
        <v>66333118.349983916</v>
      </c>
      <c r="V12" s="2">
        <f t="shared" si="6"/>
        <v>64648161.922548845</v>
      </c>
      <c r="W12" s="2">
        <f t="shared" si="6"/>
        <v>62963205.495113768</v>
      </c>
      <c r="X12" s="2">
        <f t="shared" si="6"/>
        <v>61278249.067678705</v>
      </c>
      <c r="Y12" s="2">
        <f t="shared" si="6"/>
        <v>59593292.640243635</v>
      </c>
    </row>
    <row r="13" spans="1:25" ht="16" x14ac:dyDescent="0.2">
      <c r="A13" s="12"/>
      <c r="B13" s="9" t="s">
        <v>2</v>
      </c>
      <c r="C13" s="9" t="s">
        <v>3</v>
      </c>
      <c r="D13" s="9" t="s">
        <v>4</v>
      </c>
      <c r="E13" s="9" t="s">
        <v>5</v>
      </c>
      <c r="G13" s="15">
        <v>2029</v>
      </c>
      <c r="H13" s="11">
        <f t="shared" si="7"/>
        <v>-1254.2488626186303</v>
      </c>
      <c r="I13" s="11">
        <f t="shared" si="8"/>
        <v>-85274580.508673236</v>
      </c>
      <c r="J13" s="16">
        <f t="shared" si="9"/>
        <v>596922063.56071281</v>
      </c>
      <c r="K13" s="11">
        <f t="shared" si="2"/>
        <v>0</v>
      </c>
      <c r="L13" s="11">
        <f t="shared" si="10"/>
        <v>0.70000000000000007</v>
      </c>
      <c r="M13" s="11">
        <f t="shared" si="3"/>
        <v>490560000.00000012</v>
      </c>
      <c r="N13" s="13">
        <f t="shared" si="4"/>
        <v>405284165.24246424</v>
      </c>
      <c r="O13" s="13">
        <f t="shared" si="5"/>
        <v>68977508.158427075</v>
      </c>
      <c r="P13">
        <v>11</v>
      </c>
      <c r="R13" s="2">
        <f t="shared" si="6"/>
        <v>68977508.158427075</v>
      </c>
      <c r="S13" s="2">
        <f t="shared" si="6"/>
        <v>67453607.151170671</v>
      </c>
      <c r="T13" s="2">
        <f t="shared" si="6"/>
        <v>65929706.143914267</v>
      </c>
      <c r="U13" s="2">
        <f t="shared" si="6"/>
        <v>64405805.136657864</v>
      </c>
      <c r="V13" s="2">
        <f t="shared" si="6"/>
        <v>62881904.129401445</v>
      </c>
      <c r="W13" s="2">
        <f t="shared" si="6"/>
        <v>61358003.122145042</v>
      </c>
      <c r="X13" s="2">
        <f t="shared" si="6"/>
        <v>59834102.114888638</v>
      </c>
      <c r="Y13" s="2">
        <f t="shared" si="6"/>
        <v>58310201.107632227</v>
      </c>
    </row>
    <row r="14" spans="1:25" x14ac:dyDescent="0.2">
      <c r="A14" s="12" t="s">
        <v>39</v>
      </c>
      <c r="B14" s="13">
        <f>$O$23</f>
        <v>1209514970.7443235</v>
      </c>
      <c r="C14" s="13">
        <f>$O$47</f>
        <v>1017455033.2397417</v>
      </c>
      <c r="D14" s="13">
        <f>$O$71</f>
        <v>1474225034.7670937</v>
      </c>
      <c r="E14" s="13">
        <f>$O$95</f>
        <v>900546795.15897357</v>
      </c>
      <c r="G14" s="15">
        <v>2030</v>
      </c>
      <c r="H14" s="11">
        <f t="shared" si="7"/>
        <v>-1316.9613057495619</v>
      </c>
      <c r="I14" s="11">
        <f t="shared" si="8"/>
        <v>-86980072.1188467</v>
      </c>
      <c r="J14" s="16">
        <f t="shared" si="9"/>
        <v>608860504.83192706</v>
      </c>
      <c r="K14" s="11">
        <f t="shared" si="2"/>
        <v>0</v>
      </c>
      <c r="L14" s="11">
        <f t="shared" si="10"/>
        <v>0.75000000000000011</v>
      </c>
      <c r="M14" s="11">
        <f t="shared" si="3"/>
        <v>525600000.00000012</v>
      </c>
      <c r="N14" s="13">
        <f t="shared" si="4"/>
        <v>438618610.91984767</v>
      </c>
      <c r="O14" s="13">
        <f t="shared" si="5"/>
        <v>66191592.564761378</v>
      </c>
      <c r="P14">
        <v>12</v>
      </c>
      <c r="R14" s="2">
        <f t="shared" si="6"/>
        <v>66191592.564761378</v>
      </c>
      <c r="S14" s="2">
        <f t="shared" si="6"/>
        <v>64813352.604306042</v>
      </c>
      <c r="T14" s="2">
        <f t="shared" si="6"/>
        <v>63435112.643850699</v>
      </c>
      <c r="U14" s="2">
        <f t="shared" si="6"/>
        <v>62056872.683395356</v>
      </c>
      <c r="V14" s="2">
        <f t="shared" si="6"/>
        <v>60678632.72294002</v>
      </c>
      <c r="W14" s="2">
        <f t="shared" si="6"/>
        <v>59300392.762484677</v>
      </c>
      <c r="X14" s="2">
        <f t="shared" si="6"/>
        <v>57922152.802029334</v>
      </c>
      <c r="Y14" s="2">
        <f t="shared" si="6"/>
        <v>56543912.841573991</v>
      </c>
    </row>
    <row r="15" spans="1:25" x14ac:dyDescent="0.2">
      <c r="A15" s="12" t="s">
        <v>38</v>
      </c>
      <c r="B15" s="13">
        <f>$B$4+$O$23</f>
        <v>1134900650.7443235</v>
      </c>
      <c r="C15" s="13">
        <f>$C$4+$O$47</f>
        <v>937760033.23974168</v>
      </c>
      <c r="D15" s="13">
        <f>$D$4+$O$71</f>
        <v>1397759018.7670937</v>
      </c>
      <c r="E15" s="13">
        <f>$E$2+$O$95</f>
        <v>844546795.15897357</v>
      </c>
      <c r="G15" s="15">
        <v>2031</v>
      </c>
      <c r="H15" s="11">
        <f t="shared" si="7"/>
        <v>-1382.8093710370401</v>
      </c>
      <c r="I15" s="11">
        <f t="shared" si="8"/>
        <v>-88719673.561223641</v>
      </c>
      <c r="J15" s="16">
        <f t="shared" si="9"/>
        <v>621037714.92856562</v>
      </c>
      <c r="K15" s="11">
        <f t="shared" si="2"/>
        <v>0</v>
      </c>
      <c r="L15" s="11">
        <f t="shared" si="10"/>
        <v>0.80000000000000016</v>
      </c>
      <c r="M15" s="11">
        <f t="shared" si="3"/>
        <v>560640000.00000012</v>
      </c>
      <c r="N15" s="13">
        <f t="shared" si="4"/>
        <v>471918943.6294055</v>
      </c>
      <c r="O15" s="13">
        <f t="shared" si="5"/>
        <v>63146763.44059933</v>
      </c>
      <c r="P15">
        <v>13</v>
      </c>
      <c r="R15" s="2">
        <f t="shared" si="6"/>
        <v>63146763.440599315</v>
      </c>
      <c r="S15" s="2">
        <f t="shared" si="6"/>
        <v>61900261.614331849</v>
      </c>
      <c r="T15" s="2">
        <f t="shared" si="6"/>
        <v>60653759.788064398</v>
      </c>
      <c r="U15" s="2">
        <f t="shared" si="6"/>
        <v>59407257.961796917</v>
      </c>
      <c r="V15" s="2">
        <f t="shared" si="6"/>
        <v>58160756.135529459</v>
      </c>
      <c r="W15" s="2">
        <f t="shared" si="6"/>
        <v>56914254.309261985</v>
      </c>
      <c r="X15" s="2">
        <f t="shared" si="6"/>
        <v>55667752.482994527</v>
      </c>
      <c r="Y15" s="2">
        <f t="shared" si="6"/>
        <v>54421250.656727053</v>
      </c>
    </row>
    <row r="16" spans="1:25" x14ac:dyDescent="0.2">
      <c r="G16" s="15">
        <v>2032</v>
      </c>
      <c r="H16" s="11">
        <f t="shared" si="7"/>
        <v>-1451.9498395888922</v>
      </c>
      <c r="I16" s="11">
        <f t="shared" si="8"/>
        <v>-90494067.032448113</v>
      </c>
      <c r="J16" s="16">
        <f t="shared" si="9"/>
        <v>633458469.22713697</v>
      </c>
      <c r="K16" s="11">
        <f t="shared" si="2"/>
        <v>0</v>
      </c>
      <c r="L16" s="11">
        <f t="shared" si="10"/>
        <v>0.8500000000000002</v>
      </c>
      <c r="M16" s="11">
        <f t="shared" si="3"/>
        <v>595680000.00000012</v>
      </c>
      <c r="N16" s="13">
        <f t="shared" si="4"/>
        <v>505184481.01771241</v>
      </c>
      <c r="O16" s="13">
        <f t="shared" si="5"/>
        <v>59937910.021299429</v>
      </c>
      <c r="P16">
        <v>14</v>
      </c>
      <c r="R16" s="2">
        <f t="shared" si="6"/>
        <v>59937910.021299429</v>
      </c>
      <c r="S16" s="2">
        <f t="shared" si="6"/>
        <v>58810554.228789397</v>
      </c>
      <c r="T16" s="2">
        <f t="shared" si="6"/>
        <v>57683198.436279356</v>
      </c>
      <c r="U16" s="2">
        <f t="shared" si="6"/>
        <v>56555842.643769324</v>
      </c>
      <c r="V16" s="2">
        <f t="shared" si="6"/>
        <v>55428486.851259291</v>
      </c>
      <c r="W16" s="2">
        <f t="shared" si="6"/>
        <v>54301131.058749266</v>
      </c>
      <c r="X16" s="2">
        <f t="shared" si="6"/>
        <v>53173775.266239226</v>
      </c>
      <c r="Y16" s="2">
        <f t="shared" si="6"/>
        <v>52046419.473729193</v>
      </c>
    </row>
    <row r="17" spans="1:25" x14ac:dyDescent="0.2">
      <c r="G17" s="15">
        <v>2033</v>
      </c>
      <c r="H17" s="11">
        <f t="shared" si="7"/>
        <v>-1524.5473315683369</v>
      </c>
      <c r="I17" s="11">
        <f t="shared" si="8"/>
        <v>-92303948.373097077</v>
      </c>
      <c r="J17" s="16">
        <f t="shared" si="9"/>
        <v>646127638.61167967</v>
      </c>
      <c r="K17" s="11">
        <f t="shared" si="2"/>
        <v>0</v>
      </c>
      <c r="L17" s="11">
        <f t="shared" si="10"/>
        <v>0.90000000000000024</v>
      </c>
      <c r="M17" s="11">
        <f t="shared" si="3"/>
        <v>630720000.00000012</v>
      </c>
      <c r="N17" s="13">
        <f t="shared" si="4"/>
        <v>538414527.07957149</v>
      </c>
      <c r="O17" s="13">
        <f t="shared" si="5"/>
        <v>56641699.228772789</v>
      </c>
      <c r="P17">
        <v>15</v>
      </c>
      <c r="R17" s="2">
        <f t="shared" si="6"/>
        <v>56641699.228772789</v>
      </c>
      <c r="S17" s="2">
        <f t="shared" si="6"/>
        <v>55622100.976990357</v>
      </c>
      <c r="T17" s="2">
        <f t="shared" si="6"/>
        <v>54602502.72520791</v>
      </c>
      <c r="U17" s="2">
        <f t="shared" si="6"/>
        <v>53582904.473425478</v>
      </c>
      <c r="V17" s="2">
        <f t="shared" si="6"/>
        <v>52563306.221643038</v>
      </c>
      <c r="W17" s="2">
        <f t="shared" si="6"/>
        <v>51543707.969860591</v>
      </c>
      <c r="X17" s="2">
        <f t="shared" si="6"/>
        <v>50524109.718078159</v>
      </c>
      <c r="Y17" s="2">
        <f t="shared" si="6"/>
        <v>49504511.466295719</v>
      </c>
    </row>
    <row r="18" spans="1:25" x14ac:dyDescent="0.2">
      <c r="G18" s="15">
        <v>2034</v>
      </c>
      <c r="H18" s="11">
        <f t="shared" si="7"/>
        <v>-1600.7746981467537</v>
      </c>
      <c r="I18" s="11">
        <f t="shared" si="8"/>
        <v>-94150027.340559021</v>
      </c>
      <c r="J18" s="16">
        <f t="shared" si="9"/>
        <v>659050191.38391328</v>
      </c>
      <c r="K18" s="11">
        <f t="shared" si="2"/>
        <v>0</v>
      </c>
      <c r="L18" s="11">
        <f t="shared" si="10"/>
        <v>0.95000000000000029</v>
      </c>
      <c r="M18" s="11">
        <f t="shared" si="3"/>
        <v>665760000.00000024</v>
      </c>
      <c r="N18" s="13">
        <f t="shared" si="4"/>
        <v>571608371.88474309</v>
      </c>
      <c r="O18" s="13">
        <f t="shared" si="5"/>
        <v>53319491.01944606</v>
      </c>
      <c r="P18">
        <v>16</v>
      </c>
      <c r="R18" s="2">
        <f t="shared" si="6"/>
        <v>53319491.01944606</v>
      </c>
      <c r="S18" s="2">
        <f t="shared" si="6"/>
        <v>52397350.376762889</v>
      </c>
      <c r="T18" s="2">
        <f t="shared" si="6"/>
        <v>51475209.734079704</v>
      </c>
      <c r="U18" s="2">
        <f t="shared" si="6"/>
        <v>50553069.091396533</v>
      </c>
      <c r="V18" s="2">
        <f t="shared" si="6"/>
        <v>49630928.448713355</v>
      </c>
      <c r="W18" s="2">
        <f t="shared" si="6"/>
        <v>48708787.806030177</v>
      </c>
      <c r="X18" s="2">
        <f t="shared" si="6"/>
        <v>47786647.163346998</v>
      </c>
      <c r="Y18" s="2">
        <f t="shared" si="6"/>
        <v>46864506.520663813</v>
      </c>
    </row>
    <row r="19" spans="1:25" ht="16" x14ac:dyDescent="0.2">
      <c r="A19" s="12"/>
      <c r="B19" s="9" t="s">
        <v>2</v>
      </c>
      <c r="C19" s="9" t="s">
        <v>3</v>
      </c>
      <c r="D19" s="9" t="s">
        <v>4</v>
      </c>
      <c r="E19" s="9" t="s">
        <v>5</v>
      </c>
      <c r="G19" s="15">
        <v>2035</v>
      </c>
      <c r="H19" s="11">
        <f t="shared" si="7"/>
        <v>-1680.8134330540915</v>
      </c>
      <c r="I19" s="11">
        <f t="shared" si="8"/>
        <v>-96033027.887370199</v>
      </c>
      <c r="J19" s="16">
        <f t="shared" si="9"/>
        <v>672231195.2115916</v>
      </c>
      <c r="K19" s="11">
        <f t="shared" si="2"/>
        <v>0</v>
      </c>
      <c r="L19" s="11">
        <f t="shared" si="10"/>
        <v>1.0000000000000002</v>
      </c>
      <c r="M19" s="11">
        <f t="shared" si="3"/>
        <v>700800000.00000012</v>
      </c>
      <c r="N19" s="13">
        <f t="shared" si="4"/>
        <v>604765291.29919684</v>
      </c>
      <c r="O19" s="13">
        <f t="shared" si="5"/>
        <v>50019826.62065237</v>
      </c>
      <c r="P19">
        <v>17</v>
      </c>
      <c r="R19" s="2">
        <f t="shared" si="6"/>
        <v>50019826.62065237</v>
      </c>
      <c r="S19" s="2">
        <f t="shared" si="6"/>
        <v>49185828.167436518</v>
      </c>
      <c r="T19" s="2">
        <f t="shared" si="6"/>
        <v>48351829.714220658</v>
      </c>
      <c r="U19" s="2">
        <f t="shared" si="6"/>
        <v>47517831.261004813</v>
      </c>
      <c r="V19" s="2">
        <f t="shared" si="6"/>
        <v>46683832.807788953</v>
      </c>
      <c r="W19" s="2">
        <f t="shared" si="6"/>
        <v>45849834.354573093</v>
      </c>
      <c r="X19" s="2">
        <f t="shared" si="6"/>
        <v>45015835.901357241</v>
      </c>
      <c r="Y19" s="2">
        <f t="shared" si="6"/>
        <v>44181837.448141389</v>
      </c>
    </row>
    <row r="20" spans="1:25" x14ac:dyDescent="0.2">
      <c r="A20" s="12" t="s">
        <v>38</v>
      </c>
      <c r="B20" s="13">
        <f>$B$4+$O$23</f>
        <v>1134900650.7443235</v>
      </c>
      <c r="C20" s="13">
        <f>$C$4+$O$47</f>
        <v>937760033.23974168</v>
      </c>
      <c r="D20" s="13">
        <f>$D$4+$O$71</f>
        <v>1397759018.7670937</v>
      </c>
      <c r="E20" s="13">
        <f>$E$2+$O$95</f>
        <v>844546795.15897357</v>
      </c>
      <c r="G20" s="15">
        <v>2036</v>
      </c>
      <c r="H20" s="11">
        <f t="shared" si="7"/>
        <v>-1764.8541047067963</v>
      </c>
      <c r="I20" s="11">
        <f t="shared" si="8"/>
        <v>-97953688.445117608</v>
      </c>
      <c r="J20" s="16">
        <f t="shared" si="9"/>
        <v>685675819.11582339</v>
      </c>
      <c r="K20" s="11">
        <f t="shared" si="2"/>
        <v>0</v>
      </c>
      <c r="L20" s="11">
        <f t="shared" si="10"/>
        <v>1.0500000000000003</v>
      </c>
      <c r="M20" s="11">
        <f t="shared" si="3"/>
        <v>735840000.00000012</v>
      </c>
      <c r="N20" s="13">
        <f t="shared" si="4"/>
        <v>637884546.70077777</v>
      </c>
      <c r="O20" s="13">
        <f t="shared" si="5"/>
        <v>46780549.054825656</v>
      </c>
      <c r="P20">
        <v>18</v>
      </c>
      <c r="R20" s="2">
        <f t="shared" si="6"/>
        <v>46780549.054825656</v>
      </c>
      <c r="S20" s="2">
        <f t="shared" si="6"/>
        <v>46026267.779528469</v>
      </c>
      <c r="T20" s="2">
        <f t="shared" si="6"/>
        <v>45271986.504231282</v>
      </c>
      <c r="U20" s="2">
        <f t="shared" si="6"/>
        <v>44517705.228934087</v>
      </c>
      <c r="V20" s="2">
        <f t="shared" si="6"/>
        <v>43763423.9536369</v>
      </c>
      <c r="W20" s="2">
        <f t="shared" si="6"/>
        <v>43009142.678339712</v>
      </c>
      <c r="X20" s="2">
        <f t="shared" si="6"/>
        <v>42254861.403042518</v>
      </c>
      <c r="Y20" s="2">
        <f t="shared" si="6"/>
        <v>41500580.127745323</v>
      </c>
    </row>
    <row r="21" spans="1:25" x14ac:dyDescent="0.2">
      <c r="G21" s="15">
        <v>2037</v>
      </c>
      <c r="H21" s="11">
        <f t="shared" si="7"/>
        <v>-1853.0968099421361</v>
      </c>
      <c r="I21" s="11">
        <f t="shared" si="8"/>
        <v>-99912762.214019954</v>
      </c>
      <c r="J21" s="16">
        <f t="shared" si="9"/>
        <v>699389335.49813986</v>
      </c>
      <c r="K21" s="11">
        <f t="shared" si="2"/>
        <v>0</v>
      </c>
      <c r="L21" s="11">
        <f t="shared" si="10"/>
        <v>1.1000000000000003</v>
      </c>
      <c r="M21" s="11">
        <f t="shared" si="3"/>
        <v>770880000.00000024</v>
      </c>
      <c r="N21" s="13">
        <f t="shared" si="4"/>
        <v>670965384.68917036</v>
      </c>
      <c r="O21" s="13">
        <f t="shared" si="5"/>
        <v>43630607.369882613</v>
      </c>
      <c r="P21">
        <v>19</v>
      </c>
      <c r="R21" s="2">
        <f t="shared" si="6"/>
        <v>43630607.369882613</v>
      </c>
      <c r="S21" s="2">
        <f t="shared" si="6"/>
        <v>42948423.55998446</v>
      </c>
      <c r="T21" s="2">
        <f t="shared" si="6"/>
        <v>42266239.750086315</v>
      </c>
      <c r="U21" s="2">
        <f t="shared" si="6"/>
        <v>41584055.940188169</v>
      </c>
      <c r="V21" s="2">
        <f t="shared" si="6"/>
        <v>40901872.130290017</v>
      </c>
      <c r="W21" s="2">
        <f t="shared" si="6"/>
        <v>40219688.320391871</v>
      </c>
      <c r="X21" s="2">
        <f t="shared" si="6"/>
        <v>39537504.510493711</v>
      </c>
      <c r="Y21" s="2">
        <f t="shared" si="6"/>
        <v>38855320.700595558</v>
      </c>
    </row>
    <row r="22" spans="1:25" x14ac:dyDescent="0.2">
      <c r="G22" s="15">
        <v>2038</v>
      </c>
      <c r="H22" s="11">
        <f t="shared" si="7"/>
        <v>-1945.7516504392431</v>
      </c>
      <c r="I22" s="11">
        <f t="shared" si="8"/>
        <v>-101911017.45830035</v>
      </c>
      <c r="J22" s="16">
        <f t="shared" si="9"/>
        <v>713377122.2081027</v>
      </c>
      <c r="K22" s="11">
        <f t="shared" si="2"/>
        <v>0</v>
      </c>
      <c r="L22" s="11">
        <f t="shared" si="10"/>
        <v>1.1500000000000004</v>
      </c>
      <c r="M22" s="11">
        <f t="shared" si="3"/>
        <v>805920000.00000024</v>
      </c>
      <c r="N22" s="13">
        <f t="shared" si="4"/>
        <v>704007036.79004943</v>
      </c>
      <c r="O22" s="13">
        <f t="shared" si="5"/>
        <v>40591589.059553966</v>
      </c>
      <c r="P22">
        <v>20</v>
      </c>
      <c r="R22" s="2">
        <f t="shared" si="6"/>
        <v>40591589.059553966</v>
      </c>
      <c r="S22" s="2">
        <f t="shared" si="6"/>
        <v>39974611.327601388</v>
      </c>
      <c r="T22" s="2">
        <f t="shared" si="6"/>
        <v>39357633.595648818</v>
      </c>
      <c r="U22" s="2">
        <f t="shared" si="6"/>
        <v>38740655.86369624</v>
      </c>
      <c r="V22" s="2">
        <f t="shared" si="6"/>
        <v>38123678.13174367</v>
      </c>
      <c r="W22" s="2">
        <f t="shared" si="6"/>
        <v>37506700.399791092</v>
      </c>
      <c r="X22" s="2">
        <f t="shared" si="6"/>
        <v>36889722.667838514</v>
      </c>
      <c r="Y22" s="2">
        <f t="shared" si="6"/>
        <v>36272744.935885943</v>
      </c>
    </row>
    <row r="23" spans="1:25" x14ac:dyDescent="0.2">
      <c r="O23" s="8">
        <f>SUM(O3:O22)</f>
        <v>1209514970.7443235</v>
      </c>
      <c r="R23" s="2">
        <f>SUM(R3:R22)+$B$4</f>
        <v>1134900650.7443235</v>
      </c>
      <c r="S23" s="2">
        <f t="shared" ref="S23:Y23" si="11">SUM(S3:S22)+$B$4</f>
        <v>1097198388.6533368</v>
      </c>
      <c r="T23" s="2">
        <f t="shared" si="11"/>
        <v>1059496126.56235</v>
      </c>
      <c r="U23" s="2">
        <f t="shared" si="11"/>
        <v>1021793864.4713635</v>
      </c>
      <c r="V23" s="2">
        <f t="shared" si="11"/>
        <v>984091602.38037658</v>
      </c>
      <c r="W23" s="2">
        <f t="shared" si="11"/>
        <v>946389340.28938985</v>
      </c>
      <c r="X23" s="2">
        <f t="shared" si="11"/>
        <v>908687078.19840312</v>
      </c>
      <c r="Y23" s="2">
        <f t="shared" si="11"/>
        <v>870984816.10741615</v>
      </c>
    </row>
    <row r="25" spans="1:25" x14ac:dyDescent="0.2">
      <c r="G25" s="5" t="s">
        <v>3</v>
      </c>
    </row>
    <row r="26" spans="1:25" x14ac:dyDescent="0.2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1:25" x14ac:dyDescent="0.2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18576615.337065842</v>
      </c>
      <c r="P27">
        <v>1</v>
      </c>
      <c r="R27" s="2">
        <f>($H27+$I27+$M27+($J27*R$2))*(1-$B$9)/((1+$B$10)^$P27)</f>
        <v>18576615.337065842</v>
      </c>
      <c r="S27" s="2">
        <f t="shared" ref="S27:Y27" si="12">($H27+$I27+$M27+($J27*S$2))*(1-$B$9)/((1+$B$10)^$P27)</f>
        <v>12188813.705570895</v>
      </c>
      <c r="T27" s="2">
        <f t="shared" si="12"/>
        <v>5801012.0740759494</v>
      </c>
      <c r="U27" s="2">
        <f t="shared" si="12"/>
        <v>-586789.55741899775</v>
      </c>
      <c r="V27" s="2">
        <f t="shared" si="12"/>
        <v>-6974591.1889139442</v>
      </c>
      <c r="W27" s="2">
        <f t="shared" si="12"/>
        <v>-13362392.82040889</v>
      </c>
      <c r="X27" s="2">
        <f t="shared" si="12"/>
        <v>-19750194.451903839</v>
      </c>
      <c r="Y27" s="2">
        <f t="shared" si="12"/>
        <v>-26137996.083398782</v>
      </c>
    </row>
    <row r="28" spans="1:25" x14ac:dyDescent="0.2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3">J28*$B$11</f>
        <v>0</v>
      </c>
      <c r="L28" s="11">
        <f>L27+0.05</f>
        <v>0.25</v>
      </c>
      <c r="M28" s="11">
        <f t="shared" ref="M28:M46" si="14">L28*80000*365*24</f>
        <v>175200000</v>
      </c>
      <c r="N28" s="13">
        <f t="shared" ref="N28:N46" si="15">M28+K28+H28+I28</f>
        <v>65679221.142857134</v>
      </c>
      <c r="O28" s="13">
        <f t="shared" ref="O28:O46" si="16">N28*(1-$B$9)/((1+$B$10)^P28)</f>
        <v>32996256.555720124</v>
      </c>
      <c r="P28">
        <v>2</v>
      </c>
      <c r="R28" s="2">
        <f t="shared" ref="R28:Y46" si="17">($H28+$I28+$M28+($J28*R$2))*(1-$B$9)/((1+$B$10)^$P28)</f>
        <v>32996256.555720124</v>
      </c>
      <c r="S28" s="2">
        <f t="shared" si="17"/>
        <v>27219028.621578567</v>
      </c>
      <c r="T28" s="2">
        <f t="shared" si="17"/>
        <v>21441800.687437017</v>
      </c>
      <c r="U28" s="2">
        <f t="shared" si="17"/>
        <v>15664572.753295459</v>
      </c>
      <c r="V28" s="2">
        <f t="shared" si="17"/>
        <v>9887344.8191539012</v>
      </c>
      <c r="W28" s="2">
        <f t="shared" si="17"/>
        <v>4110116.8850123486</v>
      </c>
      <c r="X28" s="2">
        <f t="shared" si="17"/>
        <v>-1667111.0491292025</v>
      </c>
      <c r="Y28" s="2">
        <f t="shared" si="17"/>
        <v>-7444338.9832707606</v>
      </c>
    </row>
    <row r="29" spans="1:25" x14ac:dyDescent="0.2">
      <c r="G29" s="15">
        <v>2021</v>
      </c>
      <c r="H29" s="11">
        <f t="shared" ref="H29:H46" si="18">H28*1.05</f>
        <v>-793.80000000000007</v>
      </c>
      <c r="I29" s="11">
        <f t="shared" ref="I29:I46" si="19">I28*1.02</f>
        <v>-111710423.31428573</v>
      </c>
      <c r="J29" s="16">
        <f t="shared" ref="J29:J46" si="20">J28*1.02</f>
        <v>781972963.20000005</v>
      </c>
      <c r="K29" s="11">
        <f t="shared" si="13"/>
        <v>0</v>
      </c>
      <c r="L29" s="11">
        <f t="shared" ref="L29:L46" si="21">L28+0.05</f>
        <v>0.3</v>
      </c>
      <c r="M29" s="11">
        <f t="shared" si="14"/>
        <v>210240000</v>
      </c>
      <c r="N29" s="13">
        <f t="shared" si="15"/>
        <v>98528782.885714263</v>
      </c>
      <c r="O29" s="13">
        <f t="shared" si="16"/>
        <v>43890214.712711632</v>
      </c>
      <c r="P29">
        <v>3</v>
      </c>
      <c r="R29" s="2">
        <f t="shared" si="17"/>
        <v>43890214.71271164</v>
      </c>
      <c r="S29" s="2">
        <f t="shared" si="17"/>
        <v>38665199.202138498</v>
      </c>
      <c r="T29" s="2">
        <f t="shared" si="17"/>
        <v>33440183.691565361</v>
      </c>
      <c r="U29" s="2">
        <f t="shared" si="17"/>
        <v>28215168.18099222</v>
      </c>
      <c r="V29" s="2">
        <f t="shared" si="17"/>
        <v>22990152.670419078</v>
      </c>
      <c r="W29" s="2">
        <f t="shared" si="17"/>
        <v>17765137.159845941</v>
      </c>
      <c r="X29" s="2">
        <f t="shared" si="17"/>
        <v>12540121.649272799</v>
      </c>
      <c r="Y29" s="2">
        <f t="shared" si="17"/>
        <v>7315106.1386996619</v>
      </c>
    </row>
    <row r="30" spans="1:25" x14ac:dyDescent="0.2">
      <c r="G30" s="15">
        <v>2022</v>
      </c>
      <c r="H30" s="11">
        <f t="shared" si="18"/>
        <v>-833.49000000000012</v>
      </c>
      <c r="I30" s="11">
        <f t="shared" si="19"/>
        <v>-113944631.78057145</v>
      </c>
      <c r="J30" s="16">
        <f t="shared" si="20"/>
        <v>797612422.46400011</v>
      </c>
      <c r="K30" s="11">
        <f t="shared" si="13"/>
        <v>0</v>
      </c>
      <c r="L30" s="11">
        <f t="shared" si="21"/>
        <v>0.35</v>
      </c>
      <c r="M30" s="11">
        <f t="shared" si="14"/>
        <v>245280000</v>
      </c>
      <c r="N30" s="13">
        <f t="shared" si="15"/>
        <v>131334534.72942854</v>
      </c>
      <c r="O30" s="13">
        <f t="shared" si="16"/>
        <v>51874202.975525349</v>
      </c>
      <c r="P30">
        <v>4</v>
      </c>
      <c r="R30" s="2">
        <f t="shared" si="17"/>
        <v>51874202.975525349</v>
      </c>
      <c r="S30" s="2">
        <f t="shared" si="17"/>
        <v>47148617.037606753</v>
      </c>
      <c r="T30" s="2">
        <f t="shared" si="17"/>
        <v>42423031.099688143</v>
      </c>
      <c r="U30" s="2">
        <f t="shared" si="17"/>
        <v>37697445.161769539</v>
      </c>
      <c r="V30" s="2">
        <f t="shared" si="17"/>
        <v>32971859.223850928</v>
      </c>
      <c r="W30" s="2">
        <f t="shared" si="17"/>
        <v>28246273.285932329</v>
      </c>
      <c r="X30" s="2">
        <f t="shared" si="17"/>
        <v>23520687.348013725</v>
      </c>
      <c r="Y30" s="2">
        <f t="shared" si="17"/>
        <v>18795101.410095118</v>
      </c>
    </row>
    <row r="31" spans="1:25" x14ac:dyDescent="0.2">
      <c r="G31" s="15">
        <v>2023</v>
      </c>
      <c r="H31" s="11">
        <f t="shared" si="18"/>
        <v>-875.1645000000002</v>
      </c>
      <c r="I31" s="11">
        <f t="shared" si="19"/>
        <v>-116223524.41618288</v>
      </c>
      <c r="J31" s="16">
        <f t="shared" si="20"/>
        <v>813564670.91328013</v>
      </c>
      <c r="K31" s="11">
        <f t="shared" si="13"/>
        <v>0</v>
      </c>
      <c r="L31" s="11">
        <f t="shared" si="21"/>
        <v>0.39999999999999997</v>
      </c>
      <c r="M31" s="11">
        <f t="shared" si="14"/>
        <v>280319999.99999994</v>
      </c>
      <c r="N31" s="13">
        <f t="shared" si="15"/>
        <v>164095600.41931707</v>
      </c>
      <c r="O31" s="13">
        <f t="shared" si="16"/>
        <v>57469490.145315915</v>
      </c>
      <c r="P31">
        <v>5</v>
      </c>
      <c r="R31" s="2">
        <f t="shared" si="17"/>
        <v>57469490.145315915</v>
      </c>
      <c r="S31" s="2">
        <f t="shared" si="17"/>
        <v>53195596.142232947</v>
      </c>
      <c r="T31" s="2">
        <f t="shared" si="17"/>
        <v>48921702.139149964</v>
      </c>
      <c r="U31" s="2">
        <f t="shared" si="17"/>
        <v>44647808.136066996</v>
      </c>
      <c r="V31" s="2">
        <f t="shared" si="17"/>
        <v>40373914.132984027</v>
      </c>
      <c r="W31" s="2">
        <f t="shared" si="17"/>
        <v>36100020.129901052</v>
      </c>
      <c r="X31" s="2">
        <f t="shared" si="17"/>
        <v>31826126.126818076</v>
      </c>
      <c r="Y31" s="2">
        <f t="shared" si="17"/>
        <v>27552232.123735104</v>
      </c>
    </row>
    <row r="32" spans="1:25" x14ac:dyDescent="0.2">
      <c r="G32" s="15">
        <v>2024</v>
      </c>
      <c r="H32" s="11">
        <f t="shared" si="18"/>
        <v>-918.92272500000024</v>
      </c>
      <c r="I32" s="11">
        <f t="shared" si="19"/>
        <v>-118547994.90450653</v>
      </c>
      <c r="J32" s="16">
        <f t="shared" si="20"/>
        <v>829835964.33154571</v>
      </c>
      <c r="K32" s="11">
        <f t="shared" si="13"/>
        <v>0</v>
      </c>
      <c r="L32" s="11">
        <f t="shared" si="21"/>
        <v>0.44999999999999996</v>
      </c>
      <c r="M32" s="11">
        <f t="shared" si="14"/>
        <v>315360000</v>
      </c>
      <c r="N32" s="13">
        <f t="shared" si="15"/>
        <v>196811086.17276844</v>
      </c>
      <c r="O32" s="13">
        <f t="shared" si="16"/>
        <v>61116415.502787128</v>
      </c>
      <c r="P32">
        <v>6</v>
      </c>
      <c r="R32" s="2">
        <f t="shared" si="17"/>
        <v>61116415.502787143</v>
      </c>
      <c r="S32" s="2">
        <f t="shared" si="17"/>
        <v>57251038.766535476</v>
      </c>
      <c r="T32" s="2">
        <f t="shared" si="17"/>
        <v>53385662.030283809</v>
      </c>
      <c r="U32" s="2">
        <f t="shared" si="17"/>
        <v>49520285.294032142</v>
      </c>
      <c r="V32" s="2">
        <f t="shared" si="17"/>
        <v>45654908.557780467</v>
      </c>
      <c r="W32" s="2">
        <f t="shared" si="17"/>
        <v>41789531.821528785</v>
      </c>
      <c r="X32" s="2">
        <f t="shared" si="17"/>
        <v>37924155.085277125</v>
      </c>
      <c r="Y32" s="2">
        <f t="shared" si="17"/>
        <v>34058778.349025451</v>
      </c>
    </row>
    <row r="33" spans="7:25" x14ac:dyDescent="0.2">
      <c r="G33" s="15">
        <v>2025</v>
      </c>
      <c r="H33" s="11">
        <f t="shared" si="18"/>
        <v>-964.86886125000035</v>
      </c>
      <c r="I33" s="11">
        <f t="shared" si="19"/>
        <v>-120918954.80259667</v>
      </c>
      <c r="J33" s="16">
        <f t="shared" si="20"/>
        <v>846432683.6181767</v>
      </c>
      <c r="K33" s="11">
        <f t="shared" si="13"/>
        <v>0</v>
      </c>
      <c r="L33" s="11">
        <f t="shared" si="21"/>
        <v>0.49999999999999994</v>
      </c>
      <c r="M33" s="11">
        <f t="shared" si="14"/>
        <v>350399999.99999994</v>
      </c>
      <c r="N33" s="13">
        <f t="shared" si="15"/>
        <v>229480080.32854199</v>
      </c>
      <c r="O33" s="13">
        <f t="shared" si="16"/>
        <v>63186051.863836795</v>
      </c>
      <c r="P33">
        <v>7</v>
      </c>
      <c r="R33" s="2">
        <f t="shared" si="17"/>
        <v>63186051.863836803</v>
      </c>
      <c r="S33" s="2">
        <f t="shared" si="17"/>
        <v>59690144.547843985</v>
      </c>
      <c r="T33" s="2">
        <f t="shared" si="17"/>
        <v>56194237.231851161</v>
      </c>
      <c r="U33" s="2">
        <f t="shared" si="17"/>
        <v>52698329.915858351</v>
      </c>
      <c r="V33" s="2">
        <f t="shared" si="17"/>
        <v>49202422.599865526</v>
      </c>
      <c r="W33" s="2">
        <f t="shared" si="17"/>
        <v>45706515.283872701</v>
      </c>
      <c r="X33" s="2">
        <f t="shared" si="17"/>
        <v>42210607.967879884</v>
      </c>
      <c r="Y33" s="2">
        <f t="shared" si="17"/>
        <v>38714700.651887059</v>
      </c>
    </row>
    <row r="34" spans="7:25" x14ac:dyDescent="0.2">
      <c r="G34" s="15">
        <v>2026</v>
      </c>
      <c r="H34" s="11">
        <f t="shared" si="18"/>
        <v>-1013.1123043125004</v>
      </c>
      <c r="I34" s="11">
        <f t="shared" si="19"/>
        <v>-123337333.8986486</v>
      </c>
      <c r="J34" s="16">
        <f t="shared" si="20"/>
        <v>863361337.29054022</v>
      </c>
      <c r="K34" s="11">
        <f t="shared" si="13"/>
        <v>0</v>
      </c>
      <c r="L34" s="11">
        <f t="shared" si="21"/>
        <v>0.54999999999999993</v>
      </c>
      <c r="M34" s="11">
        <f t="shared" si="14"/>
        <v>385439999.99999994</v>
      </c>
      <c r="N34" s="13">
        <f t="shared" si="15"/>
        <v>262101652.98904699</v>
      </c>
      <c r="O34" s="13">
        <f t="shared" si="16"/>
        <v>63990263.136207074</v>
      </c>
      <c r="P34">
        <v>8</v>
      </c>
      <c r="R34" s="2">
        <f t="shared" si="17"/>
        <v>63990263.136207089</v>
      </c>
      <c r="S34" s="2">
        <f t="shared" si="17"/>
        <v>60828509.755897917</v>
      </c>
      <c r="T34" s="2">
        <f t="shared" si="17"/>
        <v>57666756.375588745</v>
      </c>
      <c r="U34" s="2">
        <f t="shared" si="17"/>
        <v>54505002.995279588</v>
      </c>
      <c r="V34" s="2">
        <f t="shared" si="17"/>
        <v>51343249.614970408</v>
      </c>
      <c r="W34" s="2">
        <f t="shared" si="17"/>
        <v>48181496.234661251</v>
      </c>
      <c r="X34" s="2">
        <f t="shared" si="17"/>
        <v>45019742.854352079</v>
      </c>
      <c r="Y34" s="2">
        <f t="shared" si="17"/>
        <v>41857989.474042915</v>
      </c>
    </row>
    <row r="35" spans="7:25" x14ac:dyDescent="0.2">
      <c r="G35" s="15">
        <v>2027</v>
      </c>
      <c r="H35" s="11">
        <f t="shared" si="18"/>
        <v>-1063.7679195281255</v>
      </c>
      <c r="I35" s="11">
        <f t="shared" si="19"/>
        <v>-125804080.57662158</v>
      </c>
      <c r="J35" s="16">
        <f t="shared" si="20"/>
        <v>880628564.03635108</v>
      </c>
      <c r="K35" s="11">
        <f t="shared" si="13"/>
        <v>0</v>
      </c>
      <c r="L35" s="11">
        <f t="shared" si="21"/>
        <v>0.6</v>
      </c>
      <c r="M35" s="11">
        <f t="shared" si="14"/>
        <v>420480000</v>
      </c>
      <c r="N35" s="13">
        <f t="shared" si="15"/>
        <v>294674855.65545887</v>
      </c>
      <c r="O35" s="13">
        <f t="shared" si="16"/>
        <v>63790370.614110157</v>
      </c>
      <c r="P35">
        <v>9</v>
      </c>
      <c r="R35" s="2">
        <f t="shared" si="17"/>
        <v>63790370.614110164</v>
      </c>
      <c r="S35" s="2">
        <f t="shared" si="17"/>
        <v>60930831.291610301</v>
      </c>
      <c r="T35" s="2">
        <f t="shared" si="17"/>
        <v>58071291.969110429</v>
      </c>
      <c r="U35" s="2">
        <f t="shared" si="17"/>
        <v>55211752.646610565</v>
      </c>
      <c r="V35" s="2">
        <f t="shared" si="17"/>
        <v>52352213.324110694</v>
      </c>
      <c r="W35" s="2">
        <f t="shared" si="17"/>
        <v>49492674.001610823</v>
      </c>
      <c r="X35" s="2">
        <f t="shared" si="17"/>
        <v>46633134.679110959</v>
      </c>
      <c r="Y35" s="2">
        <f t="shared" si="17"/>
        <v>43773595.356611088</v>
      </c>
    </row>
    <row r="36" spans="7:25" x14ac:dyDescent="0.2">
      <c r="G36" s="15">
        <v>2028</v>
      </c>
      <c r="H36" s="11">
        <f t="shared" si="18"/>
        <v>-1116.9563155045319</v>
      </c>
      <c r="I36" s="11">
        <f t="shared" si="19"/>
        <v>-128320162.18815401</v>
      </c>
      <c r="J36" s="16">
        <f t="shared" si="20"/>
        <v>898241135.31707811</v>
      </c>
      <c r="K36" s="11">
        <f t="shared" si="13"/>
        <v>0</v>
      </c>
      <c r="L36" s="11">
        <f t="shared" si="21"/>
        <v>0.65</v>
      </c>
      <c r="M36" s="11">
        <f t="shared" si="14"/>
        <v>455520000</v>
      </c>
      <c r="N36" s="13">
        <f t="shared" si="15"/>
        <v>327198720.8555305</v>
      </c>
      <c r="O36" s="13">
        <f t="shared" si="16"/>
        <v>62804614.29696016</v>
      </c>
      <c r="P36">
        <v>10</v>
      </c>
      <c r="R36" s="2">
        <f t="shared" si="17"/>
        <v>62804614.29696016</v>
      </c>
      <c r="S36" s="2">
        <f t="shared" si="17"/>
        <v>60218402.106013305</v>
      </c>
      <c r="T36" s="2">
        <f t="shared" si="17"/>
        <v>57632189.915066458</v>
      </c>
      <c r="U36" s="2">
        <f t="shared" si="17"/>
        <v>55045977.724119596</v>
      </c>
      <c r="V36" s="2">
        <f t="shared" si="17"/>
        <v>52459765.533172734</v>
      </c>
      <c r="W36" s="2">
        <f t="shared" si="17"/>
        <v>49873553.342225879</v>
      </c>
      <c r="X36" s="2">
        <f t="shared" si="17"/>
        <v>47287341.151279025</v>
      </c>
      <c r="Y36" s="2">
        <f t="shared" si="17"/>
        <v>44701128.96033217</v>
      </c>
    </row>
    <row r="37" spans="7:25" x14ac:dyDescent="0.2">
      <c r="G37" s="15">
        <v>2029</v>
      </c>
      <c r="H37" s="11">
        <f t="shared" si="18"/>
        <v>-1172.8041312797584</v>
      </c>
      <c r="I37" s="11">
        <f t="shared" si="19"/>
        <v>-130886565.4319171</v>
      </c>
      <c r="J37" s="16">
        <f t="shared" si="20"/>
        <v>916205958.02341974</v>
      </c>
      <c r="K37" s="11">
        <f t="shared" si="13"/>
        <v>0</v>
      </c>
      <c r="L37" s="11">
        <f t="shared" si="21"/>
        <v>0.70000000000000007</v>
      </c>
      <c r="M37" s="11">
        <f t="shared" si="14"/>
        <v>490560000.00000012</v>
      </c>
      <c r="N37" s="13">
        <f t="shared" si="15"/>
        <v>359672261.76395178</v>
      </c>
      <c r="O37" s="13">
        <f t="shared" si="16"/>
        <v>61214571.152417362</v>
      </c>
      <c r="P37">
        <v>11</v>
      </c>
      <c r="R37" s="2">
        <f t="shared" si="17"/>
        <v>61214571.152417354</v>
      </c>
      <c r="S37" s="2">
        <f t="shared" si="17"/>
        <v>58875560.304070309</v>
      </c>
      <c r="T37" s="2">
        <f t="shared" si="17"/>
        <v>56536549.455723271</v>
      </c>
      <c r="U37" s="2">
        <f t="shared" si="17"/>
        <v>54197538.607376225</v>
      </c>
      <c r="V37" s="2">
        <f t="shared" si="17"/>
        <v>51858527.75902918</v>
      </c>
      <c r="W37" s="2">
        <f t="shared" si="17"/>
        <v>49519516.910682134</v>
      </c>
      <c r="X37" s="2">
        <f t="shared" si="17"/>
        <v>47180506.062335104</v>
      </c>
      <c r="Y37" s="2">
        <f t="shared" si="17"/>
        <v>44841495.213988058</v>
      </c>
    </row>
    <row r="38" spans="7:25" x14ac:dyDescent="0.2">
      <c r="G38" s="15">
        <v>2030</v>
      </c>
      <c r="H38" s="11">
        <f t="shared" si="18"/>
        <v>-1231.4443378437463</v>
      </c>
      <c r="I38" s="11">
        <f t="shared" si="19"/>
        <v>-133504296.74055545</v>
      </c>
      <c r="J38" s="16">
        <f t="shared" si="20"/>
        <v>934530077.1838882</v>
      </c>
      <c r="K38" s="11">
        <f t="shared" si="13"/>
        <v>0</v>
      </c>
      <c r="L38" s="11">
        <f t="shared" si="21"/>
        <v>0.75000000000000011</v>
      </c>
      <c r="M38" s="11">
        <f t="shared" si="14"/>
        <v>525600000.00000012</v>
      </c>
      <c r="N38" s="13">
        <f t="shared" si="15"/>
        <v>392094471.81510681</v>
      </c>
      <c r="O38" s="13">
        <f t="shared" si="16"/>
        <v>59170671.009268992</v>
      </c>
      <c r="P38">
        <v>12</v>
      </c>
      <c r="R38" s="2">
        <f t="shared" si="17"/>
        <v>59170671.009268992</v>
      </c>
      <c r="S38" s="2">
        <f t="shared" si="17"/>
        <v>57055232.930430561</v>
      </c>
      <c r="T38" s="2">
        <f t="shared" si="17"/>
        <v>54939794.851592124</v>
      </c>
      <c r="U38" s="2">
        <f t="shared" si="17"/>
        <v>52824356.772753701</v>
      </c>
      <c r="V38" s="2">
        <f t="shared" si="17"/>
        <v>50708918.693915263</v>
      </c>
      <c r="W38" s="2">
        <f t="shared" si="17"/>
        <v>48593480.615076832</v>
      </c>
      <c r="X38" s="2">
        <f t="shared" si="17"/>
        <v>46478042.536238395</v>
      </c>
      <c r="Y38" s="2">
        <f t="shared" si="17"/>
        <v>44362604.457399972</v>
      </c>
    </row>
    <row r="39" spans="7:25" x14ac:dyDescent="0.2">
      <c r="G39" s="15">
        <v>2031</v>
      </c>
      <c r="H39" s="11">
        <f t="shared" si="18"/>
        <v>-1293.0165547359336</v>
      </c>
      <c r="I39" s="11">
        <f t="shared" si="19"/>
        <v>-136174382.67536655</v>
      </c>
      <c r="J39" s="16">
        <f t="shared" si="20"/>
        <v>953220678.727566</v>
      </c>
      <c r="K39" s="11">
        <f t="shared" si="13"/>
        <v>0</v>
      </c>
      <c r="L39" s="11">
        <f t="shared" si="21"/>
        <v>0.80000000000000016</v>
      </c>
      <c r="M39" s="11">
        <f t="shared" si="14"/>
        <v>560640000.00000012</v>
      </c>
      <c r="N39" s="13">
        <f t="shared" si="15"/>
        <v>424464324.30807889</v>
      </c>
      <c r="O39" s="13">
        <f t="shared" si="16"/>
        <v>56796932.265352592</v>
      </c>
      <c r="P39">
        <v>13</v>
      </c>
      <c r="R39" s="2">
        <f t="shared" si="17"/>
        <v>56796932.265352584</v>
      </c>
      <c r="S39" s="2">
        <f t="shared" si="17"/>
        <v>54883696.904104844</v>
      </c>
      <c r="T39" s="2">
        <f t="shared" si="17"/>
        <v>52970461.542857111</v>
      </c>
      <c r="U39" s="2">
        <f t="shared" si="17"/>
        <v>51057226.18160937</v>
      </c>
      <c r="V39" s="2">
        <f t="shared" si="17"/>
        <v>49143990.820361629</v>
      </c>
      <c r="W39" s="2">
        <f t="shared" si="17"/>
        <v>47230755.459113896</v>
      </c>
      <c r="X39" s="2">
        <f t="shared" si="17"/>
        <v>45317520.097866155</v>
      </c>
      <c r="Y39" s="2">
        <f t="shared" si="17"/>
        <v>43404284.736618407</v>
      </c>
    </row>
    <row r="40" spans="7:25" x14ac:dyDescent="0.2">
      <c r="G40" s="15">
        <v>2032</v>
      </c>
      <c r="H40" s="11">
        <f t="shared" si="18"/>
        <v>-1357.6673824727304</v>
      </c>
      <c r="I40" s="11">
        <f t="shared" si="19"/>
        <v>-138897870.32887387</v>
      </c>
      <c r="J40" s="16">
        <f t="shared" si="20"/>
        <v>972285092.30211735</v>
      </c>
      <c r="K40" s="11">
        <f t="shared" si="13"/>
        <v>0</v>
      </c>
      <c r="L40" s="11">
        <f t="shared" si="21"/>
        <v>0.8500000000000002</v>
      </c>
      <c r="M40" s="11">
        <f t="shared" si="14"/>
        <v>595680000.00000012</v>
      </c>
      <c r="N40" s="13">
        <f t="shared" si="15"/>
        <v>456780772.00374377</v>
      </c>
      <c r="O40" s="13">
        <f t="shared" si="16"/>
        <v>54195023.482639715</v>
      </c>
      <c r="P40">
        <v>14</v>
      </c>
      <c r="R40" s="2">
        <f t="shared" si="17"/>
        <v>54195023.482639715</v>
      </c>
      <c r="S40" s="2">
        <f t="shared" si="17"/>
        <v>52464663.429019667</v>
      </c>
      <c r="T40" s="2">
        <f t="shared" si="17"/>
        <v>50734303.375399612</v>
      </c>
      <c r="U40" s="2">
        <f t="shared" si="17"/>
        <v>49003943.321779564</v>
      </c>
      <c r="V40" s="2">
        <f t="shared" si="17"/>
        <v>47273583.268159509</v>
      </c>
      <c r="W40" s="2">
        <f t="shared" si="17"/>
        <v>45543223.214539461</v>
      </c>
      <c r="X40" s="2">
        <f t="shared" si="17"/>
        <v>43812863.160919413</v>
      </c>
      <c r="Y40" s="2">
        <f t="shared" si="17"/>
        <v>42082503.107299358</v>
      </c>
    </row>
    <row r="41" spans="7:25" x14ac:dyDescent="0.2">
      <c r="G41" s="15">
        <v>2033</v>
      </c>
      <c r="H41" s="11">
        <f t="shared" si="18"/>
        <v>-1425.550751596367</v>
      </c>
      <c r="I41" s="11">
        <f t="shared" si="19"/>
        <v>-141675827.73545134</v>
      </c>
      <c r="J41" s="16">
        <f t="shared" si="20"/>
        <v>991730794.14815974</v>
      </c>
      <c r="K41" s="11">
        <f t="shared" si="13"/>
        <v>0</v>
      </c>
      <c r="L41" s="11">
        <f t="shared" si="21"/>
        <v>0.90000000000000024</v>
      </c>
      <c r="M41" s="11">
        <f t="shared" si="14"/>
        <v>630720000.00000012</v>
      </c>
      <c r="N41" s="13">
        <f t="shared" si="15"/>
        <v>489042746.71379721</v>
      </c>
      <c r="O41" s="13">
        <f t="shared" si="16"/>
        <v>51447742.912185661</v>
      </c>
      <c r="P41">
        <v>15</v>
      </c>
      <c r="R41" s="2">
        <f t="shared" si="17"/>
        <v>51447742.912185661</v>
      </c>
      <c r="S41" s="2">
        <f t="shared" si="17"/>
        <v>49882778.153635867</v>
      </c>
      <c r="T41" s="2">
        <f t="shared" si="17"/>
        <v>48317813.39508608</v>
      </c>
      <c r="U41" s="2">
        <f t="shared" si="17"/>
        <v>46752848.636536285</v>
      </c>
      <c r="V41" s="2">
        <f t="shared" si="17"/>
        <v>45187883.877986498</v>
      </c>
      <c r="W41" s="2">
        <f t="shared" si="17"/>
        <v>43622919.119436704</v>
      </c>
      <c r="X41" s="2">
        <f t="shared" si="17"/>
        <v>42057954.360886924</v>
      </c>
      <c r="Y41" s="2">
        <f t="shared" si="17"/>
        <v>40492989.602337129</v>
      </c>
    </row>
    <row r="42" spans="7:25" x14ac:dyDescent="0.2">
      <c r="G42" s="15">
        <v>2034</v>
      </c>
      <c r="H42" s="11">
        <f t="shared" si="18"/>
        <v>-1496.8282891761855</v>
      </c>
      <c r="I42" s="11">
        <f t="shared" si="19"/>
        <v>-144509344.29016036</v>
      </c>
      <c r="J42" s="16">
        <f t="shared" si="20"/>
        <v>1011565410.0311229</v>
      </c>
      <c r="K42" s="11">
        <f t="shared" si="13"/>
        <v>0</v>
      </c>
      <c r="L42" s="11">
        <f t="shared" si="21"/>
        <v>0.95000000000000029</v>
      </c>
      <c r="M42" s="11">
        <f t="shared" si="14"/>
        <v>665760000.00000024</v>
      </c>
      <c r="N42" s="13">
        <f t="shared" si="15"/>
        <v>521249158.88155073</v>
      </c>
      <c r="O42" s="13">
        <f t="shared" si="16"/>
        <v>48621995.78050036</v>
      </c>
      <c r="P42">
        <v>16</v>
      </c>
      <c r="R42" s="2">
        <f t="shared" si="17"/>
        <v>48621995.780500352</v>
      </c>
      <c r="S42" s="2">
        <f t="shared" si="17"/>
        <v>47206617.119637795</v>
      </c>
      <c r="T42" s="2">
        <f t="shared" si="17"/>
        <v>45791238.458775245</v>
      </c>
      <c r="U42" s="2">
        <f t="shared" si="17"/>
        <v>44375859.797912702</v>
      </c>
      <c r="V42" s="2">
        <f t="shared" si="17"/>
        <v>42960481.137050144</v>
      </c>
      <c r="W42" s="2">
        <f t="shared" si="17"/>
        <v>41545102.476187594</v>
      </c>
      <c r="X42" s="2">
        <f t="shared" si="17"/>
        <v>40129723.815325044</v>
      </c>
      <c r="Y42" s="2">
        <f t="shared" si="17"/>
        <v>38714345.154462494</v>
      </c>
    </row>
    <row r="43" spans="7:25" x14ac:dyDescent="0.2">
      <c r="G43" s="15">
        <v>2035</v>
      </c>
      <c r="H43" s="11">
        <f t="shared" si="18"/>
        <v>-1571.6697036349949</v>
      </c>
      <c r="I43" s="11">
        <f t="shared" si="19"/>
        <v>-147399531.17596358</v>
      </c>
      <c r="J43" s="16">
        <f t="shared" si="20"/>
        <v>1031796718.2317454</v>
      </c>
      <c r="K43" s="11">
        <f t="shared" si="13"/>
        <v>0</v>
      </c>
      <c r="L43" s="11">
        <f t="shared" si="21"/>
        <v>1.0000000000000002</v>
      </c>
      <c r="M43" s="11">
        <f t="shared" si="14"/>
        <v>700800000.00000012</v>
      </c>
      <c r="N43" s="13">
        <f t="shared" si="15"/>
        <v>553398897.15433288</v>
      </c>
      <c r="O43" s="13">
        <f t="shared" si="16"/>
        <v>45771338.544006027</v>
      </c>
      <c r="P43">
        <v>17</v>
      </c>
      <c r="R43" s="2">
        <f t="shared" si="17"/>
        <v>45771338.544006027</v>
      </c>
      <c r="S43" s="2">
        <f t="shared" si="17"/>
        <v>44491247.89488402</v>
      </c>
      <c r="T43" s="2">
        <f t="shared" si="17"/>
        <v>43211157.245762005</v>
      </c>
      <c r="U43" s="2">
        <f t="shared" si="17"/>
        <v>41931066.596639998</v>
      </c>
      <c r="V43" s="2">
        <f t="shared" si="17"/>
        <v>40650975.947517991</v>
      </c>
      <c r="W43" s="2">
        <f t="shared" si="17"/>
        <v>39370885.298395976</v>
      </c>
      <c r="X43" s="2">
        <f t="shared" si="17"/>
        <v>38090794.649273969</v>
      </c>
      <c r="Y43" s="2">
        <f t="shared" si="17"/>
        <v>36810704.000151969</v>
      </c>
    </row>
    <row r="44" spans="7:25" x14ac:dyDescent="0.2">
      <c r="G44" s="15">
        <v>2036</v>
      </c>
      <c r="H44" s="11">
        <f t="shared" si="18"/>
        <v>-1650.2531888167448</v>
      </c>
      <c r="I44" s="11">
        <f t="shared" si="19"/>
        <v>-150347521.79948285</v>
      </c>
      <c r="J44" s="16">
        <f t="shared" si="20"/>
        <v>1052432652.5963802</v>
      </c>
      <c r="K44" s="11">
        <f t="shared" si="13"/>
        <v>0</v>
      </c>
      <c r="L44" s="11">
        <f t="shared" si="21"/>
        <v>1.0500000000000003</v>
      </c>
      <c r="M44" s="11">
        <f t="shared" si="14"/>
        <v>735840000.00000012</v>
      </c>
      <c r="N44" s="13">
        <f t="shared" si="15"/>
        <v>585490827.94732845</v>
      </c>
      <c r="O44" s="13">
        <f t="shared" si="16"/>
        <v>42938150.076848529</v>
      </c>
      <c r="P44">
        <v>18</v>
      </c>
      <c r="R44" s="2">
        <f t="shared" si="17"/>
        <v>42938150.076848529</v>
      </c>
      <c r="S44" s="2">
        <f t="shared" si="17"/>
        <v>41780416.026392378</v>
      </c>
      <c r="T44" s="2">
        <f t="shared" si="17"/>
        <v>40622681.975936227</v>
      </c>
      <c r="U44" s="2">
        <f t="shared" si="17"/>
        <v>39464947.925480068</v>
      </c>
      <c r="V44" s="2">
        <f t="shared" si="17"/>
        <v>38307213.875023909</v>
      </c>
      <c r="W44" s="2">
        <f t="shared" si="17"/>
        <v>37149479.824567758</v>
      </c>
      <c r="X44" s="2">
        <f t="shared" si="17"/>
        <v>35991745.774111606</v>
      </c>
      <c r="Y44" s="2">
        <f t="shared" si="17"/>
        <v>34834011.723655455</v>
      </c>
    </row>
    <row r="45" spans="7:25" x14ac:dyDescent="0.2">
      <c r="G45" s="15">
        <v>2037</v>
      </c>
      <c r="H45" s="11">
        <f t="shared" si="18"/>
        <v>-1732.7658482575821</v>
      </c>
      <c r="I45" s="11">
        <f t="shared" si="19"/>
        <v>-153354472.2354725</v>
      </c>
      <c r="J45" s="16">
        <f t="shared" si="20"/>
        <v>1073481305.6483078</v>
      </c>
      <c r="K45" s="11">
        <f t="shared" si="13"/>
        <v>0</v>
      </c>
      <c r="L45" s="11">
        <f t="shared" si="21"/>
        <v>1.1000000000000003</v>
      </c>
      <c r="M45" s="11">
        <f t="shared" si="14"/>
        <v>770880000.00000024</v>
      </c>
      <c r="N45" s="13">
        <f t="shared" si="15"/>
        <v>617523794.9986794</v>
      </c>
      <c r="O45" s="13">
        <f t="shared" si="16"/>
        <v>40155481.722248279</v>
      </c>
      <c r="P45">
        <v>19</v>
      </c>
      <c r="R45" s="2">
        <f t="shared" si="17"/>
        <v>40155481.722248286</v>
      </c>
      <c r="S45" s="2">
        <f t="shared" si="17"/>
        <v>39108408.89775344</v>
      </c>
      <c r="T45" s="2">
        <f t="shared" si="17"/>
        <v>38061336.073258616</v>
      </c>
      <c r="U45" s="2">
        <f t="shared" si="17"/>
        <v>37014263.248763777</v>
      </c>
      <c r="V45" s="2">
        <f t="shared" si="17"/>
        <v>35967190.424268939</v>
      </c>
      <c r="W45" s="2">
        <f t="shared" si="17"/>
        <v>34920117.5997741</v>
      </c>
      <c r="X45" s="2">
        <f t="shared" si="17"/>
        <v>33873044.775279269</v>
      </c>
      <c r="Y45" s="2">
        <f t="shared" si="17"/>
        <v>32825971.95078443</v>
      </c>
    </row>
    <row r="46" spans="7:25" x14ac:dyDescent="0.2">
      <c r="G46" s="15">
        <v>2038</v>
      </c>
      <c r="H46" s="11">
        <f t="shared" si="18"/>
        <v>-1819.4041406704612</v>
      </c>
      <c r="I46" s="11">
        <f t="shared" si="19"/>
        <v>-156421561.68018195</v>
      </c>
      <c r="J46" s="16">
        <f t="shared" si="20"/>
        <v>1094950931.7612739</v>
      </c>
      <c r="K46" s="11">
        <f t="shared" si="13"/>
        <v>0</v>
      </c>
      <c r="L46" s="11">
        <f t="shared" si="21"/>
        <v>1.1500000000000004</v>
      </c>
      <c r="M46" s="11">
        <f t="shared" si="14"/>
        <v>805920000.00000024</v>
      </c>
      <c r="N46" s="13">
        <f t="shared" si="15"/>
        <v>649496618.91567755</v>
      </c>
      <c r="O46" s="13">
        <f t="shared" si="16"/>
        <v>37448631.154033862</v>
      </c>
      <c r="P46">
        <v>20</v>
      </c>
      <c r="R46" s="2">
        <f t="shared" si="17"/>
        <v>37448631.154033862</v>
      </c>
      <c r="S46" s="2">
        <f t="shared" si="17"/>
        <v>36501642.077083394</v>
      </c>
      <c r="T46" s="2">
        <f t="shared" si="17"/>
        <v>35554653.000132933</v>
      </c>
      <c r="U46" s="2">
        <f t="shared" si="17"/>
        <v>34607663.923182473</v>
      </c>
      <c r="V46" s="2">
        <f t="shared" si="17"/>
        <v>33660674.846231997</v>
      </c>
      <c r="W46" s="2">
        <f t="shared" si="17"/>
        <v>32713685.76928154</v>
      </c>
      <c r="X46" s="2">
        <f t="shared" si="17"/>
        <v>31766696.692331079</v>
      </c>
      <c r="Y46" s="2">
        <f t="shared" si="17"/>
        <v>30819707.615380615</v>
      </c>
    </row>
    <row r="47" spans="7:25" x14ac:dyDescent="0.2">
      <c r="O47" s="8">
        <f>SUM(O27:O46)</f>
        <v>1017455033.2397417</v>
      </c>
      <c r="R47" s="2">
        <f>SUM(R27:R46)+$C$4</f>
        <v>937760033.23974168</v>
      </c>
      <c r="S47" s="2">
        <f t="shared" ref="S47:Y47" si="22">SUM(S27:S46)+$C$4</f>
        <v>879891444.91404092</v>
      </c>
      <c r="T47" s="2">
        <f t="shared" si="22"/>
        <v>822022856.58834028</v>
      </c>
      <c r="U47" s="2">
        <f t="shared" si="22"/>
        <v>764154268.26263976</v>
      </c>
      <c r="V47" s="2">
        <f t="shared" si="22"/>
        <v>706285679.936939</v>
      </c>
      <c r="W47" s="2">
        <f t="shared" si="22"/>
        <v>648417091.61123824</v>
      </c>
      <c r="X47" s="2">
        <f t="shared" si="22"/>
        <v>590548503.2855376</v>
      </c>
      <c r="Y47" s="2">
        <f t="shared" si="22"/>
        <v>532679914.95983696</v>
      </c>
    </row>
    <row r="49" spans="7:25" x14ac:dyDescent="0.2">
      <c r="G49" s="5" t="s">
        <v>4</v>
      </c>
    </row>
    <row r="50" spans="7:25" x14ac:dyDescent="0.2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68996982.1320903</v>
      </c>
      <c r="P51">
        <v>1</v>
      </c>
      <c r="R51" s="2">
        <f>($H51+$I51+$M51+($J51*R$2))*(1-$B$9)/((1+$B$10)^$P51)</f>
        <v>68996982.1320903</v>
      </c>
      <c r="S51" s="2">
        <f t="shared" ref="S51:Y51" si="23">($H51+$I51+$M51+($J51*S$2))*(1-$B$9)/((1+$B$10)^$P51)</f>
        <v>67903313.06487979</v>
      </c>
      <c r="T51" s="2">
        <f t="shared" si="23"/>
        <v>66809643.997669302</v>
      </c>
      <c r="U51" s="2">
        <f t="shared" si="23"/>
        <v>65715974.930458792</v>
      </c>
      <c r="V51" s="2">
        <f t="shared" si="23"/>
        <v>64622305.863248304</v>
      </c>
      <c r="W51" s="2">
        <f t="shared" si="23"/>
        <v>63528636.796037801</v>
      </c>
      <c r="X51" s="2">
        <f t="shared" si="23"/>
        <v>62434967.728827305</v>
      </c>
      <c r="Y51" s="2">
        <f t="shared" si="23"/>
        <v>61341298.661616802</v>
      </c>
    </row>
    <row r="52" spans="7:25" x14ac:dyDescent="0.2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4">J52*$B$11</f>
        <v>0</v>
      </c>
      <c r="L52" s="11">
        <f>L51+0.05</f>
        <v>0.25</v>
      </c>
      <c r="M52" s="11">
        <f t="shared" ref="M52:M70" si="25">L52*80000*365*24</f>
        <v>175200000</v>
      </c>
      <c r="N52" s="13">
        <f t="shared" ref="N52:N70" si="26">M52+K52+H52+I52</f>
        <v>156448193.57142857</v>
      </c>
      <c r="O52" s="13">
        <f t="shared" ref="O52:O70" si="27">N52*(1-$B$9)/((1+$B$10)^P52)</f>
        <v>78597228.209111154</v>
      </c>
      <c r="P52">
        <v>2</v>
      </c>
      <c r="R52" s="2">
        <f t="shared" ref="R52:Y70" si="28">($H52+$I52+$M52+($J52*R$2))*(1-$B$9)/((1+$B$10)^$P52)</f>
        <v>78597228.209111154</v>
      </c>
      <c r="S52" s="2">
        <f t="shared" si="28"/>
        <v>77608096.759780869</v>
      </c>
      <c r="T52" s="2">
        <f t="shared" si="28"/>
        <v>76618965.310450569</v>
      </c>
      <c r="U52" s="2">
        <f t="shared" si="28"/>
        <v>75629833.861120269</v>
      </c>
      <c r="V52" s="2">
        <f t="shared" si="28"/>
        <v>74640702.411789969</v>
      </c>
      <c r="W52" s="2">
        <f t="shared" si="28"/>
        <v>73651570.962459669</v>
      </c>
      <c r="X52" s="2">
        <f t="shared" si="28"/>
        <v>72662439.513129383</v>
      </c>
      <c r="Y52" s="2">
        <f t="shared" si="28"/>
        <v>71673308.063799083</v>
      </c>
    </row>
    <row r="53" spans="7:25" x14ac:dyDescent="0.2">
      <c r="G53" s="15">
        <v>2021</v>
      </c>
      <c r="H53" s="11">
        <f t="shared" ref="H53:H70" si="29">H52*1.05</f>
        <v>-683.55000000000007</v>
      </c>
      <c r="I53" s="11">
        <f t="shared" ref="I53:I70" si="30">I52*1.02</f>
        <v>-19126178.537142858</v>
      </c>
      <c r="J53" s="16">
        <f t="shared" ref="J53:J70" si="31">J52*1.02</f>
        <v>133883249.76000001</v>
      </c>
      <c r="K53" s="11">
        <f t="shared" si="24"/>
        <v>0</v>
      </c>
      <c r="L53" s="11">
        <f t="shared" ref="L53:L70" si="32">L52+0.05</f>
        <v>0.3</v>
      </c>
      <c r="M53" s="11">
        <f t="shared" si="25"/>
        <v>210240000</v>
      </c>
      <c r="N53" s="13">
        <f t="shared" si="26"/>
        <v>191113137.91285712</v>
      </c>
      <c r="O53" s="13">
        <f t="shared" si="27"/>
        <v>85132449.744607046</v>
      </c>
      <c r="P53">
        <v>3</v>
      </c>
      <c r="R53" s="2">
        <f t="shared" si="28"/>
        <v>85132449.744607061</v>
      </c>
      <c r="S53" s="2">
        <f t="shared" si="28"/>
        <v>84237863.755675599</v>
      </c>
      <c r="T53" s="2">
        <f t="shared" si="28"/>
        <v>83343277.766744137</v>
      </c>
      <c r="U53" s="2">
        <f t="shared" si="28"/>
        <v>82448691.77781269</v>
      </c>
      <c r="V53" s="2">
        <f t="shared" si="28"/>
        <v>81554105.788881212</v>
      </c>
      <c r="W53" s="2">
        <f t="shared" si="28"/>
        <v>80659519.79994975</v>
      </c>
      <c r="X53" s="2">
        <f t="shared" si="28"/>
        <v>79764933.811018303</v>
      </c>
      <c r="Y53" s="2">
        <f t="shared" si="28"/>
        <v>78870347.822086826</v>
      </c>
    </row>
    <row r="54" spans="7:25" x14ac:dyDescent="0.2">
      <c r="G54" s="15">
        <v>2022</v>
      </c>
      <c r="H54" s="11">
        <f t="shared" si="29"/>
        <v>-717.72750000000008</v>
      </c>
      <c r="I54" s="11">
        <f t="shared" si="30"/>
        <v>-19508702.107885715</v>
      </c>
      <c r="J54" s="16">
        <f t="shared" si="31"/>
        <v>136560914.7552</v>
      </c>
      <c r="K54" s="11">
        <f t="shared" si="24"/>
        <v>0</v>
      </c>
      <c r="L54" s="11">
        <f t="shared" si="32"/>
        <v>0.35</v>
      </c>
      <c r="M54" s="11">
        <f t="shared" si="25"/>
        <v>245280000</v>
      </c>
      <c r="N54" s="13">
        <f t="shared" si="26"/>
        <v>225770580.16461429</v>
      </c>
      <c r="O54" s="13">
        <f t="shared" si="27"/>
        <v>89174328.180240974</v>
      </c>
      <c r="P54">
        <v>4</v>
      </c>
      <c r="R54" s="2">
        <f t="shared" si="28"/>
        <v>89174328.180240974</v>
      </c>
      <c r="S54" s="2">
        <f t="shared" si="28"/>
        <v>88365250.587839782</v>
      </c>
      <c r="T54" s="2">
        <f t="shared" si="28"/>
        <v>87556172.995438546</v>
      </c>
      <c r="U54" s="2">
        <f t="shared" si="28"/>
        <v>86747095.403037339</v>
      </c>
      <c r="V54" s="2">
        <f t="shared" si="28"/>
        <v>85938017.810636133</v>
      </c>
      <c r="W54" s="2">
        <f t="shared" si="28"/>
        <v>85128940.218234912</v>
      </c>
      <c r="X54" s="2">
        <f t="shared" si="28"/>
        <v>84319862.62583369</v>
      </c>
      <c r="Y54" s="2">
        <f t="shared" si="28"/>
        <v>83510785.033432484</v>
      </c>
    </row>
    <row r="55" spans="7:25" x14ac:dyDescent="0.2">
      <c r="G55" s="15">
        <v>2023</v>
      </c>
      <c r="H55" s="11">
        <f t="shared" si="29"/>
        <v>-753.61387500000012</v>
      </c>
      <c r="I55" s="11">
        <f t="shared" si="30"/>
        <v>-19898876.150043428</v>
      </c>
      <c r="J55" s="16">
        <f t="shared" si="31"/>
        <v>139292133.050304</v>
      </c>
      <c r="K55" s="11">
        <f t="shared" si="24"/>
        <v>0</v>
      </c>
      <c r="L55" s="11">
        <f t="shared" si="32"/>
        <v>0.39999999999999997</v>
      </c>
      <c r="M55" s="11">
        <f t="shared" si="25"/>
        <v>280319999.99999994</v>
      </c>
      <c r="N55" s="13">
        <f t="shared" si="26"/>
        <v>260420370.23608154</v>
      </c>
      <c r="O55" s="13">
        <f t="shared" si="27"/>
        <v>91204309.333574384</v>
      </c>
      <c r="P55">
        <v>5</v>
      </c>
      <c r="R55" s="2">
        <f t="shared" si="28"/>
        <v>91204309.333574355</v>
      </c>
      <c r="S55" s="2">
        <f t="shared" si="28"/>
        <v>90472566.875470757</v>
      </c>
      <c r="T55" s="2">
        <f t="shared" si="28"/>
        <v>89740824.41736716</v>
      </c>
      <c r="U55" s="2">
        <f t="shared" si="28"/>
        <v>89009081.959263563</v>
      </c>
      <c r="V55" s="2">
        <f t="shared" si="28"/>
        <v>88277339.501159951</v>
      </c>
      <c r="W55" s="2">
        <f t="shared" si="28"/>
        <v>87545597.043056369</v>
      </c>
      <c r="X55" s="2">
        <f t="shared" si="28"/>
        <v>86813854.584952757</v>
      </c>
      <c r="Y55" s="2">
        <f t="shared" si="28"/>
        <v>86082112.12684916</v>
      </c>
    </row>
    <row r="56" spans="7:25" x14ac:dyDescent="0.2">
      <c r="G56" s="15">
        <v>2024</v>
      </c>
      <c r="H56" s="11">
        <f t="shared" si="29"/>
        <v>-791.29456875000017</v>
      </c>
      <c r="I56" s="11">
        <f t="shared" si="30"/>
        <v>-20296853.673044298</v>
      </c>
      <c r="J56" s="16">
        <f t="shared" si="31"/>
        <v>142077975.71131009</v>
      </c>
      <c r="K56" s="11">
        <f t="shared" si="24"/>
        <v>0</v>
      </c>
      <c r="L56" s="11">
        <f t="shared" si="32"/>
        <v>0.44999999999999996</v>
      </c>
      <c r="M56" s="11">
        <f t="shared" si="25"/>
        <v>315360000</v>
      </c>
      <c r="N56" s="13">
        <f t="shared" si="26"/>
        <v>295062355.0323869</v>
      </c>
      <c r="O56" s="13">
        <f t="shared" si="27"/>
        <v>91626715.95420213</v>
      </c>
      <c r="P56">
        <v>6</v>
      </c>
      <c r="R56" s="2">
        <f t="shared" si="28"/>
        <v>91626715.954202145</v>
      </c>
      <c r="S56" s="2">
        <f t="shared" si="28"/>
        <v>90964916.603904516</v>
      </c>
      <c r="T56" s="2">
        <f t="shared" si="28"/>
        <v>90303117.253606871</v>
      </c>
      <c r="U56" s="2">
        <f t="shared" si="28"/>
        <v>89641317.903309241</v>
      </c>
      <c r="V56" s="2">
        <f t="shared" si="28"/>
        <v>88979518.553011611</v>
      </c>
      <c r="W56" s="2">
        <f t="shared" si="28"/>
        <v>88317719.202713966</v>
      </c>
      <c r="X56" s="2">
        <f t="shared" si="28"/>
        <v>87655919.852416337</v>
      </c>
      <c r="Y56" s="2">
        <f t="shared" si="28"/>
        <v>86994120.502118707</v>
      </c>
    </row>
    <row r="57" spans="7:25" x14ac:dyDescent="0.2">
      <c r="G57" s="15">
        <v>2025</v>
      </c>
      <c r="H57" s="11">
        <f t="shared" si="29"/>
        <v>-830.85929718750026</v>
      </c>
      <c r="I57" s="11">
        <f t="shared" si="30"/>
        <v>-20702790.746505186</v>
      </c>
      <c r="J57" s="16">
        <f t="shared" si="31"/>
        <v>144919535.22553629</v>
      </c>
      <c r="K57" s="11">
        <f t="shared" si="24"/>
        <v>0</v>
      </c>
      <c r="L57" s="11">
        <f t="shared" si="32"/>
        <v>0.49999999999999994</v>
      </c>
      <c r="M57" s="11">
        <f t="shared" si="25"/>
        <v>350399999.99999994</v>
      </c>
      <c r="N57" s="13">
        <f t="shared" si="26"/>
        <v>329696378.39419752</v>
      </c>
      <c r="O57" s="13">
        <f t="shared" si="27"/>
        <v>90780046.942243829</v>
      </c>
      <c r="P57">
        <v>7</v>
      </c>
      <c r="R57" s="2">
        <f t="shared" si="28"/>
        <v>90780046.942243844</v>
      </c>
      <c r="S57" s="2">
        <f t="shared" si="28"/>
        <v>90181505.235111758</v>
      </c>
      <c r="T57" s="2">
        <f t="shared" si="28"/>
        <v>89582963.527979642</v>
      </c>
      <c r="U57" s="2">
        <f t="shared" si="28"/>
        <v>88984421.820847541</v>
      </c>
      <c r="V57" s="2">
        <f t="shared" si="28"/>
        <v>88385880.113715425</v>
      </c>
      <c r="W57" s="2">
        <f t="shared" si="28"/>
        <v>87787338.406583339</v>
      </c>
      <c r="X57" s="2">
        <f t="shared" si="28"/>
        <v>87188796.699451223</v>
      </c>
      <c r="Y57" s="2">
        <f t="shared" si="28"/>
        <v>86590254.992319122</v>
      </c>
    </row>
    <row r="58" spans="7:25" x14ac:dyDescent="0.2">
      <c r="G58" s="15">
        <v>2026</v>
      </c>
      <c r="H58" s="11">
        <f t="shared" si="29"/>
        <v>-872.40226204687531</v>
      </c>
      <c r="I58" s="11">
        <f t="shared" si="30"/>
        <v>-21116846.56143529</v>
      </c>
      <c r="J58" s="16">
        <f t="shared" si="31"/>
        <v>147817925.93004701</v>
      </c>
      <c r="K58" s="11">
        <f t="shared" si="24"/>
        <v>0</v>
      </c>
      <c r="L58" s="11">
        <f t="shared" si="32"/>
        <v>0.54999999999999993</v>
      </c>
      <c r="M58" s="11">
        <f t="shared" si="25"/>
        <v>385439999.99999994</v>
      </c>
      <c r="N58" s="13">
        <f t="shared" si="26"/>
        <v>364322281.03630263</v>
      </c>
      <c r="O58" s="13">
        <f t="shared" si="27"/>
        <v>88946705.844966277</v>
      </c>
      <c r="P58">
        <v>8</v>
      </c>
      <c r="R58" s="2">
        <f t="shared" si="28"/>
        <v>88946705.844966277</v>
      </c>
      <c r="S58" s="2">
        <f t="shared" si="28"/>
        <v>88405375.34197396</v>
      </c>
      <c r="T58" s="2">
        <f t="shared" si="28"/>
        <v>87864044.838981628</v>
      </c>
      <c r="U58" s="2">
        <f t="shared" si="28"/>
        <v>87322714.335989296</v>
      </c>
      <c r="V58" s="2">
        <f t="shared" si="28"/>
        <v>86781383.832996979</v>
      </c>
      <c r="W58" s="2">
        <f t="shared" si="28"/>
        <v>86240053.330004647</v>
      </c>
      <c r="X58" s="2">
        <f t="shared" si="28"/>
        <v>85698722.827012315</v>
      </c>
      <c r="Y58" s="2">
        <f t="shared" si="28"/>
        <v>85157392.324019998</v>
      </c>
    </row>
    <row r="59" spans="7:25" x14ac:dyDescent="0.2">
      <c r="G59" s="15">
        <v>2027</v>
      </c>
      <c r="H59" s="11">
        <f t="shared" si="29"/>
        <v>-916.0223751492191</v>
      </c>
      <c r="I59" s="11">
        <f t="shared" si="30"/>
        <v>-21539183.492663994</v>
      </c>
      <c r="J59" s="16">
        <f t="shared" si="31"/>
        <v>150774284.44864795</v>
      </c>
      <c r="K59" s="11">
        <f t="shared" si="24"/>
        <v>0</v>
      </c>
      <c r="L59" s="11">
        <f t="shared" si="32"/>
        <v>0.6</v>
      </c>
      <c r="M59" s="11">
        <f t="shared" si="25"/>
        <v>420480000</v>
      </c>
      <c r="N59" s="13">
        <f t="shared" si="26"/>
        <v>398939900.48496085</v>
      </c>
      <c r="O59" s="13">
        <f t="shared" si="27"/>
        <v>86361369.54435949</v>
      </c>
      <c r="P59">
        <v>9</v>
      </c>
      <c r="R59" s="2">
        <f t="shared" si="28"/>
        <v>86361369.54435949</v>
      </c>
      <c r="S59" s="2">
        <f t="shared" si="28"/>
        <v>85871781.751264811</v>
      </c>
      <c r="T59" s="2">
        <f t="shared" si="28"/>
        <v>85382193.958170146</v>
      </c>
      <c r="U59" s="2">
        <f t="shared" si="28"/>
        <v>84892606.165075466</v>
      </c>
      <c r="V59" s="2">
        <f t="shared" si="28"/>
        <v>84403018.371980801</v>
      </c>
      <c r="W59" s="2">
        <f t="shared" si="28"/>
        <v>83913430.578886107</v>
      </c>
      <c r="X59" s="2">
        <f t="shared" si="28"/>
        <v>83423842.785791442</v>
      </c>
      <c r="Y59" s="2">
        <f t="shared" si="28"/>
        <v>82934254.992696762</v>
      </c>
    </row>
    <row r="60" spans="7:25" x14ac:dyDescent="0.2">
      <c r="G60" s="15">
        <v>2028</v>
      </c>
      <c r="H60" s="11">
        <f t="shared" si="29"/>
        <v>-961.82349390668014</v>
      </c>
      <c r="I60" s="11">
        <f t="shared" si="30"/>
        <v>-21969967.162517276</v>
      </c>
      <c r="J60" s="16">
        <f t="shared" si="31"/>
        <v>153789770.1376209</v>
      </c>
      <c r="K60" s="11">
        <f t="shared" si="24"/>
        <v>0</v>
      </c>
      <c r="L60" s="11">
        <f t="shared" si="32"/>
        <v>0.65</v>
      </c>
      <c r="M60" s="11">
        <f t="shared" si="25"/>
        <v>455520000</v>
      </c>
      <c r="N60" s="13">
        <f t="shared" si="26"/>
        <v>433549071.01398885</v>
      </c>
      <c r="O60" s="13">
        <f t="shared" si="27"/>
        <v>83218180.415385693</v>
      </c>
      <c r="P60">
        <v>10</v>
      </c>
      <c r="R60" s="2">
        <f t="shared" si="28"/>
        <v>83218180.415385693</v>
      </c>
      <c r="S60" s="2">
        <f t="shared" si="28"/>
        <v>82775389.540269032</v>
      </c>
      <c r="T60" s="2">
        <f t="shared" si="28"/>
        <v>82332598.665152386</v>
      </c>
      <c r="U60" s="2">
        <f t="shared" si="28"/>
        <v>81889807.790035725</v>
      </c>
      <c r="V60" s="2">
        <f t="shared" si="28"/>
        <v>81447016.914919049</v>
      </c>
      <c r="W60" s="2">
        <f t="shared" si="28"/>
        <v>81004226.039802402</v>
      </c>
      <c r="X60" s="2">
        <f t="shared" si="28"/>
        <v>80561435.164685741</v>
      </c>
      <c r="Y60" s="2">
        <f t="shared" si="28"/>
        <v>80118644.28956908</v>
      </c>
    </row>
    <row r="61" spans="7:25" x14ac:dyDescent="0.2">
      <c r="G61" s="15">
        <v>2029</v>
      </c>
      <c r="H61" s="11">
        <f t="shared" si="29"/>
        <v>-1009.9146686020142</v>
      </c>
      <c r="I61" s="11">
        <f t="shared" si="30"/>
        <v>-22409366.505767621</v>
      </c>
      <c r="J61" s="16">
        <f t="shared" si="31"/>
        <v>156865565.54037333</v>
      </c>
      <c r="K61" s="11">
        <f t="shared" si="24"/>
        <v>0</v>
      </c>
      <c r="L61" s="11">
        <f t="shared" si="32"/>
        <v>0.70000000000000007</v>
      </c>
      <c r="M61" s="11">
        <f t="shared" si="25"/>
        <v>490560000.00000012</v>
      </c>
      <c r="N61" s="13">
        <f t="shared" si="26"/>
        <v>468149623.57956386</v>
      </c>
      <c r="O61" s="13">
        <f t="shared" si="27"/>
        <v>79676921.156061262</v>
      </c>
      <c r="P61">
        <v>11</v>
      </c>
      <c r="R61" s="2">
        <f t="shared" si="28"/>
        <v>79676921.156061277</v>
      </c>
      <c r="S61" s="2">
        <f t="shared" si="28"/>
        <v>79276454.147177607</v>
      </c>
      <c r="T61" s="2">
        <f t="shared" si="28"/>
        <v>78875987.138293952</v>
      </c>
      <c r="U61" s="2">
        <f t="shared" si="28"/>
        <v>78475520.129410297</v>
      </c>
      <c r="V61" s="2">
        <f t="shared" si="28"/>
        <v>78075053.120526642</v>
      </c>
      <c r="W61" s="2">
        <f t="shared" si="28"/>
        <v>77674586.111642972</v>
      </c>
      <c r="X61" s="2">
        <f t="shared" si="28"/>
        <v>77274119.102759317</v>
      </c>
      <c r="Y61" s="2">
        <f t="shared" si="28"/>
        <v>76873652.093875661</v>
      </c>
    </row>
    <row r="62" spans="7:25" x14ac:dyDescent="0.2">
      <c r="G62" s="15">
        <v>2030</v>
      </c>
      <c r="H62" s="11">
        <f t="shared" si="29"/>
        <v>-1060.4104020321149</v>
      </c>
      <c r="I62" s="11">
        <f t="shared" si="30"/>
        <v>-22857553.835882973</v>
      </c>
      <c r="J62" s="16">
        <f t="shared" si="31"/>
        <v>160002876.85118079</v>
      </c>
      <c r="K62" s="11">
        <f t="shared" si="24"/>
        <v>0</v>
      </c>
      <c r="L62" s="11">
        <f t="shared" si="32"/>
        <v>0.75000000000000011</v>
      </c>
      <c r="M62" s="11">
        <f t="shared" si="25"/>
        <v>525600000.00000012</v>
      </c>
      <c r="N62" s="13">
        <f t="shared" si="26"/>
        <v>502741385.7537151</v>
      </c>
      <c r="O62" s="13">
        <f t="shared" si="27"/>
        <v>75868310.515748873</v>
      </c>
      <c r="P62">
        <v>12</v>
      </c>
      <c r="R62" s="2">
        <f t="shared" si="28"/>
        <v>75868310.515748873</v>
      </c>
      <c r="S62" s="2">
        <f t="shared" si="28"/>
        <v>75506121.874978051</v>
      </c>
      <c r="T62" s="2">
        <f t="shared" si="28"/>
        <v>75143933.234207228</v>
      </c>
      <c r="U62" s="2">
        <f t="shared" si="28"/>
        <v>74781744.593436405</v>
      </c>
      <c r="V62" s="2">
        <f t="shared" si="28"/>
        <v>74419555.952665582</v>
      </c>
      <c r="W62" s="2">
        <f t="shared" si="28"/>
        <v>74057367.31189476</v>
      </c>
      <c r="X62" s="2">
        <f t="shared" si="28"/>
        <v>73695178.671123952</v>
      </c>
      <c r="Y62" s="2">
        <f t="shared" si="28"/>
        <v>73332990.030353129</v>
      </c>
    </row>
    <row r="63" spans="7:25" x14ac:dyDescent="0.2">
      <c r="G63" s="15">
        <v>2031</v>
      </c>
      <c r="H63" s="11">
        <f t="shared" si="29"/>
        <v>-1113.4309221337207</v>
      </c>
      <c r="I63" s="11">
        <f t="shared" si="30"/>
        <v>-23314704.912600633</v>
      </c>
      <c r="J63" s="16">
        <f t="shared" si="31"/>
        <v>163202934.3882044</v>
      </c>
      <c r="K63" s="11">
        <f t="shared" si="24"/>
        <v>0</v>
      </c>
      <c r="L63" s="11">
        <f t="shared" si="32"/>
        <v>0.80000000000000016</v>
      </c>
      <c r="M63" s="11">
        <f t="shared" si="25"/>
        <v>560640000.00000012</v>
      </c>
      <c r="N63" s="13">
        <f t="shared" si="26"/>
        <v>537324181.65647733</v>
      </c>
      <c r="O63" s="13">
        <f t="shared" si="27"/>
        <v>71898539.882773593</v>
      </c>
      <c r="P63">
        <v>13</v>
      </c>
      <c r="R63" s="2">
        <f t="shared" si="28"/>
        <v>71898539.882773593</v>
      </c>
      <c r="S63" s="2">
        <f t="shared" si="28"/>
        <v>71570970.798196331</v>
      </c>
      <c r="T63" s="2">
        <f t="shared" si="28"/>
        <v>71243401.713619068</v>
      </c>
      <c r="U63" s="2">
        <f t="shared" si="28"/>
        <v>70915832.629041806</v>
      </c>
      <c r="V63" s="2">
        <f t="shared" si="28"/>
        <v>70588263.544464529</v>
      </c>
      <c r="W63" s="2">
        <f t="shared" si="28"/>
        <v>70260694.459887281</v>
      </c>
      <c r="X63" s="2">
        <f t="shared" si="28"/>
        <v>69933125.375310004</v>
      </c>
      <c r="Y63" s="2">
        <f t="shared" si="28"/>
        <v>69605556.290732741</v>
      </c>
    </row>
    <row r="64" spans="7:25" x14ac:dyDescent="0.2">
      <c r="G64" s="15">
        <v>2032</v>
      </c>
      <c r="H64" s="11">
        <f t="shared" si="29"/>
        <v>-1169.1024682404068</v>
      </c>
      <c r="I64" s="11">
        <f t="shared" si="30"/>
        <v>-23780999.010852646</v>
      </c>
      <c r="J64" s="16">
        <f t="shared" si="31"/>
        <v>166466993.07596847</v>
      </c>
      <c r="K64" s="11">
        <f t="shared" si="24"/>
        <v>0</v>
      </c>
      <c r="L64" s="11">
        <f t="shared" si="32"/>
        <v>0.8500000000000002</v>
      </c>
      <c r="M64" s="11">
        <f t="shared" si="25"/>
        <v>595680000.00000012</v>
      </c>
      <c r="N64" s="13">
        <f t="shared" si="26"/>
        <v>571897831.88667917</v>
      </c>
      <c r="O64" s="13">
        <f t="shared" si="27"/>
        <v>67853154.79197818</v>
      </c>
      <c r="P64">
        <v>14</v>
      </c>
      <c r="R64" s="2">
        <f t="shared" si="28"/>
        <v>67853154.79197818</v>
      </c>
      <c r="S64" s="2">
        <f t="shared" si="28"/>
        <v>67556896.176737174</v>
      </c>
      <c r="T64" s="2">
        <f t="shared" si="28"/>
        <v>67260637.561496168</v>
      </c>
      <c r="U64" s="2">
        <f t="shared" si="28"/>
        <v>66964378.946255147</v>
      </c>
      <c r="V64" s="2">
        <f t="shared" si="28"/>
        <v>66668120.331014141</v>
      </c>
      <c r="W64" s="2">
        <f t="shared" si="28"/>
        <v>66371861.715773135</v>
      </c>
      <c r="X64" s="2">
        <f t="shared" si="28"/>
        <v>66075603.100532129</v>
      </c>
      <c r="Y64" s="2">
        <f t="shared" si="28"/>
        <v>65779344.485291123</v>
      </c>
    </row>
    <row r="65" spans="7:25" x14ac:dyDescent="0.2">
      <c r="G65" s="15">
        <v>2033</v>
      </c>
      <c r="H65" s="11">
        <f t="shared" si="29"/>
        <v>-1227.5575916524272</v>
      </c>
      <c r="I65" s="11">
        <f t="shared" si="30"/>
        <v>-24256618.991069701</v>
      </c>
      <c r="J65" s="16">
        <f t="shared" si="31"/>
        <v>169796332.93748784</v>
      </c>
      <c r="K65" s="11">
        <f t="shared" si="24"/>
        <v>0</v>
      </c>
      <c r="L65" s="11">
        <f t="shared" si="32"/>
        <v>0.90000000000000024</v>
      </c>
      <c r="M65" s="11">
        <f t="shared" si="25"/>
        <v>630720000.00000012</v>
      </c>
      <c r="N65" s="13">
        <f t="shared" si="26"/>
        <v>606462153.45133877</v>
      </c>
      <c r="O65" s="13">
        <f t="shared" si="27"/>
        <v>63800371.575687245</v>
      </c>
      <c r="P65">
        <v>15</v>
      </c>
      <c r="R65" s="2">
        <f t="shared" si="28"/>
        <v>63800371.575687245</v>
      </c>
      <c r="S65" s="2">
        <f t="shared" si="28"/>
        <v>63532430.639753722</v>
      </c>
      <c r="T65" s="2">
        <f t="shared" si="28"/>
        <v>63264489.703820191</v>
      </c>
      <c r="U65" s="2">
        <f t="shared" si="28"/>
        <v>62996548.767886668</v>
      </c>
      <c r="V65" s="2">
        <f t="shared" si="28"/>
        <v>62728607.831953153</v>
      </c>
      <c r="W65" s="2">
        <f t="shared" si="28"/>
        <v>62460666.896019623</v>
      </c>
      <c r="X65" s="2">
        <f t="shared" si="28"/>
        <v>62192725.960086092</v>
      </c>
      <c r="Y65" s="2">
        <f t="shared" si="28"/>
        <v>61924785.024152569</v>
      </c>
    </row>
    <row r="66" spans="7:25" x14ac:dyDescent="0.2">
      <c r="G66" s="15">
        <v>2034</v>
      </c>
      <c r="H66" s="11">
        <f t="shared" si="29"/>
        <v>-1288.9354712350487</v>
      </c>
      <c r="I66" s="11">
        <f t="shared" si="30"/>
        <v>-24741751.370891094</v>
      </c>
      <c r="J66" s="16">
        <f t="shared" si="31"/>
        <v>173192259.5962376</v>
      </c>
      <c r="K66" s="11">
        <f t="shared" si="24"/>
        <v>0</v>
      </c>
      <c r="L66" s="11">
        <f t="shared" si="32"/>
        <v>0.95000000000000029</v>
      </c>
      <c r="M66" s="11">
        <f t="shared" si="25"/>
        <v>665760000.00000024</v>
      </c>
      <c r="N66" s="13">
        <f t="shared" si="26"/>
        <v>641016959.69363797</v>
      </c>
      <c r="O66" s="13">
        <f t="shared" si="27"/>
        <v>59793907.344291329</v>
      </c>
      <c r="P66">
        <v>16</v>
      </c>
      <c r="R66" s="2">
        <f t="shared" si="28"/>
        <v>59793907.344291322</v>
      </c>
      <c r="S66" s="2">
        <f t="shared" si="28"/>
        <v>59551577.361446664</v>
      </c>
      <c r="T66" s="2">
        <f t="shared" si="28"/>
        <v>59309247.37860202</v>
      </c>
      <c r="U66" s="2">
        <f t="shared" si="28"/>
        <v>59066917.39575737</v>
      </c>
      <c r="V66" s="2">
        <f t="shared" si="28"/>
        <v>58824587.412912719</v>
      </c>
      <c r="W66" s="2">
        <f t="shared" si="28"/>
        <v>58582257.430068068</v>
      </c>
      <c r="X66" s="2">
        <f t="shared" si="28"/>
        <v>58339927.447223425</v>
      </c>
      <c r="Y66" s="2">
        <f t="shared" si="28"/>
        <v>58097597.464378774</v>
      </c>
    </row>
    <row r="67" spans="7:25" x14ac:dyDescent="0.2">
      <c r="G67" s="15">
        <v>2035</v>
      </c>
      <c r="H67" s="11">
        <f t="shared" si="29"/>
        <v>-1353.3822447968012</v>
      </c>
      <c r="I67" s="11">
        <f t="shared" si="30"/>
        <v>-25236586.398308918</v>
      </c>
      <c r="J67" s="16">
        <f t="shared" si="31"/>
        <v>176656104.78816235</v>
      </c>
      <c r="K67" s="11">
        <f t="shared" si="24"/>
        <v>0</v>
      </c>
      <c r="L67" s="11">
        <f t="shared" si="32"/>
        <v>1.0000000000000002</v>
      </c>
      <c r="M67" s="11">
        <f t="shared" si="25"/>
        <v>700800000.00000012</v>
      </c>
      <c r="N67" s="13">
        <f t="shared" si="26"/>
        <v>675562060.21944642</v>
      </c>
      <c r="O67" s="13">
        <f t="shared" si="27"/>
        <v>55875391.01504039</v>
      </c>
      <c r="P67">
        <v>17</v>
      </c>
      <c r="R67" s="2">
        <f t="shared" si="28"/>
        <v>55875391.01504039</v>
      </c>
      <c r="S67" s="2">
        <f t="shared" si="28"/>
        <v>55656223.979660414</v>
      </c>
      <c r="T67" s="2">
        <f t="shared" si="28"/>
        <v>55437056.944280423</v>
      </c>
      <c r="U67" s="2">
        <f t="shared" si="28"/>
        <v>55217889.908900447</v>
      </c>
      <c r="V67" s="2">
        <f t="shared" si="28"/>
        <v>54998722.873520471</v>
      </c>
      <c r="W67" s="2">
        <f t="shared" si="28"/>
        <v>54779555.838140488</v>
      </c>
      <c r="X67" s="2">
        <f t="shared" si="28"/>
        <v>54560388.802760504</v>
      </c>
      <c r="Y67" s="2">
        <f t="shared" si="28"/>
        <v>54341221.767380528</v>
      </c>
    </row>
    <row r="68" spans="7:25" x14ac:dyDescent="0.2">
      <c r="G68" s="15">
        <v>2036</v>
      </c>
      <c r="H68" s="11">
        <f t="shared" si="29"/>
        <v>-1421.0513570366413</v>
      </c>
      <c r="I68" s="11">
        <f t="shared" si="30"/>
        <v>-25741318.126275096</v>
      </c>
      <c r="J68" s="16">
        <f t="shared" si="31"/>
        <v>180189226.88392559</v>
      </c>
      <c r="K68" s="11">
        <f t="shared" si="24"/>
        <v>0</v>
      </c>
      <c r="L68" s="11">
        <f t="shared" si="32"/>
        <v>1.0500000000000003</v>
      </c>
      <c r="M68" s="11">
        <f t="shared" si="25"/>
        <v>735840000.00000012</v>
      </c>
      <c r="N68" s="13">
        <f t="shared" si="26"/>
        <v>710097260.82236803</v>
      </c>
      <c r="O68" s="13">
        <f t="shared" si="27"/>
        <v>52076414.008475021</v>
      </c>
      <c r="P68">
        <v>18</v>
      </c>
      <c r="R68" s="2">
        <f t="shared" si="28"/>
        <v>52076414.008475021</v>
      </c>
      <c r="S68" s="2">
        <f t="shared" si="28"/>
        <v>51878195.905896917</v>
      </c>
      <c r="T68" s="2">
        <f t="shared" si="28"/>
        <v>51679977.803318821</v>
      </c>
      <c r="U68" s="2">
        <f t="shared" si="28"/>
        <v>51481759.700740717</v>
      </c>
      <c r="V68" s="2">
        <f t="shared" si="28"/>
        <v>51283541.598162621</v>
      </c>
      <c r="W68" s="2">
        <f t="shared" si="28"/>
        <v>51085323.495584525</v>
      </c>
      <c r="X68" s="2">
        <f t="shared" si="28"/>
        <v>50887105.393006422</v>
      </c>
      <c r="Y68" s="2">
        <f t="shared" si="28"/>
        <v>50688887.290428326</v>
      </c>
    </row>
    <row r="69" spans="7:25" x14ac:dyDescent="0.2">
      <c r="G69" s="15">
        <v>2037</v>
      </c>
      <c r="H69" s="11">
        <f t="shared" si="29"/>
        <v>-1492.1039248884736</v>
      </c>
      <c r="I69" s="11">
        <f t="shared" si="30"/>
        <v>-26256144.4888006</v>
      </c>
      <c r="J69" s="16">
        <f t="shared" si="31"/>
        <v>183793011.4216041</v>
      </c>
      <c r="K69" s="11">
        <f t="shared" si="24"/>
        <v>0</v>
      </c>
      <c r="L69" s="11">
        <f t="shared" si="32"/>
        <v>1.1000000000000003</v>
      </c>
      <c r="M69" s="11">
        <f t="shared" si="25"/>
        <v>770880000.00000024</v>
      </c>
      <c r="N69" s="13">
        <f t="shared" si="26"/>
        <v>744622363.40727472</v>
      </c>
      <c r="O69" s="13">
        <f t="shared" si="27"/>
        <v>48420271.325483218</v>
      </c>
      <c r="P69">
        <v>19</v>
      </c>
      <c r="R69" s="2">
        <f t="shared" si="28"/>
        <v>48420271.325483218</v>
      </c>
      <c r="S69" s="2">
        <f t="shared" si="28"/>
        <v>48240999.766137891</v>
      </c>
      <c r="T69" s="2">
        <f t="shared" si="28"/>
        <v>48061728.206792563</v>
      </c>
      <c r="U69" s="2">
        <f t="shared" si="28"/>
        <v>47882456.647447236</v>
      </c>
      <c r="V69" s="2">
        <f t="shared" si="28"/>
        <v>47703185.088101901</v>
      </c>
      <c r="W69" s="2">
        <f t="shared" si="28"/>
        <v>47523913.528756581</v>
      </c>
      <c r="X69" s="2">
        <f t="shared" si="28"/>
        <v>47344641.969411254</v>
      </c>
      <c r="Y69" s="2">
        <f t="shared" si="28"/>
        <v>47165370.410065919</v>
      </c>
    </row>
    <row r="70" spans="7:25" x14ac:dyDescent="0.2">
      <c r="G70" s="15">
        <v>2038</v>
      </c>
      <c r="H70" s="11">
        <f t="shared" si="29"/>
        <v>-1566.7091211328973</v>
      </c>
      <c r="I70" s="11">
        <f t="shared" si="30"/>
        <v>-26781267.378576614</v>
      </c>
      <c r="J70" s="16">
        <f t="shared" si="31"/>
        <v>187468871.65003619</v>
      </c>
      <c r="K70" s="11">
        <f t="shared" si="24"/>
        <v>0</v>
      </c>
      <c r="L70" s="11">
        <f t="shared" si="32"/>
        <v>1.1500000000000004</v>
      </c>
      <c r="M70" s="11">
        <f t="shared" si="25"/>
        <v>805920000.00000024</v>
      </c>
      <c r="N70" s="13">
        <f t="shared" si="26"/>
        <v>779137165.91230249</v>
      </c>
      <c r="O70" s="13">
        <f t="shared" si="27"/>
        <v>44923436.850773133</v>
      </c>
      <c r="P70">
        <v>20</v>
      </c>
      <c r="R70" s="2">
        <f t="shared" si="28"/>
        <v>44923436.850773133</v>
      </c>
      <c r="S70" s="2">
        <f t="shared" si="28"/>
        <v>44761300.842143729</v>
      </c>
      <c r="T70" s="2">
        <f t="shared" si="28"/>
        <v>44599164.833514333</v>
      </c>
      <c r="U70" s="2">
        <f t="shared" si="28"/>
        <v>44437028.824884936</v>
      </c>
      <c r="V70" s="2">
        <f t="shared" si="28"/>
        <v>44274892.81625554</v>
      </c>
      <c r="W70" s="2">
        <f t="shared" si="28"/>
        <v>44112756.807626143</v>
      </c>
      <c r="X70" s="2">
        <f t="shared" si="28"/>
        <v>43950620.798996747</v>
      </c>
      <c r="Y70" s="2">
        <f t="shared" si="28"/>
        <v>43788484.790367343</v>
      </c>
    </row>
    <row r="71" spans="7:25" x14ac:dyDescent="0.2">
      <c r="O71" s="8">
        <f>SUM(O51:O70)</f>
        <v>1474225034.7670937</v>
      </c>
      <c r="R71" s="2">
        <f>SUM(R51:R70)+$D$4</f>
        <v>1397759018.7670934</v>
      </c>
      <c r="S71" s="2">
        <f t="shared" ref="S71:Y71" si="33">SUM(S51:S70)+$D$4</f>
        <v>1387851215.0082994</v>
      </c>
      <c r="T71" s="2">
        <f t="shared" si="33"/>
        <v>1377943411.2495055</v>
      </c>
      <c r="U71" s="2">
        <f t="shared" si="33"/>
        <v>1368035607.490711</v>
      </c>
      <c r="V71" s="2">
        <f t="shared" si="33"/>
        <v>1358127803.7319164</v>
      </c>
      <c r="W71" s="2">
        <f t="shared" si="33"/>
        <v>1348219999.9731228</v>
      </c>
      <c r="X71" s="2">
        <f t="shared" si="33"/>
        <v>1338312196.2143281</v>
      </c>
      <c r="Y71" s="2">
        <f t="shared" si="33"/>
        <v>1328404392.4555342</v>
      </c>
    </row>
    <row r="73" spans="7:25" x14ac:dyDescent="0.2">
      <c r="G73" s="5" t="s">
        <v>5</v>
      </c>
    </row>
    <row r="74" spans="7:25" x14ac:dyDescent="0.2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">
      <c r="G75" s="15">
        <v>2019</v>
      </c>
      <c r="H75" s="11">
        <v>-1040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10010388.571428567</v>
      </c>
      <c r="O75" s="13">
        <f>N75*(1-$B$9)/((1+$B$10)^P75)</f>
        <v>5671784.2677273061</v>
      </c>
      <c r="P75">
        <v>1</v>
      </c>
      <c r="R75" s="2">
        <f>($H75+$I75+$M75+($J75*R$2))*(1-$B$9)/((1+$B$10)^$P75)</f>
        <v>5671784.2677273061</v>
      </c>
      <c r="S75" s="2">
        <f t="shared" ref="S75:Y75" si="34">($H75+$I75+$M75+($J75*S$2))*(1-$B$9)/((1+$B$10)^$P75)</f>
        <v>-2071005.5886302055</v>
      </c>
      <c r="T75" s="2">
        <f t="shared" si="34"/>
        <v>-9813795.4449877162</v>
      </c>
      <c r="U75" s="2">
        <f t="shared" si="34"/>
        <v>-17556585.301345229</v>
      </c>
      <c r="V75" s="2">
        <f t="shared" si="34"/>
        <v>-25299375.157702737</v>
      </c>
      <c r="W75" s="2">
        <f t="shared" si="34"/>
        <v>-33042165.014060248</v>
      </c>
      <c r="X75" s="2">
        <f t="shared" si="34"/>
        <v>-40784954.870417766</v>
      </c>
      <c r="Y75" s="2">
        <f t="shared" si="34"/>
        <v>-48527744.726775274</v>
      </c>
    </row>
    <row r="76" spans="7:25" x14ac:dyDescent="0.2">
      <c r="G76" s="15">
        <v>2020</v>
      </c>
      <c r="H76" s="11">
        <f>H75*1.05</f>
        <v>-1092</v>
      </c>
      <c r="I76" s="11">
        <f>I75*1.02</f>
        <v>-132751542.85714287</v>
      </c>
      <c r="J76" s="16">
        <f>J75*1.02</f>
        <v>929260800</v>
      </c>
      <c r="K76" s="11">
        <f t="shared" ref="K76:K94" si="35">J76*$B$11</f>
        <v>0</v>
      </c>
      <c r="L76" s="11">
        <f>L75+0.05</f>
        <v>0.25</v>
      </c>
      <c r="M76" s="11">
        <f t="shared" ref="M76:M94" si="36">L76*80000*365*24</f>
        <v>175200000</v>
      </c>
      <c r="N76" s="13">
        <f t="shared" ref="N76:N94" si="37">M76+K76+H76+I76</f>
        <v>42447365.142857134</v>
      </c>
      <c r="O76" s="13">
        <f t="shared" ref="O76:O94" si="38">N76*(1-$B$9)/((1+$B$10)^P76)</f>
        <v>21324920.210634481</v>
      </c>
      <c r="P76">
        <v>2</v>
      </c>
      <c r="R76" s="2">
        <f t="shared" ref="R76:Y94" si="39">($H76+$I76+$M76+($J76*R$2))*(1-$B$9)/((1+$B$10)^$P76)</f>
        <v>21324920.210634481</v>
      </c>
      <c r="S76" s="2">
        <f t="shared" si="39"/>
        <v>14322219.684402293</v>
      </c>
      <c r="T76" s="2">
        <f t="shared" si="39"/>
        <v>7319519.158170104</v>
      </c>
      <c r="U76" s="2">
        <f t="shared" si="39"/>
        <v>316818.63193791657</v>
      </c>
      <c r="V76" s="2">
        <f t="shared" si="39"/>
        <v>-6685881.8942942722</v>
      </c>
      <c r="W76" s="2">
        <f t="shared" si="39"/>
        <v>-13688582.42052646</v>
      </c>
      <c r="X76" s="2">
        <f t="shared" si="39"/>
        <v>-20691282.946758647</v>
      </c>
      <c r="Y76" s="2">
        <f t="shared" si="39"/>
        <v>-27693983.472990833</v>
      </c>
    </row>
    <row r="77" spans="7:25" x14ac:dyDescent="0.2">
      <c r="G77" s="15">
        <v>2021</v>
      </c>
      <c r="H77" s="11">
        <f t="shared" ref="H77:H94" si="40">H76*1.05</f>
        <v>-1146.6000000000001</v>
      </c>
      <c r="I77" s="11">
        <f t="shared" ref="I77:I94" si="41">I76*1.02</f>
        <v>-135406573.71428573</v>
      </c>
      <c r="J77" s="16">
        <f t="shared" ref="J77:J94" si="42">J76*1.02</f>
        <v>947846016</v>
      </c>
      <c r="K77" s="11">
        <f t="shared" si="35"/>
        <v>0</v>
      </c>
      <c r="L77" s="11">
        <f t="shared" ref="L77:L94" si="43">L76+0.05</f>
        <v>0.3</v>
      </c>
      <c r="M77" s="11">
        <f t="shared" si="36"/>
        <v>210240000</v>
      </c>
      <c r="N77" s="13">
        <f t="shared" si="37"/>
        <v>74832279.685714275</v>
      </c>
      <c r="O77" s="13">
        <f t="shared" si="38"/>
        <v>33334470.665869717</v>
      </c>
      <c r="P77">
        <v>3</v>
      </c>
      <c r="R77" s="2">
        <f t="shared" si="39"/>
        <v>33334470.665869717</v>
      </c>
      <c r="S77" s="2">
        <f t="shared" si="39"/>
        <v>27001118.531841669</v>
      </c>
      <c r="T77" s="2">
        <f t="shared" si="39"/>
        <v>20667766.397813622</v>
      </c>
      <c r="U77" s="2">
        <f t="shared" si="39"/>
        <v>14334414.263785576</v>
      </c>
      <c r="V77" s="2">
        <f t="shared" si="39"/>
        <v>8001062.1297575291</v>
      </c>
      <c r="W77" s="2">
        <f t="shared" si="39"/>
        <v>1667709.9957294804</v>
      </c>
      <c r="X77" s="2">
        <f t="shared" si="39"/>
        <v>-4665642.1382985646</v>
      </c>
      <c r="Y77" s="2">
        <f t="shared" si="39"/>
        <v>-10998994.272326609</v>
      </c>
    </row>
    <row r="78" spans="7:25" x14ac:dyDescent="0.2">
      <c r="G78" s="15">
        <v>2022</v>
      </c>
      <c r="H78" s="11">
        <f t="shared" si="40"/>
        <v>-1203.9300000000003</v>
      </c>
      <c r="I78" s="11">
        <f t="shared" si="41"/>
        <v>-138114705.18857145</v>
      </c>
      <c r="J78" s="16">
        <f t="shared" si="42"/>
        <v>966802936.32000005</v>
      </c>
      <c r="K78" s="11">
        <f t="shared" si="35"/>
        <v>0</v>
      </c>
      <c r="L78" s="11">
        <f t="shared" si="43"/>
        <v>0.35</v>
      </c>
      <c r="M78" s="11">
        <f t="shared" si="36"/>
        <v>245280000</v>
      </c>
      <c r="N78" s="13">
        <f t="shared" si="37"/>
        <v>107164090.88142854</v>
      </c>
      <c r="O78" s="13">
        <f t="shared" si="38"/>
        <v>42327418.40159148</v>
      </c>
      <c r="P78">
        <v>4</v>
      </c>
      <c r="R78" s="2">
        <f t="shared" si="39"/>
        <v>42327418.40159148</v>
      </c>
      <c r="S78" s="2">
        <f t="shared" si="39"/>
        <v>36599435.446538627</v>
      </c>
      <c r="T78" s="2">
        <f t="shared" si="39"/>
        <v>30871452.491485771</v>
      </c>
      <c r="U78" s="2">
        <f t="shared" si="39"/>
        <v>25143469.536432914</v>
      </c>
      <c r="V78" s="2">
        <f t="shared" si="39"/>
        <v>19415486.581380062</v>
      </c>
      <c r="W78" s="2">
        <f t="shared" si="39"/>
        <v>13687503.626327207</v>
      </c>
      <c r="X78" s="2">
        <f t="shared" si="39"/>
        <v>7959520.6712743538</v>
      </c>
      <c r="Y78" s="2">
        <f t="shared" si="39"/>
        <v>2231537.7162215002</v>
      </c>
    </row>
    <row r="79" spans="7:25" x14ac:dyDescent="0.2">
      <c r="G79" s="15">
        <v>2023</v>
      </c>
      <c r="H79" s="11">
        <f t="shared" si="40"/>
        <v>-1264.1265000000003</v>
      </c>
      <c r="I79" s="11">
        <f t="shared" si="41"/>
        <v>-140876999.29234287</v>
      </c>
      <c r="J79" s="16">
        <f t="shared" si="42"/>
        <v>986138995.04640007</v>
      </c>
      <c r="K79" s="11">
        <f t="shared" si="35"/>
        <v>0</v>
      </c>
      <c r="L79" s="11">
        <f t="shared" si="43"/>
        <v>0.39999999999999997</v>
      </c>
      <c r="M79" s="11">
        <f t="shared" si="36"/>
        <v>280319999.99999994</v>
      </c>
      <c r="N79" s="13">
        <f t="shared" si="37"/>
        <v>139441736.58115706</v>
      </c>
      <c r="O79" s="13">
        <f t="shared" si="38"/>
        <v>48835224.624055132</v>
      </c>
      <c r="P79">
        <v>5</v>
      </c>
      <c r="R79" s="2">
        <f t="shared" si="39"/>
        <v>48835224.624055132</v>
      </c>
      <c r="S79" s="2">
        <f t="shared" si="39"/>
        <v>43654747.044560611</v>
      </c>
      <c r="T79" s="2">
        <f t="shared" si="39"/>
        <v>38474269.465066098</v>
      </c>
      <c r="U79" s="2">
        <f t="shared" si="39"/>
        <v>33293791.885571588</v>
      </c>
      <c r="V79" s="2">
        <f t="shared" si="39"/>
        <v>28113314.306077074</v>
      </c>
      <c r="W79" s="2">
        <f t="shared" si="39"/>
        <v>22932836.726582564</v>
      </c>
      <c r="X79" s="2">
        <f t="shared" si="39"/>
        <v>17752359.147088051</v>
      </c>
      <c r="Y79" s="2">
        <f t="shared" si="39"/>
        <v>12571881.567593537</v>
      </c>
    </row>
    <row r="80" spans="7:25" x14ac:dyDescent="0.2">
      <c r="G80" s="15">
        <v>2024</v>
      </c>
      <c r="H80" s="11">
        <f t="shared" si="40"/>
        <v>-1327.3328250000004</v>
      </c>
      <c r="I80" s="11">
        <f t="shared" si="41"/>
        <v>-143694539.27818972</v>
      </c>
      <c r="J80" s="16">
        <f t="shared" si="42"/>
        <v>1005861774.9473281</v>
      </c>
      <c r="K80" s="11">
        <f t="shared" si="35"/>
        <v>0</v>
      </c>
      <c r="L80" s="11">
        <f t="shared" si="43"/>
        <v>0.44999999999999996</v>
      </c>
      <c r="M80" s="11">
        <f t="shared" si="36"/>
        <v>315360000</v>
      </c>
      <c r="N80" s="13">
        <f t="shared" si="37"/>
        <v>171664133.38898528</v>
      </c>
      <c r="O80" s="13">
        <f t="shared" si="38"/>
        <v>53307446.786393188</v>
      </c>
      <c r="P80">
        <v>6</v>
      </c>
      <c r="R80" s="2">
        <f t="shared" si="39"/>
        <v>53307446.786393188</v>
      </c>
      <c r="S80" s="2">
        <f t="shared" si="39"/>
        <v>48622141.651542686</v>
      </c>
      <c r="T80" s="2">
        <f t="shared" si="39"/>
        <v>43936836.516692169</v>
      </c>
      <c r="U80" s="2">
        <f t="shared" si="39"/>
        <v>39251531.38184166</v>
      </c>
      <c r="V80" s="2">
        <f t="shared" si="39"/>
        <v>34566226.246991158</v>
      </c>
      <c r="W80" s="2">
        <f t="shared" si="39"/>
        <v>29880921.112140644</v>
      </c>
      <c r="X80" s="2">
        <f t="shared" si="39"/>
        <v>25195615.977290135</v>
      </c>
      <c r="Y80" s="2">
        <f t="shared" si="39"/>
        <v>20510310.842439625</v>
      </c>
    </row>
    <row r="81" spans="7:25" x14ac:dyDescent="0.2">
      <c r="G81" s="15">
        <v>2025</v>
      </c>
      <c r="H81" s="11">
        <f t="shared" si="40"/>
        <v>-1393.6994662500006</v>
      </c>
      <c r="I81" s="11">
        <f t="shared" si="41"/>
        <v>-146568430.06375352</v>
      </c>
      <c r="J81" s="16">
        <f t="shared" si="42"/>
        <v>1025979010.4462746</v>
      </c>
      <c r="K81" s="11">
        <f t="shared" si="35"/>
        <v>0</v>
      </c>
      <c r="L81" s="11">
        <f t="shared" si="43"/>
        <v>0.49999999999999994</v>
      </c>
      <c r="M81" s="11">
        <f t="shared" si="36"/>
        <v>350399999.99999994</v>
      </c>
      <c r="N81" s="13">
        <f t="shared" si="37"/>
        <v>203830176.2367802</v>
      </c>
      <c r="O81" s="13">
        <f t="shared" si="38"/>
        <v>56123494.765529379</v>
      </c>
      <c r="P81">
        <v>7</v>
      </c>
      <c r="R81" s="2">
        <f t="shared" si="39"/>
        <v>56123494.765529372</v>
      </c>
      <c r="S81" s="2">
        <f t="shared" si="39"/>
        <v>51886031.352204747</v>
      </c>
      <c r="T81" s="2">
        <f t="shared" si="39"/>
        <v>47648567.938880108</v>
      </c>
      <c r="U81" s="2">
        <f t="shared" si="39"/>
        <v>43411104.525555484</v>
      </c>
      <c r="V81" s="2">
        <f t="shared" si="39"/>
        <v>39173641.112230852</v>
      </c>
      <c r="W81" s="2">
        <f t="shared" si="39"/>
        <v>34936177.69890622</v>
      </c>
      <c r="X81" s="2">
        <f t="shared" si="39"/>
        <v>30698714.285581585</v>
      </c>
      <c r="Y81" s="2">
        <f t="shared" si="39"/>
        <v>26461250.872256961</v>
      </c>
    </row>
    <row r="82" spans="7:25" x14ac:dyDescent="0.2">
      <c r="G82" s="15">
        <v>2026</v>
      </c>
      <c r="H82" s="11">
        <f t="shared" si="40"/>
        <v>-1463.3844395625006</v>
      </c>
      <c r="I82" s="11">
        <f t="shared" si="41"/>
        <v>-149499798.6650286</v>
      </c>
      <c r="J82" s="16">
        <f t="shared" si="42"/>
        <v>1046498590.6552001</v>
      </c>
      <c r="K82" s="11">
        <f t="shared" si="35"/>
        <v>0</v>
      </c>
      <c r="L82" s="11">
        <f t="shared" si="43"/>
        <v>0.54999999999999993</v>
      </c>
      <c r="M82" s="11">
        <f t="shared" si="36"/>
        <v>385439999.99999994</v>
      </c>
      <c r="N82" s="13">
        <f t="shared" si="37"/>
        <v>235938737.95053175</v>
      </c>
      <c r="O82" s="13">
        <f t="shared" si="38"/>
        <v>57602772.63917163</v>
      </c>
      <c r="P82">
        <v>8</v>
      </c>
      <c r="R82" s="2">
        <f t="shared" si="39"/>
        <v>57602772.63917163</v>
      </c>
      <c r="S82" s="2">
        <f t="shared" si="39"/>
        <v>53770344.299402952</v>
      </c>
      <c r="T82" s="2">
        <f t="shared" si="39"/>
        <v>49937915.959634267</v>
      </c>
      <c r="U82" s="2">
        <f t="shared" si="39"/>
        <v>46105487.619865581</v>
      </c>
      <c r="V82" s="2">
        <f t="shared" si="39"/>
        <v>42273059.280096896</v>
      </c>
      <c r="W82" s="2">
        <f t="shared" si="39"/>
        <v>38440630.940328211</v>
      </c>
      <c r="X82" s="2">
        <f t="shared" si="39"/>
        <v>34608202.600559525</v>
      </c>
      <c r="Y82" s="2">
        <f t="shared" si="39"/>
        <v>30775774.260790836</v>
      </c>
    </row>
    <row r="83" spans="7:25" x14ac:dyDescent="0.2">
      <c r="G83" s="15">
        <v>2027</v>
      </c>
      <c r="H83" s="11">
        <f t="shared" si="40"/>
        <v>-1536.5536615406256</v>
      </c>
      <c r="I83" s="11">
        <f t="shared" si="41"/>
        <v>-152489794.63832918</v>
      </c>
      <c r="J83" s="16">
        <f t="shared" si="42"/>
        <v>1067428562.4683042</v>
      </c>
      <c r="K83" s="11">
        <f t="shared" si="35"/>
        <v>0</v>
      </c>
      <c r="L83" s="11">
        <f t="shared" si="43"/>
        <v>0.6</v>
      </c>
      <c r="M83" s="11">
        <f t="shared" si="36"/>
        <v>420480000</v>
      </c>
      <c r="N83" s="13">
        <f t="shared" si="37"/>
        <v>267988668.8080093</v>
      </c>
      <c r="O83" s="13">
        <f t="shared" si="38"/>
        <v>58013421.150642529</v>
      </c>
      <c r="P83">
        <v>9</v>
      </c>
      <c r="R83" s="2">
        <f t="shared" si="39"/>
        <v>58013421.150642529</v>
      </c>
      <c r="S83" s="2">
        <f t="shared" si="39"/>
        <v>54547312.88094572</v>
      </c>
      <c r="T83" s="2">
        <f t="shared" si="39"/>
        <v>51081204.61124891</v>
      </c>
      <c r="U83" s="2">
        <f t="shared" si="39"/>
        <v>47615096.341552101</v>
      </c>
      <c r="V83" s="2">
        <f t="shared" si="39"/>
        <v>44148988.071855299</v>
      </c>
      <c r="W83" s="2">
        <f t="shared" si="39"/>
        <v>40682879.80215849</v>
      </c>
      <c r="X83" s="2">
        <f t="shared" si="39"/>
        <v>37216771.53246168</v>
      </c>
      <c r="Y83" s="2">
        <f t="shared" si="39"/>
        <v>33750663.262764879</v>
      </c>
    </row>
    <row r="84" spans="7:25" x14ac:dyDescent="0.2">
      <c r="G84" s="15">
        <v>2028</v>
      </c>
      <c r="H84" s="11">
        <f t="shared" si="40"/>
        <v>-1613.3813446176571</v>
      </c>
      <c r="I84" s="11">
        <f t="shared" si="41"/>
        <v>-155539590.53109577</v>
      </c>
      <c r="J84" s="16">
        <f t="shared" si="42"/>
        <v>1088777133.7176702</v>
      </c>
      <c r="K84" s="11">
        <f t="shared" si="35"/>
        <v>0</v>
      </c>
      <c r="L84" s="11">
        <f t="shared" si="43"/>
        <v>0.65</v>
      </c>
      <c r="M84" s="11">
        <f t="shared" si="36"/>
        <v>455520000</v>
      </c>
      <c r="N84" s="13">
        <f t="shared" si="37"/>
        <v>299978796.08755958</v>
      </c>
      <c r="O84" s="13">
        <f t="shared" si="38"/>
        <v>57579847.91714444</v>
      </c>
      <c r="P84">
        <v>10</v>
      </c>
      <c r="R84" s="2">
        <f t="shared" si="39"/>
        <v>57579847.91714444</v>
      </c>
      <c r="S84" s="2">
        <f t="shared" si="39"/>
        <v>54445045.261451274</v>
      </c>
      <c r="T84" s="2">
        <f t="shared" si="39"/>
        <v>51310242.605758123</v>
      </c>
      <c r="U84" s="2">
        <f t="shared" si="39"/>
        <v>48175439.950064965</v>
      </c>
      <c r="V84" s="2">
        <f t="shared" si="39"/>
        <v>45040637.294371806</v>
      </c>
      <c r="W84" s="2">
        <f t="shared" si="39"/>
        <v>41905834.63867864</v>
      </c>
      <c r="X84" s="2">
        <f t="shared" si="39"/>
        <v>38771031.982985489</v>
      </c>
      <c r="Y84" s="2">
        <f t="shared" si="39"/>
        <v>35636229.327292323</v>
      </c>
    </row>
    <row r="85" spans="7:25" x14ac:dyDescent="0.2">
      <c r="G85" s="15">
        <v>2029</v>
      </c>
      <c r="H85" s="11">
        <f t="shared" si="40"/>
        <v>-1694.0504118485401</v>
      </c>
      <c r="I85" s="11">
        <f t="shared" si="41"/>
        <v>-158650382.34171769</v>
      </c>
      <c r="J85" s="16">
        <f t="shared" si="42"/>
        <v>1110552676.3920236</v>
      </c>
      <c r="K85" s="11">
        <f t="shared" si="35"/>
        <v>0</v>
      </c>
      <c r="L85" s="11">
        <f t="shared" si="43"/>
        <v>0.70000000000000007</v>
      </c>
      <c r="M85" s="11">
        <f t="shared" si="36"/>
        <v>490560000.00000012</v>
      </c>
      <c r="N85" s="13">
        <f t="shared" si="37"/>
        <v>331907923.60787058</v>
      </c>
      <c r="O85" s="13">
        <f t="shared" si="38"/>
        <v>56489207.9975833</v>
      </c>
      <c r="P85">
        <v>11</v>
      </c>
      <c r="R85" s="2">
        <f t="shared" si="39"/>
        <v>56489207.9975833</v>
      </c>
      <c r="S85" s="2">
        <f t="shared" si="39"/>
        <v>53654043.332920216</v>
      </c>
      <c r="T85" s="2">
        <f t="shared" si="39"/>
        <v>50818878.668257147</v>
      </c>
      <c r="U85" s="2">
        <f t="shared" si="39"/>
        <v>47983714.003594056</v>
      </c>
      <c r="V85" s="2">
        <f t="shared" si="39"/>
        <v>45148549.338930979</v>
      </c>
      <c r="W85" s="2">
        <f t="shared" si="39"/>
        <v>42313384.674267896</v>
      </c>
      <c r="X85" s="2">
        <f t="shared" si="39"/>
        <v>39478220.009604827</v>
      </c>
      <c r="Y85" s="2">
        <f t="shared" si="39"/>
        <v>36643055.344941743</v>
      </c>
    </row>
    <row r="86" spans="7:25" x14ac:dyDescent="0.2">
      <c r="G86" s="15">
        <v>2030</v>
      </c>
      <c r="H86" s="11">
        <f t="shared" si="40"/>
        <v>-1778.7529324409672</v>
      </c>
      <c r="I86" s="11">
        <f t="shared" si="41"/>
        <v>-161823389.98855203</v>
      </c>
      <c r="J86" s="16">
        <f t="shared" si="42"/>
        <v>1132763729.9198639</v>
      </c>
      <c r="K86" s="11">
        <f t="shared" si="35"/>
        <v>0</v>
      </c>
      <c r="L86" s="11">
        <f t="shared" si="43"/>
        <v>0.75000000000000011</v>
      </c>
      <c r="M86" s="11">
        <f t="shared" si="36"/>
        <v>525600000.00000012</v>
      </c>
      <c r="N86" s="13">
        <f t="shared" si="37"/>
        <v>363774831.25851566</v>
      </c>
      <c r="O86" s="13">
        <f t="shared" si="38"/>
        <v>54896976.134874068</v>
      </c>
      <c r="P86">
        <v>12</v>
      </c>
      <c r="R86" s="2">
        <f t="shared" si="39"/>
        <v>54896976.134874068</v>
      </c>
      <c r="S86" s="2">
        <f t="shared" si="39"/>
        <v>52332808.766585059</v>
      </c>
      <c r="T86" s="2">
        <f t="shared" si="39"/>
        <v>49768641.398296051</v>
      </c>
      <c r="U86" s="2">
        <f t="shared" si="39"/>
        <v>47204474.030007049</v>
      </c>
      <c r="V86" s="2">
        <f t="shared" si="39"/>
        <v>44640306.661718041</v>
      </c>
      <c r="W86" s="2">
        <f t="shared" si="39"/>
        <v>42076139.293429039</v>
      </c>
      <c r="X86" s="2">
        <f t="shared" si="39"/>
        <v>39511971.925140023</v>
      </c>
      <c r="Y86" s="2">
        <f t="shared" si="39"/>
        <v>36947804.556851022</v>
      </c>
    </row>
    <row r="87" spans="7:25" x14ac:dyDescent="0.2">
      <c r="G87" s="15">
        <v>2031</v>
      </c>
      <c r="H87" s="11">
        <f t="shared" si="40"/>
        <v>-1867.6905790630158</v>
      </c>
      <c r="I87" s="11">
        <f t="shared" si="41"/>
        <v>-165059857.78832307</v>
      </c>
      <c r="J87" s="16">
        <f t="shared" si="42"/>
        <v>1155419004.5182612</v>
      </c>
      <c r="K87" s="11">
        <f t="shared" si="35"/>
        <v>0</v>
      </c>
      <c r="L87" s="11">
        <f t="shared" si="43"/>
        <v>0.80000000000000016</v>
      </c>
      <c r="M87" s="11">
        <f t="shared" si="36"/>
        <v>560640000.00000012</v>
      </c>
      <c r="N87" s="13">
        <f t="shared" si="37"/>
        <v>395578274.52109802</v>
      </c>
      <c r="O87" s="13">
        <f t="shared" si="38"/>
        <v>52931733.427171864</v>
      </c>
      <c r="P87">
        <v>13</v>
      </c>
      <c r="R87" s="2">
        <f t="shared" si="39"/>
        <v>52931733.427171864</v>
      </c>
      <c r="S87" s="2">
        <f t="shared" si="39"/>
        <v>50612660.262023084</v>
      </c>
      <c r="T87" s="2">
        <f t="shared" si="39"/>
        <v>48293587.096874319</v>
      </c>
      <c r="U87" s="2">
        <f t="shared" si="39"/>
        <v>45974513.931725547</v>
      </c>
      <c r="V87" s="2">
        <f t="shared" si="39"/>
        <v>43655440.766576774</v>
      </c>
      <c r="W87" s="2">
        <f t="shared" si="39"/>
        <v>41336367.601427995</v>
      </c>
      <c r="X87" s="2">
        <f t="shared" si="39"/>
        <v>39017294.436279222</v>
      </c>
      <c r="Y87" s="2">
        <f t="shared" si="39"/>
        <v>36698221.27113045</v>
      </c>
    </row>
    <row r="88" spans="7:25" x14ac:dyDescent="0.2">
      <c r="G88" s="15">
        <v>2032</v>
      </c>
      <c r="H88" s="11">
        <f t="shared" si="40"/>
        <v>-1961.0751080161667</v>
      </c>
      <c r="I88" s="11">
        <f t="shared" si="41"/>
        <v>-168361054.94408953</v>
      </c>
      <c r="J88" s="16">
        <f t="shared" si="42"/>
        <v>1178527384.6086264</v>
      </c>
      <c r="K88" s="11">
        <f t="shared" si="35"/>
        <v>0</v>
      </c>
      <c r="L88" s="11">
        <f t="shared" si="43"/>
        <v>0.8500000000000002</v>
      </c>
      <c r="M88" s="11">
        <f t="shared" si="36"/>
        <v>595680000.00000012</v>
      </c>
      <c r="N88" s="13">
        <f t="shared" si="37"/>
        <v>427316983.98080254</v>
      </c>
      <c r="O88" s="13">
        <f t="shared" si="38"/>
        <v>50699275.014974952</v>
      </c>
      <c r="P88">
        <v>14</v>
      </c>
      <c r="R88" s="2">
        <f t="shared" si="39"/>
        <v>50699275.014974952</v>
      </c>
      <c r="S88" s="2">
        <f t="shared" si="39"/>
        <v>48601868.889374882</v>
      </c>
      <c r="T88" s="2">
        <f t="shared" si="39"/>
        <v>46504462.76377482</v>
      </c>
      <c r="U88" s="2">
        <f t="shared" si="39"/>
        <v>44407056.638174757</v>
      </c>
      <c r="V88" s="2">
        <f t="shared" si="39"/>
        <v>42309650.512574695</v>
      </c>
      <c r="W88" s="2">
        <f t="shared" si="39"/>
        <v>40212244.38697464</v>
      </c>
      <c r="X88" s="2">
        <f t="shared" si="39"/>
        <v>38114838.261374578</v>
      </c>
      <c r="Y88" s="2">
        <f t="shared" si="39"/>
        <v>36017432.135774516</v>
      </c>
    </row>
    <row r="89" spans="7:25" x14ac:dyDescent="0.2">
      <c r="G89" s="15">
        <v>2033</v>
      </c>
      <c r="H89" s="11">
        <f t="shared" si="40"/>
        <v>-2059.128863416975</v>
      </c>
      <c r="I89" s="11">
        <f t="shared" si="41"/>
        <v>-171728276.04297131</v>
      </c>
      <c r="J89" s="16">
        <f t="shared" si="42"/>
        <v>1202097932.3007989</v>
      </c>
      <c r="K89" s="11">
        <f t="shared" si="35"/>
        <v>0</v>
      </c>
      <c r="L89" s="11">
        <f t="shared" si="43"/>
        <v>0.90000000000000024</v>
      </c>
      <c r="M89" s="11">
        <f t="shared" si="36"/>
        <v>630720000.00000012</v>
      </c>
      <c r="N89" s="13">
        <f t="shared" si="37"/>
        <v>458989664.82816535</v>
      </c>
      <c r="O89" s="13">
        <f t="shared" si="38"/>
        <v>48286131.292423271</v>
      </c>
      <c r="P89">
        <v>15</v>
      </c>
      <c r="R89" s="2">
        <f t="shared" si="39"/>
        <v>48286131.292423278</v>
      </c>
      <c r="S89" s="2">
        <f t="shared" si="39"/>
        <v>46389204.312362932</v>
      </c>
      <c r="T89" s="2">
        <f t="shared" si="39"/>
        <v>44492277.332302585</v>
      </c>
      <c r="U89" s="2">
        <f t="shared" si="39"/>
        <v>42595350.352242231</v>
      </c>
      <c r="V89" s="2">
        <f t="shared" si="39"/>
        <v>40698423.372181885</v>
      </c>
      <c r="W89" s="2">
        <f t="shared" si="39"/>
        <v>38801496.392121531</v>
      </c>
      <c r="X89" s="2">
        <f t="shared" si="39"/>
        <v>36904569.412061185</v>
      </c>
      <c r="Y89" s="2">
        <f t="shared" si="39"/>
        <v>35007642.432000838</v>
      </c>
    </row>
    <row r="90" spans="7:25" x14ac:dyDescent="0.2">
      <c r="G90" s="15">
        <v>2034</v>
      </c>
      <c r="H90" s="11">
        <f t="shared" si="40"/>
        <v>-2162.0853065878241</v>
      </c>
      <c r="I90" s="11">
        <f t="shared" si="41"/>
        <v>-175162841.56383073</v>
      </c>
      <c r="J90" s="16">
        <f t="shared" si="42"/>
        <v>1226139890.9468148</v>
      </c>
      <c r="K90" s="11">
        <f t="shared" si="35"/>
        <v>0</v>
      </c>
      <c r="L90" s="11">
        <f t="shared" si="43"/>
        <v>0.95000000000000029</v>
      </c>
      <c r="M90" s="11">
        <f t="shared" si="36"/>
        <v>665760000.00000024</v>
      </c>
      <c r="N90" s="13">
        <f t="shared" si="37"/>
        <v>490594996.35086286</v>
      </c>
      <c r="O90" s="13">
        <f t="shared" si="38"/>
        <v>45762582.895460919</v>
      </c>
      <c r="P90">
        <v>16</v>
      </c>
      <c r="R90" s="2">
        <f t="shared" si="39"/>
        <v>45762582.895460919</v>
      </c>
      <c r="S90" s="2">
        <f t="shared" si="39"/>
        <v>44046972.397445709</v>
      </c>
      <c r="T90" s="2">
        <f t="shared" si="39"/>
        <v>42331361.899430491</v>
      </c>
      <c r="U90" s="2">
        <f t="shared" si="39"/>
        <v>40615751.401415288</v>
      </c>
      <c r="V90" s="2">
        <f t="shared" si="39"/>
        <v>38900140.903400071</v>
      </c>
      <c r="W90" s="2">
        <f t="shared" si="39"/>
        <v>37184530.405384853</v>
      </c>
      <c r="X90" s="2">
        <f t="shared" si="39"/>
        <v>35468919.907369643</v>
      </c>
      <c r="Y90" s="2">
        <f t="shared" si="39"/>
        <v>33753309.409354433</v>
      </c>
    </row>
    <row r="91" spans="7:25" x14ac:dyDescent="0.2">
      <c r="G91" s="15">
        <v>2035</v>
      </c>
      <c r="H91" s="11">
        <f t="shared" si="40"/>
        <v>-2270.1895719172153</v>
      </c>
      <c r="I91" s="11">
        <f t="shared" si="41"/>
        <v>-178666098.39510736</v>
      </c>
      <c r="J91" s="16">
        <f t="shared" si="42"/>
        <v>1250662688.7657511</v>
      </c>
      <c r="K91" s="11">
        <f t="shared" si="35"/>
        <v>0</v>
      </c>
      <c r="L91" s="11">
        <f t="shared" si="43"/>
        <v>1.0000000000000002</v>
      </c>
      <c r="M91" s="11">
        <f t="shared" si="36"/>
        <v>700800000.00000012</v>
      </c>
      <c r="N91" s="13">
        <f t="shared" si="37"/>
        <v>522131631.41532075</v>
      </c>
      <c r="O91" s="13">
        <f t="shared" si="38"/>
        <v>43185239.054388501</v>
      </c>
      <c r="P91">
        <v>17</v>
      </c>
      <c r="R91" s="2">
        <f t="shared" si="39"/>
        <v>43185239.054388508</v>
      </c>
      <c r="S91" s="2">
        <f t="shared" si="39"/>
        <v>41633614.02514971</v>
      </c>
      <c r="T91" s="2">
        <f t="shared" si="39"/>
        <v>40081988.995910913</v>
      </c>
      <c r="U91" s="2">
        <f t="shared" si="39"/>
        <v>38530363.966672115</v>
      </c>
      <c r="V91" s="2">
        <f t="shared" si="39"/>
        <v>36978738.937433317</v>
      </c>
      <c r="W91" s="2">
        <f t="shared" si="39"/>
        <v>35427113.90819452</v>
      </c>
      <c r="X91" s="2">
        <f t="shared" si="39"/>
        <v>33875488.878955722</v>
      </c>
      <c r="Y91" s="2">
        <f t="shared" si="39"/>
        <v>32323863.84971692</v>
      </c>
    </row>
    <row r="92" spans="7:25" x14ac:dyDescent="0.2">
      <c r="G92" s="15">
        <v>2036</v>
      </c>
      <c r="H92" s="11">
        <f t="shared" si="40"/>
        <v>-2383.6990505130761</v>
      </c>
      <c r="I92" s="11">
        <f t="shared" si="41"/>
        <v>-182239420.36300951</v>
      </c>
      <c r="J92" s="16">
        <f t="shared" si="42"/>
        <v>1275675942.5410662</v>
      </c>
      <c r="K92" s="11">
        <f t="shared" si="35"/>
        <v>0</v>
      </c>
      <c r="L92" s="11">
        <f t="shared" si="43"/>
        <v>1.0500000000000003</v>
      </c>
      <c r="M92" s="11">
        <f t="shared" si="36"/>
        <v>735840000.00000012</v>
      </c>
      <c r="N92" s="13">
        <f t="shared" si="37"/>
        <v>553598195.93794012</v>
      </c>
      <c r="O92" s="13">
        <f t="shared" si="38"/>
        <v>40599239.620529622</v>
      </c>
      <c r="P92">
        <v>18</v>
      </c>
      <c r="R92" s="2">
        <f t="shared" si="39"/>
        <v>40599239.620529622</v>
      </c>
      <c r="S92" s="2">
        <f t="shared" si="39"/>
        <v>39195925.619976714</v>
      </c>
      <c r="T92" s="2">
        <f t="shared" si="39"/>
        <v>37792611.619423792</v>
      </c>
      <c r="U92" s="2">
        <f t="shared" si="39"/>
        <v>36389297.618870884</v>
      </c>
      <c r="V92" s="2">
        <f t="shared" si="39"/>
        <v>34985983.618317977</v>
      </c>
      <c r="W92" s="2">
        <f t="shared" si="39"/>
        <v>33582669.617765062</v>
      </c>
      <c r="X92" s="2">
        <f t="shared" si="39"/>
        <v>32179355.617212147</v>
      </c>
      <c r="Y92" s="2">
        <f t="shared" si="39"/>
        <v>30776041.616659235</v>
      </c>
    </row>
    <row r="93" spans="7:25" x14ac:dyDescent="0.2">
      <c r="G93" s="15">
        <v>2037</v>
      </c>
      <c r="H93" s="11">
        <f t="shared" si="40"/>
        <v>-2502.88400303873</v>
      </c>
      <c r="I93" s="11">
        <f t="shared" si="41"/>
        <v>-185884208.77026969</v>
      </c>
      <c r="J93" s="16">
        <f t="shared" si="42"/>
        <v>1301189461.3918874</v>
      </c>
      <c r="K93" s="11">
        <f t="shared" si="35"/>
        <v>0</v>
      </c>
      <c r="L93" s="11">
        <f t="shared" si="43"/>
        <v>1.1000000000000003</v>
      </c>
      <c r="M93" s="11">
        <f t="shared" si="36"/>
        <v>770880000.00000024</v>
      </c>
      <c r="N93" s="13">
        <f t="shared" si="37"/>
        <v>584993288.34572744</v>
      </c>
      <c r="O93" s="13">
        <f t="shared" si="38"/>
        <v>38040133.008728854</v>
      </c>
      <c r="P93">
        <v>19</v>
      </c>
      <c r="R93" s="2">
        <f t="shared" si="39"/>
        <v>38040133.008728854</v>
      </c>
      <c r="S93" s="2">
        <f t="shared" si="39"/>
        <v>36770953.827522993</v>
      </c>
      <c r="T93" s="2">
        <f t="shared" si="39"/>
        <v>35501774.646317132</v>
      </c>
      <c r="U93" s="2">
        <f t="shared" si="39"/>
        <v>34232595.465111271</v>
      </c>
      <c r="V93" s="2">
        <f t="shared" si="39"/>
        <v>32963416.283905409</v>
      </c>
      <c r="W93" s="2">
        <f t="shared" si="39"/>
        <v>31694237.102699548</v>
      </c>
      <c r="X93" s="2">
        <f t="shared" si="39"/>
        <v>30425057.921493687</v>
      </c>
      <c r="Y93" s="2">
        <f t="shared" si="39"/>
        <v>29155878.740287825</v>
      </c>
    </row>
    <row r="94" spans="7:25" x14ac:dyDescent="0.2">
      <c r="G94" s="15">
        <v>2038</v>
      </c>
      <c r="H94" s="11">
        <f t="shared" si="40"/>
        <v>-2628.0282031906668</v>
      </c>
      <c r="I94" s="11">
        <f t="shared" si="41"/>
        <v>-189601892.94567508</v>
      </c>
      <c r="J94" s="16">
        <f t="shared" si="42"/>
        <v>1327213250.6197252</v>
      </c>
      <c r="K94" s="11">
        <f t="shared" si="35"/>
        <v>0</v>
      </c>
      <c r="L94" s="11">
        <f t="shared" si="43"/>
        <v>1.1500000000000004</v>
      </c>
      <c r="M94" s="11">
        <f t="shared" si="36"/>
        <v>805920000.00000024</v>
      </c>
      <c r="N94" s="13">
        <f t="shared" si="37"/>
        <v>616315479.02612185</v>
      </c>
      <c r="O94" s="13">
        <f t="shared" si="38"/>
        <v>35535475.284078993</v>
      </c>
      <c r="P94">
        <v>20</v>
      </c>
      <c r="R94" s="2">
        <f t="shared" si="39"/>
        <v>35535475.284078993</v>
      </c>
      <c r="S94" s="2">
        <f t="shared" si="39"/>
        <v>34387609.73626025</v>
      </c>
      <c r="T94" s="2">
        <f t="shared" si="39"/>
        <v>33239744.188441508</v>
      </c>
      <c r="U94" s="2">
        <f t="shared" si="39"/>
        <v>32091878.640622769</v>
      </c>
      <c r="V94" s="2">
        <f t="shared" si="39"/>
        <v>30944013.092804022</v>
      </c>
      <c r="W94" s="2">
        <f t="shared" si="39"/>
        <v>29796147.544985276</v>
      </c>
      <c r="X94" s="2">
        <f t="shared" si="39"/>
        <v>28648281.997166533</v>
      </c>
      <c r="Y94" s="2">
        <f t="shared" si="39"/>
        <v>27500416.44934779</v>
      </c>
    </row>
    <row r="95" spans="7:25" x14ac:dyDescent="0.2">
      <c r="O95" s="8">
        <f>SUM(O75:O94)</f>
        <v>900546795.15897357</v>
      </c>
      <c r="R95" s="2">
        <f>SUM(R75:R94)+$E$4</f>
        <v>856194795.15897357</v>
      </c>
      <c r="S95" s="2">
        <f t="shared" ref="S95:Y95" si="44">SUM(S75:S94)+$E$4</f>
        <v>786051051.73388183</v>
      </c>
      <c r="T95" s="2">
        <f t="shared" si="44"/>
        <v>715907308.30879021</v>
      </c>
      <c r="U95" s="2">
        <f t="shared" si="44"/>
        <v>645763564.88369846</v>
      </c>
      <c r="V95" s="2">
        <f t="shared" si="44"/>
        <v>575619821.45860684</v>
      </c>
      <c r="W95" s="2">
        <f t="shared" si="44"/>
        <v>505476078.0335151</v>
      </c>
      <c r="X95" s="2">
        <f t="shared" si="44"/>
        <v>435332334.60842341</v>
      </c>
      <c r="Y95" s="2">
        <f t="shared" si="44"/>
        <v>365188591.18333173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19" sqref="C19"/>
    </sheetView>
  </sheetViews>
  <sheetFormatPr baseColWidth="10" defaultRowHeight="15" x14ac:dyDescent="0.2"/>
  <cols>
    <col min="1" max="1" width="25.6640625" bestFit="1" customWidth="1"/>
    <col min="2" max="2" width="17.33203125" bestFit="1" customWidth="1"/>
    <col min="3" max="3" width="16" bestFit="1" customWidth="1"/>
    <col min="4" max="4" width="18.1640625" customWidth="1"/>
    <col min="5" max="5" width="21.6640625" customWidth="1"/>
    <col min="6" max="6" width="16" customWidth="1"/>
  </cols>
  <sheetData>
    <row r="1" spans="1:10" x14ac:dyDescent="0.2">
      <c r="A1" s="11"/>
      <c r="B1" s="27" t="s">
        <v>2</v>
      </c>
      <c r="C1" s="27" t="s">
        <v>3</v>
      </c>
      <c r="D1" s="27" t="s">
        <v>4</v>
      </c>
      <c r="E1" s="27" t="s">
        <v>5</v>
      </c>
    </row>
    <row r="2" spans="1:10" x14ac:dyDescent="0.2">
      <c r="A2" s="11" t="s">
        <v>26</v>
      </c>
      <c r="B2" s="11">
        <v>94210000</v>
      </c>
      <c r="C2" s="11">
        <v>100625000</v>
      </c>
      <c r="D2" s="11">
        <v>96548000</v>
      </c>
      <c r="E2" s="11">
        <v>56000000</v>
      </c>
    </row>
    <row r="3" spans="1:10" x14ac:dyDescent="0.2">
      <c r="A3" s="11" t="s">
        <v>55</v>
      </c>
      <c r="B3" s="11">
        <f>120*(1+$B$18)</f>
        <v>126</v>
      </c>
      <c r="C3" s="11">
        <v>0</v>
      </c>
      <c r="D3" s="11">
        <f>120*(1+B18)</f>
        <v>126</v>
      </c>
      <c r="E3" s="11">
        <v>0</v>
      </c>
    </row>
    <row r="4" spans="1:10" x14ac:dyDescent="0.2">
      <c r="A4" s="11" t="s">
        <v>56</v>
      </c>
      <c r="B4" s="11">
        <v>0</v>
      </c>
      <c r="C4" s="11">
        <v>0</v>
      </c>
      <c r="D4" s="11">
        <v>0</v>
      </c>
      <c r="E4" s="11">
        <v>0</v>
      </c>
    </row>
    <row r="5" spans="1:10" x14ac:dyDescent="0.2">
      <c r="A5" s="11" t="s">
        <v>57</v>
      </c>
      <c r="B5" s="11">
        <f>650*(1+B18)</f>
        <v>682.5</v>
      </c>
      <c r="C5" s="11">
        <f>720*(1+B18)</f>
        <v>756</v>
      </c>
      <c r="D5" s="11">
        <f>500*(1+B18)</f>
        <v>525</v>
      </c>
      <c r="E5" s="11">
        <f>1040*(1+$B$18)</f>
        <v>1092</v>
      </c>
    </row>
    <row r="6" spans="1:10" x14ac:dyDescent="0.2">
      <c r="A6" s="11" t="s">
        <v>58</v>
      </c>
      <c r="B6" s="11">
        <v>69954857.142857105</v>
      </c>
      <c r="C6" s="11">
        <v>107372571.428571</v>
      </c>
      <c r="D6" s="11">
        <v>18383485.714285702</v>
      </c>
      <c r="E6" s="11">
        <v>130148571.428571</v>
      </c>
    </row>
    <row r="7" spans="1:10" x14ac:dyDescent="0.2">
      <c r="A7" s="15" t="s">
        <v>59</v>
      </c>
      <c r="B7" s="16">
        <v>489684000</v>
      </c>
      <c r="C7" s="16">
        <v>751608000</v>
      </c>
      <c r="D7" s="16">
        <v>128684400</v>
      </c>
      <c r="E7" s="16">
        <v>911040000</v>
      </c>
    </row>
    <row r="8" spans="1:10" x14ac:dyDescent="0.2">
      <c r="A8" s="15" t="s">
        <v>30</v>
      </c>
      <c r="B8" s="11">
        <f>B7*$B$23</f>
        <v>97936800</v>
      </c>
      <c r="C8" s="11">
        <f>C7*$B$23</f>
        <v>150321600</v>
      </c>
      <c r="D8" s="11">
        <f>D7*$B$23</f>
        <v>25736880</v>
      </c>
      <c r="E8" s="11">
        <f>E7*$B$23</f>
        <v>182208000</v>
      </c>
    </row>
    <row r="9" spans="1:10" x14ac:dyDescent="0.2">
      <c r="A9" s="11" t="s">
        <v>60</v>
      </c>
      <c r="B9" s="11">
        <f>B2*($B$17*(1+$B$17)^20)/((1+$B$17)^20-1)</f>
        <v>19346638.756591562</v>
      </c>
      <c r="C9" s="11">
        <f>C2*($B$17*(1+$B$17)^20)/((1+$B$17)^20-1)</f>
        <v>20664000.900987428</v>
      </c>
      <c r="D9" s="11">
        <f>D2*($B$17*(1+$B$17)^20)/((1+$B$17)^20-1)</f>
        <v>19826762.325351894</v>
      </c>
      <c r="E9" s="11">
        <f>E2*($B$17*(1+$B$17)^20)/((1+$B$17)^20-1)</f>
        <v>11499965.718810396</v>
      </c>
      <c r="J9" s="28"/>
    </row>
    <row r="10" spans="1:10" x14ac:dyDescent="0.2">
      <c r="A10" s="11" t="s">
        <v>61</v>
      </c>
      <c r="B10" s="11">
        <f>SUM(B3:B5)+$B$18*(1/$B$17-20/(1+$B$17)^20-1)</f>
        <v>808.67391594669539</v>
      </c>
      <c r="C10" s="11">
        <f>SUM(C3:C5)+$B$18*(1/$B$17-20/(1+$B$17)^20-1)</f>
        <v>756.17391594669539</v>
      </c>
      <c r="D10" s="11">
        <f>SUM(D3:D5)+$B$18*(1/$B$17-20/(1+$B$17)^20-1)</f>
        <v>651.17391594669539</v>
      </c>
      <c r="E10" s="11">
        <f>SUM(E3:E5)+$B$18*(1/$B$17-20/(1+$B$17)^20-1)</f>
        <v>1092.1739159466954</v>
      </c>
      <c r="J10" s="2"/>
    </row>
    <row r="11" spans="1:10" x14ac:dyDescent="0.2">
      <c r="A11" s="29" t="s">
        <v>62</v>
      </c>
      <c r="B11" s="11">
        <f>(B6*(((1+$B$20)^20-1)/($B$20*(1+$B$20)^20)*(1/1+$B$19)))*($B$17*($B$17+1)^20)/((1+$B$17)^20-1)</f>
        <v>79815323.424169675</v>
      </c>
      <c r="C11" s="11">
        <f t="shared" ref="C11:D11" si="0">(C6*(((1+$B$20)^20-1)/($B$20*(1+$B$20)^20)*(1/1+$B$19)))*($B$17*($B$17+1)^20)/((1+$B$17)^20-1)</f>
        <v>122507240.60453908</v>
      </c>
      <c r="D11" s="11">
        <f t="shared" si="0"/>
        <v>20974724.527746912</v>
      </c>
      <c r="E11" s="11">
        <f>(E6*(((1+$B$20)^20-1)/($B$20*(1+$B$20)^20)*(1/1+$B$19)))*($B$17*($B$17+1)^20)/((1+$B$17)^20-1)</f>
        <v>148493624.97519898</v>
      </c>
      <c r="J11" s="2"/>
    </row>
    <row r="12" spans="1:10" x14ac:dyDescent="0.2">
      <c r="A12" s="29" t="s">
        <v>63</v>
      </c>
      <c r="B12" s="11">
        <f>(B8*(((1+$B$22)^20-1)/($B$22*(1+$B$22)^20)*(1/1+$B$21)))*($B$17*($B$17+1)^20)/((1+$B$17)^20-1)</f>
        <v>111741452.79383761</v>
      </c>
      <c r="C12" s="11">
        <f t="shared" ref="C12:E12" si="1">(C8*(((1+$B$22)^20-1)/($B$22*(1+$B$22)^20)*(1/1+$B$21)))*($B$17*($B$17+1)^20)/((1+$B$17)^20-1)</f>
        <v>171510136.84635541</v>
      </c>
      <c r="D12" s="11">
        <f t="shared" si="1"/>
        <v>29364614.338845696</v>
      </c>
      <c r="E12" s="11">
        <f t="shared" si="1"/>
        <v>207891074.96527925</v>
      </c>
      <c r="J12" s="2"/>
    </row>
    <row r="13" spans="1:10" x14ac:dyDescent="0.2">
      <c r="A13" s="30" t="s">
        <v>64</v>
      </c>
      <c r="B13" s="31">
        <f>SUM(B9:B12)</f>
        <v>210904223.64851481</v>
      </c>
      <c r="C13" s="31">
        <f t="shared" ref="C13:E13" si="2">SUM(C9:C12)</f>
        <v>314682134.52579784</v>
      </c>
      <c r="D13" s="31">
        <f t="shared" si="2"/>
        <v>70166752.365860447</v>
      </c>
      <c r="E13" s="31">
        <f t="shared" si="2"/>
        <v>367885757.83320457</v>
      </c>
    </row>
    <row r="14" spans="1:10" x14ac:dyDescent="0.2">
      <c r="A14" s="11"/>
      <c r="B14" s="11"/>
      <c r="C14" s="11"/>
      <c r="D14" s="11"/>
      <c r="E14" s="32"/>
    </row>
    <row r="15" spans="1:10" x14ac:dyDescent="0.2">
      <c r="G15" s="3"/>
    </row>
    <row r="16" spans="1:10" x14ac:dyDescent="0.2">
      <c r="A16" s="36" t="s">
        <v>77</v>
      </c>
      <c r="D16" s="3" t="s">
        <v>74</v>
      </c>
    </row>
    <row r="17" spans="1:10" x14ac:dyDescent="0.2">
      <c r="A17" s="15" t="s">
        <v>65</v>
      </c>
      <c r="B17" s="15">
        <v>0.2</v>
      </c>
      <c r="J17" s="8"/>
    </row>
    <row r="18" spans="1:10" x14ac:dyDescent="0.2">
      <c r="A18" s="15" t="s">
        <v>66</v>
      </c>
      <c r="B18" s="15">
        <v>0.05</v>
      </c>
      <c r="D18" s="3"/>
      <c r="H18" s="2"/>
      <c r="I18" s="2"/>
    </row>
    <row r="19" spans="1:10" x14ac:dyDescent="0.2">
      <c r="A19" s="15" t="s">
        <v>67</v>
      </c>
      <c r="B19" s="15">
        <v>0.02</v>
      </c>
    </row>
    <row r="20" spans="1:10" x14ac:dyDescent="0.2">
      <c r="A20" s="15" t="s">
        <v>75</v>
      </c>
      <c r="B20" s="15">
        <f>(1+$B$17)/(1+$B$19)-1</f>
        <v>0.17647058823529416</v>
      </c>
    </row>
    <row r="21" spans="1:10" x14ac:dyDescent="0.2">
      <c r="A21" s="15" t="s">
        <v>68</v>
      </c>
      <c r="B21" s="15">
        <v>0.02</v>
      </c>
    </row>
    <row r="22" spans="1:10" x14ac:dyDescent="0.2">
      <c r="A22" s="15" t="s">
        <v>76</v>
      </c>
      <c r="B22" s="15">
        <f>(1+$B$17)/(1+$B$21)-1</f>
        <v>0.17647058823529416</v>
      </c>
      <c r="C22" s="17"/>
      <c r="D22" s="17"/>
    </row>
    <row r="23" spans="1:10" x14ac:dyDescent="0.2">
      <c r="A23" s="33" t="s">
        <v>37</v>
      </c>
      <c r="B23" s="34">
        <v>0.2</v>
      </c>
    </row>
    <row r="25" spans="1:10" x14ac:dyDescent="0.2">
      <c r="B25" s="27" t="s">
        <v>69</v>
      </c>
      <c r="C25" s="27" t="s">
        <v>73</v>
      </c>
      <c r="D25" s="27" t="s">
        <v>72</v>
      </c>
      <c r="E25" s="27" t="s">
        <v>70</v>
      </c>
      <c r="F25" s="27" t="s">
        <v>71</v>
      </c>
    </row>
    <row r="26" spans="1:10" x14ac:dyDescent="0.2">
      <c r="B26" s="35">
        <v>0</v>
      </c>
      <c r="C26" s="34">
        <v>99162770.854677185</v>
      </c>
      <c r="D26" s="34">
        <v>143171997.74900883</v>
      </c>
      <c r="E26" s="34">
        <v>40802138.096581124</v>
      </c>
      <c r="F26" s="34">
        <v>159994682.93749169</v>
      </c>
    </row>
    <row r="27" spans="1:10" x14ac:dyDescent="0.2">
      <c r="B27" s="34">
        <v>0.2</v>
      </c>
      <c r="C27" s="31">
        <v>210904223.64851481</v>
      </c>
      <c r="D27" s="31">
        <v>314682134.52579784</v>
      </c>
      <c r="E27" s="31">
        <v>70166752.365860447</v>
      </c>
      <c r="F27" s="31">
        <v>367885757.83320457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workbookViewId="0">
      <selection activeCell="Y43" sqref="Y43"/>
    </sheetView>
  </sheetViews>
  <sheetFormatPr baseColWidth="10" defaultColWidth="8.83203125" defaultRowHeight="15" x14ac:dyDescent="0.2"/>
  <cols>
    <col min="1" max="1" width="26.5" customWidth="1"/>
    <col min="2" max="2" width="18" bestFit="1" customWidth="1"/>
    <col min="3" max="3" width="17" bestFit="1" customWidth="1"/>
    <col min="4" max="4" width="22" bestFit="1" customWidth="1"/>
    <col min="5" max="5" width="17" bestFit="1" customWidth="1"/>
    <col min="7" max="7" width="5" bestFit="1" customWidth="1"/>
    <col min="8" max="8" width="12.6640625" bestFit="1" customWidth="1"/>
    <col min="9" max="9" width="17" bestFit="1" customWidth="1"/>
    <col min="10" max="10" width="15.33203125" bestFit="1" customWidth="1"/>
    <col min="11" max="11" width="15.1640625" bestFit="1" customWidth="1"/>
    <col min="12" max="12" width="17.5" bestFit="1" customWidth="1"/>
    <col min="13" max="13" width="20.5" bestFit="1" customWidth="1"/>
    <col min="14" max="14" width="17.6640625" bestFit="1" customWidth="1"/>
    <col min="15" max="15" width="18" bestFit="1" customWidth="1"/>
    <col min="18" max="18" width="17.83203125" customWidth="1"/>
    <col min="19" max="25" width="20.6640625" bestFit="1" customWidth="1"/>
  </cols>
  <sheetData>
    <row r="1" spans="1:25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6" x14ac:dyDescent="0.2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">
        <v>-1.4999999999999999E-2</v>
      </c>
      <c r="T2" s="2">
        <v>-0.03</v>
      </c>
      <c r="U2" s="2">
        <v>-4.4999999999999998E-2</v>
      </c>
      <c r="V2" s="2">
        <v>-0.06</v>
      </c>
      <c r="W2" s="2">
        <v>-7.4999999999999997E-2</v>
      </c>
      <c r="X2" s="2">
        <v>-0.09</v>
      </c>
      <c r="Y2" s="2">
        <v>-0.105</v>
      </c>
    </row>
    <row r="3" spans="1:25" ht="16" x14ac:dyDescent="0.2">
      <c r="A3" s="10" t="s">
        <v>52</v>
      </c>
      <c r="B3" s="13">
        <f>B2*$B$9/20</f>
        <v>-1318940.0000000002</v>
      </c>
      <c r="C3" s="13">
        <f t="shared" ref="C3:E3" si="0">C2*$B$9/20</f>
        <v>-1408750.0000000002</v>
      </c>
      <c r="D3" s="13">
        <f t="shared" si="0"/>
        <v>-1351672.0000000002</v>
      </c>
      <c r="E3" s="13">
        <f t="shared" si="0"/>
        <v>-784000.00000000012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44184570.329670332</v>
      </c>
      <c r="P3">
        <v>1</v>
      </c>
      <c r="R3" s="2">
        <f>($H3+$I3+$M3+($J3*R$2))*(1-$B$9)/((1+$B$10)^$P3)</f>
        <v>44184570.329670332</v>
      </c>
      <c r="S3" s="2">
        <f t="shared" ref="S3:Y3" si="1">($H3+$I3+$M3+($J3*S$2))*(1-$B$9)/((1+$B$10)^$P3)</f>
        <v>39561679.420579419</v>
      </c>
      <c r="T3" s="2">
        <f t="shared" si="1"/>
        <v>34938788.511488512</v>
      </c>
      <c r="U3" s="2">
        <f t="shared" si="1"/>
        <v>30315897.602397598</v>
      </c>
      <c r="V3" s="2">
        <f t="shared" si="1"/>
        <v>25693006.693306692</v>
      </c>
      <c r="W3" s="2">
        <f t="shared" si="1"/>
        <v>21070115.784215782</v>
      </c>
      <c r="X3" s="2">
        <f t="shared" si="1"/>
        <v>16447224.875124874</v>
      </c>
      <c r="Y3" s="2">
        <f t="shared" si="1"/>
        <v>11824333.966033962</v>
      </c>
    </row>
    <row r="4" spans="1:25" ht="16" x14ac:dyDescent="0.2">
      <c r="A4" s="10" t="s">
        <v>28</v>
      </c>
      <c r="B4" s="13">
        <f>B2+PV($B$10,20,B3)</f>
        <v>-85672052.679050386</v>
      </c>
      <c r="C4" s="13">
        <f t="shared" ref="C4:E4" si="2">C2+PV($B$10,20,C3)</f>
        <v>-91505681.995854422</v>
      </c>
      <c r="D4" s="13">
        <f t="shared" si="2"/>
        <v>-87798167.307684496</v>
      </c>
      <c r="E4" s="13">
        <f t="shared" si="2"/>
        <v>-50924901.284649417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3">J4*$B$11</f>
        <v>0</v>
      </c>
      <c r="L4" s="11">
        <f>L3+0.05</f>
        <v>0.25</v>
      </c>
      <c r="M4" s="11">
        <f t="shared" ref="M4:M22" si="4">L4*80000*365*24</f>
        <v>175200000</v>
      </c>
      <c r="N4" s="13">
        <f t="shared" ref="N4:N22" si="5">M4+K4+H4+I4</f>
        <v>103845237.2142857</v>
      </c>
      <c r="O4" s="13">
        <f t="shared" ref="O4:O22" si="6">N4*(1-$B$9)/((1+$B$10)^$P4)</f>
        <v>57130369.145714432</v>
      </c>
      <c r="P4">
        <v>2</v>
      </c>
      <c r="R4" s="2">
        <f t="shared" ref="R4:Y22" si="7">($H4+$I4+$M4+($J4*R$2))*(1-$B$9)/((1+$B$10)^$P4)</f>
        <v>57130369.145714432</v>
      </c>
      <c r="S4" s="2">
        <f t="shared" si="7"/>
        <v>53008560.817678824</v>
      </c>
      <c r="T4" s="2">
        <f t="shared" si="7"/>
        <v>48886752.489643224</v>
      </c>
      <c r="U4" s="2">
        <f t="shared" si="7"/>
        <v>44764944.161607631</v>
      </c>
      <c r="V4" s="2">
        <f t="shared" si="7"/>
        <v>40643135.83357203</v>
      </c>
      <c r="W4" s="2">
        <f t="shared" si="7"/>
        <v>36521327.505536422</v>
      </c>
      <c r="X4" s="2">
        <f t="shared" si="7"/>
        <v>32399519.177500825</v>
      </c>
      <c r="Y4" s="2">
        <f t="shared" si="7"/>
        <v>28277710.849465221</v>
      </c>
    </row>
    <row r="5" spans="1:25" x14ac:dyDescent="0.2">
      <c r="B5" s="4"/>
      <c r="G5" s="15">
        <v>2021</v>
      </c>
      <c r="H5" s="11">
        <f t="shared" ref="H5:H22" si="8">H4*1.05</f>
        <v>-848.92500000000007</v>
      </c>
      <c r="I5" s="11">
        <f t="shared" ref="I5:J20" si="9">I4*1.02</f>
        <v>-72781033.371428579</v>
      </c>
      <c r="J5" s="16">
        <f t="shared" si="9"/>
        <v>509467233.60000002</v>
      </c>
      <c r="K5" s="11">
        <f t="shared" si="3"/>
        <v>0</v>
      </c>
      <c r="L5" s="11">
        <f t="shared" ref="L5:L22" si="10">L4+0.05</f>
        <v>0.3</v>
      </c>
      <c r="M5" s="11">
        <f t="shared" si="4"/>
        <v>210240000</v>
      </c>
      <c r="N5" s="13">
        <f t="shared" si="5"/>
        <v>137458117.70357141</v>
      </c>
      <c r="O5" s="13">
        <f t="shared" si="6"/>
        <v>66103554.919555061</v>
      </c>
      <c r="P5">
        <v>3</v>
      </c>
      <c r="R5" s="2">
        <f t="shared" si="7"/>
        <v>66103554.919555083</v>
      </c>
      <c r="S5" s="2">
        <f t="shared" si="7"/>
        <v>62428516.025677189</v>
      </c>
      <c r="T5" s="2">
        <f t="shared" si="7"/>
        <v>58753477.131799281</v>
      </c>
      <c r="U5" s="2">
        <f t="shared" si="7"/>
        <v>55078438.237921387</v>
      </c>
      <c r="V5" s="2">
        <f t="shared" si="7"/>
        <v>51403399.344043493</v>
      </c>
      <c r="W5" s="2">
        <f t="shared" si="7"/>
        <v>47728360.450165585</v>
      </c>
      <c r="X5" s="2">
        <f t="shared" si="7"/>
        <v>44053321.556287698</v>
      </c>
      <c r="Y5" s="2">
        <f t="shared" si="7"/>
        <v>40378282.662409797</v>
      </c>
    </row>
    <row r="6" spans="1:25" x14ac:dyDescent="0.2">
      <c r="G6" s="15">
        <v>2022</v>
      </c>
      <c r="H6" s="11">
        <f t="shared" si="8"/>
        <v>-891.37125000000015</v>
      </c>
      <c r="I6" s="11">
        <f t="shared" si="9"/>
        <v>-74236654.038857147</v>
      </c>
      <c r="J6" s="16">
        <f t="shared" si="9"/>
        <v>519656578.27200001</v>
      </c>
      <c r="K6" s="11">
        <f t="shared" si="3"/>
        <v>0</v>
      </c>
      <c r="L6" s="11">
        <f t="shared" si="10"/>
        <v>0.35</v>
      </c>
      <c r="M6" s="11">
        <f t="shared" si="4"/>
        <v>245280000</v>
      </c>
      <c r="N6" s="13">
        <f t="shared" si="5"/>
        <v>171042454.58989286</v>
      </c>
      <c r="O6" s="13">
        <f t="shared" si="6"/>
        <v>71900567.625002041</v>
      </c>
      <c r="P6">
        <v>4</v>
      </c>
      <c r="R6" s="2">
        <f t="shared" si="7"/>
        <v>71900567.625002041</v>
      </c>
      <c r="S6" s="2">
        <f t="shared" si="7"/>
        <v>68623872.107733279</v>
      </c>
      <c r="T6" s="2">
        <f t="shared" si="7"/>
        <v>65347176.590464525</v>
      </c>
      <c r="U6" s="2">
        <f t="shared" si="7"/>
        <v>62070481.073195778</v>
      </c>
      <c r="V6" s="2">
        <f t="shared" si="7"/>
        <v>58793785.555927023</v>
      </c>
      <c r="W6" s="2">
        <f t="shared" si="7"/>
        <v>55517090.038658269</v>
      </c>
      <c r="X6" s="2">
        <f t="shared" si="7"/>
        <v>52240394.521389507</v>
      </c>
      <c r="Y6" s="2">
        <f t="shared" si="7"/>
        <v>48963699.004120752</v>
      </c>
    </row>
    <row r="7" spans="1:25" ht="16" x14ac:dyDescent="0.2">
      <c r="A7" s="23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8"/>
        <v>-935.93981250000024</v>
      </c>
      <c r="I7" s="11">
        <f t="shared" si="9"/>
        <v>-75721387.119634286</v>
      </c>
      <c r="J7" s="16">
        <f t="shared" si="9"/>
        <v>530049709.83744001</v>
      </c>
      <c r="K7" s="11">
        <f t="shared" si="3"/>
        <v>0</v>
      </c>
      <c r="L7" s="11">
        <f t="shared" si="10"/>
        <v>0.39999999999999997</v>
      </c>
      <c r="M7" s="11">
        <f t="shared" si="4"/>
        <v>280319999.99999994</v>
      </c>
      <c r="N7" s="13">
        <f t="shared" si="5"/>
        <v>204597676.94055319</v>
      </c>
      <c r="O7" s="13">
        <f t="shared" si="6"/>
        <v>75180130.016797245</v>
      </c>
      <c r="P7">
        <v>5</v>
      </c>
      <c r="R7" s="2">
        <f t="shared" si="7"/>
        <v>75180130.01679723</v>
      </c>
      <c r="S7" s="2">
        <f t="shared" si="7"/>
        <v>72258600.796854809</v>
      </c>
      <c r="T7" s="2">
        <f t="shared" si="7"/>
        <v>69337071.576912403</v>
      </c>
      <c r="U7" s="2">
        <f t="shared" si="7"/>
        <v>66415542.356969967</v>
      </c>
      <c r="V7" s="2">
        <f t="shared" si="7"/>
        <v>63494013.137027554</v>
      </c>
      <c r="W7" s="2">
        <f t="shared" si="7"/>
        <v>60572483.917085133</v>
      </c>
      <c r="X7" s="2">
        <f t="shared" si="7"/>
        <v>57650954.697142705</v>
      </c>
      <c r="Y7" s="2">
        <f t="shared" si="7"/>
        <v>54729425.477200277</v>
      </c>
    </row>
    <row r="8" spans="1:25" x14ac:dyDescent="0.2">
      <c r="G8" s="15">
        <v>2024</v>
      </c>
      <c r="H8" s="11">
        <f t="shared" si="8"/>
        <v>-982.73680312500028</v>
      </c>
      <c r="I8" s="11">
        <f t="shared" si="9"/>
        <v>-77235814.862026975</v>
      </c>
      <c r="J8" s="16">
        <f t="shared" si="9"/>
        <v>540650704.03418887</v>
      </c>
      <c r="K8" s="11">
        <f t="shared" si="3"/>
        <v>0</v>
      </c>
      <c r="L8" s="11">
        <f t="shared" si="10"/>
        <v>0.44999999999999996</v>
      </c>
      <c r="M8" s="11">
        <f t="shared" si="4"/>
        <v>315360000</v>
      </c>
      <c r="N8" s="13">
        <f t="shared" si="5"/>
        <v>238123202.4011699</v>
      </c>
      <c r="O8" s="13">
        <f t="shared" si="6"/>
        <v>76485315.806307241</v>
      </c>
      <c r="P8">
        <v>6</v>
      </c>
      <c r="R8" s="2">
        <f t="shared" si="7"/>
        <v>76485315.806307241</v>
      </c>
      <c r="S8" s="2">
        <f t="shared" si="7"/>
        <v>73880455.837477461</v>
      </c>
      <c r="T8" s="2">
        <f t="shared" si="7"/>
        <v>71275595.86864768</v>
      </c>
      <c r="U8" s="2">
        <f t="shared" si="7"/>
        <v>68670735.899817899</v>
      </c>
      <c r="V8" s="2">
        <f t="shared" si="7"/>
        <v>66065875.930988118</v>
      </c>
      <c r="W8" s="2">
        <f t="shared" si="7"/>
        <v>63461015.962158337</v>
      </c>
      <c r="X8" s="2">
        <f t="shared" si="7"/>
        <v>60856155.993328549</v>
      </c>
      <c r="Y8" s="2">
        <f t="shared" si="7"/>
        <v>58251296.024498768</v>
      </c>
    </row>
    <row r="9" spans="1:25" x14ac:dyDescent="0.2">
      <c r="A9" t="s">
        <v>34</v>
      </c>
      <c r="B9">
        <v>0.28000000000000003</v>
      </c>
      <c r="G9" s="15">
        <v>2025</v>
      </c>
      <c r="H9" s="11">
        <f t="shared" si="8"/>
        <v>-1031.8736432812502</v>
      </c>
      <c r="I9" s="11">
        <f t="shared" si="9"/>
        <v>-78780531.159267515</v>
      </c>
      <c r="J9" s="16">
        <f t="shared" si="9"/>
        <v>551463718.11487269</v>
      </c>
      <c r="K9" s="11">
        <f t="shared" si="3"/>
        <v>0</v>
      </c>
      <c r="L9" s="11">
        <f t="shared" si="10"/>
        <v>0.49999999999999994</v>
      </c>
      <c r="M9" s="11">
        <f t="shared" si="4"/>
        <v>350399999.99999994</v>
      </c>
      <c r="N9" s="13">
        <f t="shared" si="5"/>
        <v>271618436.96708918</v>
      </c>
      <c r="O9" s="13">
        <f t="shared" si="6"/>
        <v>76262242.387406051</v>
      </c>
      <c r="P9">
        <v>7</v>
      </c>
      <c r="R9" s="2">
        <f t="shared" si="7"/>
        <v>76262242.387406051</v>
      </c>
      <c r="S9" s="2">
        <f t="shared" si="7"/>
        <v>73939727.380232662</v>
      </c>
      <c r="T9" s="2">
        <f t="shared" si="7"/>
        <v>71617212.373059243</v>
      </c>
      <c r="U9" s="2">
        <f t="shared" si="7"/>
        <v>69294697.365885839</v>
      </c>
      <c r="V9" s="2">
        <f t="shared" si="7"/>
        <v>66972182.358712427</v>
      </c>
      <c r="W9" s="2">
        <f t="shared" si="7"/>
        <v>64649667.351539016</v>
      </c>
      <c r="X9" s="2">
        <f t="shared" si="7"/>
        <v>62327152.344365619</v>
      </c>
      <c r="Y9" s="2">
        <f t="shared" si="7"/>
        <v>60004637.337192208</v>
      </c>
    </row>
    <row r="10" spans="1:25" x14ac:dyDescent="0.2">
      <c r="A10" t="s">
        <v>35</v>
      </c>
      <c r="B10">
        <f>0.2*(1-B9)</f>
        <v>0.14399999999999999</v>
      </c>
      <c r="G10" s="15">
        <v>2026</v>
      </c>
      <c r="H10" s="11">
        <f t="shared" si="8"/>
        <v>-1083.4673254453128</v>
      </c>
      <c r="I10" s="11">
        <f t="shared" si="9"/>
        <v>-80356141.782452866</v>
      </c>
      <c r="J10" s="16">
        <f t="shared" si="9"/>
        <v>562492992.47717011</v>
      </c>
      <c r="K10" s="11">
        <f t="shared" si="3"/>
        <v>0</v>
      </c>
      <c r="L10" s="11">
        <f t="shared" si="10"/>
        <v>0.54999999999999993</v>
      </c>
      <c r="M10" s="11">
        <f t="shared" si="4"/>
        <v>385439999.99999994</v>
      </c>
      <c r="N10" s="13">
        <f t="shared" si="5"/>
        <v>305082774.75022161</v>
      </c>
      <c r="O10" s="13">
        <f t="shared" si="6"/>
        <v>74875888.422773555</v>
      </c>
      <c r="P10">
        <v>8</v>
      </c>
      <c r="R10" s="2">
        <f t="shared" si="7"/>
        <v>74875888.422773555</v>
      </c>
      <c r="S10" s="2">
        <f t="shared" si="7"/>
        <v>72805114.552741304</v>
      </c>
      <c r="T10" s="2">
        <f t="shared" si="7"/>
        <v>70734340.682709068</v>
      </c>
      <c r="U10" s="2">
        <f t="shared" si="7"/>
        <v>68663566.812676847</v>
      </c>
      <c r="V10" s="2">
        <f t="shared" si="7"/>
        <v>66592792.942644604</v>
      </c>
      <c r="W10" s="2">
        <f t="shared" si="7"/>
        <v>64522019.072612375</v>
      </c>
      <c r="X10" s="2">
        <f t="shared" si="7"/>
        <v>62451245.202580146</v>
      </c>
      <c r="Y10" s="2">
        <f t="shared" si="7"/>
        <v>60380471.332547903</v>
      </c>
    </row>
    <row r="11" spans="1:25" x14ac:dyDescent="0.2">
      <c r="A11" t="s">
        <v>37</v>
      </c>
      <c r="B11">
        <v>0</v>
      </c>
      <c r="G11" s="15">
        <v>2027</v>
      </c>
      <c r="H11" s="11">
        <f t="shared" si="8"/>
        <v>-1137.6406917175784</v>
      </c>
      <c r="I11" s="11">
        <f t="shared" si="9"/>
        <v>-81963264.618101925</v>
      </c>
      <c r="J11" s="16">
        <f t="shared" si="9"/>
        <v>573742852.32671356</v>
      </c>
      <c r="K11" s="11">
        <f t="shared" si="3"/>
        <v>0</v>
      </c>
      <c r="L11" s="11">
        <f t="shared" si="10"/>
        <v>0.6</v>
      </c>
      <c r="M11" s="11">
        <f t="shared" si="4"/>
        <v>420480000</v>
      </c>
      <c r="N11" s="13">
        <f t="shared" si="5"/>
        <v>338515597.74120641</v>
      </c>
      <c r="O11" s="13">
        <f t="shared" si="6"/>
        <v>72623464.108410537</v>
      </c>
      <c r="P11">
        <v>9</v>
      </c>
      <c r="R11" s="2">
        <f t="shared" si="7"/>
        <v>72623464.108410522</v>
      </c>
      <c r="S11" s="2">
        <f t="shared" si="7"/>
        <v>70777144.748766392</v>
      </c>
      <c r="T11" s="2">
        <f t="shared" si="7"/>
        <v>68930825.389122277</v>
      </c>
      <c r="U11" s="2">
        <f t="shared" si="7"/>
        <v>67084506.029478148</v>
      </c>
      <c r="V11" s="2">
        <f t="shared" si="7"/>
        <v>65238186.669834018</v>
      </c>
      <c r="W11" s="2">
        <f t="shared" si="7"/>
        <v>63391867.310189903</v>
      </c>
      <c r="X11" s="2">
        <f t="shared" si="7"/>
        <v>61545547.950545773</v>
      </c>
      <c r="Y11" s="2">
        <f t="shared" si="7"/>
        <v>59699228.590901643</v>
      </c>
    </row>
    <row r="12" spans="1:25" x14ac:dyDescent="0.2">
      <c r="G12" s="15">
        <v>2028</v>
      </c>
      <c r="H12" s="11">
        <f t="shared" si="8"/>
        <v>-1194.5227263034574</v>
      </c>
      <c r="I12" s="11">
        <f t="shared" si="9"/>
        <v>-83602529.910463959</v>
      </c>
      <c r="J12" s="16">
        <f t="shared" si="9"/>
        <v>585217709.37324786</v>
      </c>
      <c r="K12" s="11">
        <f t="shared" si="3"/>
        <v>0</v>
      </c>
      <c r="L12" s="11">
        <f t="shared" si="10"/>
        <v>0.65</v>
      </c>
      <c r="M12" s="11">
        <f t="shared" si="4"/>
        <v>455520000</v>
      </c>
      <c r="N12" s="13">
        <f t="shared" si="5"/>
        <v>371916275.56680977</v>
      </c>
      <c r="O12" s="13">
        <f t="shared" si="6"/>
        <v>69745699.76689291</v>
      </c>
      <c r="P12">
        <v>10</v>
      </c>
      <c r="R12" s="2">
        <f t="shared" si="7"/>
        <v>69745699.76689291</v>
      </c>
      <c r="S12" s="2">
        <f t="shared" si="7"/>
        <v>68099505.93224518</v>
      </c>
      <c r="T12" s="2">
        <f t="shared" si="7"/>
        <v>66453312.09759745</v>
      </c>
      <c r="U12" s="2">
        <f t="shared" si="7"/>
        <v>64807118.262949713</v>
      </c>
      <c r="V12" s="2">
        <f t="shared" si="7"/>
        <v>63160924.428301983</v>
      </c>
      <c r="W12" s="2">
        <f t="shared" si="7"/>
        <v>61514730.593654245</v>
      </c>
      <c r="X12" s="2">
        <f t="shared" si="7"/>
        <v>59868536.759006508</v>
      </c>
      <c r="Y12" s="2">
        <f t="shared" si="7"/>
        <v>58222342.924358778</v>
      </c>
    </row>
    <row r="13" spans="1:25" x14ac:dyDescent="0.2">
      <c r="G13" s="15">
        <v>2029</v>
      </c>
      <c r="H13" s="11">
        <f t="shared" si="8"/>
        <v>-1254.2488626186303</v>
      </c>
      <c r="I13" s="11">
        <f t="shared" si="9"/>
        <v>-85274580.508673236</v>
      </c>
      <c r="J13" s="16">
        <f t="shared" si="9"/>
        <v>596922063.56071281</v>
      </c>
      <c r="K13" s="11">
        <f t="shared" si="3"/>
        <v>0</v>
      </c>
      <c r="L13" s="11">
        <f t="shared" si="10"/>
        <v>0.70000000000000007</v>
      </c>
      <c r="M13" s="11">
        <f t="shared" si="4"/>
        <v>490560000.00000012</v>
      </c>
      <c r="N13" s="13">
        <f t="shared" si="5"/>
        <v>405284165.24246424</v>
      </c>
      <c r="O13" s="13">
        <f t="shared" si="6"/>
        <v>66436365.126748547</v>
      </c>
      <c r="P13">
        <v>11</v>
      </c>
      <c r="R13" s="2">
        <f t="shared" si="7"/>
        <v>66436365.126748547</v>
      </c>
      <c r="S13" s="2">
        <f t="shared" si="7"/>
        <v>64968604.889562629</v>
      </c>
      <c r="T13" s="2">
        <f t="shared" si="7"/>
        <v>63500844.652376719</v>
      </c>
      <c r="U13" s="2">
        <f t="shared" si="7"/>
        <v>62033084.415190801</v>
      </c>
      <c r="V13" s="2">
        <f t="shared" si="7"/>
        <v>60565324.178004868</v>
      </c>
      <c r="W13" s="2">
        <f t="shared" si="7"/>
        <v>59097563.940818951</v>
      </c>
      <c r="X13" s="2">
        <f t="shared" si="7"/>
        <v>57629803.703633033</v>
      </c>
      <c r="Y13" s="2">
        <f t="shared" si="7"/>
        <v>56162043.466447115</v>
      </c>
    </row>
    <row r="14" spans="1:25" x14ac:dyDescent="0.2">
      <c r="A14" t="s">
        <v>39</v>
      </c>
      <c r="B14" s="8">
        <f>$O$23</f>
        <v>1184431412.0201657</v>
      </c>
      <c r="C14" s="8">
        <f>$O$47</f>
        <v>989068934.96529233</v>
      </c>
      <c r="D14" s="8">
        <f>$O$71</f>
        <v>1453693244.4913254</v>
      </c>
      <c r="E14" s="8">
        <f>$O$95</f>
        <v>870150443.54758632</v>
      </c>
      <c r="G14" s="15">
        <v>2030</v>
      </c>
      <c r="H14" s="11">
        <f t="shared" si="8"/>
        <v>-1316.9613057495619</v>
      </c>
      <c r="I14" s="11">
        <f t="shared" si="9"/>
        <v>-86980072.1188467</v>
      </c>
      <c r="J14" s="16">
        <f t="shared" si="9"/>
        <v>608860504.83192706</v>
      </c>
      <c r="K14" s="11">
        <f t="shared" si="3"/>
        <v>0</v>
      </c>
      <c r="L14" s="11">
        <f t="shared" si="10"/>
        <v>0.75000000000000011</v>
      </c>
      <c r="M14" s="11">
        <f t="shared" si="4"/>
        <v>525600000.00000012</v>
      </c>
      <c r="N14" s="13">
        <f t="shared" si="5"/>
        <v>438618610.91984767</v>
      </c>
      <c r="O14" s="13">
        <f t="shared" si="6"/>
        <v>62850285.97706148</v>
      </c>
      <c r="P14">
        <v>12</v>
      </c>
      <c r="R14" s="2">
        <f t="shared" si="7"/>
        <v>62850285.97706148</v>
      </c>
      <c r="S14" s="2">
        <f t="shared" si="7"/>
        <v>61541618.632717401</v>
      </c>
      <c r="T14" s="2">
        <f t="shared" si="7"/>
        <v>60232951.288373299</v>
      </c>
      <c r="U14" s="2">
        <f t="shared" si="7"/>
        <v>58924283.944029219</v>
      </c>
      <c r="V14" s="2">
        <f t="shared" si="7"/>
        <v>57615616.599685133</v>
      </c>
      <c r="W14" s="2">
        <f t="shared" si="7"/>
        <v>56306949.255341053</v>
      </c>
      <c r="X14" s="2">
        <f t="shared" si="7"/>
        <v>54998281.910996966</v>
      </c>
      <c r="Y14" s="2">
        <f t="shared" si="7"/>
        <v>53689614.566652872</v>
      </c>
    </row>
    <row r="15" spans="1:25" x14ac:dyDescent="0.2">
      <c r="A15" t="s">
        <v>38</v>
      </c>
      <c r="B15" s="8">
        <f>B4+O23</f>
        <v>1098759359.3411152</v>
      </c>
      <c r="C15" s="8">
        <f>C4+O47</f>
        <v>897563252.96943796</v>
      </c>
      <c r="D15" s="8">
        <f>D4+O71</f>
        <v>1365895077.183641</v>
      </c>
      <c r="E15" s="8">
        <f>E2+O95</f>
        <v>814150443.54758632</v>
      </c>
      <c r="G15" s="15">
        <v>2031</v>
      </c>
      <c r="H15" s="11">
        <f t="shared" si="8"/>
        <v>-1382.8093710370401</v>
      </c>
      <c r="I15" s="11">
        <f t="shared" si="9"/>
        <v>-88719673.561223641</v>
      </c>
      <c r="J15" s="16">
        <f t="shared" si="9"/>
        <v>621037714.92856562</v>
      </c>
      <c r="K15" s="11">
        <f t="shared" si="3"/>
        <v>0</v>
      </c>
      <c r="L15" s="11">
        <f t="shared" si="10"/>
        <v>0.80000000000000016</v>
      </c>
      <c r="M15" s="11">
        <f t="shared" si="4"/>
        <v>560640000.00000012</v>
      </c>
      <c r="N15" s="13">
        <f t="shared" si="5"/>
        <v>471918943.6294055</v>
      </c>
      <c r="O15" s="13">
        <f t="shared" si="6"/>
        <v>59110085.767633647</v>
      </c>
      <c r="P15">
        <v>13</v>
      </c>
      <c r="R15" s="2">
        <f t="shared" si="7"/>
        <v>59110085.767633632</v>
      </c>
      <c r="S15" s="2">
        <f t="shared" si="7"/>
        <v>57943266.981592581</v>
      </c>
      <c r="T15" s="2">
        <f t="shared" si="7"/>
        <v>56776448.195551522</v>
      </c>
      <c r="U15" s="2">
        <f t="shared" si="7"/>
        <v>55609629.409510463</v>
      </c>
      <c r="V15" s="2">
        <f t="shared" si="7"/>
        <v>54442810.623469412</v>
      </c>
      <c r="W15" s="2">
        <f t="shared" si="7"/>
        <v>53275991.837428354</v>
      </c>
      <c r="X15" s="2">
        <f t="shared" si="7"/>
        <v>52109173.051387295</v>
      </c>
      <c r="Y15" s="2">
        <f t="shared" si="7"/>
        <v>50942354.265346244</v>
      </c>
    </row>
    <row r="16" spans="1:25" x14ac:dyDescent="0.2">
      <c r="G16" s="15">
        <v>2032</v>
      </c>
      <c r="H16" s="11">
        <f t="shared" si="8"/>
        <v>-1451.9498395888922</v>
      </c>
      <c r="I16" s="11">
        <f t="shared" si="9"/>
        <v>-90494067.032448113</v>
      </c>
      <c r="J16" s="16">
        <f t="shared" si="9"/>
        <v>633458469.22713697</v>
      </c>
      <c r="K16" s="11">
        <f t="shared" si="3"/>
        <v>0</v>
      </c>
      <c r="L16" s="11">
        <f t="shared" si="10"/>
        <v>0.8500000000000002</v>
      </c>
      <c r="M16" s="11">
        <f t="shared" si="4"/>
        <v>595680000.00000012</v>
      </c>
      <c r="N16" s="13">
        <f t="shared" si="5"/>
        <v>505184481.01771241</v>
      </c>
      <c r="O16" s="13">
        <f t="shared" si="6"/>
        <v>55311846.23033531</v>
      </c>
      <c r="P16">
        <v>14</v>
      </c>
      <c r="R16" s="2">
        <f t="shared" si="7"/>
        <v>55311846.23033531</v>
      </c>
      <c r="S16" s="2">
        <f t="shared" si="7"/>
        <v>54271500.809214786</v>
      </c>
      <c r="T16" s="2">
        <f t="shared" si="7"/>
        <v>53231155.388094261</v>
      </c>
      <c r="U16" s="2">
        <f t="shared" si="7"/>
        <v>52190809.966973744</v>
      </c>
      <c r="V16" s="2">
        <f t="shared" si="7"/>
        <v>51150464.54585322</v>
      </c>
      <c r="W16" s="2">
        <f t="shared" si="7"/>
        <v>50110119.124732696</v>
      </c>
      <c r="X16" s="2">
        <f t="shared" si="7"/>
        <v>49069773.703612171</v>
      </c>
      <c r="Y16" s="2">
        <f t="shared" si="7"/>
        <v>48029428.282491654</v>
      </c>
    </row>
    <row r="17" spans="7:25" x14ac:dyDescent="0.2">
      <c r="G17" s="15">
        <v>2033</v>
      </c>
      <c r="H17" s="11">
        <f t="shared" si="8"/>
        <v>-1524.5473315683369</v>
      </c>
      <c r="I17" s="11">
        <f t="shared" si="9"/>
        <v>-92303948.373097077</v>
      </c>
      <c r="J17" s="16">
        <f t="shared" si="9"/>
        <v>646127638.61167967</v>
      </c>
      <c r="K17" s="11">
        <f t="shared" si="3"/>
        <v>0</v>
      </c>
      <c r="L17" s="11">
        <f t="shared" si="10"/>
        <v>0.90000000000000024</v>
      </c>
      <c r="M17" s="11">
        <f t="shared" si="4"/>
        <v>630720000.00000012</v>
      </c>
      <c r="N17" s="13">
        <f t="shared" si="5"/>
        <v>538414527.07957149</v>
      </c>
      <c r="O17" s="13">
        <f t="shared" si="6"/>
        <v>51529852.430450566</v>
      </c>
      <c r="P17">
        <v>15</v>
      </c>
      <c r="R17" s="2">
        <f t="shared" si="7"/>
        <v>51529852.430450566</v>
      </c>
      <c r="S17" s="2">
        <f t="shared" si="7"/>
        <v>50602271.722808145</v>
      </c>
      <c r="T17" s="2">
        <f t="shared" si="7"/>
        <v>49674691.015165716</v>
      </c>
      <c r="U17" s="2">
        <f t="shared" si="7"/>
        <v>48747110.307523295</v>
      </c>
      <c r="V17" s="2">
        <f t="shared" si="7"/>
        <v>47819529.599880874</v>
      </c>
      <c r="W17" s="2">
        <f t="shared" si="7"/>
        <v>46891948.892238446</v>
      </c>
      <c r="X17" s="2">
        <f t="shared" si="7"/>
        <v>45964368.184596024</v>
      </c>
      <c r="Y17" s="2">
        <f t="shared" si="7"/>
        <v>45036787.476953596</v>
      </c>
    </row>
    <row r="18" spans="7:25" x14ac:dyDescent="0.2">
      <c r="G18" s="15">
        <v>2034</v>
      </c>
      <c r="H18" s="11">
        <f t="shared" si="8"/>
        <v>-1600.7746981467537</v>
      </c>
      <c r="I18" s="11">
        <f t="shared" si="9"/>
        <v>-94150027.340559021</v>
      </c>
      <c r="J18" s="16">
        <f t="shared" si="9"/>
        <v>659050191.38391328</v>
      </c>
      <c r="K18" s="11">
        <f t="shared" si="3"/>
        <v>0</v>
      </c>
      <c r="L18" s="11">
        <f t="shared" si="10"/>
        <v>0.95000000000000029</v>
      </c>
      <c r="M18" s="11">
        <f t="shared" si="4"/>
        <v>665760000.00000024</v>
      </c>
      <c r="N18" s="13">
        <f t="shared" si="5"/>
        <v>571608371.88474309</v>
      </c>
      <c r="O18" s="13">
        <f t="shared" si="6"/>
        <v>47820563.133018821</v>
      </c>
      <c r="P18">
        <v>16</v>
      </c>
      <c r="R18" s="2">
        <f t="shared" si="7"/>
        <v>47820563.133018821</v>
      </c>
      <c r="S18" s="2">
        <f t="shared" si="7"/>
        <v>46993524.390190788</v>
      </c>
      <c r="T18" s="2">
        <f t="shared" si="7"/>
        <v>46166485.647362746</v>
      </c>
      <c r="U18" s="2">
        <f t="shared" si="7"/>
        <v>45339446.904534712</v>
      </c>
      <c r="V18" s="2">
        <f t="shared" si="7"/>
        <v>44512408.161706679</v>
      </c>
      <c r="W18" s="2">
        <f t="shared" si="7"/>
        <v>43685369.418878645</v>
      </c>
      <c r="X18" s="2">
        <f t="shared" si="7"/>
        <v>42858330.676050603</v>
      </c>
      <c r="Y18" s="2">
        <f t="shared" si="7"/>
        <v>42031291.93322257</v>
      </c>
    </row>
    <row r="19" spans="7:25" x14ac:dyDescent="0.2">
      <c r="G19" s="15">
        <v>2035</v>
      </c>
      <c r="H19" s="11">
        <f t="shared" si="8"/>
        <v>-1680.8134330540915</v>
      </c>
      <c r="I19" s="11">
        <f t="shared" si="9"/>
        <v>-96033027.887370199</v>
      </c>
      <c r="J19" s="16">
        <f t="shared" si="9"/>
        <v>672231195.2115916</v>
      </c>
      <c r="K19" s="11">
        <f t="shared" si="3"/>
        <v>0</v>
      </c>
      <c r="L19" s="11">
        <f t="shared" si="10"/>
        <v>1.0000000000000002</v>
      </c>
      <c r="M19" s="11">
        <f t="shared" si="4"/>
        <v>700800000.00000012</v>
      </c>
      <c r="N19" s="13">
        <f t="shared" si="5"/>
        <v>604765291.29919684</v>
      </c>
      <c r="O19" s="13">
        <f t="shared" si="6"/>
        <v>44225926.399466462</v>
      </c>
      <c r="P19">
        <v>17</v>
      </c>
      <c r="R19" s="2">
        <f t="shared" si="7"/>
        <v>44225926.399466462</v>
      </c>
      <c r="S19" s="2">
        <f t="shared" si="7"/>
        <v>43488531.716175728</v>
      </c>
      <c r="T19" s="2">
        <f t="shared" si="7"/>
        <v>42751137.032884993</v>
      </c>
      <c r="U19" s="2">
        <f t="shared" si="7"/>
        <v>42013742.349594265</v>
      </c>
      <c r="V19" s="2">
        <f t="shared" si="7"/>
        <v>41276347.666303538</v>
      </c>
      <c r="W19" s="2">
        <f t="shared" si="7"/>
        <v>40538952.983012803</v>
      </c>
      <c r="X19" s="2">
        <f t="shared" si="7"/>
        <v>39801558.299722068</v>
      </c>
      <c r="Y19" s="2">
        <f t="shared" si="7"/>
        <v>39064163.616431333</v>
      </c>
    </row>
    <row r="20" spans="7:25" x14ac:dyDescent="0.2">
      <c r="G20" s="15">
        <v>2036</v>
      </c>
      <c r="H20" s="11">
        <f t="shared" si="8"/>
        <v>-1764.8541047067963</v>
      </c>
      <c r="I20" s="11">
        <f t="shared" si="9"/>
        <v>-97953688.445117608</v>
      </c>
      <c r="J20" s="16">
        <f t="shared" si="9"/>
        <v>685675819.11582339</v>
      </c>
      <c r="K20" s="11">
        <f t="shared" si="3"/>
        <v>0</v>
      </c>
      <c r="L20" s="11">
        <f t="shared" si="10"/>
        <v>1.0500000000000003</v>
      </c>
      <c r="M20" s="11">
        <f t="shared" si="4"/>
        <v>735840000.00000012</v>
      </c>
      <c r="N20" s="13">
        <f t="shared" si="5"/>
        <v>637884546.70077777</v>
      </c>
      <c r="O20" s="13">
        <f t="shared" si="6"/>
        <v>40776142.40792457</v>
      </c>
      <c r="P20">
        <v>18</v>
      </c>
      <c r="R20" s="2">
        <f t="shared" si="7"/>
        <v>40776142.40792457</v>
      </c>
      <c r="S20" s="2">
        <f t="shared" si="7"/>
        <v>40118675.120375142</v>
      </c>
      <c r="T20" s="2">
        <f t="shared" si="7"/>
        <v>39461207.832825713</v>
      </c>
      <c r="U20" s="2">
        <f t="shared" si="7"/>
        <v>38803740.545276284</v>
      </c>
      <c r="V20" s="2">
        <f t="shared" si="7"/>
        <v>38146273.257726856</v>
      </c>
      <c r="W20" s="2">
        <f t="shared" si="7"/>
        <v>37488805.970177427</v>
      </c>
      <c r="X20" s="2">
        <f t="shared" si="7"/>
        <v>36831338.682628006</v>
      </c>
      <c r="Y20" s="2">
        <f t="shared" si="7"/>
        <v>36173871.39507857</v>
      </c>
    </row>
    <row r="21" spans="7:25" x14ac:dyDescent="0.2">
      <c r="G21" s="15">
        <v>2037</v>
      </c>
      <c r="H21" s="11">
        <f t="shared" si="8"/>
        <v>-1853.0968099421361</v>
      </c>
      <c r="I21" s="11">
        <f t="shared" ref="I21:J22" si="11">I20*1.02</f>
        <v>-99912762.214019954</v>
      </c>
      <c r="J21" s="16">
        <f t="shared" si="11"/>
        <v>699389335.49813986</v>
      </c>
      <c r="K21" s="11">
        <f t="shared" si="3"/>
        <v>0</v>
      </c>
      <c r="L21" s="11">
        <f t="shared" si="10"/>
        <v>1.1000000000000003</v>
      </c>
      <c r="M21" s="11">
        <f t="shared" si="4"/>
        <v>770880000.00000024</v>
      </c>
      <c r="N21" s="13">
        <f t="shared" si="5"/>
        <v>670965384.68917036</v>
      </c>
      <c r="O21" s="13">
        <f t="shared" si="6"/>
        <v>37491960.181404911</v>
      </c>
      <c r="P21">
        <v>19</v>
      </c>
      <c r="R21" s="2">
        <f t="shared" si="7"/>
        <v>37491960.181404911</v>
      </c>
      <c r="S21" s="2">
        <f t="shared" si="7"/>
        <v>36905756.83061783</v>
      </c>
      <c r="T21" s="2">
        <f t="shared" si="7"/>
        <v>36319553.479830757</v>
      </c>
      <c r="U21" s="2">
        <f t="shared" si="7"/>
        <v>35733350.129043676</v>
      </c>
      <c r="V21" s="2">
        <f t="shared" si="7"/>
        <v>35147146.778256595</v>
      </c>
      <c r="W21" s="2">
        <f t="shared" si="7"/>
        <v>34560943.427469522</v>
      </c>
      <c r="X21" s="2">
        <f t="shared" si="7"/>
        <v>33974740.076682441</v>
      </c>
      <c r="Y21" s="2">
        <f t="shared" si="7"/>
        <v>33388536.72589536</v>
      </c>
    </row>
    <row r="22" spans="7:25" x14ac:dyDescent="0.2">
      <c r="G22" s="15">
        <v>2038</v>
      </c>
      <c r="H22" s="11">
        <f t="shared" si="8"/>
        <v>-1945.7516504392431</v>
      </c>
      <c r="I22" s="11">
        <f t="shared" si="11"/>
        <v>-101911017.45830035</v>
      </c>
      <c r="J22" s="16">
        <f t="shared" si="11"/>
        <v>713377122.2081027</v>
      </c>
      <c r="K22" s="11">
        <f t="shared" si="3"/>
        <v>0</v>
      </c>
      <c r="L22" s="11">
        <f t="shared" si="10"/>
        <v>1.1500000000000004</v>
      </c>
      <c r="M22" s="11">
        <f t="shared" si="4"/>
        <v>805920000.00000024</v>
      </c>
      <c r="N22" s="13">
        <f t="shared" si="5"/>
        <v>704007036.79004943</v>
      </c>
      <c r="O22" s="13">
        <f t="shared" si="6"/>
        <v>34386581.83759179</v>
      </c>
      <c r="P22">
        <v>20</v>
      </c>
      <c r="R22" s="2">
        <f t="shared" si="7"/>
        <v>34386581.83759179</v>
      </c>
      <c r="S22" s="2">
        <f t="shared" si="7"/>
        <v>33863918.010841079</v>
      </c>
      <c r="T22" s="2">
        <f t="shared" si="7"/>
        <v>33341254.184090357</v>
      </c>
      <c r="U22" s="2">
        <f t="shared" si="7"/>
        <v>32818590.357339643</v>
      </c>
      <c r="V22" s="2">
        <f t="shared" si="7"/>
        <v>32295926.530588929</v>
      </c>
      <c r="W22" s="2">
        <f t="shared" si="7"/>
        <v>31773262.703838211</v>
      </c>
      <c r="X22" s="2">
        <f t="shared" si="7"/>
        <v>31250598.877087492</v>
      </c>
      <c r="Y22" s="2">
        <f t="shared" si="7"/>
        <v>30727935.050336778</v>
      </c>
    </row>
    <row r="23" spans="7:25" x14ac:dyDescent="0.2">
      <c r="O23" s="8">
        <f>SUM(O3:O22)</f>
        <v>1184431412.0201657</v>
      </c>
      <c r="R23" s="2">
        <f>SUM(R3:R22)+$B$4</f>
        <v>1098759359.3411152</v>
      </c>
      <c r="S23" s="2">
        <f t="shared" ref="S23:Y23" si="12">SUM(S3:S22)+$B$4</f>
        <v>1060408794.0450323</v>
      </c>
      <c r="T23" s="2">
        <f t="shared" si="12"/>
        <v>1022058228.7489495</v>
      </c>
      <c r="U23" s="2">
        <f t="shared" si="12"/>
        <v>983707663.45286655</v>
      </c>
      <c r="V23" s="2">
        <f t="shared" si="12"/>
        <v>945357098.15678358</v>
      </c>
      <c r="W23" s="2">
        <f t="shared" si="12"/>
        <v>907006532.86070085</v>
      </c>
      <c r="X23" s="2">
        <f t="shared" si="12"/>
        <v>868655967.56461787</v>
      </c>
      <c r="Y23" s="2">
        <f t="shared" si="12"/>
        <v>830305402.26853514</v>
      </c>
    </row>
    <row r="25" spans="7:25" x14ac:dyDescent="0.2">
      <c r="G25" s="5" t="s">
        <v>3</v>
      </c>
    </row>
    <row r="26" spans="7:25" x14ac:dyDescent="0.2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7:25" x14ac:dyDescent="0.2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20634991.408591408</v>
      </c>
      <c r="P27">
        <v>1</v>
      </c>
      <c r="R27" s="2">
        <f>($H27+$I27+$M27+($J27*R$2))*(1-$B$9)/((1+$B$10)^$P27)</f>
        <v>20634991.408591408</v>
      </c>
      <c r="S27" s="2">
        <f t="shared" ref="S27:Y27" si="13">($H27+$I27+$M27+($J27*S$2))*(1-$B$9)/((1+$B$10)^$P27)</f>
        <v>13539391.408591406</v>
      </c>
      <c r="T27" s="2">
        <f t="shared" si="13"/>
        <v>6443791.4085914064</v>
      </c>
      <c r="U27" s="2">
        <f t="shared" si="13"/>
        <v>-651808.59140859416</v>
      </c>
      <c r="V27" s="2">
        <f t="shared" si="13"/>
        <v>-7747408.5914085945</v>
      </c>
      <c r="W27" s="2">
        <f t="shared" si="13"/>
        <v>-14843008.591408595</v>
      </c>
      <c r="X27" s="2">
        <f t="shared" si="13"/>
        <v>-21938608.591408595</v>
      </c>
      <c r="Y27" s="2">
        <f t="shared" si="13"/>
        <v>-29034208.591408595</v>
      </c>
    </row>
    <row r="28" spans="7:25" x14ac:dyDescent="0.2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4">J28*$B$11</f>
        <v>0</v>
      </c>
      <c r="L28" s="11">
        <f>L27+0.05</f>
        <v>0.25</v>
      </c>
      <c r="M28" s="11">
        <f t="shared" ref="M28:M46" si="15">L28*80000*365*24</f>
        <v>175200000</v>
      </c>
      <c r="N28" s="13">
        <f t="shared" ref="N28:N46" si="16">M28+K28+H28+I28</f>
        <v>65679221.142857134</v>
      </c>
      <c r="O28" s="13">
        <f t="shared" ref="O28:O46" si="17">N28*(1-$B$9)/((1+$B$10)^P28)</f>
        <v>36133367.786060095</v>
      </c>
      <c r="P28">
        <v>2</v>
      </c>
      <c r="R28" s="2">
        <f t="shared" ref="R28:Y46" si="18">($H28+$I28+$M28+($J28*R$2))*(1-$B$9)/((1+$B$10)^$P28)</f>
        <v>36133367.786060095</v>
      </c>
      <c r="S28" s="2">
        <f t="shared" si="18"/>
        <v>29806871.282563597</v>
      </c>
      <c r="T28" s="2">
        <f t="shared" si="18"/>
        <v>23480374.779067088</v>
      </c>
      <c r="U28" s="2">
        <f t="shared" si="18"/>
        <v>17153878.275570586</v>
      </c>
      <c r="V28" s="2">
        <f t="shared" si="18"/>
        <v>10827381.772074077</v>
      </c>
      <c r="W28" s="2">
        <f t="shared" si="18"/>
        <v>4500885.2685775729</v>
      </c>
      <c r="X28" s="2">
        <f t="shared" si="18"/>
        <v>-1825611.2349189273</v>
      </c>
      <c r="Y28" s="2">
        <f t="shared" si="18"/>
        <v>-8152107.7384154359</v>
      </c>
    </row>
    <row r="29" spans="7:25" x14ac:dyDescent="0.2">
      <c r="G29" s="15">
        <v>2021</v>
      </c>
      <c r="H29" s="11">
        <f t="shared" ref="H29:H46" si="19">H28*1.05</f>
        <v>-793.80000000000007</v>
      </c>
      <c r="I29" s="11">
        <f t="shared" ref="I29:J44" si="20">I28*1.02</f>
        <v>-111710423.31428573</v>
      </c>
      <c r="J29" s="16">
        <f t="shared" si="20"/>
        <v>781972963.20000005</v>
      </c>
      <c r="K29" s="11">
        <f t="shared" si="14"/>
        <v>0</v>
      </c>
      <c r="L29" s="11">
        <f t="shared" ref="L29:L46" si="21">L28+0.05</f>
        <v>0.3</v>
      </c>
      <c r="M29" s="11">
        <f t="shared" si="15"/>
        <v>210240000</v>
      </c>
      <c r="N29" s="13">
        <f t="shared" si="16"/>
        <v>98528782.885714263</v>
      </c>
      <c r="O29" s="13">
        <f t="shared" si="17"/>
        <v>47382453.066091336</v>
      </c>
      <c r="P29">
        <v>3</v>
      </c>
      <c r="R29" s="2">
        <f t="shared" si="18"/>
        <v>47382453.066091336</v>
      </c>
      <c r="S29" s="2">
        <f t="shared" si="18"/>
        <v>41741695.694092706</v>
      </c>
      <c r="T29" s="2">
        <f t="shared" si="18"/>
        <v>36100938.322094068</v>
      </c>
      <c r="U29" s="2">
        <f t="shared" si="18"/>
        <v>30460180.950095434</v>
      </c>
      <c r="V29" s="2">
        <f t="shared" si="18"/>
        <v>24819423.578096803</v>
      </c>
      <c r="W29" s="2">
        <f t="shared" si="18"/>
        <v>19178666.206098173</v>
      </c>
      <c r="X29" s="2">
        <f t="shared" si="18"/>
        <v>13537908.834099535</v>
      </c>
      <c r="Y29" s="2">
        <f t="shared" si="18"/>
        <v>7897151.4621009054</v>
      </c>
    </row>
    <row r="30" spans="7:25" x14ac:dyDescent="0.2">
      <c r="G30" s="15">
        <v>2022</v>
      </c>
      <c r="H30" s="11">
        <f t="shared" si="19"/>
        <v>-833.49000000000012</v>
      </c>
      <c r="I30" s="11">
        <f t="shared" si="20"/>
        <v>-113944631.78057145</v>
      </c>
      <c r="J30" s="16">
        <f t="shared" si="20"/>
        <v>797612422.46400011</v>
      </c>
      <c r="K30" s="11">
        <f t="shared" si="14"/>
        <v>0</v>
      </c>
      <c r="L30" s="11">
        <f t="shared" si="21"/>
        <v>0.35</v>
      </c>
      <c r="M30" s="11">
        <f t="shared" si="15"/>
        <v>245280000</v>
      </c>
      <c r="N30" s="13">
        <f t="shared" si="16"/>
        <v>131334534.72942854</v>
      </c>
      <c r="O30" s="13">
        <f t="shared" si="17"/>
        <v>55208676.807479925</v>
      </c>
      <c r="P30">
        <v>4</v>
      </c>
      <c r="R30" s="2">
        <f t="shared" si="18"/>
        <v>55208676.807479925</v>
      </c>
      <c r="S30" s="2">
        <f t="shared" si="18"/>
        <v>50179330.199579045</v>
      </c>
      <c r="T30" s="2">
        <f t="shared" si="18"/>
        <v>45149983.591678165</v>
      </c>
      <c r="U30" s="2">
        <f t="shared" si="18"/>
        <v>40120636.983777292</v>
      </c>
      <c r="V30" s="2">
        <f t="shared" si="18"/>
        <v>35091290.375876404</v>
      </c>
      <c r="W30" s="2">
        <f t="shared" si="18"/>
        <v>30061943.767975532</v>
      </c>
      <c r="X30" s="2">
        <f t="shared" si="18"/>
        <v>25032597.160074651</v>
      </c>
      <c r="Y30" s="2">
        <f t="shared" si="18"/>
        <v>20003250.552173771</v>
      </c>
    </row>
    <row r="31" spans="7:25" x14ac:dyDescent="0.2">
      <c r="G31" s="15">
        <v>2023</v>
      </c>
      <c r="H31" s="11">
        <f t="shared" si="19"/>
        <v>-875.1645000000002</v>
      </c>
      <c r="I31" s="11">
        <f t="shared" si="20"/>
        <v>-116223524.41618288</v>
      </c>
      <c r="J31" s="16">
        <f t="shared" si="20"/>
        <v>813564670.91328013</v>
      </c>
      <c r="K31" s="11">
        <f t="shared" si="14"/>
        <v>0</v>
      </c>
      <c r="L31" s="11">
        <f t="shared" si="21"/>
        <v>0.39999999999999997</v>
      </c>
      <c r="M31" s="11">
        <f t="shared" si="15"/>
        <v>280319999.99999994</v>
      </c>
      <c r="N31" s="13">
        <f t="shared" si="16"/>
        <v>164095600.41931707</v>
      </c>
      <c r="O31" s="13">
        <f t="shared" si="17"/>
        <v>60297500.73014348</v>
      </c>
      <c r="P31">
        <v>5</v>
      </c>
      <c r="R31" s="2">
        <f t="shared" si="18"/>
        <v>60297500.73014348</v>
      </c>
      <c r="S31" s="2">
        <f t="shared" si="18"/>
        <v>55813293.090231866</v>
      </c>
      <c r="T31" s="2">
        <f t="shared" si="18"/>
        <v>51329085.450320236</v>
      </c>
      <c r="U31" s="2">
        <f t="shared" si="18"/>
        <v>46844877.810408607</v>
      </c>
      <c r="V31" s="2">
        <f t="shared" si="18"/>
        <v>42360670.170496985</v>
      </c>
      <c r="W31" s="2">
        <f t="shared" si="18"/>
        <v>37876462.530585356</v>
      </c>
      <c r="X31" s="2">
        <f t="shared" si="18"/>
        <v>33392254.890673738</v>
      </c>
      <c r="Y31" s="2">
        <f t="shared" si="18"/>
        <v>28908047.250762112</v>
      </c>
    </row>
    <row r="32" spans="7:25" x14ac:dyDescent="0.2">
      <c r="G32" s="15">
        <v>2024</v>
      </c>
      <c r="H32" s="11">
        <f t="shared" si="19"/>
        <v>-918.92272500000024</v>
      </c>
      <c r="I32" s="11">
        <f t="shared" si="20"/>
        <v>-118547994.90450653</v>
      </c>
      <c r="J32" s="16">
        <f t="shared" si="20"/>
        <v>829835964.33154571</v>
      </c>
      <c r="K32" s="11">
        <f t="shared" si="14"/>
        <v>0</v>
      </c>
      <c r="L32" s="11">
        <f t="shared" si="21"/>
        <v>0.44999999999999996</v>
      </c>
      <c r="M32" s="11">
        <f t="shared" si="15"/>
        <v>315360000</v>
      </c>
      <c r="N32" s="13">
        <f t="shared" si="16"/>
        <v>196811086.17276844</v>
      </c>
      <c r="O32" s="13">
        <f t="shared" si="17"/>
        <v>63215839.230761945</v>
      </c>
      <c r="P32">
        <v>6</v>
      </c>
      <c r="R32" s="2">
        <f t="shared" si="18"/>
        <v>63215839.23076196</v>
      </c>
      <c r="S32" s="2">
        <f t="shared" si="18"/>
        <v>59217682.069302291</v>
      </c>
      <c r="T32" s="2">
        <f t="shared" si="18"/>
        <v>55219524.907842629</v>
      </c>
      <c r="U32" s="2">
        <f t="shared" si="18"/>
        <v>51221367.746382967</v>
      </c>
      <c r="V32" s="2">
        <f t="shared" si="18"/>
        <v>47223210.584923297</v>
      </c>
      <c r="W32" s="2">
        <f t="shared" si="18"/>
        <v>43225053.423463628</v>
      </c>
      <c r="X32" s="2">
        <f t="shared" si="18"/>
        <v>39226896.262003966</v>
      </c>
      <c r="Y32" s="2">
        <f t="shared" si="18"/>
        <v>35228739.100544304</v>
      </c>
    </row>
    <row r="33" spans="7:25" x14ac:dyDescent="0.2">
      <c r="G33" s="15">
        <v>2025</v>
      </c>
      <c r="H33" s="11">
        <f t="shared" si="19"/>
        <v>-964.86886125000035</v>
      </c>
      <c r="I33" s="11">
        <f t="shared" si="20"/>
        <v>-120918954.80259667</v>
      </c>
      <c r="J33" s="16">
        <f t="shared" si="20"/>
        <v>846432683.6181767</v>
      </c>
      <c r="K33" s="11">
        <f t="shared" si="14"/>
        <v>0</v>
      </c>
      <c r="L33" s="11">
        <f t="shared" si="21"/>
        <v>0.49999999999999994</v>
      </c>
      <c r="M33" s="11">
        <f t="shared" si="15"/>
        <v>350399999.99999994</v>
      </c>
      <c r="N33" s="13">
        <f t="shared" si="16"/>
        <v>229480080.32854199</v>
      </c>
      <c r="O33" s="13">
        <f t="shared" si="17"/>
        <v>64431066.257910773</v>
      </c>
      <c r="P33">
        <v>7</v>
      </c>
      <c r="R33" s="2">
        <f t="shared" si="18"/>
        <v>64431066.257910788</v>
      </c>
      <c r="S33" s="2">
        <f t="shared" si="18"/>
        <v>60866275.781784162</v>
      </c>
      <c r="T33" s="2">
        <f t="shared" si="18"/>
        <v>57301485.305657528</v>
      </c>
      <c r="U33" s="2">
        <f t="shared" si="18"/>
        <v>53736694.829530902</v>
      </c>
      <c r="V33" s="2">
        <f t="shared" si="18"/>
        <v>50171904.353404284</v>
      </c>
      <c r="W33" s="2">
        <f t="shared" si="18"/>
        <v>46607113.87727765</v>
      </c>
      <c r="X33" s="2">
        <f t="shared" si="18"/>
        <v>43042323.401151031</v>
      </c>
      <c r="Y33" s="2">
        <f t="shared" si="18"/>
        <v>39477532.925024398</v>
      </c>
    </row>
    <row r="34" spans="7:25" x14ac:dyDescent="0.2">
      <c r="G34" s="15">
        <v>2026</v>
      </c>
      <c r="H34" s="11">
        <f t="shared" si="19"/>
        <v>-1013.1123043125004</v>
      </c>
      <c r="I34" s="11">
        <f t="shared" si="20"/>
        <v>-123337333.8986486</v>
      </c>
      <c r="J34" s="16">
        <f t="shared" si="20"/>
        <v>863361337.29054022</v>
      </c>
      <c r="K34" s="11">
        <f t="shared" si="14"/>
        <v>0</v>
      </c>
      <c r="L34" s="11">
        <f t="shared" si="21"/>
        <v>0.54999999999999993</v>
      </c>
      <c r="M34" s="11">
        <f t="shared" si="15"/>
        <v>385439999.99999994</v>
      </c>
      <c r="N34" s="13">
        <f t="shared" si="16"/>
        <v>262101652.98904699</v>
      </c>
      <c r="O34" s="13">
        <f t="shared" si="17"/>
        <v>64327112.996464372</v>
      </c>
      <c r="P34">
        <v>8</v>
      </c>
      <c r="R34" s="2">
        <f t="shared" si="18"/>
        <v>64327112.996464379</v>
      </c>
      <c r="S34" s="2">
        <f t="shared" si="18"/>
        <v>61148715.893624216</v>
      </c>
      <c r="T34" s="2">
        <f t="shared" si="18"/>
        <v>57970318.790784039</v>
      </c>
      <c r="U34" s="2">
        <f t="shared" si="18"/>
        <v>54791921.687943861</v>
      </c>
      <c r="V34" s="2">
        <f t="shared" si="18"/>
        <v>51613524.585103676</v>
      </c>
      <c r="W34" s="2">
        <f t="shared" si="18"/>
        <v>48435127.482263513</v>
      </c>
      <c r="X34" s="2">
        <f t="shared" si="18"/>
        <v>45256730.379423335</v>
      </c>
      <c r="Y34" s="2">
        <f t="shared" si="18"/>
        <v>42078333.276583165</v>
      </c>
    </row>
    <row r="35" spans="7:25" x14ac:dyDescent="0.2">
      <c r="G35" s="15">
        <v>2027</v>
      </c>
      <c r="H35" s="11">
        <f t="shared" si="19"/>
        <v>-1063.7679195281255</v>
      </c>
      <c r="I35" s="11">
        <f t="shared" si="20"/>
        <v>-125804080.57662158</v>
      </c>
      <c r="J35" s="16">
        <f t="shared" si="20"/>
        <v>880628564.03635108</v>
      </c>
      <c r="K35" s="11">
        <f t="shared" si="14"/>
        <v>0</v>
      </c>
      <c r="L35" s="11">
        <f t="shared" si="21"/>
        <v>0.6</v>
      </c>
      <c r="M35" s="11">
        <f t="shared" si="15"/>
        <v>420480000</v>
      </c>
      <c r="N35" s="13">
        <f t="shared" si="16"/>
        <v>294674855.65545887</v>
      </c>
      <c r="O35" s="13">
        <f t="shared" si="17"/>
        <v>63218087.869929433</v>
      </c>
      <c r="P35">
        <v>9</v>
      </c>
      <c r="R35" s="2">
        <f t="shared" si="18"/>
        <v>63218087.869929448</v>
      </c>
      <c r="S35" s="2">
        <f t="shared" si="18"/>
        <v>60384202.341173358</v>
      </c>
      <c r="T35" s="2">
        <f t="shared" si="18"/>
        <v>57550316.812417246</v>
      </c>
      <c r="U35" s="2">
        <f t="shared" si="18"/>
        <v>54716431.283661149</v>
      </c>
      <c r="V35" s="2">
        <f t="shared" si="18"/>
        <v>51882545.754905052</v>
      </c>
      <c r="W35" s="2">
        <f t="shared" si="18"/>
        <v>49048660.226148956</v>
      </c>
      <c r="X35" s="2">
        <f t="shared" si="18"/>
        <v>46214774.697392851</v>
      </c>
      <c r="Y35" s="2">
        <f t="shared" si="18"/>
        <v>43380889.168636747</v>
      </c>
    </row>
    <row r="36" spans="7:25" x14ac:dyDescent="0.2">
      <c r="G36" s="15">
        <v>2028</v>
      </c>
      <c r="H36" s="11">
        <f t="shared" si="19"/>
        <v>-1116.9563155045319</v>
      </c>
      <c r="I36" s="11">
        <f t="shared" si="20"/>
        <v>-128320162.18815401</v>
      </c>
      <c r="J36" s="16">
        <f t="shared" si="20"/>
        <v>898241135.31707811</v>
      </c>
      <c r="K36" s="11">
        <f t="shared" si="14"/>
        <v>0</v>
      </c>
      <c r="L36" s="11">
        <f t="shared" si="21"/>
        <v>0.65</v>
      </c>
      <c r="M36" s="11">
        <f t="shared" si="15"/>
        <v>455520000</v>
      </c>
      <c r="N36" s="13">
        <f t="shared" si="16"/>
        <v>327198720.8555305</v>
      </c>
      <c r="O36" s="13">
        <f t="shared" si="17"/>
        <v>61359787.802031264</v>
      </c>
      <c r="P36">
        <v>10</v>
      </c>
      <c r="R36" s="2">
        <f t="shared" si="18"/>
        <v>61359787.802031264</v>
      </c>
      <c r="S36" s="2">
        <f t="shared" si="18"/>
        <v>58833071.683734737</v>
      </c>
      <c r="T36" s="2">
        <f t="shared" si="18"/>
        <v>56306355.565438233</v>
      </c>
      <c r="U36" s="2">
        <f t="shared" si="18"/>
        <v>53779639.447141699</v>
      </c>
      <c r="V36" s="2">
        <f t="shared" si="18"/>
        <v>51252923.328845173</v>
      </c>
      <c r="W36" s="2">
        <f t="shared" si="18"/>
        <v>48726207.210548654</v>
      </c>
      <c r="X36" s="2">
        <f t="shared" si="18"/>
        <v>46199491.092252135</v>
      </c>
      <c r="Y36" s="2">
        <f t="shared" si="18"/>
        <v>43672774.973955601</v>
      </c>
    </row>
    <row r="37" spans="7:25" x14ac:dyDescent="0.2">
      <c r="G37" s="15">
        <v>2029</v>
      </c>
      <c r="H37" s="11">
        <f t="shared" si="19"/>
        <v>-1172.8041312797584</v>
      </c>
      <c r="I37" s="11">
        <f t="shared" si="20"/>
        <v>-130886565.4319171</v>
      </c>
      <c r="J37" s="16">
        <f t="shared" si="20"/>
        <v>916205958.02341974</v>
      </c>
      <c r="K37" s="11">
        <f t="shared" si="14"/>
        <v>0</v>
      </c>
      <c r="L37" s="11">
        <f t="shared" si="21"/>
        <v>0.70000000000000007</v>
      </c>
      <c r="M37" s="11">
        <f t="shared" si="15"/>
        <v>490560000.00000012</v>
      </c>
      <c r="N37" s="13">
        <f t="shared" si="16"/>
        <v>359672261.76395178</v>
      </c>
      <c r="O37" s="13">
        <f t="shared" si="17"/>
        <v>58959416.029041819</v>
      </c>
      <c r="P37">
        <v>11</v>
      </c>
      <c r="R37" s="2">
        <f t="shared" si="18"/>
        <v>58959416.029041812</v>
      </c>
      <c r="S37" s="2">
        <f t="shared" si="18"/>
        <v>56706574.73475644</v>
      </c>
      <c r="T37" s="2">
        <f t="shared" si="18"/>
        <v>54453733.44047109</v>
      </c>
      <c r="U37" s="2">
        <f t="shared" si="18"/>
        <v>52200892.146185726</v>
      </c>
      <c r="V37" s="2">
        <f t="shared" si="18"/>
        <v>49948050.851900354</v>
      </c>
      <c r="W37" s="2">
        <f t="shared" si="18"/>
        <v>47695209.557614997</v>
      </c>
      <c r="X37" s="2">
        <f t="shared" si="18"/>
        <v>45442368.26332964</v>
      </c>
      <c r="Y37" s="2">
        <f t="shared" si="18"/>
        <v>43189526.969044276</v>
      </c>
    </row>
    <row r="38" spans="7:25" x14ac:dyDescent="0.2">
      <c r="G38" s="15">
        <v>2030</v>
      </c>
      <c r="H38" s="11">
        <f t="shared" si="19"/>
        <v>-1231.4443378437463</v>
      </c>
      <c r="I38" s="11">
        <f t="shared" si="20"/>
        <v>-133504296.74055545</v>
      </c>
      <c r="J38" s="16">
        <f t="shared" si="20"/>
        <v>934530077.1838882</v>
      </c>
      <c r="K38" s="11">
        <f t="shared" si="14"/>
        <v>0</v>
      </c>
      <c r="L38" s="11">
        <f t="shared" si="21"/>
        <v>0.75000000000000011</v>
      </c>
      <c r="M38" s="11">
        <f t="shared" si="15"/>
        <v>525600000.00000012</v>
      </c>
      <c r="N38" s="13">
        <f t="shared" si="16"/>
        <v>392094471.81510681</v>
      </c>
      <c r="O38" s="13">
        <f t="shared" si="17"/>
        <v>56183775.768027306</v>
      </c>
      <c r="P38">
        <v>12</v>
      </c>
      <c r="R38" s="2">
        <f t="shared" si="18"/>
        <v>56183775.768027306</v>
      </c>
      <c r="S38" s="2">
        <f t="shared" si="18"/>
        <v>54175123.565080568</v>
      </c>
      <c r="T38" s="2">
        <f t="shared" si="18"/>
        <v>52166471.362133831</v>
      </c>
      <c r="U38" s="2">
        <f t="shared" si="18"/>
        <v>50157819.159187093</v>
      </c>
      <c r="V38" s="2">
        <f t="shared" si="18"/>
        <v>48149166.956240349</v>
      </c>
      <c r="W38" s="2">
        <f t="shared" si="18"/>
        <v>46140514.753293619</v>
      </c>
      <c r="X38" s="2">
        <f t="shared" si="18"/>
        <v>44131862.550346866</v>
      </c>
      <c r="Y38" s="2">
        <f t="shared" si="18"/>
        <v>42123210.347400136</v>
      </c>
    </row>
    <row r="39" spans="7:25" x14ac:dyDescent="0.2">
      <c r="G39" s="15">
        <v>2031</v>
      </c>
      <c r="H39" s="11">
        <f t="shared" si="19"/>
        <v>-1293.0165547359336</v>
      </c>
      <c r="I39" s="11">
        <f t="shared" si="20"/>
        <v>-136174382.67536655</v>
      </c>
      <c r="J39" s="16">
        <f t="shared" si="20"/>
        <v>953220678.727566</v>
      </c>
      <c r="K39" s="11">
        <f t="shared" si="14"/>
        <v>0</v>
      </c>
      <c r="L39" s="11">
        <f t="shared" si="21"/>
        <v>0.80000000000000016</v>
      </c>
      <c r="M39" s="11">
        <f t="shared" si="15"/>
        <v>560640000.00000012</v>
      </c>
      <c r="N39" s="13">
        <f t="shared" si="16"/>
        <v>424464324.30807889</v>
      </c>
      <c r="O39" s="13">
        <f t="shared" si="17"/>
        <v>53166169.643857948</v>
      </c>
      <c r="P39">
        <v>13</v>
      </c>
      <c r="R39" s="2">
        <f t="shared" si="18"/>
        <v>53166169.643857934</v>
      </c>
      <c r="S39" s="2">
        <f t="shared" si="18"/>
        <v>51375238.483887941</v>
      </c>
      <c r="T39" s="2">
        <f t="shared" si="18"/>
        <v>49584307.323917948</v>
      </c>
      <c r="U39" s="2">
        <f t="shared" si="18"/>
        <v>47793376.163947947</v>
      </c>
      <c r="V39" s="2">
        <f t="shared" si="18"/>
        <v>46002445.003977954</v>
      </c>
      <c r="W39" s="2">
        <f t="shared" si="18"/>
        <v>44211513.844007969</v>
      </c>
      <c r="X39" s="2">
        <f t="shared" si="18"/>
        <v>42420582.684037969</v>
      </c>
      <c r="Y39" s="2">
        <f t="shared" si="18"/>
        <v>40629651.524067968</v>
      </c>
    </row>
    <row r="40" spans="7:25" x14ac:dyDescent="0.2">
      <c r="G40" s="15">
        <v>2032</v>
      </c>
      <c r="H40" s="11">
        <f t="shared" si="19"/>
        <v>-1357.6673824727304</v>
      </c>
      <c r="I40" s="11">
        <f t="shared" si="20"/>
        <v>-138897870.32887387</v>
      </c>
      <c r="J40" s="16">
        <f t="shared" si="20"/>
        <v>972285092.30211735</v>
      </c>
      <c r="K40" s="11">
        <f t="shared" si="14"/>
        <v>0</v>
      </c>
      <c r="L40" s="11">
        <f t="shared" si="21"/>
        <v>0.8500000000000002</v>
      </c>
      <c r="M40" s="11">
        <f t="shared" si="15"/>
        <v>595680000.00000012</v>
      </c>
      <c r="N40" s="13">
        <f t="shared" si="16"/>
        <v>456780772.00374377</v>
      </c>
      <c r="O40" s="13">
        <f t="shared" si="17"/>
        <v>50012201.03029865</v>
      </c>
      <c r="P40">
        <v>14</v>
      </c>
      <c r="R40" s="2">
        <f t="shared" si="18"/>
        <v>50012201.03029865</v>
      </c>
      <c r="S40" s="2">
        <f t="shared" si="18"/>
        <v>48415391.77927646</v>
      </c>
      <c r="T40" s="2">
        <f t="shared" si="18"/>
        <v>46818582.528254256</v>
      </c>
      <c r="U40" s="2">
        <f t="shared" si="18"/>
        <v>45221773.277232066</v>
      </c>
      <c r="V40" s="2">
        <f t="shared" si="18"/>
        <v>43624964.026209861</v>
      </c>
      <c r="W40" s="2">
        <f t="shared" si="18"/>
        <v>42028154.775187664</v>
      </c>
      <c r="X40" s="2">
        <f t="shared" si="18"/>
        <v>40431345.524165466</v>
      </c>
      <c r="Y40" s="2">
        <f t="shared" si="18"/>
        <v>38834536.273143269</v>
      </c>
    </row>
    <row r="41" spans="7:25" x14ac:dyDescent="0.2">
      <c r="G41" s="15">
        <v>2033</v>
      </c>
      <c r="H41" s="11">
        <f t="shared" si="19"/>
        <v>-1425.550751596367</v>
      </c>
      <c r="I41" s="11">
        <f t="shared" si="20"/>
        <v>-141675827.73545134</v>
      </c>
      <c r="J41" s="16">
        <f t="shared" si="20"/>
        <v>991730794.14815974</v>
      </c>
      <c r="K41" s="11">
        <f t="shared" si="14"/>
        <v>0</v>
      </c>
      <c r="L41" s="11">
        <f t="shared" si="21"/>
        <v>0.90000000000000024</v>
      </c>
      <c r="M41" s="11">
        <f t="shared" si="15"/>
        <v>630720000.00000012</v>
      </c>
      <c r="N41" s="13">
        <f t="shared" si="16"/>
        <v>489042746.71379721</v>
      </c>
      <c r="O41" s="13">
        <f t="shared" si="17"/>
        <v>46804644.568254508</v>
      </c>
      <c r="P41">
        <v>15</v>
      </c>
      <c r="R41" s="2">
        <f t="shared" si="18"/>
        <v>46804644.568254508</v>
      </c>
      <c r="S41" s="2">
        <f t="shared" si="18"/>
        <v>45380916.040245205</v>
      </c>
      <c r="T41" s="2">
        <f t="shared" si="18"/>
        <v>43957187.512235902</v>
      </c>
      <c r="U41" s="2">
        <f t="shared" si="18"/>
        <v>42533458.984226599</v>
      </c>
      <c r="V41" s="2">
        <f t="shared" si="18"/>
        <v>41109730.456217296</v>
      </c>
      <c r="W41" s="2">
        <f t="shared" si="18"/>
        <v>39686001.928207994</v>
      </c>
      <c r="X41" s="2">
        <f t="shared" si="18"/>
        <v>38262273.400198691</v>
      </c>
      <c r="Y41" s="2">
        <f t="shared" si="18"/>
        <v>36838544.872189395</v>
      </c>
    </row>
    <row r="42" spans="7:25" x14ac:dyDescent="0.2">
      <c r="G42" s="15">
        <v>2034</v>
      </c>
      <c r="H42" s="11">
        <f t="shared" si="19"/>
        <v>-1496.8282891761855</v>
      </c>
      <c r="I42" s="11">
        <f t="shared" si="20"/>
        <v>-144509344.29016036</v>
      </c>
      <c r="J42" s="16">
        <f t="shared" si="20"/>
        <v>1011565410.0311229</v>
      </c>
      <c r="K42" s="11">
        <f t="shared" si="14"/>
        <v>0</v>
      </c>
      <c r="L42" s="11">
        <f t="shared" si="21"/>
        <v>0.95000000000000029</v>
      </c>
      <c r="M42" s="11">
        <f t="shared" si="15"/>
        <v>665760000.00000024</v>
      </c>
      <c r="N42" s="13">
        <f t="shared" si="16"/>
        <v>521249158.88155073</v>
      </c>
      <c r="O42" s="13">
        <f t="shared" si="17"/>
        <v>43607528.399451472</v>
      </c>
      <c r="P42">
        <v>16</v>
      </c>
      <c r="R42" s="2">
        <f t="shared" si="18"/>
        <v>43607528.399451464</v>
      </c>
      <c r="S42" s="2">
        <f t="shared" si="18"/>
        <v>42338120.096506111</v>
      </c>
      <c r="T42" s="2">
        <f t="shared" si="18"/>
        <v>41068711.793560758</v>
      </c>
      <c r="U42" s="2">
        <f t="shared" si="18"/>
        <v>39799303.490615398</v>
      </c>
      <c r="V42" s="2">
        <f t="shared" si="18"/>
        <v>38529895.187670045</v>
      </c>
      <c r="W42" s="2">
        <f t="shared" si="18"/>
        <v>37260486.884724684</v>
      </c>
      <c r="X42" s="2">
        <f t="shared" si="18"/>
        <v>35991078.581779324</v>
      </c>
      <c r="Y42" s="2">
        <f t="shared" si="18"/>
        <v>34721670.278833963</v>
      </c>
    </row>
    <row r="43" spans="7:25" x14ac:dyDescent="0.2">
      <c r="G43" s="15">
        <v>2035</v>
      </c>
      <c r="H43" s="11">
        <f t="shared" si="19"/>
        <v>-1571.6697036349949</v>
      </c>
      <c r="I43" s="11">
        <f t="shared" si="20"/>
        <v>-147399531.17596358</v>
      </c>
      <c r="J43" s="16">
        <f t="shared" si="20"/>
        <v>1031796718.2317454</v>
      </c>
      <c r="K43" s="11">
        <f t="shared" si="14"/>
        <v>0</v>
      </c>
      <c r="L43" s="11">
        <f t="shared" si="21"/>
        <v>1.0000000000000002</v>
      </c>
      <c r="M43" s="11">
        <f t="shared" si="15"/>
        <v>700800000.00000012</v>
      </c>
      <c r="N43" s="13">
        <f t="shared" si="16"/>
        <v>553398897.15433288</v>
      </c>
      <c r="O43" s="13">
        <f t="shared" si="17"/>
        <v>40469549.504925333</v>
      </c>
      <c r="P43">
        <v>17</v>
      </c>
      <c r="R43" s="2">
        <f t="shared" si="18"/>
        <v>40469549.504925333</v>
      </c>
      <c r="S43" s="2">
        <f t="shared" si="18"/>
        <v>39337734.409641884</v>
      </c>
      <c r="T43" s="2">
        <f t="shared" si="18"/>
        <v>38205919.314358428</v>
      </c>
      <c r="U43" s="2">
        <f t="shared" si="18"/>
        <v>37074104.219074987</v>
      </c>
      <c r="V43" s="2">
        <f t="shared" si="18"/>
        <v>35942289.123791531</v>
      </c>
      <c r="W43" s="2">
        <f t="shared" si="18"/>
        <v>34810474.028508089</v>
      </c>
      <c r="X43" s="2">
        <f t="shared" si="18"/>
        <v>33678658.933224633</v>
      </c>
      <c r="Y43" s="2">
        <f t="shared" si="18"/>
        <v>32546843.837941196</v>
      </c>
    </row>
    <row r="44" spans="7:25" x14ac:dyDescent="0.2">
      <c r="G44" s="15">
        <v>2036</v>
      </c>
      <c r="H44" s="11">
        <f t="shared" si="19"/>
        <v>-1650.2531888167448</v>
      </c>
      <c r="I44" s="11">
        <f t="shared" si="20"/>
        <v>-150347521.79948285</v>
      </c>
      <c r="J44" s="16">
        <f t="shared" si="20"/>
        <v>1052432652.5963802</v>
      </c>
      <c r="K44" s="11">
        <f t="shared" si="14"/>
        <v>0</v>
      </c>
      <c r="L44" s="11">
        <f t="shared" si="21"/>
        <v>1.0500000000000003</v>
      </c>
      <c r="M44" s="11">
        <f t="shared" si="15"/>
        <v>735840000.00000012</v>
      </c>
      <c r="N44" s="13">
        <f t="shared" si="16"/>
        <v>585490827.94732845</v>
      </c>
      <c r="O44" s="13">
        <f t="shared" si="17"/>
        <v>37426925.456014998</v>
      </c>
      <c r="P44">
        <v>18</v>
      </c>
      <c r="R44" s="2">
        <f t="shared" si="18"/>
        <v>37426925.456014998</v>
      </c>
      <c r="S44" s="2">
        <f t="shared" si="18"/>
        <v>36417789.619311221</v>
      </c>
      <c r="T44" s="2">
        <f t="shared" si="18"/>
        <v>35408653.782607451</v>
      </c>
      <c r="U44" s="2">
        <f t="shared" si="18"/>
        <v>34399517.945903674</v>
      </c>
      <c r="V44" s="2">
        <f t="shared" si="18"/>
        <v>33390382.1091999</v>
      </c>
      <c r="W44" s="2">
        <f t="shared" si="18"/>
        <v>32381246.272496127</v>
      </c>
      <c r="X44" s="2">
        <f t="shared" si="18"/>
        <v>31372110.435792353</v>
      </c>
      <c r="Y44" s="2">
        <f t="shared" si="18"/>
        <v>30362974.599088579</v>
      </c>
    </row>
    <row r="45" spans="7:25" x14ac:dyDescent="0.2">
      <c r="G45" s="15">
        <v>2037</v>
      </c>
      <c r="H45" s="11">
        <f t="shared" si="19"/>
        <v>-1732.7658482575821</v>
      </c>
      <c r="I45" s="11">
        <f t="shared" ref="I45:J46" si="22">I44*1.02</f>
        <v>-153354472.2354725</v>
      </c>
      <c r="J45" s="16">
        <f t="shared" si="22"/>
        <v>1073481305.6483078</v>
      </c>
      <c r="K45" s="11">
        <f t="shared" si="14"/>
        <v>0</v>
      </c>
      <c r="L45" s="11">
        <f t="shared" si="21"/>
        <v>1.1000000000000003</v>
      </c>
      <c r="M45" s="11">
        <f t="shared" si="15"/>
        <v>770880000.00000024</v>
      </c>
      <c r="N45" s="13">
        <f t="shared" si="16"/>
        <v>617523794.9986794</v>
      </c>
      <c r="O45" s="13">
        <f t="shared" si="17"/>
        <v>34505770.4338741</v>
      </c>
      <c r="P45">
        <v>19</v>
      </c>
      <c r="R45" s="2">
        <f t="shared" si="18"/>
        <v>34505770.4338741</v>
      </c>
      <c r="S45" s="2">
        <f t="shared" si="18"/>
        <v>33606016.453596264</v>
      </c>
      <c r="T45" s="2">
        <f t="shared" si="18"/>
        <v>32706262.473318424</v>
      </c>
      <c r="U45" s="2">
        <f t="shared" si="18"/>
        <v>31806508.49304058</v>
      </c>
      <c r="V45" s="2">
        <f t="shared" si="18"/>
        <v>30906754.512762744</v>
      </c>
      <c r="W45" s="2">
        <f t="shared" si="18"/>
        <v>30007000.532484904</v>
      </c>
      <c r="X45" s="2">
        <f t="shared" si="18"/>
        <v>29107246.55220706</v>
      </c>
      <c r="Y45" s="2">
        <f t="shared" si="18"/>
        <v>28207492.57192922</v>
      </c>
    </row>
    <row r="46" spans="7:25" x14ac:dyDescent="0.2">
      <c r="G46" s="15">
        <v>2038</v>
      </c>
      <c r="H46" s="11">
        <f t="shared" si="19"/>
        <v>-1819.4041406704612</v>
      </c>
      <c r="I46" s="11">
        <f t="shared" si="22"/>
        <v>-156421561.68018195</v>
      </c>
      <c r="J46" s="16">
        <f t="shared" si="22"/>
        <v>1094950931.7612739</v>
      </c>
      <c r="K46" s="11">
        <f t="shared" si="14"/>
        <v>0</v>
      </c>
      <c r="L46" s="11">
        <f t="shared" si="21"/>
        <v>1.1500000000000004</v>
      </c>
      <c r="M46" s="11">
        <f t="shared" si="15"/>
        <v>805920000.00000024</v>
      </c>
      <c r="N46" s="13">
        <f t="shared" si="16"/>
        <v>649496618.91567755</v>
      </c>
      <c r="O46" s="13">
        <f t="shared" si="17"/>
        <v>31724070.176082063</v>
      </c>
      <c r="P46">
        <v>20</v>
      </c>
      <c r="R46" s="2">
        <f t="shared" si="18"/>
        <v>31724070.176082063</v>
      </c>
      <c r="S46" s="2">
        <f t="shared" si="18"/>
        <v>30921841.976883292</v>
      </c>
      <c r="T46" s="2">
        <f t="shared" si="18"/>
        <v>30119613.777684517</v>
      </c>
      <c r="U46" s="2">
        <f t="shared" si="18"/>
        <v>29317385.578485742</v>
      </c>
      <c r="V46" s="2">
        <f t="shared" si="18"/>
        <v>28515157.379286963</v>
      </c>
      <c r="W46" s="2">
        <f t="shared" si="18"/>
        <v>27712929.180088192</v>
      </c>
      <c r="X46" s="2">
        <f t="shared" si="18"/>
        <v>26910700.980889417</v>
      </c>
      <c r="Y46" s="2">
        <f t="shared" si="18"/>
        <v>26108472.781690646</v>
      </c>
    </row>
    <row r="47" spans="7:25" x14ac:dyDescent="0.2">
      <c r="O47" s="8">
        <f>SUM(O27:O46)</f>
        <v>989068934.96529233</v>
      </c>
      <c r="R47" s="2">
        <f>SUM(R27:R46)+$C$4</f>
        <v>897563252.96943796</v>
      </c>
      <c r="S47" s="2">
        <f t="shared" ref="S47:Y47" si="23">SUM(S27:S46)+$C$4</f>
        <v>838699594.60800827</v>
      </c>
      <c r="T47" s="2">
        <f t="shared" si="23"/>
        <v>779835936.24657905</v>
      </c>
      <c r="U47" s="2">
        <f t="shared" si="23"/>
        <v>720972277.88514912</v>
      </c>
      <c r="V47" s="2">
        <f t="shared" si="23"/>
        <v>662108619.52371979</v>
      </c>
      <c r="W47" s="2">
        <f t="shared" si="23"/>
        <v>603244961.16229022</v>
      </c>
      <c r="X47" s="2">
        <f t="shared" si="23"/>
        <v>544381302.80086076</v>
      </c>
      <c r="Y47" s="2">
        <f t="shared" si="23"/>
        <v>485517644.43943113</v>
      </c>
    </row>
    <row r="49" spans="7:25" x14ac:dyDescent="0.2">
      <c r="G49" s="5" t="s">
        <v>4</v>
      </c>
    </row>
    <row r="50" spans="7:25" x14ac:dyDescent="0.2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76642171.228771225</v>
      </c>
      <c r="P51">
        <v>1</v>
      </c>
      <c r="R51" s="2">
        <f>($H51+$I51+$M51+($J51*R$2))*(1-$B$9)/((1+$B$10)^$P51)</f>
        <v>76642171.228771225</v>
      </c>
      <c r="S51" s="2">
        <f t="shared" ref="S51:Y51" si="24">($H51+$I51+$M51+($J51*S$2))*(1-$B$9)/((1+$B$10)^$P51)</f>
        <v>75427318.501498505</v>
      </c>
      <c r="T51" s="2">
        <f t="shared" si="24"/>
        <v>74212465.774225786</v>
      </c>
      <c r="U51" s="2">
        <f t="shared" si="24"/>
        <v>72997613.046953037</v>
      </c>
      <c r="V51" s="2">
        <f t="shared" si="24"/>
        <v>71782760.319680318</v>
      </c>
      <c r="W51" s="2">
        <f t="shared" si="24"/>
        <v>70567907.592407599</v>
      </c>
      <c r="X51" s="2">
        <f t="shared" si="24"/>
        <v>69353054.86513488</v>
      </c>
      <c r="Y51" s="2">
        <f t="shared" si="24"/>
        <v>68138202.137862131</v>
      </c>
    </row>
    <row r="52" spans="7:25" x14ac:dyDescent="0.2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5">J52*$B$11</f>
        <v>0</v>
      </c>
      <c r="L52" s="11">
        <f>L51+0.05</f>
        <v>0.25</v>
      </c>
      <c r="M52" s="11">
        <f t="shared" ref="M52:M70" si="26">L52*80000*365*24</f>
        <v>175200000</v>
      </c>
      <c r="N52" s="13">
        <f t="shared" ref="N52:N70" si="27">M52+K52+H52+I52</f>
        <v>156448193.57142857</v>
      </c>
      <c r="O52" s="13">
        <f t="shared" ref="O52:O70" si="28">N52*(1-$B$9)/((1+$B$10)^P52)</f>
        <v>86069840.954500064</v>
      </c>
      <c r="P52">
        <v>2</v>
      </c>
      <c r="R52" s="2">
        <f t="shared" ref="R52:Y70" si="29">($H52+$I52+$M52+($J52*R$2))*(1-$B$9)/((1+$B$10)^$P52)</f>
        <v>86069840.954500064</v>
      </c>
      <c r="S52" s="2">
        <f t="shared" si="29"/>
        <v>84986668.06829536</v>
      </c>
      <c r="T52" s="2">
        <f t="shared" si="29"/>
        <v>83903495.182090655</v>
      </c>
      <c r="U52" s="2">
        <f t="shared" si="29"/>
        <v>82820322.29588595</v>
      </c>
      <c r="V52" s="2">
        <f t="shared" si="29"/>
        <v>81737149.409681246</v>
      </c>
      <c r="W52" s="2">
        <f t="shared" si="29"/>
        <v>80653976.523476541</v>
      </c>
      <c r="X52" s="2">
        <f t="shared" si="29"/>
        <v>79570803.637271836</v>
      </c>
      <c r="Y52" s="2">
        <f t="shared" si="29"/>
        <v>78487630.751067117</v>
      </c>
    </row>
    <row r="53" spans="7:25" x14ac:dyDescent="0.2">
      <c r="G53" s="15">
        <v>2021</v>
      </c>
      <c r="H53" s="11">
        <f t="shared" ref="H53:H70" si="30">H52*1.05</f>
        <v>-683.55000000000007</v>
      </c>
      <c r="I53" s="11">
        <f t="shared" ref="I53:J68" si="31">I52*1.02</f>
        <v>-19126178.537142858</v>
      </c>
      <c r="J53" s="16">
        <f t="shared" si="31"/>
        <v>133883249.76000001</v>
      </c>
      <c r="K53" s="11">
        <f t="shared" si="25"/>
        <v>0</v>
      </c>
      <c r="L53" s="11">
        <f t="shared" ref="L53:L70" si="32">L52+0.05</f>
        <v>0.3</v>
      </c>
      <c r="M53" s="11">
        <f t="shared" si="26"/>
        <v>210240000</v>
      </c>
      <c r="N53" s="13">
        <f t="shared" si="27"/>
        <v>191113137.91285712</v>
      </c>
      <c r="O53" s="13">
        <f t="shared" si="28"/>
        <v>91906233.105233461</v>
      </c>
      <c r="P53">
        <v>3</v>
      </c>
      <c r="R53" s="2">
        <f t="shared" si="29"/>
        <v>91906233.105233461</v>
      </c>
      <c r="S53" s="2">
        <f t="shared" si="29"/>
        <v>90940467.070330665</v>
      </c>
      <c r="T53" s="2">
        <f t="shared" si="29"/>
        <v>89974701.035427868</v>
      </c>
      <c r="U53" s="2">
        <f t="shared" si="29"/>
        <v>89008935.000525072</v>
      </c>
      <c r="V53" s="2">
        <f t="shared" si="29"/>
        <v>88043168.965622276</v>
      </c>
      <c r="W53" s="2">
        <f t="shared" si="29"/>
        <v>87077402.930719495</v>
      </c>
      <c r="X53" s="2">
        <f t="shared" si="29"/>
        <v>86111636.895816699</v>
      </c>
      <c r="Y53" s="2">
        <f t="shared" si="29"/>
        <v>85145870.860913903</v>
      </c>
    </row>
    <row r="54" spans="7:25" x14ac:dyDescent="0.2">
      <c r="G54" s="15">
        <v>2022</v>
      </c>
      <c r="H54" s="11">
        <f t="shared" si="30"/>
        <v>-717.72750000000008</v>
      </c>
      <c r="I54" s="11">
        <f t="shared" si="31"/>
        <v>-19508702.107885715</v>
      </c>
      <c r="J54" s="16">
        <f t="shared" si="31"/>
        <v>136560914.7552</v>
      </c>
      <c r="K54" s="11">
        <f t="shared" si="25"/>
        <v>0</v>
      </c>
      <c r="L54" s="11">
        <f t="shared" si="32"/>
        <v>0.35</v>
      </c>
      <c r="M54" s="11">
        <f t="shared" si="26"/>
        <v>245280000</v>
      </c>
      <c r="N54" s="13">
        <f t="shared" si="27"/>
        <v>225770580.16461429</v>
      </c>
      <c r="O54" s="13">
        <f t="shared" si="28"/>
        <v>94906454.106868416</v>
      </c>
      <c r="P54">
        <v>4</v>
      </c>
      <c r="R54" s="2">
        <f t="shared" si="29"/>
        <v>94906454.106868416</v>
      </c>
      <c r="S54" s="2">
        <f t="shared" si="29"/>
        <v>94045369.00581874</v>
      </c>
      <c r="T54" s="2">
        <f t="shared" si="29"/>
        <v>93184283.904769033</v>
      </c>
      <c r="U54" s="2">
        <f t="shared" si="29"/>
        <v>92323198.803719342</v>
      </c>
      <c r="V54" s="2">
        <f t="shared" si="29"/>
        <v>91462113.702669635</v>
      </c>
      <c r="W54" s="2">
        <f t="shared" si="29"/>
        <v>90601028.601619929</v>
      </c>
      <c r="X54" s="2">
        <f t="shared" si="29"/>
        <v>89739943.500570238</v>
      </c>
      <c r="Y54" s="2">
        <f t="shared" si="29"/>
        <v>88878858.399520561</v>
      </c>
    </row>
    <row r="55" spans="7:25" x14ac:dyDescent="0.2">
      <c r="G55" s="15">
        <v>2023</v>
      </c>
      <c r="H55" s="11">
        <f t="shared" si="30"/>
        <v>-753.61387500000012</v>
      </c>
      <c r="I55" s="11">
        <f t="shared" si="31"/>
        <v>-19898876.150043428</v>
      </c>
      <c r="J55" s="16">
        <f t="shared" si="31"/>
        <v>139292133.050304</v>
      </c>
      <c r="K55" s="11">
        <f t="shared" si="25"/>
        <v>0</v>
      </c>
      <c r="L55" s="11">
        <f t="shared" si="32"/>
        <v>0.39999999999999997</v>
      </c>
      <c r="M55" s="11">
        <f t="shared" si="26"/>
        <v>280319999.99999994</v>
      </c>
      <c r="N55" s="13">
        <f t="shared" si="27"/>
        <v>260420370.23608154</v>
      </c>
      <c r="O55" s="13">
        <f t="shared" si="28"/>
        <v>95692373.374599427</v>
      </c>
      <c r="P55">
        <v>5</v>
      </c>
      <c r="R55" s="2">
        <f t="shared" si="29"/>
        <v>95692373.374599412</v>
      </c>
      <c r="S55" s="2">
        <f t="shared" si="29"/>
        <v>94924622.672614545</v>
      </c>
      <c r="T55" s="2">
        <f t="shared" si="29"/>
        <v>94156871.970629677</v>
      </c>
      <c r="U55" s="2">
        <f t="shared" si="29"/>
        <v>93389121.26864481</v>
      </c>
      <c r="V55" s="2">
        <f t="shared" si="29"/>
        <v>92621370.566659927</v>
      </c>
      <c r="W55" s="2">
        <f t="shared" si="29"/>
        <v>91853619.864675075</v>
      </c>
      <c r="X55" s="2">
        <f t="shared" si="29"/>
        <v>91085869.162690207</v>
      </c>
      <c r="Y55" s="2">
        <f t="shared" si="29"/>
        <v>90318118.460705325</v>
      </c>
    </row>
    <row r="56" spans="7:25" x14ac:dyDescent="0.2">
      <c r="G56" s="15">
        <v>2024</v>
      </c>
      <c r="H56" s="11">
        <f t="shared" si="30"/>
        <v>-791.29456875000017</v>
      </c>
      <c r="I56" s="11">
        <f t="shared" si="31"/>
        <v>-20296853.673044298</v>
      </c>
      <c r="J56" s="16">
        <f t="shared" si="31"/>
        <v>142077975.71131009</v>
      </c>
      <c r="K56" s="11">
        <f t="shared" si="25"/>
        <v>0</v>
      </c>
      <c r="L56" s="11">
        <f t="shared" si="32"/>
        <v>0.44999999999999996</v>
      </c>
      <c r="M56" s="11">
        <f t="shared" si="26"/>
        <v>315360000</v>
      </c>
      <c r="N56" s="13">
        <f t="shared" si="27"/>
        <v>295062355.0323869</v>
      </c>
      <c r="O56" s="13">
        <f t="shared" si="28"/>
        <v>94774205.871733159</v>
      </c>
      <c r="P56">
        <v>6</v>
      </c>
      <c r="R56" s="2">
        <f t="shared" si="29"/>
        <v>94774205.871733189</v>
      </c>
      <c r="S56" s="2">
        <f t="shared" si="29"/>
        <v>94089672.903180242</v>
      </c>
      <c r="T56" s="2">
        <f t="shared" si="29"/>
        <v>93405139.934627295</v>
      </c>
      <c r="U56" s="2">
        <f t="shared" si="29"/>
        <v>92720606.966074362</v>
      </c>
      <c r="V56" s="2">
        <f t="shared" si="29"/>
        <v>92036073.99752143</v>
      </c>
      <c r="W56" s="2">
        <f t="shared" si="29"/>
        <v>91351541.028968468</v>
      </c>
      <c r="X56" s="2">
        <f t="shared" si="29"/>
        <v>90667008.060415536</v>
      </c>
      <c r="Y56" s="2">
        <f t="shared" si="29"/>
        <v>89982475.091862589</v>
      </c>
    </row>
    <row r="57" spans="7:25" x14ac:dyDescent="0.2">
      <c r="G57" s="15">
        <v>2025</v>
      </c>
      <c r="H57" s="11">
        <f t="shared" si="30"/>
        <v>-830.85929718750026</v>
      </c>
      <c r="I57" s="11">
        <f t="shared" si="31"/>
        <v>-20702790.746505186</v>
      </c>
      <c r="J57" s="16">
        <f t="shared" si="31"/>
        <v>144919535.22553629</v>
      </c>
      <c r="K57" s="11">
        <f t="shared" si="25"/>
        <v>0</v>
      </c>
      <c r="L57" s="11">
        <f t="shared" si="32"/>
        <v>0.49999999999999994</v>
      </c>
      <c r="M57" s="11">
        <f t="shared" si="26"/>
        <v>350399999.99999994</v>
      </c>
      <c r="N57" s="13">
        <f t="shared" si="27"/>
        <v>329696378.39419752</v>
      </c>
      <c r="O57" s="13">
        <f t="shared" si="28"/>
        <v>92568771.855478838</v>
      </c>
      <c r="P57">
        <v>7</v>
      </c>
      <c r="R57" s="2">
        <f t="shared" si="29"/>
        <v>92568771.855478868</v>
      </c>
      <c r="S57" s="2">
        <f t="shared" si="29"/>
        <v>91958436.516384453</v>
      </c>
      <c r="T57" s="2">
        <f t="shared" si="29"/>
        <v>91348101.177290037</v>
      </c>
      <c r="U57" s="2">
        <f t="shared" si="29"/>
        <v>90737765.838195652</v>
      </c>
      <c r="V57" s="2">
        <f t="shared" si="29"/>
        <v>90127430.499101222</v>
      </c>
      <c r="W57" s="2">
        <f t="shared" si="29"/>
        <v>89517095.160006821</v>
      </c>
      <c r="X57" s="2">
        <f t="shared" si="29"/>
        <v>88906759.820912421</v>
      </c>
      <c r="Y57" s="2">
        <f t="shared" si="29"/>
        <v>88296424.481818005</v>
      </c>
    </row>
    <row r="58" spans="7:25" x14ac:dyDescent="0.2">
      <c r="G58" s="15">
        <v>2026</v>
      </c>
      <c r="H58" s="11">
        <f t="shared" si="30"/>
        <v>-872.40226204687531</v>
      </c>
      <c r="I58" s="11">
        <f t="shared" si="31"/>
        <v>-21116846.56143529</v>
      </c>
      <c r="J58" s="16">
        <f t="shared" si="31"/>
        <v>147817925.93004701</v>
      </c>
      <c r="K58" s="11">
        <f t="shared" si="25"/>
        <v>0</v>
      </c>
      <c r="L58" s="11">
        <f t="shared" si="32"/>
        <v>0.54999999999999993</v>
      </c>
      <c r="M58" s="11">
        <f t="shared" si="26"/>
        <v>385439999.99999994</v>
      </c>
      <c r="N58" s="13">
        <f t="shared" si="27"/>
        <v>364322281.03630263</v>
      </c>
      <c r="O58" s="13">
        <f t="shared" si="28"/>
        <v>89414928.41455391</v>
      </c>
      <c r="P58">
        <v>8</v>
      </c>
      <c r="R58" s="2">
        <f t="shared" si="29"/>
        <v>89414928.41455391</v>
      </c>
      <c r="S58" s="2">
        <f t="shared" si="29"/>
        <v>88870748.304522187</v>
      </c>
      <c r="T58" s="2">
        <f t="shared" si="29"/>
        <v>88326568.194490463</v>
      </c>
      <c r="U58" s="2">
        <f t="shared" si="29"/>
        <v>87782388.084458739</v>
      </c>
      <c r="V58" s="2">
        <f t="shared" si="29"/>
        <v>87238207.974427</v>
      </c>
      <c r="W58" s="2">
        <f t="shared" si="29"/>
        <v>86694027.864395291</v>
      </c>
      <c r="X58" s="2">
        <f t="shared" si="29"/>
        <v>86149847.754363552</v>
      </c>
      <c r="Y58" s="2">
        <f t="shared" si="29"/>
        <v>85605667.644331828</v>
      </c>
    </row>
    <row r="59" spans="7:25" x14ac:dyDescent="0.2">
      <c r="G59" s="15">
        <v>2027</v>
      </c>
      <c r="H59" s="11">
        <f t="shared" si="30"/>
        <v>-916.0223751492191</v>
      </c>
      <c r="I59" s="11">
        <f t="shared" si="31"/>
        <v>-21539183.492663994</v>
      </c>
      <c r="J59" s="16">
        <f t="shared" si="31"/>
        <v>150774284.44864795</v>
      </c>
      <c r="K59" s="11">
        <f t="shared" si="25"/>
        <v>0</v>
      </c>
      <c r="L59" s="11">
        <f t="shared" si="32"/>
        <v>0.6</v>
      </c>
      <c r="M59" s="11">
        <f t="shared" si="26"/>
        <v>420480000</v>
      </c>
      <c r="N59" s="13">
        <f t="shared" si="27"/>
        <v>398939900.48496085</v>
      </c>
      <c r="O59" s="13">
        <f t="shared" si="28"/>
        <v>85586595.529437587</v>
      </c>
      <c r="P59">
        <v>9</v>
      </c>
      <c r="R59" s="2">
        <f t="shared" si="29"/>
        <v>85586595.529437587</v>
      </c>
      <c r="S59" s="2">
        <f t="shared" si="29"/>
        <v>85101399.976786911</v>
      </c>
      <c r="T59" s="2">
        <f t="shared" si="29"/>
        <v>84616204.424136251</v>
      </c>
      <c r="U59" s="2">
        <f t="shared" si="29"/>
        <v>84131008.871485591</v>
      </c>
      <c r="V59" s="2">
        <f t="shared" si="29"/>
        <v>83645813.318834931</v>
      </c>
      <c r="W59" s="2">
        <f t="shared" si="29"/>
        <v>83160617.766184241</v>
      </c>
      <c r="X59" s="2">
        <f t="shared" si="29"/>
        <v>82675422.21353358</v>
      </c>
      <c r="Y59" s="2">
        <f t="shared" si="29"/>
        <v>82190226.66088292</v>
      </c>
    </row>
    <row r="60" spans="7:25" x14ac:dyDescent="0.2">
      <c r="G60" s="15">
        <v>2028</v>
      </c>
      <c r="H60" s="11">
        <f t="shared" si="30"/>
        <v>-961.82349390668014</v>
      </c>
      <c r="I60" s="11">
        <f t="shared" si="31"/>
        <v>-21969967.162517276</v>
      </c>
      <c r="J60" s="16">
        <f t="shared" si="31"/>
        <v>153789770.1376209</v>
      </c>
      <c r="K60" s="11">
        <f t="shared" si="25"/>
        <v>0</v>
      </c>
      <c r="L60" s="11">
        <f t="shared" si="32"/>
        <v>0.65</v>
      </c>
      <c r="M60" s="11">
        <f t="shared" si="26"/>
        <v>455520000</v>
      </c>
      <c r="N60" s="13">
        <f t="shared" si="27"/>
        <v>433549071.01398885</v>
      </c>
      <c r="O60" s="13">
        <f t="shared" si="28"/>
        <v>81303737.770209834</v>
      </c>
      <c r="P60">
        <v>10</v>
      </c>
      <c r="R60" s="2">
        <f t="shared" si="29"/>
        <v>81303737.770209834</v>
      </c>
      <c r="S60" s="2">
        <f t="shared" si="29"/>
        <v>80871133.34389542</v>
      </c>
      <c r="T60" s="2">
        <f t="shared" si="29"/>
        <v>80438528.917581022</v>
      </c>
      <c r="U60" s="2">
        <f t="shared" si="29"/>
        <v>80005924.491266608</v>
      </c>
      <c r="V60" s="2">
        <f t="shared" si="29"/>
        <v>79573320.06495221</v>
      </c>
      <c r="W60" s="2">
        <f t="shared" si="29"/>
        <v>79140715.638637796</v>
      </c>
      <c r="X60" s="2">
        <f t="shared" si="29"/>
        <v>78708111.212323412</v>
      </c>
      <c r="Y60" s="2">
        <f t="shared" si="29"/>
        <v>78275506.786008999</v>
      </c>
    </row>
    <row r="61" spans="7:25" x14ac:dyDescent="0.2">
      <c r="G61" s="15">
        <v>2029</v>
      </c>
      <c r="H61" s="11">
        <f t="shared" si="30"/>
        <v>-1009.9146686020142</v>
      </c>
      <c r="I61" s="11">
        <f t="shared" si="31"/>
        <v>-22409366.505767621</v>
      </c>
      <c r="J61" s="16">
        <f t="shared" si="31"/>
        <v>156865565.54037333</v>
      </c>
      <c r="K61" s="11">
        <f t="shared" si="25"/>
        <v>0</v>
      </c>
      <c r="L61" s="11">
        <f t="shared" si="32"/>
        <v>0.70000000000000007</v>
      </c>
      <c r="M61" s="11">
        <f t="shared" si="26"/>
        <v>490560000.00000012</v>
      </c>
      <c r="N61" s="13">
        <f t="shared" si="27"/>
        <v>468149623.57956386</v>
      </c>
      <c r="O61" s="13">
        <f t="shared" si="28"/>
        <v>76741609.945393994</v>
      </c>
      <c r="P61">
        <v>11</v>
      </c>
      <c r="R61" s="2">
        <f t="shared" si="29"/>
        <v>76741609.945393994</v>
      </c>
      <c r="S61" s="2">
        <f t="shared" si="29"/>
        <v>76355896.208645135</v>
      </c>
      <c r="T61" s="2">
        <f t="shared" si="29"/>
        <v>75970182.471896291</v>
      </c>
      <c r="U61" s="2">
        <f t="shared" si="29"/>
        <v>75584468.735147417</v>
      </c>
      <c r="V61" s="2">
        <f t="shared" si="29"/>
        <v>75198754.998398572</v>
      </c>
      <c r="W61" s="2">
        <f t="shared" si="29"/>
        <v>74813041.261649698</v>
      </c>
      <c r="X61" s="2">
        <f t="shared" si="29"/>
        <v>74427327.524900854</v>
      </c>
      <c r="Y61" s="2">
        <f t="shared" si="29"/>
        <v>74041613.788151994</v>
      </c>
    </row>
    <row r="62" spans="7:25" x14ac:dyDescent="0.2">
      <c r="G62" s="15">
        <v>2030</v>
      </c>
      <c r="H62" s="11">
        <f t="shared" si="30"/>
        <v>-1060.4104020321149</v>
      </c>
      <c r="I62" s="11">
        <f t="shared" si="31"/>
        <v>-22857553.835882973</v>
      </c>
      <c r="J62" s="16">
        <f t="shared" si="31"/>
        <v>160002876.85118079</v>
      </c>
      <c r="K62" s="11">
        <f t="shared" si="25"/>
        <v>0</v>
      </c>
      <c r="L62" s="11">
        <f t="shared" si="32"/>
        <v>0.75000000000000011</v>
      </c>
      <c r="M62" s="11">
        <f t="shared" si="26"/>
        <v>525600000.00000012</v>
      </c>
      <c r="N62" s="13">
        <f t="shared" si="27"/>
        <v>502741385.7537151</v>
      </c>
      <c r="O62" s="13">
        <f t="shared" si="28"/>
        <v>72038529.785274506</v>
      </c>
      <c r="P62">
        <v>12</v>
      </c>
      <c r="R62" s="2">
        <f t="shared" si="29"/>
        <v>72038529.785274506</v>
      </c>
      <c r="S62" s="2">
        <f t="shared" si="29"/>
        <v>71694624.180830598</v>
      </c>
      <c r="T62" s="2">
        <f t="shared" si="29"/>
        <v>71350718.576386675</v>
      </c>
      <c r="U62" s="2">
        <f t="shared" si="29"/>
        <v>71006812.971942768</v>
      </c>
      <c r="V62" s="2">
        <f t="shared" si="29"/>
        <v>70662907.36749886</v>
      </c>
      <c r="W62" s="2">
        <f t="shared" si="29"/>
        <v>70319001.763054952</v>
      </c>
      <c r="X62" s="2">
        <f t="shared" si="29"/>
        <v>69975096.158611044</v>
      </c>
      <c r="Y62" s="2">
        <f t="shared" si="29"/>
        <v>69631190.554167137</v>
      </c>
    </row>
    <row r="63" spans="7:25" x14ac:dyDescent="0.2">
      <c r="G63" s="15">
        <v>2031</v>
      </c>
      <c r="H63" s="11">
        <f t="shared" si="30"/>
        <v>-1113.4309221337207</v>
      </c>
      <c r="I63" s="11">
        <f t="shared" si="31"/>
        <v>-23314704.912600633</v>
      </c>
      <c r="J63" s="16">
        <f t="shared" si="31"/>
        <v>163202934.3882044</v>
      </c>
      <c r="K63" s="11">
        <f t="shared" si="25"/>
        <v>0</v>
      </c>
      <c r="L63" s="11">
        <f t="shared" si="32"/>
        <v>0.80000000000000016</v>
      </c>
      <c r="M63" s="11">
        <f t="shared" si="26"/>
        <v>560640000.00000012</v>
      </c>
      <c r="N63" s="13">
        <f t="shared" si="27"/>
        <v>537324181.65647733</v>
      </c>
      <c r="O63" s="13">
        <f t="shared" si="28"/>
        <v>67302402.015206739</v>
      </c>
      <c r="P63">
        <v>13</v>
      </c>
      <c r="R63" s="2">
        <f t="shared" si="29"/>
        <v>67302402.015206739</v>
      </c>
      <c r="S63" s="2">
        <f t="shared" si="29"/>
        <v>66995772.892363384</v>
      </c>
      <c r="T63" s="2">
        <f t="shared" si="29"/>
        <v>66689143.769520044</v>
      </c>
      <c r="U63" s="2">
        <f t="shared" si="29"/>
        <v>66382514.646676697</v>
      </c>
      <c r="V63" s="2">
        <f t="shared" si="29"/>
        <v>66075885.523833349</v>
      </c>
      <c r="W63" s="2">
        <f t="shared" si="29"/>
        <v>65769256.400990002</v>
      </c>
      <c r="X63" s="2">
        <f t="shared" si="29"/>
        <v>65462627.278146654</v>
      </c>
      <c r="Y63" s="2">
        <f t="shared" si="29"/>
        <v>65155998.155303307</v>
      </c>
    </row>
    <row r="64" spans="7:25" x14ac:dyDescent="0.2">
      <c r="G64" s="15">
        <v>2032</v>
      </c>
      <c r="H64" s="11">
        <f t="shared" si="30"/>
        <v>-1169.1024682404068</v>
      </c>
      <c r="I64" s="11">
        <f t="shared" si="31"/>
        <v>-23780999.010852646</v>
      </c>
      <c r="J64" s="16">
        <f t="shared" si="31"/>
        <v>166466993.07596847</v>
      </c>
      <c r="K64" s="11">
        <f t="shared" si="25"/>
        <v>0</v>
      </c>
      <c r="L64" s="11">
        <f t="shared" si="32"/>
        <v>0.8500000000000002</v>
      </c>
      <c r="M64" s="11">
        <f t="shared" si="26"/>
        <v>595680000.00000012</v>
      </c>
      <c r="N64" s="13">
        <f t="shared" si="27"/>
        <v>571897831.88667917</v>
      </c>
      <c r="O64" s="13">
        <f t="shared" si="28"/>
        <v>62616185.028195813</v>
      </c>
      <c r="P64">
        <v>14</v>
      </c>
      <c r="R64" s="2">
        <f t="shared" si="29"/>
        <v>62616185.028195813</v>
      </c>
      <c r="S64" s="2">
        <f t="shared" si="29"/>
        <v>62342791.92915716</v>
      </c>
      <c r="T64" s="2">
        <f t="shared" si="29"/>
        <v>62069398.830118515</v>
      </c>
      <c r="U64" s="2">
        <f t="shared" si="29"/>
        <v>61796005.731079854</v>
      </c>
      <c r="V64" s="2">
        <f t="shared" si="29"/>
        <v>61522612.632041208</v>
      </c>
      <c r="W64" s="2">
        <f t="shared" si="29"/>
        <v>61249219.533002563</v>
      </c>
      <c r="X64" s="2">
        <f t="shared" si="29"/>
        <v>60975826.43396391</v>
      </c>
      <c r="Y64" s="2">
        <f t="shared" si="29"/>
        <v>60702433.334925272</v>
      </c>
    </row>
    <row r="65" spans="7:25" x14ac:dyDescent="0.2">
      <c r="G65" s="15">
        <v>2033</v>
      </c>
      <c r="H65" s="11">
        <f t="shared" si="30"/>
        <v>-1227.5575916524272</v>
      </c>
      <c r="I65" s="11">
        <f t="shared" si="31"/>
        <v>-24256618.991069701</v>
      </c>
      <c r="J65" s="16">
        <f t="shared" si="31"/>
        <v>169796332.93748784</v>
      </c>
      <c r="K65" s="11">
        <f t="shared" si="25"/>
        <v>0</v>
      </c>
      <c r="L65" s="11">
        <f t="shared" si="32"/>
        <v>0.90000000000000024</v>
      </c>
      <c r="M65" s="11">
        <f t="shared" si="26"/>
        <v>630720000.00000012</v>
      </c>
      <c r="N65" s="13">
        <f t="shared" si="27"/>
        <v>606462153.45133877</v>
      </c>
      <c r="O65" s="13">
        <f t="shared" si="28"/>
        <v>58042463.009884998</v>
      </c>
      <c r="P65">
        <v>15</v>
      </c>
      <c r="R65" s="2">
        <f t="shared" si="29"/>
        <v>58042463.009884998</v>
      </c>
      <c r="S65" s="2">
        <f t="shared" si="29"/>
        <v>57798703.428574324</v>
      </c>
      <c r="T65" s="2">
        <f t="shared" si="29"/>
        <v>57554943.847263634</v>
      </c>
      <c r="U65" s="2">
        <f t="shared" si="29"/>
        <v>57311184.26595296</v>
      </c>
      <c r="V65" s="2">
        <f t="shared" si="29"/>
        <v>57067424.68464227</v>
      </c>
      <c r="W65" s="2">
        <f t="shared" si="29"/>
        <v>56823665.103331573</v>
      </c>
      <c r="X65" s="2">
        <f t="shared" si="29"/>
        <v>56579905.522020899</v>
      </c>
      <c r="Y65" s="2">
        <f t="shared" si="29"/>
        <v>56336145.940710217</v>
      </c>
    </row>
    <row r="66" spans="7:25" x14ac:dyDescent="0.2">
      <c r="G66" s="15">
        <v>2034</v>
      </c>
      <c r="H66" s="11">
        <f t="shared" si="30"/>
        <v>-1288.9354712350487</v>
      </c>
      <c r="I66" s="11">
        <f t="shared" si="31"/>
        <v>-24741751.370891094</v>
      </c>
      <c r="J66" s="16">
        <f t="shared" si="31"/>
        <v>173192259.5962376</v>
      </c>
      <c r="K66" s="11">
        <f t="shared" si="25"/>
        <v>0</v>
      </c>
      <c r="L66" s="11">
        <f t="shared" si="32"/>
        <v>0.95000000000000029</v>
      </c>
      <c r="M66" s="11">
        <f t="shared" si="26"/>
        <v>665760000.00000024</v>
      </c>
      <c r="N66" s="13">
        <f t="shared" si="27"/>
        <v>641016959.69363797</v>
      </c>
      <c r="O66" s="13">
        <f t="shared" si="28"/>
        <v>53627262.122301988</v>
      </c>
      <c r="P66">
        <v>16</v>
      </c>
      <c r="R66" s="2">
        <f t="shared" si="29"/>
        <v>53627262.122301981</v>
      </c>
      <c r="S66" s="2">
        <f t="shared" si="29"/>
        <v>53409924.034070432</v>
      </c>
      <c r="T66" s="2">
        <f t="shared" si="29"/>
        <v>53192585.945838884</v>
      </c>
      <c r="U66" s="2">
        <f t="shared" si="29"/>
        <v>52975247.857607327</v>
      </c>
      <c r="V66" s="2">
        <f t="shared" si="29"/>
        <v>52757909.769375764</v>
      </c>
      <c r="W66" s="2">
        <f t="shared" si="29"/>
        <v>52540571.681144208</v>
      </c>
      <c r="X66" s="2">
        <f t="shared" si="29"/>
        <v>52323233.592912659</v>
      </c>
      <c r="Y66" s="2">
        <f t="shared" si="29"/>
        <v>52105895.50468111</v>
      </c>
    </row>
    <row r="67" spans="7:25" x14ac:dyDescent="0.2">
      <c r="G67" s="15">
        <v>2035</v>
      </c>
      <c r="H67" s="11">
        <f t="shared" si="30"/>
        <v>-1353.3822447968012</v>
      </c>
      <c r="I67" s="11">
        <f t="shared" si="31"/>
        <v>-25236586.398308918</v>
      </c>
      <c r="J67" s="16">
        <f t="shared" si="31"/>
        <v>176656104.78816235</v>
      </c>
      <c r="K67" s="11">
        <f t="shared" si="25"/>
        <v>0</v>
      </c>
      <c r="L67" s="11">
        <f t="shared" si="32"/>
        <v>1.0000000000000002</v>
      </c>
      <c r="M67" s="11">
        <f t="shared" si="26"/>
        <v>700800000.00000012</v>
      </c>
      <c r="N67" s="13">
        <f t="shared" si="27"/>
        <v>675562060.21944642</v>
      </c>
      <c r="O67" s="13">
        <f t="shared" si="28"/>
        <v>49403228.629990734</v>
      </c>
      <c r="P67">
        <v>17</v>
      </c>
      <c r="R67" s="2">
        <f t="shared" si="29"/>
        <v>49403228.629990734</v>
      </c>
      <c r="S67" s="2">
        <f t="shared" si="29"/>
        <v>49209448.166707352</v>
      </c>
      <c r="T67" s="2">
        <f t="shared" si="29"/>
        <v>49015667.703423969</v>
      </c>
      <c r="U67" s="2">
        <f t="shared" si="29"/>
        <v>48821887.240140595</v>
      </c>
      <c r="V67" s="2">
        <f t="shared" si="29"/>
        <v>48628106.77685722</v>
      </c>
      <c r="W67" s="2">
        <f t="shared" si="29"/>
        <v>48434326.313573845</v>
      </c>
      <c r="X67" s="2">
        <f t="shared" si="29"/>
        <v>48240545.850290455</v>
      </c>
      <c r="Y67" s="2">
        <f t="shared" si="29"/>
        <v>48046765.38700708</v>
      </c>
    </row>
    <row r="68" spans="7:25" x14ac:dyDescent="0.2">
      <c r="G68" s="15">
        <v>2036</v>
      </c>
      <c r="H68" s="11">
        <f t="shared" si="30"/>
        <v>-1421.0513570366413</v>
      </c>
      <c r="I68" s="11">
        <f t="shared" si="31"/>
        <v>-25741318.126275096</v>
      </c>
      <c r="J68" s="16">
        <f t="shared" si="31"/>
        <v>180189226.88392559</v>
      </c>
      <c r="K68" s="11">
        <f t="shared" si="25"/>
        <v>0</v>
      </c>
      <c r="L68" s="11">
        <f t="shared" si="32"/>
        <v>1.0500000000000003</v>
      </c>
      <c r="M68" s="11">
        <f t="shared" si="26"/>
        <v>735840000.00000012</v>
      </c>
      <c r="N68" s="13">
        <f t="shared" si="27"/>
        <v>710097260.82236803</v>
      </c>
      <c r="O68" s="13">
        <f t="shared" si="28"/>
        <v>45392269.150474355</v>
      </c>
      <c r="P68">
        <v>18</v>
      </c>
      <c r="R68" s="2">
        <f t="shared" si="29"/>
        <v>45392269.150474355</v>
      </c>
      <c r="S68" s="2">
        <f t="shared" si="29"/>
        <v>45219492.863281138</v>
      </c>
      <c r="T68" s="2">
        <f t="shared" si="29"/>
        <v>45046716.576087922</v>
      </c>
      <c r="U68" s="2">
        <f t="shared" si="29"/>
        <v>44873940.288894691</v>
      </c>
      <c r="V68" s="2">
        <f t="shared" si="29"/>
        <v>44701164.001701467</v>
      </c>
      <c r="W68" s="2">
        <f t="shared" si="29"/>
        <v>44528387.71450825</v>
      </c>
      <c r="X68" s="2">
        <f t="shared" si="29"/>
        <v>44355611.427315027</v>
      </c>
      <c r="Y68" s="2">
        <f t="shared" si="29"/>
        <v>44182835.140121803</v>
      </c>
    </row>
    <row r="69" spans="7:25" x14ac:dyDescent="0.2">
      <c r="G69" s="15">
        <v>2037</v>
      </c>
      <c r="H69" s="11">
        <f t="shared" si="30"/>
        <v>-1492.1039248884736</v>
      </c>
      <c r="I69" s="11">
        <f t="shared" ref="I69:J70" si="33">I68*1.02</f>
        <v>-26256144.4888006</v>
      </c>
      <c r="J69" s="16">
        <f t="shared" si="33"/>
        <v>183793011.4216041</v>
      </c>
      <c r="K69" s="11">
        <f t="shared" si="25"/>
        <v>0</v>
      </c>
      <c r="L69" s="11">
        <f t="shared" si="32"/>
        <v>1.1000000000000003</v>
      </c>
      <c r="M69" s="11">
        <f t="shared" si="26"/>
        <v>770880000.00000024</v>
      </c>
      <c r="N69" s="13">
        <f t="shared" si="27"/>
        <v>744622363.40727472</v>
      </c>
      <c r="O69" s="13">
        <f t="shared" si="28"/>
        <v>41607738.098116755</v>
      </c>
      <c r="P69">
        <v>19</v>
      </c>
      <c r="R69" s="2">
        <f t="shared" si="29"/>
        <v>41607738.098116755</v>
      </c>
      <c r="S69" s="2">
        <f t="shared" si="29"/>
        <v>41453689.310584337</v>
      </c>
      <c r="T69" s="2">
        <f t="shared" si="29"/>
        <v>41299640.523051918</v>
      </c>
      <c r="U69" s="2">
        <f t="shared" si="29"/>
        <v>41145591.735519499</v>
      </c>
      <c r="V69" s="2">
        <f t="shared" si="29"/>
        <v>40991542.94798708</v>
      </c>
      <c r="W69" s="2">
        <f t="shared" si="29"/>
        <v>40837494.160454661</v>
      </c>
      <c r="X69" s="2">
        <f t="shared" si="29"/>
        <v>40683445.372922249</v>
      </c>
      <c r="Y69" s="2">
        <f t="shared" si="29"/>
        <v>40529396.58538983</v>
      </c>
    </row>
    <row r="70" spans="7:25" x14ac:dyDescent="0.2">
      <c r="G70" s="15">
        <v>2038</v>
      </c>
      <c r="H70" s="11">
        <f t="shared" si="30"/>
        <v>-1566.7091211328973</v>
      </c>
      <c r="I70" s="11">
        <f t="shared" si="33"/>
        <v>-26781267.378576614</v>
      </c>
      <c r="J70" s="16">
        <f t="shared" si="33"/>
        <v>187468871.65003619</v>
      </c>
      <c r="K70" s="11">
        <f t="shared" si="25"/>
        <v>0</v>
      </c>
      <c r="L70" s="11">
        <f t="shared" si="32"/>
        <v>1.1500000000000004</v>
      </c>
      <c r="M70" s="11">
        <f t="shared" si="26"/>
        <v>805920000.00000024</v>
      </c>
      <c r="N70" s="13">
        <f t="shared" si="27"/>
        <v>779137165.91230249</v>
      </c>
      <c r="O70" s="13">
        <f t="shared" si="28"/>
        <v>38056244.495099634</v>
      </c>
      <c r="P70">
        <v>20</v>
      </c>
      <c r="R70" s="2">
        <f t="shared" si="29"/>
        <v>38056244.495099634</v>
      </c>
      <c r="S70" s="2">
        <f t="shared" si="29"/>
        <v>37918893.303418636</v>
      </c>
      <c r="T70" s="2">
        <f t="shared" si="29"/>
        <v>37781542.111737624</v>
      </c>
      <c r="U70" s="2">
        <f t="shared" si="29"/>
        <v>37644190.920056626</v>
      </c>
      <c r="V70" s="2">
        <f t="shared" si="29"/>
        <v>37506839.728375629</v>
      </c>
      <c r="W70" s="2">
        <f t="shared" si="29"/>
        <v>37369488.536694624</v>
      </c>
      <c r="X70" s="2">
        <f t="shared" si="29"/>
        <v>37232137.345013618</v>
      </c>
      <c r="Y70" s="2">
        <f t="shared" si="29"/>
        <v>37094786.153332621</v>
      </c>
    </row>
    <row r="71" spans="7:25" x14ac:dyDescent="0.2">
      <c r="O71" s="8">
        <f>SUM(O51:O70)</f>
        <v>1453693244.4913254</v>
      </c>
      <c r="R71" s="2">
        <f>SUM(R51:R70)+$D$4</f>
        <v>1365895077.183641</v>
      </c>
      <c r="S71" s="2">
        <f t="shared" ref="S71:Y71" si="34">SUM(S51:S70)+$D$4</f>
        <v>1355816905.3732753</v>
      </c>
      <c r="T71" s="2">
        <f t="shared" si="34"/>
        <v>1345738733.5629094</v>
      </c>
      <c r="U71" s="2">
        <f t="shared" si="34"/>
        <v>1335660561.7525432</v>
      </c>
      <c r="V71" s="2">
        <f t="shared" si="34"/>
        <v>1325582389.9421771</v>
      </c>
      <c r="W71" s="2">
        <f t="shared" si="34"/>
        <v>1315504218.1318111</v>
      </c>
      <c r="X71" s="2">
        <f t="shared" si="34"/>
        <v>1305426046.3214452</v>
      </c>
      <c r="Y71" s="2">
        <f t="shared" si="34"/>
        <v>1295347874.5110793</v>
      </c>
    </row>
    <row r="73" spans="7:25" x14ac:dyDescent="0.2">
      <c r="G73" s="5" t="s">
        <v>5</v>
      </c>
    </row>
    <row r="74" spans="7:25" x14ac:dyDescent="0.2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">
      <c r="G75" s="15">
        <v>2019</v>
      </c>
      <c r="H75" s="11">
        <v>-1040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10010388.571428567</v>
      </c>
      <c r="O75" s="13">
        <f>N75*(1-$B$9)/((1+$B$10)^P75)</f>
        <v>6300244.5554445535</v>
      </c>
      <c r="P75">
        <v>1</v>
      </c>
      <c r="R75" s="2">
        <f>($H75+$I75+$M75+($J75*R$2))*(1-$B$9)/((1+$B$10)^$P75)</f>
        <v>6300244.5554445535</v>
      </c>
      <c r="S75" s="2">
        <f t="shared" ref="S75:Y75" si="35">($H75+$I75+$M75+($J75*S$2))*(1-$B$9)/((1+$B$10)^$P75)</f>
        <v>-2300482.7172827204</v>
      </c>
      <c r="T75" s="2">
        <f t="shared" si="35"/>
        <v>-10901209.990009993</v>
      </c>
      <c r="U75" s="2">
        <f t="shared" si="35"/>
        <v>-19501937.262737267</v>
      </c>
      <c r="V75" s="2">
        <f t="shared" si="35"/>
        <v>-28102664.53546454</v>
      </c>
      <c r="W75" s="2">
        <f t="shared" si="35"/>
        <v>-36703391.808191814</v>
      </c>
      <c r="X75" s="2">
        <f t="shared" si="35"/>
        <v>-45304119.080919087</v>
      </c>
      <c r="Y75" s="2">
        <f t="shared" si="35"/>
        <v>-53904846.35364636</v>
      </c>
    </row>
    <row r="76" spans="7:25" x14ac:dyDescent="0.2">
      <c r="G76" s="15">
        <v>2020</v>
      </c>
      <c r="H76" s="11">
        <f>H75*1.05</f>
        <v>-1092</v>
      </c>
      <c r="I76" s="11">
        <f>I75*1.02</f>
        <v>-132751542.85714287</v>
      </c>
      <c r="J76" s="16">
        <f>J75*1.02</f>
        <v>929260800</v>
      </c>
      <c r="K76" s="11">
        <f t="shared" ref="K76:K94" si="36">J76*$B$11</f>
        <v>0</v>
      </c>
      <c r="L76" s="11">
        <f>L75+0.05</f>
        <v>0.25</v>
      </c>
      <c r="M76" s="11">
        <f t="shared" ref="M76:M94" si="37">L76*80000*365*24</f>
        <v>175200000</v>
      </c>
      <c r="N76" s="13">
        <f t="shared" ref="N76:N94" si="38">M76+K76+H76+I76</f>
        <v>42447365.142857134</v>
      </c>
      <c r="O76" s="13">
        <f t="shared" ref="O76:O94" si="39">N76*(1-$B$9)/((1+$B$10)^P76)</f>
        <v>23352381.918780521</v>
      </c>
      <c r="P76">
        <v>2</v>
      </c>
      <c r="R76" s="2">
        <f t="shared" ref="R76:Y94" si="40">($H76+$I76+$M76+($J76*R$2))*(1-$B$9)/((1+$B$10)^$P76)</f>
        <v>23352381.918780521</v>
      </c>
      <c r="S76" s="2">
        <f t="shared" si="40"/>
        <v>15683901.308481727</v>
      </c>
      <c r="T76" s="2">
        <f t="shared" si="40"/>
        <v>8015420.698182933</v>
      </c>
      <c r="U76" s="2">
        <f t="shared" si="40"/>
        <v>346940.08788413921</v>
      </c>
      <c r="V76" s="2">
        <f t="shared" si="40"/>
        <v>-7321540.5224146545</v>
      </c>
      <c r="W76" s="2">
        <f t="shared" si="40"/>
        <v>-14990021.132713448</v>
      </c>
      <c r="X76" s="2">
        <f t="shared" si="40"/>
        <v>-22658501.743012242</v>
      </c>
      <c r="Y76" s="2">
        <f t="shared" si="40"/>
        <v>-30326982.35331104</v>
      </c>
    </row>
    <row r="77" spans="7:25" x14ac:dyDescent="0.2">
      <c r="G77" s="15">
        <v>2021</v>
      </c>
      <c r="H77" s="11">
        <f t="shared" ref="H77:H94" si="41">H76*1.05</f>
        <v>-1146.6000000000001</v>
      </c>
      <c r="I77" s="11">
        <f t="shared" ref="I77:J92" si="42">I76*1.02</f>
        <v>-135406573.71428573</v>
      </c>
      <c r="J77" s="16">
        <f t="shared" si="42"/>
        <v>947846016</v>
      </c>
      <c r="K77" s="11">
        <f t="shared" si="36"/>
        <v>0</v>
      </c>
      <c r="L77" s="11">
        <f t="shared" ref="L77:L94" si="43">L76+0.05</f>
        <v>0.3</v>
      </c>
      <c r="M77" s="11">
        <f t="shared" si="37"/>
        <v>210240000</v>
      </c>
      <c r="N77" s="13">
        <f t="shared" si="38"/>
        <v>74832279.685714275</v>
      </c>
      <c r="O77" s="13">
        <f t="shared" si="39"/>
        <v>35986813.966328554</v>
      </c>
      <c r="P77">
        <v>3</v>
      </c>
      <c r="R77" s="2">
        <f t="shared" si="40"/>
        <v>35986813.966328554</v>
      </c>
      <c r="S77" s="2">
        <f t="shared" si="40"/>
        <v>29149532.303299911</v>
      </c>
      <c r="T77" s="2">
        <f t="shared" si="40"/>
        <v>22312250.640271265</v>
      </c>
      <c r="U77" s="2">
        <f t="shared" si="40"/>
        <v>15474968.977242623</v>
      </c>
      <c r="V77" s="2">
        <f t="shared" si="40"/>
        <v>8637687.3142139763</v>
      </c>
      <c r="W77" s="2">
        <f t="shared" si="40"/>
        <v>1800405.6511853286</v>
      </c>
      <c r="X77" s="2">
        <f t="shared" si="40"/>
        <v>-5036876.0118433144</v>
      </c>
      <c r="Y77" s="2">
        <f t="shared" si="40"/>
        <v>-11874157.674871957</v>
      </c>
    </row>
    <row r="78" spans="7:25" x14ac:dyDescent="0.2">
      <c r="G78" s="15">
        <v>2022</v>
      </c>
      <c r="H78" s="11">
        <f t="shared" si="41"/>
        <v>-1203.9300000000003</v>
      </c>
      <c r="I78" s="11">
        <f t="shared" si="42"/>
        <v>-138114705.18857145</v>
      </c>
      <c r="J78" s="16">
        <f t="shared" si="42"/>
        <v>966802936.32000005</v>
      </c>
      <c r="K78" s="11">
        <f t="shared" si="36"/>
        <v>0</v>
      </c>
      <c r="L78" s="11">
        <f t="shared" si="43"/>
        <v>0.35</v>
      </c>
      <c r="M78" s="11">
        <f t="shared" si="37"/>
        <v>245280000</v>
      </c>
      <c r="N78" s="13">
        <f t="shared" si="38"/>
        <v>107164090.88142854</v>
      </c>
      <c r="O78" s="13">
        <f t="shared" si="39"/>
        <v>45048224.909228623</v>
      </c>
      <c r="P78">
        <v>4</v>
      </c>
      <c r="R78" s="2">
        <f t="shared" si="40"/>
        <v>45048224.909228623</v>
      </c>
      <c r="S78" s="2">
        <f t="shared" si="40"/>
        <v>38952047.2026821</v>
      </c>
      <c r="T78" s="2">
        <f t="shared" si="40"/>
        <v>32855869.496135581</v>
      </c>
      <c r="U78" s="2">
        <f t="shared" si="40"/>
        <v>26759691.789589059</v>
      </c>
      <c r="V78" s="2">
        <f t="shared" si="40"/>
        <v>20663514.08304254</v>
      </c>
      <c r="W78" s="2">
        <f t="shared" si="40"/>
        <v>14567336.376496013</v>
      </c>
      <c r="X78" s="2">
        <f t="shared" si="40"/>
        <v>8471158.6699494943</v>
      </c>
      <c r="Y78" s="2">
        <f t="shared" si="40"/>
        <v>2374980.9634029749</v>
      </c>
    </row>
    <row r="79" spans="7:25" x14ac:dyDescent="0.2">
      <c r="G79" s="15">
        <v>2023</v>
      </c>
      <c r="H79" s="11">
        <f t="shared" si="41"/>
        <v>-1264.1265000000003</v>
      </c>
      <c r="I79" s="11">
        <f t="shared" si="42"/>
        <v>-140876999.29234287</v>
      </c>
      <c r="J79" s="16">
        <f t="shared" si="42"/>
        <v>986138995.04640007</v>
      </c>
      <c r="K79" s="11">
        <f t="shared" si="36"/>
        <v>0</v>
      </c>
      <c r="L79" s="11">
        <f t="shared" si="43"/>
        <v>0.39999999999999997</v>
      </c>
      <c r="M79" s="11">
        <f t="shared" si="37"/>
        <v>280319999.99999994</v>
      </c>
      <c r="N79" s="13">
        <f t="shared" si="38"/>
        <v>139441736.58115706</v>
      </c>
      <c r="O79" s="13">
        <f t="shared" si="39"/>
        <v>51238352.4715451</v>
      </c>
      <c r="P79">
        <v>5</v>
      </c>
      <c r="R79" s="2">
        <f t="shared" si="40"/>
        <v>51238352.4715451</v>
      </c>
      <c r="S79" s="2">
        <f t="shared" si="40"/>
        <v>45802949.271652229</v>
      </c>
      <c r="T79" s="2">
        <f t="shared" si="40"/>
        <v>40367546.071759351</v>
      </c>
      <c r="U79" s="2">
        <f t="shared" si="40"/>
        <v>34932142.871866472</v>
      </c>
      <c r="V79" s="2">
        <f t="shared" si="40"/>
        <v>29496739.671973597</v>
      </c>
      <c r="W79" s="2">
        <f t="shared" si="40"/>
        <v>24061336.472080722</v>
      </c>
      <c r="X79" s="2">
        <f t="shared" si="40"/>
        <v>18625933.27218784</v>
      </c>
      <c r="Y79" s="2">
        <f t="shared" si="40"/>
        <v>13190530.072294964</v>
      </c>
    </row>
    <row r="80" spans="7:25" x14ac:dyDescent="0.2">
      <c r="G80" s="15">
        <v>2024</v>
      </c>
      <c r="H80" s="11">
        <f t="shared" si="41"/>
        <v>-1327.3328250000004</v>
      </c>
      <c r="I80" s="11">
        <f t="shared" si="42"/>
        <v>-143694539.27818972</v>
      </c>
      <c r="J80" s="16">
        <f t="shared" si="42"/>
        <v>1005861774.9473281</v>
      </c>
      <c r="K80" s="11">
        <f t="shared" si="36"/>
        <v>0</v>
      </c>
      <c r="L80" s="11">
        <f t="shared" si="43"/>
        <v>0.44999999999999996</v>
      </c>
      <c r="M80" s="11">
        <f t="shared" si="37"/>
        <v>315360000</v>
      </c>
      <c r="N80" s="13">
        <f t="shared" si="38"/>
        <v>171664133.38898528</v>
      </c>
      <c r="O80" s="13">
        <f t="shared" si="39"/>
        <v>55138622.874526255</v>
      </c>
      <c r="P80">
        <v>6</v>
      </c>
      <c r="R80" s="2">
        <f t="shared" si="40"/>
        <v>55138622.874526255</v>
      </c>
      <c r="S80" s="2">
        <f t="shared" si="40"/>
        <v>50292371.769726664</v>
      </c>
      <c r="T80" s="2">
        <f t="shared" si="40"/>
        <v>45446120.664927058</v>
      </c>
      <c r="U80" s="2">
        <f t="shared" si="40"/>
        <v>40599869.560127467</v>
      </c>
      <c r="V80" s="2">
        <f t="shared" si="40"/>
        <v>35753618.455327876</v>
      </c>
      <c r="W80" s="2">
        <f t="shared" si="40"/>
        <v>30907367.350528281</v>
      </c>
      <c r="X80" s="2">
        <f t="shared" si="40"/>
        <v>26061116.245728686</v>
      </c>
      <c r="Y80" s="2">
        <f t="shared" si="40"/>
        <v>21214865.140929092</v>
      </c>
    </row>
    <row r="81" spans="7:25" x14ac:dyDescent="0.2">
      <c r="G81" s="15">
        <v>2025</v>
      </c>
      <c r="H81" s="11">
        <f t="shared" si="41"/>
        <v>-1393.6994662500006</v>
      </c>
      <c r="I81" s="11">
        <f t="shared" si="42"/>
        <v>-146568430.06375352</v>
      </c>
      <c r="J81" s="16">
        <f t="shared" si="42"/>
        <v>1025979010.4462746</v>
      </c>
      <c r="K81" s="11">
        <f t="shared" si="36"/>
        <v>0</v>
      </c>
      <c r="L81" s="11">
        <f t="shared" si="43"/>
        <v>0.49999999999999994</v>
      </c>
      <c r="M81" s="11">
        <f t="shared" si="37"/>
        <v>350399999.99999994</v>
      </c>
      <c r="N81" s="13">
        <f t="shared" si="38"/>
        <v>203830176.2367802</v>
      </c>
      <c r="O81" s="13">
        <f t="shared" si="39"/>
        <v>57229348.933778353</v>
      </c>
      <c r="P81">
        <v>7</v>
      </c>
      <c r="R81" s="2">
        <f t="shared" si="40"/>
        <v>57229348.933778338</v>
      </c>
      <c r="S81" s="2">
        <f t="shared" si="40"/>
        <v>52908390.780897588</v>
      </c>
      <c r="T81" s="2">
        <f t="shared" si="40"/>
        <v>48587432.628016829</v>
      </c>
      <c r="U81" s="2">
        <f t="shared" si="40"/>
        <v>44266474.475136071</v>
      </c>
      <c r="V81" s="2">
        <f t="shared" si="40"/>
        <v>39945516.322255306</v>
      </c>
      <c r="W81" s="2">
        <f t="shared" si="40"/>
        <v>35624558.169374555</v>
      </c>
      <c r="X81" s="2">
        <f t="shared" si="40"/>
        <v>31303600.016493794</v>
      </c>
      <c r="Y81" s="2">
        <f t="shared" si="40"/>
        <v>26982641.863613039</v>
      </c>
    </row>
    <row r="82" spans="7:25" x14ac:dyDescent="0.2">
      <c r="G82" s="15">
        <v>2026</v>
      </c>
      <c r="H82" s="11">
        <f t="shared" si="41"/>
        <v>-1463.3844395625006</v>
      </c>
      <c r="I82" s="11">
        <f t="shared" si="42"/>
        <v>-149499798.6650286</v>
      </c>
      <c r="J82" s="16">
        <f t="shared" si="42"/>
        <v>1046498590.6552001</v>
      </c>
      <c r="K82" s="11">
        <f t="shared" si="36"/>
        <v>0</v>
      </c>
      <c r="L82" s="11">
        <f t="shared" si="43"/>
        <v>0.54999999999999993</v>
      </c>
      <c r="M82" s="11">
        <f t="shared" si="37"/>
        <v>385439999.99999994</v>
      </c>
      <c r="N82" s="13">
        <f t="shared" si="38"/>
        <v>235938737.95053175</v>
      </c>
      <c r="O82" s="13">
        <f t="shared" si="39"/>
        <v>57905998.238863826</v>
      </c>
      <c r="P82">
        <v>8</v>
      </c>
      <c r="R82" s="2">
        <f t="shared" si="40"/>
        <v>57905998.238863833</v>
      </c>
      <c r="S82" s="2">
        <f t="shared" si="40"/>
        <v>54053395.689966656</v>
      </c>
      <c r="T82" s="2">
        <f t="shared" si="40"/>
        <v>50200793.141069472</v>
      </c>
      <c r="U82" s="2">
        <f t="shared" si="40"/>
        <v>46348190.592172295</v>
      </c>
      <c r="V82" s="2">
        <f t="shared" si="40"/>
        <v>42495588.043275118</v>
      </c>
      <c r="W82" s="2">
        <f t="shared" si="40"/>
        <v>38642985.494377933</v>
      </c>
      <c r="X82" s="2">
        <f t="shared" si="40"/>
        <v>34790382.945480756</v>
      </c>
      <c r="Y82" s="2">
        <f t="shared" si="40"/>
        <v>30937780.396583572</v>
      </c>
    </row>
    <row r="83" spans="7:25" x14ac:dyDescent="0.2">
      <c r="G83" s="15">
        <v>2027</v>
      </c>
      <c r="H83" s="11">
        <f t="shared" si="41"/>
        <v>-1536.5536615406256</v>
      </c>
      <c r="I83" s="11">
        <f t="shared" si="42"/>
        <v>-152489794.63832918</v>
      </c>
      <c r="J83" s="16">
        <f t="shared" si="42"/>
        <v>1067428562.4683042</v>
      </c>
      <c r="K83" s="11">
        <f t="shared" si="36"/>
        <v>0</v>
      </c>
      <c r="L83" s="11">
        <f t="shared" si="43"/>
        <v>0.6</v>
      </c>
      <c r="M83" s="11">
        <f t="shared" si="37"/>
        <v>420480000</v>
      </c>
      <c r="N83" s="13">
        <f t="shared" si="38"/>
        <v>267988668.8080093</v>
      </c>
      <c r="O83" s="13">
        <f t="shared" si="39"/>
        <v>57492965.170597516</v>
      </c>
      <c r="P83">
        <v>9</v>
      </c>
      <c r="R83" s="2">
        <f t="shared" si="40"/>
        <v>57492965.170597516</v>
      </c>
      <c r="S83" s="2">
        <f t="shared" si="40"/>
        <v>54057952.408468917</v>
      </c>
      <c r="T83" s="2">
        <f t="shared" si="40"/>
        <v>50622939.646340311</v>
      </c>
      <c r="U83" s="2">
        <f t="shared" si="40"/>
        <v>47187926.884211704</v>
      </c>
      <c r="V83" s="2">
        <f t="shared" si="40"/>
        <v>43752914.122083098</v>
      </c>
      <c r="W83" s="2">
        <f t="shared" si="40"/>
        <v>40317901.359954491</v>
      </c>
      <c r="X83" s="2">
        <f t="shared" si="40"/>
        <v>36882888.597825885</v>
      </c>
      <c r="Y83" s="2">
        <f t="shared" si="40"/>
        <v>33447875.83569729</v>
      </c>
    </row>
    <row r="84" spans="7:25" x14ac:dyDescent="0.2">
      <c r="G84" s="15">
        <v>2028</v>
      </c>
      <c r="H84" s="11">
        <f t="shared" si="41"/>
        <v>-1613.3813446176571</v>
      </c>
      <c r="I84" s="11">
        <f t="shared" si="42"/>
        <v>-155539590.53109577</v>
      </c>
      <c r="J84" s="16">
        <f t="shared" si="42"/>
        <v>1088777133.7176702</v>
      </c>
      <c r="K84" s="11">
        <f t="shared" si="36"/>
        <v>0</v>
      </c>
      <c r="L84" s="11">
        <f t="shared" si="43"/>
        <v>0.65</v>
      </c>
      <c r="M84" s="11">
        <f t="shared" si="37"/>
        <v>455520000</v>
      </c>
      <c r="N84" s="13">
        <f t="shared" si="38"/>
        <v>299978796.08755958</v>
      </c>
      <c r="O84" s="13">
        <f t="shared" si="39"/>
        <v>56255217.700464748</v>
      </c>
      <c r="P84">
        <v>10</v>
      </c>
      <c r="R84" s="2">
        <f t="shared" si="40"/>
        <v>56255217.700464748</v>
      </c>
      <c r="S84" s="2">
        <f t="shared" si="40"/>
        <v>53192531.496468954</v>
      </c>
      <c r="T84" s="2">
        <f t="shared" si="40"/>
        <v>50129845.292473182</v>
      </c>
      <c r="U84" s="2">
        <f t="shared" si="40"/>
        <v>47067159.088477395</v>
      </c>
      <c r="V84" s="2">
        <f t="shared" si="40"/>
        <v>44004472.884481609</v>
      </c>
      <c r="W84" s="2">
        <f t="shared" si="40"/>
        <v>40941786.680485815</v>
      </c>
      <c r="X84" s="2">
        <f t="shared" si="40"/>
        <v>37879100.476490043</v>
      </c>
      <c r="Y84" s="2">
        <f t="shared" si="40"/>
        <v>34816414.272494256</v>
      </c>
    </row>
    <row r="85" spans="7:25" x14ac:dyDescent="0.2">
      <c r="G85" s="15">
        <v>2029</v>
      </c>
      <c r="H85" s="11">
        <f t="shared" si="41"/>
        <v>-1694.0504118485401</v>
      </c>
      <c r="I85" s="11">
        <f t="shared" si="42"/>
        <v>-158650382.34171769</v>
      </c>
      <c r="J85" s="16">
        <f t="shared" si="42"/>
        <v>1110552676.3920236</v>
      </c>
      <c r="K85" s="11">
        <f t="shared" si="36"/>
        <v>0</v>
      </c>
      <c r="L85" s="11">
        <f t="shared" si="43"/>
        <v>0.70000000000000007</v>
      </c>
      <c r="M85" s="11">
        <f t="shared" si="37"/>
        <v>490560000.00000012</v>
      </c>
      <c r="N85" s="13">
        <f t="shared" si="38"/>
        <v>331907923.60787058</v>
      </c>
      <c r="O85" s="13">
        <f t="shared" si="39"/>
        <v>54408136.049631804</v>
      </c>
      <c r="P85">
        <v>11</v>
      </c>
      <c r="R85" s="2">
        <f t="shared" si="40"/>
        <v>54408136.049631804</v>
      </c>
      <c r="S85" s="2">
        <f t="shared" si="40"/>
        <v>51677419.329285912</v>
      </c>
      <c r="T85" s="2">
        <f t="shared" si="40"/>
        <v>48946702.608940028</v>
      </c>
      <c r="U85" s="2">
        <f t="shared" si="40"/>
        <v>46215985.888594128</v>
      </c>
      <c r="V85" s="2">
        <f t="shared" si="40"/>
        <v>43485269.168248236</v>
      </c>
      <c r="W85" s="2">
        <f t="shared" si="40"/>
        <v>40754552.447902344</v>
      </c>
      <c r="X85" s="2">
        <f t="shared" si="40"/>
        <v>38023835.72755646</v>
      </c>
      <c r="Y85" s="2">
        <f t="shared" si="40"/>
        <v>35293119.007210568</v>
      </c>
    </row>
    <row r="86" spans="7:25" x14ac:dyDescent="0.2">
      <c r="G86" s="15">
        <v>2030</v>
      </c>
      <c r="H86" s="11">
        <f t="shared" si="41"/>
        <v>-1778.7529324409672</v>
      </c>
      <c r="I86" s="11">
        <f t="shared" si="42"/>
        <v>-161823389.98855203</v>
      </c>
      <c r="J86" s="16">
        <f t="shared" si="42"/>
        <v>1132763729.9198639</v>
      </c>
      <c r="K86" s="11">
        <f t="shared" si="36"/>
        <v>0</v>
      </c>
      <c r="L86" s="11">
        <f t="shared" si="43"/>
        <v>0.75000000000000011</v>
      </c>
      <c r="M86" s="11">
        <f t="shared" si="37"/>
        <v>525600000.00000012</v>
      </c>
      <c r="N86" s="13">
        <f t="shared" si="38"/>
        <v>363774831.25851566</v>
      </c>
      <c r="O86" s="13">
        <f t="shared" si="39"/>
        <v>52125814.10512241</v>
      </c>
      <c r="P86">
        <v>12</v>
      </c>
      <c r="R86" s="2">
        <f t="shared" si="40"/>
        <v>52125814.10512241</v>
      </c>
      <c r="S86" s="2">
        <f t="shared" si="40"/>
        <v>49691084.162156664</v>
      </c>
      <c r="T86" s="2">
        <f t="shared" si="40"/>
        <v>47256354.219190918</v>
      </c>
      <c r="U86" s="2">
        <f t="shared" si="40"/>
        <v>44821624.276225179</v>
      </c>
      <c r="V86" s="2">
        <f t="shared" si="40"/>
        <v>42386894.333259434</v>
      </c>
      <c r="W86" s="2">
        <f t="shared" si="40"/>
        <v>39952164.390293695</v>
      </c>
      <c r="X86" s="2">
        <f t="shared" si="40"/>
        <v>37517434.447327949</v>
      </c>
      <c r="Y86" s="2">
        <f t="shared" si="40"/>
        <v>35082704.504362203</v>
      </c>
    </row>
    <row r="87" spans="7:25" x14ac:dyDescent="0.2">
      <c r="G87" s="15">
        <v>2031</v>
      </c>
      <c r="H87" s="11">
        <f t="shared" si="41"/>
        <v>-1867.6905790630158</v>
      </c>
      <c r="I87" s="11">
        <f t="shared" si="42"/>
        <v>-165059857.78832307</v>
      </c>
      <c r="J87" s="16">
        <f t="shared" si="42"/>
        <v>1155419004.5182612</v>
      </c>
      <c r="K87" s="11">
        <f t="shared" si="36"/>
        <v>0</v>
      </c>
      <c r="L87" s="11">
        <f t="shared" si="43"/>
        <v>0.80000000000000016</v>
      </c>
      <c r="M87" s="11">
        <f t="shared" si="37"/>
        <v>560640000.00000012</v>
      </c>
      <c r="N87" s="13">
        <f t="shared" si="38"/>
        <v>395578274.52109802</v>
      </c>
      <c r="O87" s="13">
        <f t="shared" si="39"/>
        <v>49548054.915796876</v>
      </c>
      <c r="P87">
        <v>13</v>
      </c>
      <c r="R87" s="2">
        <f t="shared" si="40"/>
        <v>49548054.915796876</v>
      </c>
      <c r="S87" s="2">
        <f t="shared" si="40"/>
        <v>47377229.267348394</v>
      </c>
      <c r="T87" s="2">
        <f t="shared" si="40"/>
        <v>45206403.618899919</v>
      </c>
      <c r="U87" s="2">
        <f t="shared" si="40"/>
        <v>43035577.970451437</v>
      </c>
      <c r="V87" s="2">
        <f t="shared" si="40"/>
        <v>40864752.322002962</v>
      </c>
      <c r="W87" s="2">
        <f t="shared" si="40"/>
        <v>38693926.673554488</v>
      </c>
      <c r="X87" s="2">
        <f t="shared" si="40"/>
        <v>36523101.025106005</v>
      </c>
      <c r="Y87" s="2">
        <f t="shared" si="40"/>
        <v>34352275.376657531</v>
      </c>
    </row>
    <row r="88" spans="7:25" x14ac:dyDescent="0.2">
      <c r="G88" s="15">
        <v>2032</v>
      </c>
      <c r="H88" s="11">
        <f t="shared" si="41"/>
        <v>-1961.0751080161667</v>
      </c>
      <c r="I88" s="11">
        <f t="shared" si="42"/>
        <v>-168361054.94408953</v>
      </c>
      <c r="J88" s="16">
        <f t="shared" si="42"/>
        <v>1178527384.6086264</v>
      </c>
      <c r="K88" s="11">
        <f t="shared" si="36"/>
        <v>0</v>
      </c>
      <c r="L88" s="11">
        <f t="shared" si="43"/>
        <v>0.8500000000000002</v>
      </c>
      <c r="M88" s="11">
        <f t="shared" si="37"/>
        <v>595680000.00000012</v>
      </c>
      <c r="N88" s="13">
        <f t="shared" si="38"/>
        <v>427316983.98080254</v>
      </c>
      <c r="O88" s="13">
        <f t="shared" si="39"/>
        <v>46786257.689353108</v>
      </c>
      <c r="P88">
        <v>14</v>
      </c>
      <c r="R88" s="2">
        <f t="shared" si="40"/>
        <v>46786257.689353108</v>
      </c>
      <c r="S88" s="2">
        <f t="shared" si="40"/>
        <v>44850731.324477717</v>
      </c>
      <c r="T88" s="2">
        <f t="shared" si="40"/>
        <v>42915204.959602334</v>
      </c>
      <c r="U88" s="2">
        <f t="shared" si="40"/>
        <v>40979678.594726935</v>
      </c>
      <c r="V88" s="2">
        <f t="shared" si="40"/>
        <v>39044152.229851544</v>
      </c>
      <c r="W88" s="2">
        <f t="shared" si="40"/>
        <v>37108625.864976153</v>
      </c>
      <c r="X88" s="2">
        <f t="shared" si="40"/>
        <v>35173099.500100762</v>
      </c>
      <c r="Y88" s="2">
        <f t="shared" si="40"/>
        <v>33237573.135225374</v>
      </c>
    </row>
    <row r="89" spans="7:25" x14ac:dyDescent="0.2">
      <c r="G89" s="15">
        <v>2033</v>
      </c>
      <c r="H89" s="11">
        <f t="shared" si="41"/>
        <v>-2059.128863416975</v>
      </c>
      <c r="I89" s="11">
        <f t="shared" si="42"/>
        <v>-171728276.04297131</v>
      </c>
      <c r="J89" s="16">
        <f t="shared" si="42"/>
        <v>1202097932.3007989</v>
      </c>
      <c r="K89" s="11">
        <f t="shared" si="36"/>
        <v>0</v>
      </c>
      <c r="L89" s="11">
        <f t="shared" si="43"/>
        <v>0.90000000000000024</v>
      </c>
      <c r="M89" s="11">
        <f t="shared" si="37"/>
        <v>630720000.00000012</v>
      </c>
      <c r="N89" s="13">
        <f t="shared" si="38"/>
        <v>458989664.82816535</v>
      </c>
      <c r="O89" s="13">
        <f t="shared" si="39"/>
        <v>43928364.682110228</v>
      </c>
      <c r="P89">
        <v>15</v>
      </c>
      <c r="R89" s="2">
        <f t="shared" si="40"/>
        <v>43928364.682110228</v>
      </c>
      <c r="S89" s="2">
        <f t="shared" si="40"/>
        <v>42202633.133008055</v>
      </c>
      <c r="T89" s="2">
        <f t="shared" si="40"/>
        <v>40476901.583905868</v>
      </c>
      <c r="U89" s="2">
        <f t="shared" si="40"/>
        <v>38751170.034803674</v>
      </c>
      <c r="V89" s="2">
        <f t="shared" si="40"/>
        <v>37025438.485701494</v>
      </c>
      <c r="W89" s="2">
        <f t="shared" si="40"/>
        <v>35299706.936599314</v>
      </c>
      <c r="X89" s="2">
        <f t="shared" si="40"/>
        <v>33573975.387497127</v>
      </c>
      <c r="Y89" s="2">
        <f t="shared" si="40"/>
        <v>31848243.838394947</v>
      </c>
    </row>
    <row r="90" spans="7:25" x14ac:dyDescent="0.2">
      <c r="G90" s="15">
        <v>2034</v>
      </c>
      <c r="H90" s="11">
        <f t="shared" si="41"/>
        <v>-2162.0853065878241</v>
      </c>
      <c r="I90" s="11">
        <f t="shared" si="42"/>
        <v>-175162841.56383073</v>
      </c>
      <c r="J90" s="16">
        <f t="shared" si="42"/>
        <v>1226139890.9468148</v>
      </c>
      <c r="K90" s="11">
        <f t="shared" si="36"/>
        <v>0</v>
      </c>
      <c r="L90" s="11">
        <f t="shared" si="43"/>
        <v>0.95000000000000029</v>
      </c>
      <c r="M90" s="11">
        <f t="shared" si="37"/>
        <v>665760000.00000024</v>
      </c>
      <c r="N90" s="13">
        <f t="shared" si="38"/>
        <v>490594996.35086286</v>
      </c>
      <c r="O90" s="13">
        <f t="shared" si="39"/>
        <v>41043011.52620288</v>
      </c>
      <c r="P90">
        <v>16</v>
      </c>
      <c r="R90" s="2">
        <f t="shared" si="40"/>
        <v>41043011.526202887</v>
      </c>
      <c r="S90" s="2">
        <f t="shared" si="40"/>
        <v>39504334.795360036</v>
      </c>
      <c r="T90" s="2">
        <f t="shared" si="40"/>
        <v>37965658.064517178</v>
      </c>
      <c r="U90" s="2">
        <f t="shared" si="40"/>
        <v>36426981.333674319</v>
      </c>
      <c r="V90" s="2">
        <f t="shared" si="40"/>
        <v>34888304.602831461</v>
      </c>
      <c r="W90" s="2">
        <f t="shared" si="40"/>
        <v>33349627.871988602</v>
      </c>
      <c r="X90" s="2">
        <f t="shared" si="40"/>
        <v>31810951.141145747</v>
      </c>
      <c r="Y90" s="2">
        <f t="shared" si="40"/>
        <v>30272274.410302892</v>
      </c>
    </row>
    <row r="91" spans="7:25" x14ac:dyDescent="0.2">
      <c r="G91" s="15">
        <v>2035</v>
      </c>
      <c r="H91" s="11">
        <f t="shared" si="41"/>
        <v>-2270.1895719172153</v>
      </c>
      <c r="I91" s="11">
        <f t="shared" si="42"/>
        <v>-178666098.39510736</v>
      </c>
      <c r="J91" s="16">
        <f t="shared" si="42"/>
        <v>1250662688.7657511</v>
      </c>
      <c r="K91" s="11">
        <f t="shared" si="36"/>
        <v>0</v>
      </c>
      <c r="L91" s="11">
        <f t="shared" si="43"/>
        <v>1.0000000000000002</v>
      </c>
      <c r="M91" s="11">
        <f t="shared" si="37"/>
        <v>700800000.00000012</v>
      </c>
      <c r="N91" s="13">
        <f t="shared" si="38"/>
        <v>522131631.41532075</v>
      </c>
      <c r="O91" s="13">
        <f t="shared" si="39"/>
        <v>38183003.280826665</v>
      </c>
      <c r="P91">
        <v>17</v>
      </c>
      <c r="R91" s="2">
        <f t="shared" si="40"/>
        <v>38183003.280826673</v>
      </c>
      <c r="S91" s="2">
        <f t="shared" si="40"/>
        <v>36811106.195634611</v>
      </c>
      <c r="T91" s="2">
        <f t="shared" si="40"/>
        <v>35439209.110442556</v>
      </c>
      <c r="U91" s="2">
        <f t="shared" si="40"/>
        <v>34067312.025250502</v>
      </c>
      <c r="V91" s="2">
        <f t="shared" si="40"/>
        <v>32695414.94005844</v>
      </c>
      <c r="W91" s="2">
        <f t="shared" si="40"/>
        <v>31323517.854866382</v>
      </c>
      <c r="X91" s="2">
        <f t="shared" si="40"/>
        <v>29951620.76967432</v>
      </c>
      <c r="Y91" s="2">
        <f t="shared" si="40"/>
        <v>28579723.684482262</v>
      </c>
    </row>
    <row r="92" spans="7:25" x14ac:dyDescent="0.2">
      <c r="G92" s="15">
        <v>2036</v>
      </c>
      <c r="H92" s="11">
        <f t="shared" si="41"/>
        <v>-2383.6990505130761</v>
      </c>
      <c r="I92" s="11">
        <f t="shared" si="42"/>
        <v>-182239420.36300951</v>
      </c>
      <c r="J92" s="16">
        <f t="shared" si="42"/>
        <v>1275675942.5410662</v>
      </c>
      <c r="K92" s="11">
        <f t="shared" si="36"/>
        <v>0</v>
      </c>
      <c r="L92" s="11">
        <f t="shared" si="43"/>
        <v>1.0500000000000003</v>
      </c>
      <c r="M92" s="11">
        <f t="shared" si="37"/>
        <v>735840000.00000012</v>
      </c>
      <c r="N92" s="13">
        <f t="shared" si="38"/>
        <v>553598195.93794012</v>
      </c>
      <c r="O92" s="13">
        <f t="shared" si="39"/>
        <v>35388220.315242276</v>
      </c>
      <c r="P92">
        <v>18</v>
      </c>
      <c r="R92" s="2">
        <f t="shared" si="40"/>
        <v>35388220.315242276</v>
      </c>
      <c r="S92" s="2">
        <f t="shared" si="40"/>
        <v>34165025.361661948</v>
      </c>
      <c r="T92" s="2">
        <f t="shared" si="40"/>
        <v>32941830.408081613</v>
      </c>
      <c r="U92" s="2">
        <f t="shared" si="40"/>
        <v>31718635.454501279</v>
      </c>
      <c r="V92" s="2">
        <f t="shared" si="40"/>
        <v>30495440.500920951</v>
      </c>
      <c r="W92" s="2">
        <f t="shared" si="40"/>
        <v>29272245.54734062</v>
      </c>
      <c r="X92" s="2">
        <f t="shared" si="40"/>
        <v>28049050.593760289</v>
      </c>
      <c r="Y92" s="2">
        <f t="shared" si="40"/>
        <v>26825855.640179954</v>
      </c>
    </row>
    <row r="93" spans="7:25" x14ac:dyDescent="0.2">
      <c r="G93" s="15">
        <v>2037</v>
      </c>
      <c r="H93" s="11">
        <f t="shared" si="41"/>
        <v>-2502.88400303873</v>
      </c>
      <c r="I93" s="11">
        <f t="shared" ref="I93:J94" si="44">I92*1.02</f>
        <v>-185884208.77026969</v>
      </c>
      <c r="J93" s="16">
        <f t="shared" si="44"/>
        <v>1301189461.3918874</v>
      </c>
      <c r="K93" s="11">
        <f t="shared" si="36"/>
        <v>0</v>
      </c>
      <c r="L93" s="11">
        <f t="shared" si="43"/>
        <v>1.1000000000000003</v>
      </c>
      <c r="M93" s="11">
        <f t="shared" si="37"/>
        <v>770880000.00000024</v>
      </c>
      <c r="N93" s="13">
        <f t="shared" si="38"/>
        <v>584993288.34572744</v>
      </c>
      <c r="O93" s="13">
        <f t="shared" si="39"/>
        <v>32688042.592849322</v>
      </c>
      <c r="P93">
        <v>19</v>
      </c>
      <c r="R93" s="2">
        <f t="shared" si="40"/>
        <v>32688042.592849322</v>
      </c>
      <c r="S93" s="2">
        <f t="shared" si="40"/>
        <v>31597431.707664065</v>
      </c>
      <c r="T93" s="2">
        <f t="shared" si="40"/>
        <v>30506820.822478805</v>
      </c>
      <c r="U93" s="2">
        <f t="shared" si="40"/>
        <v>29416209.937293544</v>
      </c>
      <c r="V93" s="2">
        <f t="shared" si="40"/>
        <v>28325599.05210828</v>
      </c>
      <c r="W93" s="2">
        <f t="shared" si="40"/>
        <v>27234988.16692302</v>
      </c>
      <c r="X93" s="2">
        <f t="shared" si="40"/>
        <v>26144377.28173776</v>
      </c>
      <c r="Y93" s="2">
        <f t="shared" si="40"/>
        <v>25053766.396552503</v>
      </c>
    </row>
    <row r="94" spans="7:25" x14ac:dyDescent="0.2">
      <c r="G94" s="15">
        <v>2038</v>
      </c>
      <c r="H94" s="11">
        <f t="shared" si="41"/>
        <v>-2628.0282031906668</v>
      </c>
      <c r="I94" s="11">
        <f t="shared" si="44"/>
        <v>-189601892.94567508</v>
      </c>
      <c r="J94" s="16">
        <f t="shared" si="44"/>
        <v>1327213250.6197252</v>
      </c>
      <c r="K94" s="11">
        <f t="shared" si="36"/>
        <v>0</v>
      </c>
      <c r="L94" s="11">
        <f t="shared" si="43"/>
        <v>1.1500000000000004</v>
      </c>
      <c r="M94" s="11">
        <f t="shared" si="37"/>
        <v>805920000.00000024</v>
      </c>
      <c r="N94" s="13">
        <f t="shared" si="38"/>
        <v>616315479.02612185</v>
      </c>
      <c r="O94" s="13">
        <f t="shared" si="39"/>
        <v>30103367.650892593</v>
      </c>
      <c r="P94">
        <v>20</v>
      </c>
      <c r="R94" s="2">
        <f t="shared" si="40"/>
        <v>30103367.650892604</v>
      </c>
      <c r="S94" s="2">
        <f t="shared" si="40"/>
        <v>29130969.833681967</v>
      </c>
      <c r="T94" s="2">
        <f t="shared" si="40"/>
        <v>28158572.016471334</v>
      </c>
      <c r="U94" s="2">
        <f t="shared" si="40"/>
        <v>27186174.199260697</v>
      </c>
      <c r="V94" s="2">
        <f t="shared" si="40"/>
        <v>26213776.38205006</v>
      </c>
      <c r="W94" s="2">
        <f t="shared" si="40"/>
        <v>25241378.564839426</v>
      </c>
      <c r="X94" s="2">
        <f t="shared" si="40"/>
        <v>24268980.747628789</v>
      </c>
      <c r="Y94" s="2">
        <f t="shared" si="40"/>
        <v>23296582.93041816</v>
      </c>
    </row>
    <row r="95" spans="7:25" x14ac:dyDescent="0.2">
      <c r="O95" s="8">
        <f>SUM(O75:O94)</f>
        <v>870150443.54758632</v>
      </c>
      <c r="R95" s="2">
        <f>SUM(R75:R94)+$E$4</f>
        <v>819225542.26293695</v>
      </c>
      <c r="S95" s="2">
        <f t="shared" ref="S95:Y95" si="45">SUM(S75:S94)+$E$4</f>
        <v>747875653.33999181</v>
      </c>
      <c r="T95" s="2">
        <f t="shared" si="45"/>
        <v>676525764.41704714</v>
      </c>
      <c r="U95" s="2">
        <f t="shared" si="45"/>
        <v>605175875.49410224</v>
      </c>
      <c r="V95" s="2">
        <f t="shared" si="45"/>
        <v>533825986.57115728</v>
      </c>
      <c r="W95" s="2">
        <f t="shared" si="45"/>
        <v>462476097.64821255</v>
      </c>
      <c r="X95" s="2">
        <f t="shared" si="45"/>
        <v>391126208.72526765</v>
      </c>
      <c r="Y95" s="2">
        <f t="shared" si="45"/>
        <v>319776319.8023228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selection activeCell="G17" sqref="G17"/>
    </sheetView>
  </sheetViews>
  <sheetFormatPr baseColWidth="10" defaultColWidth="8.83203125" defaultRowHeight="15" x14ac:dyDescent="0.2"/>
  <cols>
    <col min="2" max="2" width="5" bestFit="1" customWidth="1"/>
    <col min="3" max="3" width="27.1640625" customWidth="1"/>
    <col min="4" max="4" width="12.6640625" bestFit="1" customWidth="1"/>
    <col min="5" max="5" width="16.33203125" bestFit="1" customWidth="1"/>
    <col min="6" max="6" width="15.33203125" bestFit="1" customWidth="1"/>
    <col min="7" max="7" width="18.83203125" bestFit="1" customWidth="1"/>
    <col min="8" max="8" width="18" bestFit="1" customWidth="1"/>
    <col min="9" max="9" width="20.5" bestFit="1" customWidth="1"/>
    <col min="10" max="10" width="18.33203125" bestFit="1" customWidth="1"/>
    <col min="13" max="13" width="21.5" bestFit="1" customWidth="1"/>
    <col min="16" max="16" width="21.5" bestFit="1" customWidth="1"/>
    <col min="19" max="19" width="21.5" bestFit="1" customWidth="1"/>
  </cols>
  <sheetData>
    <row r="2" spans="2:19" x14ac:dyDescent="0.2">
      <c r="C2" t="s">
        <v>46</v>
      </c>
      <c r="D2">
        <v>0</v>
      </c>
    </row>
    <row r="3" spans="2:19" x14ac:dyDescent="0.2">
      <c r="C3" t="s">
        <v>51</v>
      </c>
      <c r="D3">
        <v>0.63900000000000001</v>
      </c>
    </row>
    <row r="4" spans="2:19" x14ac:dyDescent="0.2">
      <c r="B4" t="s">
        <v>41</v>
      </c>
      <c r="L4" t="s">
        <v>48</v>
      </c>
      <c r="O4" t="s">
        <v>49</v>
      </c>
      <c r="R4" t="s">
        <v>50</v>
      </c>
    </row>
    <row r="5" spans="2:19" x14ac:dyDescent="0.2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">
      <c r="B6" s="12">
        <v>2018</v>
      </c>
      <c r="C6" s="11">
        <v>-74614320</v>
      </c>
      <c r="D6" s="14"/>
      <c r="E6" s="14"/>
      <c r="F6" s="14"/>
      <c r="G6" s="14"/>
      <c r="H6" s="14"/>
      <c r="I6" s="14"/>
      <c r="J6" s="13">
        <f>C6*$D$3</f>
        <v>-47678550.480000004</v>
      </c>
      <c r="L6" s="12">
        <v>2018</v>
      </c>
      <c r="M6" s="13">
        <f>J6-J30</f>
        <v>-19337622.480000004</v>
      </c>
      <c r="O6" s="12">
        <v>2018</v>
      </c>
      <c r="P6" s="13">
        <f>J54-J6</f>
        <v>-1183233.7439999953</v>
      </c>
      <c r="R6" s="12">
        <v>2018</v>
      </c>
      <c r="S6" s="13">
        <f>J78-J54</f>
        <v>-2063320.7760000005</v>
      </c>
    </row>
    <row r="7" spans="2:19" x14ac:dyDescent="0.2">
      <c r="B7" s="15">
        <v>2019</v>
      </c>
      <c r="C7" s="11"/>
      <c r="D7" s="11">
        <v>-770</v>
      </c>
      <c r="E7" s="11">
        <v>-69954857.142857149</v>
      </c>
      <c r="F7" s="16">
        <v>489684000</v>
      </c>
      <c r="G7" s="11">
        <f>$D$2*F7</f>
        <v>0</v>
      </c>
      <c r="H7" s="11">
        <v>0.2</v>
      </c>
      <c r="I7" s="11">
        <f>H7*80000*365*24</f>
        <v>140160000</v>
      </c>
      <c r="J7" s="13">
        <f>(I7+D7+E7+G7)*$D$3</f>
        <v>44860594.255714282</v>
      </c>
      <c r="L7" s="15">
        <v>2019</v>
      </c>
      <c r="M7" s="13">
        <f t="shared" ref="M7:M26" si="0">J7-J31</f>
        <v>38463955.958571427</v>
      </c>
      <c r="O7" s="15">
        <v>2019</v>
      </c>
      <c r="P7" s="13">
        <f t="shared" ref="P7:P26" si="1">J55-J7</f>
        <v>32954202.192857146</v>
      </c>
      <c r="R7" s="15">
        <v>2019</v>
      </c>
      <c r="S7" s="13">
        <f t="shared" ref="S7:S26" si="2">J79-J55</f>
        <v>-56864089.671428576</v>
      </c>
    </row>
    <row r="8" spans="2:19" x14ac:dyDescent="0.2">
      <c r="B8" s="15">
        <v>2020</v>
      </c>
      <c r="C8" s="11"/>
      <c r="D8" s="11">
        <v>-808.5</v>
      </c>
      <c r="E8" s="11">
        <v>-71353954.285714298</v>
      </c>
      <c r="F8" s="16">
        <v>499477680</v>
      </c>
      <c r="G8" s="11">
        <f t="shared" ref="G8:G50" si="3">$D$2*F8</f>
        <v>0</v>
      </c>
      <c r="H8" s="11">
        <f>H7+0.05</f>
        <v>0.25</v>
      </c>
      <c r="I8" s="11">
        <f t="shared" ref="I8:I26" si="4">H8*80000*365*24</f>
        <v>175200000</v>
      </c>
      <c r="J8" s="13">
        <f t="shared" ref="J8:J26" si="5">(I8+D8+E8+G8)*$D$3</f>
        <v>66357106.579928562</v>
      </c>
      <c r="L8" s="15">
        <v>2020</v>
      </c>
      <c r="M8" s="13">
        <f t="shared" si="0"/>
        <v>39233240.253642857</v>
      </c>
      <c r="O8" s="15">
        <v>2020</v>
      </c>
      <c r="P8" s="13">
        <f t="shared" si="1"/>
        <v>33613289.112214297</v>
      </c>
      <c r="R8" s="15">
        <v>2020</v>
      </c>
      <c r="S8" s="13">
        <f t="shared" si="2"/>
        <v>-58001373.381857149</v>
      </c>
    </row>
    <row r="9" spans="2:19" x14ac:dyDescent="0.2">
      <c r="B9" s="15">
        <v>2021</v>
      </c>
      <c r="C9" s="11"/>
      <c r="D9" s="11">
        <v>-848.92500000000007</v>
      </c>
      <c r="E9" s="11">
        <v>-72781033.371428579</v>
      </c>
      <c r="F9" s="16">
        <v>509467233.60000002</v>
      </c>
      <c r="G9" s="11">
        <f t="shared" si="3"/>
        <v>0</v>
      </c>
      <c r="H9" s="11">
        <f t="shared" ref="H9:H26" si="6">H8+0.05</f>
        <v>0.3</v>
      </c>
      <c r="I9" s="11">
        <f t="shared" si="4"/>
        <v>210240000</v>
      </c>
      <c r="J9" s="13">
        <f t="shared" si="5"/>
        <v>87835737.212582126</v>
      </c>
      <c r="L9" s="15">
        <v>2021</v>
      </c>
      <c r="M9" s="13">
        <f t="shared" si="0"/>
        <v>40017910.493410707</v>
      </c>
      <c r="O9" s="15">
        <v>2021</v>
      </c>
      <c r="P9" s="13">
        <f t="shared" si="1"/>
        <v>34285557.913733572</v>
      </c>
      <c r="R9" s="15">
        <v>2021</v>
      </c>
      <c r="S9" s="13">
        <f t="shared" si="2"/>
        <v>-59161402.86234428</v>
      </c>
    </row>
    <row r="10" spans="2:19" x14ac:dyDescent="0.2">
      <c r="B10" s="15">
        <v>2022</v>
      </c>
      <c r="C10" s="11"/>
      <c r="D10" s="11">
        <v>-891.37125000000015</v>
      </c>
      <c r="E10" s="11">
        <v>-74236654.038857147</v>
      </c>
      <c r="F10" s="16">
        <v>519656578.27200001</v>
      </c>
      <c r="G10" s="11">
        <f t="shared" si="3"/>
        <v>0</v>
      </c>
      <c r="H10" s="11">
        <f t="shared" si="6"/>
        <v>0.35</v>
      </c>
      <c r="I10" s="11">
        <f t="shared" si="4"/>
        <v>245280000</v>
      </c>
      <c r="J10" s="13">
        <f t="shared" si="5"/>
        <v>109296128.48294154</v>
      </c>
      <c r="L10" s="15">
        <v>2022</v>
      </c>
      <c r="M10" s="13">
        <f t="shared" si="0"/>
        <v>40818274.409708694</v>
      </c>
      <c r="O10" s="15">
        <v>2022</v>
      </c>
      <c r="P10" s="13">
        <f t="shared" si="1"/>
        <v>34971272.242246985</v>
      </c>
      <c r="R10" s="15">
        <v>2022</v>
      </c>
      <c r="S10" s="13">
        <f t="shared" si="2"/>
        <v>-60344633.033083677</v>
      </c>
    </row>
    <row r="11" spans="2:19" x14ac:dyDescent="0.2">
      <c r="B11" s="15">
        <v>2023</v>
      </c>
      <c r="C11" s="11"/>
      <c r="D11" s="11">
        <v>-935.93981250000024</v>
      </c>
      <c r="E11" s="11">
        <v>-75721387.119634286</v>
      </c>
      <c r="F11" s="16">
        <v>530049709.83744001</v>
      </c>
      <c r="G11" s="11">
        <f t="shared" si="3"/>
        <v>0</v>
      </c>
      <c r="H11" s="11">
        <f t="shared" si="6"/>
        <v>0.39999999999999997</v>
      </c>
      <c r="I11" s="11">
        <f t="shared" si="4"/>
        <v>280319999.99999994</v>
      </c>
      <c r="J11" s="13">
        <f t="shared" si="5"/>
        <v>130737915.56501348</v>
      </c>
      <c r="L11" s="15">
        <v>2023</v>
      </c>
      <c r="M11" s="13">
        <f t="shared" si="0"/>
        <v>41634645.889654115</v>
      </c>
      <c r="O11" s="15">
        <v>2023</v>
      </c>
      <c r="P11" s="13">
        <f t="shared" si="1"/>
        <v>35670701.015842631</v>
      </c>
      <c r="R11" s="15">
        <v>2023</v>
      </c>
      <c r="S11" s="13">
        <f t="shared" si="2"/>
        <v>-61551527.912912503</v>
      </c>
    </row>
    <row r="12" spans="2:19" x14ac:dyDescent="0.2">
      <c r="B12" s="15">
        <v>2024</v>
      </c>
      <c r="C12" s="11"/>
      <c r="D12" s="11">
        <v>-982.73680312500028</v>
      </c>
      <c r="E12" s="11">
        <v>-77235814.862026975</v>
      </c>
      <c r="F12" s="16">
        <v>540650704.03418887</v>
      </c>
      <c r="G12" s="11">
        <f t="shared" si="3"/>
        <v>0</v>
      </c>
      <c r="H12" s="11">
        <f t="shared" si="6"/>
        <v>0.44999999999999996</v>
      </c>
      <c r="I12" s="11">
        <f t="shared" si="4"/>
        <v>315360000</v>
      </c>
      <c r="J12" s="13">
        <f t="shared" si="5"/>
        <v>152160726.33434758</v>
      </c>
      <c r="L12" s="15">
        <v>2024</v>
      </c>
      <c r="M12" s="13">
        <f t="shared" si="0"/>
        <v>42467345.098785982</v>
      </c>
      <c r="O12" s="15">
        <v>2024</v>
      </c>
      <c r="P12" s="13">
        <f t="shared" si="1"/>
        <v>36384118.531347662</v>
      </c>
      <c r="R12" s="15">
        <v>2024</v>
      </c>
      <c r="S12" s="13">
        <f t="shared" si="2"/>
        <v>-62782560.801296204</v>
      </c>
    </row>
    <row r="13" spans="2:19" x14ac:dyDescent="0.2">
      <c r="B13" s="15">
        <v>2025</v>
      </c>
      <c r="C13" s="11"/>
      <c r="D13" s="11">
        <v>-1031.8736432812502</v>
      </c>
      <c r="E13" s="11">
        <v>-78780531.159267515</v>
      </c>
      <c r="F13" s="16">
        <v>551463718.11487269</v>
      </c>
      <c r="G13" s="11">
        <f t="shared" si="3"/>
        <v>0</v>
      </c>
      <c r="H13" s="11">
        <f t="shared" si="6"/>
        <v>0.49999999999999994</v>
      </c>
      <c r="I13" s="11">
        <f t="shared" si="4"/>
        <v>350399999.99999994</v>
      </c>
      <c r="J13" s="13">
        <f t="shared" si="5"/>
        <v>173564181.22196999</v>
      </c>
      <c r="L13" s="15">
        <v>2025</v>
      </c>
      <c r="M13" s="13">
        <f t="shared" si="0"/>
        <v>43316698.606667444</v>
      </c>
      <c r="O13" s="15">
        <v>2025</v>
      </c>
      <c r="P13" s="13">
        <f t="shared" si="1"/>
        <v>37111804.571922243</v>
      </c>
      <c r="R13" s="15">
        <v>2025</v>
      </c>
      <c r="S13" s="13">
        <f t="shared" si="2"/>
        <v>-64038214.463953912</v>
      </c>
    </row>
    <row r="14" spans="2:19" x14ac:dyDescent="0.2">
      <c r="B14" s="15">
        <v>2026</v>
      </c>
      <c r="C14" s="11"/>
      <c r="D14" s="11">
        <v>-1083.4673254453128</v>
      </c>
      <c r="E14" s="11">
        <v>-80356141.782452866</v>
      </c>
      <c r="F14" s="16">
        <v>562492992.47717011</v>
      </c>
      <c r="G14" s="11">
        <f t="shared" si="3"/>
        <v>0</v>
      </c>
      <c r="H14" s="11">
        <f t="shared" si="6"/>
        <v>0.54999999999999993</v>
      </c>
      <c r="I14" s="11">
        <f t="shared" si="4"/>
        <v>385439999.99999994</v>
      </c>
      <c r="J14" s="13">
        <f t="shared" si="5"/>
        <v>194947893.0653916</v>
      </c>
      <c r="L14" s="15">
        <v>2026</v>
      </c>
      <c r="M14" s="13">
        <f t="shared" si="0"/>
        <v>44183039.515001804</v>
      </c>
      <c r="O14" s="15">
        <v>2026</v>
      </c>
      <c r="P14" s="13">
        <f t="shared" si="1"/>
        <v>37854044.516805768</v>
      </c>
      <c r="R14" s="15">
        <v>2026</v>
      </c>
      <c r="S14" s="13">
        <f t="shared" si="2"/>
        <v>-65318981.322196335</v>
      </c>
    </row>
    <row r="15" spans="2:19" x14ac:dyDescent="0.2">
      <c r="B15" s="15">
        <v>2027</v>
      </c>
      <c r="C15" s="11"/>
      <c r="D15" s="11">
        <v>-1137.6406917175784</v>
      </c>
      <c r="E15" s="11">
        <v>-81963264.618101925</v>
      </c>
      <c r="F15" s="16">
        <v>573742852.32671356</v>
      </c>
      <c r="G15" s="11">
        <f t="shared" si="3"/>
        <v>0</v>
      </c>
      <c r="H15" s="11">
        <f t="shared" si="6"/>
        <v>0.6</v>
      </c>
      <c r="I15" s="11">
        <f t="shared" si="4"/>
        <v>420480000</v>
      </c>
      <c r="J15" s="13">
        <f t="shared" si="5"/>
        <v>216311466.95663089</v>
      </c>
      <c r="L15" s="15">
        <v>2027</v>
      </c>
      <c r="M15" s="13">
        <f t="shared" si="0"/>
        <v>45066707.588312954</v>
      </c>
      <c r="O15" s="15">
        <v>2027</v>
      </c>
      <c r="P15" s="13">
        <f t="shared" si="1"/>
        <v>38611129.45325911</v>
      </c>
      <c r="R15" s="15">
        <v>2027</v>
      </c>
      <c r="S15" s="13">
        <f t="shared" si="2"/>
        <v>-66625363.646051764</v>
      </c>
    </row>
    <row r="16" spans="2:19" x14ac:dyDescent="0.2">
      <c r="B16" s="15">
        <v>2028</v>
      </c>
      <c r="C16" s="11"/>
      <c r="D16" s="11">
        <v>-1194.5227263034574</v>
      </c>
      <c r="E16" s="11">
        <v>-83602529.910463959</v>
      </c>
      <c r="F16" s="16">
        <v>585217709.37324786</v>
      </c>
      <c r="G16" s="11">
        <f t="shared" si="3"/>
        <v>0</v>
      </c>
      <c r="H16" s="11">
        <f t="shared" si="6"/>
        <v>0.65</v>
      </c>
      <c r="I16" s="11">
        <f t="shared" si="4"/>
        <v>455520000</v>
      </c>
      <c r="J16" s="13">
        <f t="shared" si="5"/>
        <v>237654500.08719146</v>
      </c>
      <c r="L16" s="15">
        <v>2028</v>
      </c>
      <c r="M16" s="13">
        <f t="shared" si="0"/>
        <v>45968049.387240887</v>
      </c>
      <c r="O16" s="15">
        <v>2028</v>
      </c>
      <c r="P16" s="13">
        <f t="shared" si="1"/>
        <v>39383356.290747404</v>
      </c>
      <c r="R16" s="15">
        <v>2028</v>
      </c>
      <c r="S16" s="13">
        <f t="shared" si="2"/>
        <v>-67957873.751254886</v>
      </c>
    </row>
    <row r="17" spans="2:19" x14ac:dyDescent="0.2">
      <c r="B17" s="15">
        <v>2029</v>
      </c>
      <c r="C17" s="11"/>
      <c r="D17" s="11">
        <v>-1254.2488626186303</v>
      </c>
      <c r="E17" s="11">
        <v>-85274580.508673236</v>
      </c>
      <c r="F17" s="16">
        <v>596922063.56071281</v>
      </c>
      <c r="G17" s="11">
        <f t="shared" si="3"/>
        <v>0</v>
      </c>
      <c r="H17" s="11">
        <f t="shared" si="6"/>
        <v>0.70000000000000007</v>
      </c>
      <c r="I17" s="11">
        <f t="shared" si="4"/>
        <v>490560000.00000012</v>
      </c>
      <c r="J17" s="13">
        <f t="shared" si="5"/>
        <v>258976581.58993465</v>
      </c>
      <c r="L17" s="15">
        <v>2029</v>
      </c>
      <c r="M17" s="13">
        <f t="shared" si="0"/>
        <v>46887418.404505342</v>
      </c>
      <c r="O17" s="15">
        <v>2029</v>
      </c>
      <c r="P17" s="13">
        <f t="shared" si="1"/>
        <v>40171027.877406657</v>
      </c>
      <c r="R17" s="15">
        <v>2029</v>
      </c>
      <c r="S17" s="13">
        <f t="shared" si="2"/>
        <v>-69317034.20017612</v>
      </c>
    </row>
    <row r="18" spans="2:19" x14ac:dyDescent="0.2">
      <c r="B18" s="15">
        <v>2030</v>
      </c>
      <c r="C18" s="11"/>
      <c r="D18" s="11">
        <v>-1316.9613057495619</v>
      </c>
      <c r="E18" s="11">
        <v>-86980072.1188467</v>
      </c>
      <c r="F18" s="16">
        <v>608860504.83192706</v>
      </c>
      <c r="G18" s="11">
        <f t="shared" si="3"/>
        <v>0</v>
      </c>
      <c r="H18" s="11">
        <f t="shared" si="6"/>
        <v>0.75000000000000011</v>
      </c>
      <c r="I18" s="11">
        <f t="shared" si="4"/>
        <v>525600000.00000012</v>
      </c>
      <c r="J18" s="13">
        <f t="shared" si="5"/>
        <v>280277292.37778264</v>
      </c>
      <c r="L18" s="15">
        <v>2030</v>
      </c>
      <c r="M18" s="13">
        <f t="shared" si="0"/>
        <v>47825175.203591138</v>
      </c>
      <c r="O18" s="15">
        <v>2030</v>
      </c>
      <c r="P18" s="13">
        <f t="shared" si="1"/>
        <v>40974453.11884129</v>
      </c>
      <c r="R18" s="15">
        <v>2030</v>
      </c>
      <c r="S18" s="13">
        <f t="shared" si="2"/>
        <v>-70703378.00677067</v>
      </c>
    </row>
    <row r="19" spans="2:19" x14ac:dyDescent="0.2">
      <c r="B19" s="15">
        <v>2031</v>
      </c>
      <c r="C19" s="11"/>
      <c r="D19" s="11">
        <v>-1382.8093710370401</v>
      </c>
      <c r="E19" s="11">
        <v>-88719673.561223641</v>
      </c>
      <c r="F19" s="16">
        <v>621037714.92856562</v>
      </c>
      <c r="G19" s="11">
        <f t="shared" si="3"/>
        <v>0</v>
      </c>
      <c r="H19" s="11">
        <f t="shared" si="6"/>
        <v>0.80000000000000016</v>
      </c>
      <c r="I19" s="11">
        <f t="shared" si="4"/>
        <v>560640000.00000012</v>
      </c>
      <c r="J19" s="13">
        <f t="shared" si="5"/>
        <v>301556204.97919011</v>
      </c>
      <c r="L19" s="15">
        <v>2031</v>
      </c>
      <c r="M19" s="13">
        <f t="shared" si="0"/>
        <v>48781687.56020847</v>
      </c>
      <c r="O19" s="15">
        <v>2031</v>
      </c>
      <c r="P19" s="13">
        <f t="shared" si="1"/>
        <v>41793947.099298894</v>
      </c>
      <c r="R19" s="15">
        <v>2031</v>
      </c>
      <c r="S19" s="13">
        <f t="shared" si="2"/>
        <v>-72117448.845626593</v>
      </c>
    </row>
    <row r="20" spans="2:19" x14ac:dyDescent="0.2">
      <c r="B20" s="15">
        <v>2032</v>
      </c>
      <c r="C20" s="11"/>
      <c r="D20" s="11">
        <v>-1451.9498395888922</v>
      </c>
      <c r="E20" s="11">
        <v>-90494067.032448113</v>
      </c>
      <c r="F20" s="16">
        <v>633458469.22713697</v>
      </c>
      <c r="G20" s="11">
        <f t="shared" si="3"/>
        <v>0</v>
      </c>
      <c r="H20" s="11">
        <f t="shared" si="6"/>
        <v>0.8500000000000002</v>
      </c>
      <c r="I20" s="11">
        <f t="shared" si="4"/>
        <v>595680000.00000012</v>
      </c>
      <c r="J20" s="13">
        <f t="shared" si="5"/>
        <v>322812883.37031823</v>
      </c>
      <c r="L20" s="15">
        <v>2032</v>
      </c>
      <c r="M20" s="13">
        <f t="shared" si="0"/>
        <v>49757330.606585383</v>
      </c>
      <c r="O20" s="15">
        <v>2032</v>
      </c>
      <c r="P20" s="13">
        <f t="shared" si="1"/>
        <v>42629831.205269754</v>
      </c>
      <c r="R20" s="15">
        <v>2032</v>
      </c>
      <c r="S20" s="13">
        <f t="shared" si="2"/>
        <v>-73559801.265195727</v>
      </c>
    </row>
    <row r="21" spans="2:19" x14ac:dyDescent="0.2">
      <c r="B21" s="15">
        <v>2033</v>
      </c>
      <c r="C21" s="11"/>
      <c r="D21" s="11">
        <v>-1524.5473315683369</v>
      </c>
      <c r="E21" s="11">
        <v>-92303948.373097077</v>
      </c>
      <c r="F21" s="16">
        <v>646127638.61167967</v>
      </c>
      <c r="G21" s="11">
        <f t="shared" si="3"/>
        <v>0</v>
      </c>
      <c r="H21" s="11">
        <f t="shared" si="6"/>
        <v>0.90000000000000024</v>
      </c>
      <c r="I21" s="11">
        <f t="shared" si="4"/>
        <v>630720000.00000012</v>
      </c>
      <c r="J21" s="13">
        <f t="shared" si="5"/>
        <v>344046882.80384618</v>
      </c>
      <c r="L21" s="15">
        <v>2033</v>
      </c>
      <c r="M21" s="13">
        <f t="shared" si="0"/>
        <v>50752486.978648543</v>
      </c>
      <c r="O21" s="15">
        <v>2033</v>
      </c>
      <c r="P21" s="13">
        <f t="shared" si="1"/>
        <v>43482433.251559317</v>
      </c>
      <c r="R21" s="15">
        <v>2033</v>
      </c>
      <c r="S21" s="13">
        <f t="shared" si="2"/>
        <v>-75031000.905289054</v>
      </c>
    </row>
    <row r="22" spans="2:19" x14ac:dyDescent="0.2">
      <c r="B22" s="15">
        <v>2034</v>
      </c>
      <c r="C22" s="11"/>
      <c r="D22" s="11">
        <v>-1600.7746981467537</v>
      </c>
      <c r="E22" s="11">
        <v>-94150027.340559021</v>
      </c>
      <c r="F22" s="16">
        <v>659050191.38391328</v>
      </c>
      <c r="G22" s="11">
        <f t="shared" si="3"/>
        <v>0</v>
      </c>
      <c r="H22" s="11">
        <f t="shared" si="6"/>
        <v>0.95000000000000029</v>
      </c>
      <c r="I22" s="11">
        <f t="shared" si="4"/>
        <v>665760000.00000024</v>
      </c>
      <c r="J22" s="13">
        <f t="shared" si="5"/>
        <v>365257749.63435084</v>
      </c>
      <c r="L22" s="15">
        <v>2034</v>
      </c>
      <c r="M22" s="13">
        <f t="shared" si="0"/>
        <v>51767546.966149449</v>
      </c>
      <c r="O22" s="15">
        <v>2034</v>
      </c>
      <c r="P22" s="13">
        <f t="shared" si="1"/>
        <v>44352087.609883845</v>
      </c>
      <c r="R22" s="15">
        <v>2034</v>
      </c>
      <c r="S22" s="13">
        <f t="shared" si="2"/>
        <v>-76531624.718923748</v>
      </c>
    </row>
    <row r="23" spans="2:19" x14ac:dyDescent="0.2">
      <c r="B23" s="15">
        <v>2035</v>
      </c>
      <c r="C23" s="11"/>
      <c r="D23" s="11">
        <v>-1680.8134330540915</v>
      </c>
      <c r="E23" s="11">
        <v>-96033027.887370199</v>
      </c>
      <c r="F23" s="16">
        <v>672231195.2115916</v>
      </c>
      <c r="G23" s="11">
        <f t="shared" si="3"/>
        <v>0</v>
      </c>
      <c r="H23" s="11">
        <f t="shared" si="6"/>
        <v>1.0000000000000002</v>
      </c>
      <c r="I23" s="11">
        <f t="shared" si="4"/>
        <v>700800000.00000012</v>
      </c>
      <c r="J23" s="13">
        <f t="shared" si="5"/>
        <v>386445021.14018679</v>
      </c>
      <c r="L23" s="15">
        <v>2035</v>
      </c>
      <c r="M23" s="13">
        <f t="shared" si="0"/>
        <v>52802908.665796816</v>
      </c>
      <c r="O23" s="15">
        <v>2035</v>
      </c>
      <c r="P23" s="13">
        <f t="shared" si="1"/>
        <v>45239135.340039492</v>
      </c>
      <c r="R23" s="15">
        <v>2035</v>
      </c>
      <c r="S23" s="13">
        <f t="shared" si="2"/>
        <v>-78062261.198607564</v>
      </c>
    </row>
    <row r="24" spans="2:19" x14ac:dyDescent="0.2">
      <c r="B24" s="15">
        <v>2036</v>
      </c>
      <c r="C24" s="11"/>
      <c r="D24" s="11">
        <v>-1764.8541047067963</v>
      </c>
      <c r="E24" s="11">
        <v>-97953688.445117608</v>
      </c>
      <c r="F24" s="16">
        <v>685675819.11582339</v>
      </c>
      <c r="G24" s="11">
        <f t="shared" si="3"/>
        <v>0</v>
      </c>
      <c r="H24" s="11">
        <f t="shared" si="6"/>
        <v>1.0500000000000003</v>
      </c>
      <c r="I24" s="11">
        <f t="shared" si="4"/>
        <v>735840000.00000012</v>
      </c>
      <c r="J24" s="13">
        <f t="shared" si="5"/>
        <v>407608225.34179699</v>
      </c>
      <c r="L24" s="15">
        <v>2036</v>
      </c>
      <c r="M24" s="13">
        <f t="shared" si="0"/>
        <v>53858978.137453258</v>
      </c>
      <c r="O24" s="15">
        <v>2036</v>
      </c>
      <c r="P24" s="13">
        <f t="shared" si="1"/>
        <v>46143924.323696196</v>
      </c>
      <c r="R24" s="15">
        <v>2036</v>
      </c>
      <c r="S24" s="13">
        <f t="shared" si="2"/>
        <v>-79623510.607150316</v>
      </c>
    </row>
    <row r="25" spans="2:19" x14ac:dyDescent="0.2">
      <c r="B25" s="15">
        <v>2037</v>
      </c>
      <c r="C25" s="11"/>
      <c r="D25" s="11">
        <v>-1853.0968099421361</v>
      </c>
      <c r="E25" s="11">
        <v>-99912762.214019954</v>
      </c>
      <c r="F25" s="16">
        <v>699389335.49813986</v>
      </c>
      <c r="G25" s="11">
        <f t="shared" si="3"/>
        <v>0</v>
      </c>
      <c r="H25" s="11">
        <f t="shared" si="6"/>
        <v>1.1000000000000003</v>
      </c>
      <c r="I25" s="11">
        <f t="shared" si="4"/>
        <v>770880000.00000024</v>
      </c>
      <c r="J25" s="13">
        <f t="shared" si="5"/>
        <v>428746880.81637985</v>
      </c>
      <c r="L25" s="15">
        <v>2037</v>
      </c>
      <c r="M25" s="13">
        <f t="shared" si="0"/>
        <v>54936169.563459992</v>
      </c>
      <c r="O25" s="15">
        <v>2037</v>
      </c>
      <c r="P25" s="13">
        <f t="shared" si="1"/>
        <v>47066809.400868714</v>
      </c>
      <c r="R25" s="15">
        <v>2037</v>
      </c>
      <c r="S25" s="13">
        <f t="shared" si="2"/>
        <v>-81215985.213092387</v>
      </c>
    </row>
    <row r="26" spans="2:19" x14ac:dyDescent="0.2">
      <c r="B26" s="15">
        <v>2038</v>
      </c>
      <c r="C26" s="11"/>
      <c r="D26" s="11">
        <v>-1945.7516504392431</v>
      </c>
      <c r="E26" s="11">
        <v>-101911017.45830035</v>
      </c>
      <c r="F26" s="16">
        <v>713377122.2081027</v>
      </c>
      <c r="G26" s="11">
        <f t="shared" si="3"/>
        <v>0</v>
      </c>
      <c r="H26" s="11">
        <f t="shared" si="6"/>
        <v>1.1500000000000004</v>
      </c>
      <c r="I26" s="11">
        <f t="shared" si="4"/>
        <v>805920000.00000024</v>
      </c>
      <c r="J26" s="13">
        <f t="shared" si="5"/>
        <v>449860496.50884157</v>
      </c>
      <c r="L26" s="15">
        <v>2038</v>
      </c>
      <c r="M26" s="13">
        <f t="shared" si="0"/>
        <v>56034905.411149681</v>
      </c>
      <c r="O26" s="15">
        <v>2038</v>
      </c>
      <c r="P26" s="13">
        <f t="shared" si="1"/>
        <v>48008152.509119749</v>
      </c>
      <c r="R26" s="15">
        <v>2038</v>
      </c>
      <c r="S26" s="13">
        <f t="shared" si="2"/>
        <v>-82840309.530843377</v>
      </c>
    </row>
    <row r="27" spans="2:19" x14ac:dyDescent="0.2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IRR(M6:M26)</f>
        <v>2.0090738184042731</v>
      </c>
      <c r="O27" s="14" t="s">
        <v>44</v>
      </c>
      <c r="P27" s="22">
        <f>IRR(P6:P26)</f>
        <v>27.870965596037461</v>
      </c>
      <c r="R27" s="14" t="s">
        <v>44</v>
      </c>
      <c r="S27" s="22" t="e">
        <f>IRR(S6:S26)</f>
        <v>#NUM!</v>
      </c>
    </row>
    <row r="28" spans="2:19" x14ac:dyDescent="0.2">
      <c r="B28" t="s">
        <v>5</v>
      </c>
      <c r="G28" s="18"/>
    </row>
    <row r="29" spans="2:19" x14ac:dyDescent="0.2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">
      <c r="B30" s="12">
        <v>2018</v>
      </c>
      <c r="C30" s="11">
        <v>-44352000</v>
      </c>
      <c r="D30" s="14"/>
      <c r="E30" s="14"/>
      <c r="F30" s="14"/>
      <c r="G30" s="16"/>
      <c r="H30" s="14"/>
      <c r="I30" s="14"/>
      <c r="J30" s="13">
        <f>C30*$D$3</f>
        <v>-28340928</v>
      </c>
    </row>
    <row r="31" spans="2:19" x14ac:dyDescent="0.2">
      <c r="B31" s="15">
        <v>2019</v>
      </c>
      <c r="C31" s="11"/>
      <c r="D31" s="11">
        <v>-1040</v>
      </c>
      <c r="E31" s="11">
        <v>-130148571.42857143</v>
      </c>
      <c r="F31" s="16">
        <v>911040000</v>
      </c>
      <c r="G31" s="11">
        <f t="shared" si="3"/>
        <v>0</v>
      </c>
      <c r="H31" s="11">
        <v>0.2</v>
      </c>
      <c r="I31" s="11">
        <f>I7</f>
        <v>140160000</v>
      </c>
      <c r="J31" s="13">
        <f>(I31+D31+E31+G31)*$D$3</f>
        <v>6396638.2971428549</v>
      </c>
    </row>
    <row r="32" spans="2:19" x14ac:dyDescent="0.2">
      <c r="B32" s="15">
        <v>2020</v>
      </c>
      <c r="C32" s="11"/>
      <c r="D32" s="11">
        <v>-1092</v>
      </c>
      <c r="E32" s="11">
        <v>-132751542.85714287</v>
      </c>
      <c r="F32" s="16">
        <v>929260800</v>
      </c>
      <c r="G32" s="11">
        <f t="shared" si="3"/>
        <v>0</v>
      </c>
      <c r="H32" s="11">
        <f>H31+0.05</f>
        <v>0.25</v>
      </c>
      <c r="I32" s="11">
        <f t="shared" ref="I32:I50" si="7">I8</f>
        <v>175200000</v>
      </c>
      <c r="J32" s="13">
        <f t="shared" ref="J32:J50" si="8">(I32+D32+E32+G32)*$D$3</f>
        <v>27123866.326285709</v>
      </c>
    </row>
    <row r="33" spans="2:10" x14ac:dyDescent="0.2">
      <c r="B33" s="15">
        <v>2021</v>
      </c>
      <c r="C33" s="11"/>
      <c r="D33" s="11">
        <v>-1146.6000000000001</v>
      </c>
      <c r="E33" s="11">
        <v>-135406573.71428573</v>
      </c>
      <c r="F33" s="16">
        <v>947846016</v>
      </c>
      <c r="G33" s="11">
        <f t="shared" si="3"/>
        <v>0</v>
      </c>
      <c r="H33" s="11">
        <f t="shared" ref="H33:H50" si="9">H32+0.05</f>
        <v>0.3</v>
      </c>
      <c r="I33" s="11">
        <f t="shared" si="7"/>
        <v>210240000</v>
      </c>
      <c r="J33" s="13">
        <f t="shared" si="8"/>
        <v>47817826.71917142</v>
      </c>
    </row>
    <row r="34" spans="2:10" x14ac:dyDescent="0.2">
      <c r="B34" s="15">
        <v>2022</v>
      </c>
      <c r="C34" s="11"/>
      <c r="D34" s="11">
        <v>-1203.9300000000003</v>
      </c>
      <c r="E34" s="11">
        <v>-138114705.18857145</v>
      </c>
      <c r="F34" s="16">
        <v>966802936.32000005</v>
      </c>
      <c r="G34" s="11">
        <f t="shared" si="3"/>
        <v>0</v>
      </c>
      <c r="H34" s="11">
        <f t="shared" si="9"/>
        <v>0.35</v>
      </c>
      <c r="I34" s="11">
        <f t="shared" si="7"/>
        <v>245280000</v>
      </c>
      <c r="J34" s="13">
        <f t="shared" si="8"/>
        <v>68477854.073232844</v>
      </c>
    </row>
    <row r="35" spans="2:10" x14ac:dyDescent="0.2">
      <c r="B35" s="15">
        <v>2023</v>
      </c>
      <c r="C35" s="11"/>
      <c r="D35" s="11">
        <v>-1264.1265000000003</v>
      </c>
      <c r="E35" s="11">
        <v>-140876999.29234287</v>
      </c>
      <c r="F35" s="16">
        <v>986138995.04640007</v>
      </c>
      <c r="G35" s="11">
        <f t="shared" si="3"/>
        <v>0</v>
      </c>
      <c r="H35" s="11">
        <f t="shared" si="9"/>
        <v>0.39999999999999997</v>
      </c>
      <c r="I35" s="11">
        <f t="shared" si="7"/>
        <v>280319999.99999994</v>
      </c>
      <c r="J35" s="13">
        <f t="shared" si="8"/>
        <v>89103269.675359368</v>
      </c>
    </row>
    <row r="36" spans="2:10" x14ac:dyDescent="0.2">
      <c r="B36" s="15">
        <v>2024</v>
      </c>
      <c r="C36" s="11"/>
      <c r="D36" s="11">
        <v>-1327.3328250000004</v>
      </c>
      <c r="E36" s="11">
        <v>-143694539.27818972</v>
      </c>
      <c r="F36" s="16">
        <v>1005861774.9473281</v>
      </c>
      <c r="G36" s="11">
        <f t="shared" si="3"/>
        <v>0</v>
      </c>
      <c r="H36" s="11">
        <f t="shared" si="9"/>
        <v>0.44999999999999996</v>
      </c>
      <c r="I36" s="11">
        <f t="shared" si="7"/>
        <v>315360000</v>
      </c>
      <c r="J36" s="13">
        <f t="shared" si="8"/>
        <v>109693381.23556159</v>
      </c>
    </row>
    <row r="37" spans="2:10" x14ac:dyDescent="0.2">
      <c r="B37" s="15">
        <v>2025</v>
      </c>
      <c r="C37" s="11"/>
      <c r="D37" s="11">
        <v>-1393.6994662500006</v>
      </c>
      <c r="E37" s="11">
        <v>-146568430.06375352</v>
      </c>
      <c r="F37" s="16">
        <v>1025979010.4462746</v>
      </c>
      <c r="G37" s="11">
        <f t="shared" si="3"/>
        <v>0</v>
      </c>
      <c r="H37" s="11">
        <f t="shared" si="9"/>
        <v>0.49999999999999994</v>
      </c>
      <c r="I37" s="11">
        <f t="shared" si="7"/>
        <v>350399999.99999994</v>
      </c>
      <c r="J37" s="13">
        <f t="shared" si="8"/>
        <v>130247482.61530255</v>
      </c>
    </row>
    <row r="38" spans="2:10" x14ac:dyDescent="0.2">
      <c r="B38" s="15">
        <v>2026</v>
      </c>
      <c r="C38" s="11"/>
      <c r="D38" s="11">
        <v>-1463.3844395625006</v>
      </c>
      <c r="E38" s="11">
        <v>-149499798.6650286</v>
      </c>
      <c r="F38" s="16">
        <v>1046498590.6552001</v>
      </c>
      <c r="G38" s="11">
        <f t="shared" si="3"/>
        <v>0</v>
      </c>
      <c r="H38" s="11">
        <f t="shared" si="9"/>
        <v>0.54999999999999993</v>
      </c>
      <c r="I38" s="11">
        <f t="shared" si="7"/>
        <v>385439999.99999994</v>
      </c>
      <c r="J38" s="13">
        <f t="shared" si="8"/>
        <v>150764853.5503898</v>
      </c>
    </row>
    <row r="39" spans="2:10" x14ac:dyDescent="0.2">
      <c r="B39" s="15">
        <v>2027</v>
      </c>
      <c r="C39" s="11"/>
      <c r="D39" s="11">
        <v>-1536.5536615406256</v>
      </c>
      <c r="E39" s="11">
        <v>-152489794.63832918</v>
      </c>
      <c r="F39" s="16">
        <v>1067428562.4683042</v>
      </c>
      <c r="G39" s="11">
        <f t="shared" si="3"/>
        <v>0</v>
      </c>
      <c r="H39" s="11">
        <f t="shared" si="9"/>
        <v>0.6</v>
      </c>
      <c r="I39" s="11">
        <f t="shared" si="7"/>
        <v>420480000</v>
      </c>
      <c r="J39" s="13">
        <f t="shared" si="8"/>
        <v>171244759.36831793</v>
      </c>
    </row>
    <row r="40" spans="2:10" x14ac:dyDescent="0.2">
      <c r="B40" s="15">
        <v>2028</v>
      </c>
      <c r="C40" s="11"/>
      <c r="D40" s="11">
        <v>-1613.3813446176571</v>
      </c>
      <c r="E40" s="11">
        <v>-155539590.53109577</v>
      </c>
      <c r="F40" s="16">
        <v>1088777133.7176702</v>
      </c>
      <c r="G40" s="11">
        <f t="shared" si="3"/>
        <v>0</v>
      </c>
      <c r="H40" s="11">
        <f t="shared" si="9"/>
        <v>0.65</v>
      </c>
      <c r="I40" s="11">
        <f t="shared" si="7"/>
        <v>455520000</v>
      </c>
      <c r="J40" s="13">
        <f t="shared" si="8"/>
        <v>191686450.69995058</v>
      </c>
    </row>
    <row r="41" spans="2:10" x14ac:dyDescent="0.2">
      <c r="B41" s="15">
        <v>2029</v>
      </c>
      <c r="C41" s="11"/>
      <c r="D41" s="11">
        <v>-1694.0504118485401</v>
      </c>
      <c r="E41" s="11">
        <v>-158650382.34171769</v>
      </c>
      <c r="F41" s="16">
        <v>1110552676.3920236</v>
      </c>
      <c r="G41" s="11">
        <f t="shared" si="3"/>
        <v>0</v>
      </c>
      <c r="H41" s="11">
        <f t="shared" si="9"/>
        <v>0.70000000000000007</v>
      </c>
      <c r="I41" s="11">
        <f t="shared" si="7"/>
        <v>490560000.00000012</v>
      </c>
      <c r="J41" s="13">
        <f t="shared" si="8"/>
        <v>212089163.1854293</v>
      </c>
    </row>
    <row r="42" spans="2:10" x14ac:dyDescent="0.2">
      <c r="B42" s="15">
        <v>2030</v>
      </c>
      <c r="C42" s="11"/>
      <c r="D42" s="11">
        <v>-1778.7529324409672</v>
      </c>
      <c r="E42" s="11">
        <v>-161823389.98855203</v>
      </c>
      <c r="F42" s="16">
        <v>1132763729.9198639</v>
      </c>
      <c r="G42" s="11">
        <f t="shared" si="3"/>
        <v>0</v>
      </c>
      <c r="H42" s="11">
        <f t="shared" si="9"/>
        <v>0.75000000000000011</v>
      </c>
      <c r="I42" s="11">
        <f t="shared" si="7"/>
        <v>525600000.00000012</v>
      </c>
      <c r="J42" s="13">
        <f t="shared" si="8"/>
        <v>232452117.1741915</v>
      </c>
    </row>
    <row r="43" spans="2:10" x14ac:dyDescent="0.2">
      <c r="B43" s="15">
        <v>2031</v>
      </c>
      <c r="C43" s="11"/>
      <c r="D43" s="11">
        <v>-1867.6905790630158</v>
      </c>
      <c r="E43" s="11">
        <v>-165059857.78832307</v>
      </c>
      <c r="F43" s="16">
        <v>1155419004.5182612</v>
      </c>
      <c r="G43" s="11">
        <f t="shared" si="3"/>
        <v>0</v>
      </c>
      <c r="H43" s="11">
        <f t="shared" si="9"/>
        <v>0.80000000000000016</v>
      </c>
      <c r="I43" s="11">
        <f t="shared" si="7"/>
        <v>560640000.00000012</v>
      </c>
      <c r="J43" s="13">
        <f t="shared" si="8"/>
        <v>252774517.41898164</v>
      </c>
    </row>
    <row r="44" spans="2:10" x14ac:dyDescent="0.2">
      <c r="B44" s="15">
        <v>2032</v>
      </c>
      <c r="C44" s="11"/>
      <c r="D44" s="11">
        <v>-1961.0751080161667</v>
      </c>
      <c r="E44" s="11">
        <v>-168361054.94408953</v>
      </c>
      <c r="F44" s="16">
        <v>1178527384.6086264</v>
      </c>
      <c r="G44" s="11">
        <f t="shared" si="3"/>
        <v>0</v>
      </c>
      <c r="H44" s="11">
        <f t="shared" si="9"/>
        <v>0.8500000000000002</v>
      </c>
      <c r="I44" s="11">
        <f t="shared" si="7"/>
        <v>595680000.00000012</v>
      </c>
      <c r="J44" s="13">
        <f t="shared" si="8"/>
        <v>273055552.76373285</v>
      </c>
    </row>
    <row r="45" spans="2:10" x14ac:dyDescent="0.2">
      <c r="B45" s="15">
        <v>2033</v>
      </c>
      <c r="C45" s="11"/>
      <c r="D45" s="11">
        <v>-2059.128863416975</v>
      </c>
      <c r="E45" s="11">
        <v>-171728276.04297131</v>
      </c>
      <c r="F45" s="16">
        <v>1202097932.3007989</v>
      </c>
      <c r="G45" s="11">
        <f t="shared" si="3"/>
        <v>0</v>
      </c>
      <c r="H45" s="11">
        <f t="shared" si="9"/>
        <v>0.90000000000000024</v>
      </c>
      <c r="I45" s="11">
        <f t="shared" si="7"/>
        <v>630720000.00000012</v>
      </c>
      <c r="J45" s="13">
        <f t="shared" si="8"/>
        <v>293294395.82519764</v>
      </c>
    </row>
    <row r="46" spans="2:10" x14ac:dyDescent="0.2">
      <c r="B46" s="15">
        <v>2034</v>
      </c>
      <c r="C46" s="11"/>
      <c r="D46" s="11">
        <v>-2162.0853065878241</v>
      </c>
      <c r="E46" s="11">
        <v>-175162841.56383073</v>
      </c>
      <c r="F46" s="16">
        <v>1226139890.9468148</v>
      </c>
      <c r="G46" s="11">
        <f t="shared" si="3"/>
        <v>0</v>
      </c>
      <c r="H46" s="11">
        <f t="shared" si="9"/>
        <v>0.95000000000000029</v>
      </c>
      <c r="I46" s="11">
        <f t="shared" si="7"/>
        <v>665760000.00000024</v>
      </c>
      <c r="J46" s="13">
        <f t="shared" si="8"/>
        <v>313490202.66820139</v>
      </c>
    </row>
    <row r="47" spans="2:10" x14ac:dyDescent="0.2">
      <c r="B47" s="15">
        <v>2035</v>
      </c>
      <c r="C47" s="11"/>
      <c r="D47" s="11">
        <v>-2270.1895719172153</v>
      </c>
      <c r="E47" s="11">
        <v>-178666098.39510736</v>
      </c>
      <c r="F47" s="16">
        <v>1250662688.7657511</v>
      </c>
      <c r="G47" s="11">
        <f t="shared" si="3"/>
        <v>0</v>
      </c>
      <c r="H47" s="11">
        <f t="shared" si="9"/>
        <v>1.0000000000000002</v>
      </c>
      <c r="I47" s="11">
        <f t="shared" si="7"/>
        <v>700800000.00000012</v>
      </c>
      <c r="J47" s="13">
        <f t="shared" si="8"/>
        <v>333642112.47438997</v>
      </c>
    </row>
    <row r="48" spans="2:10" x14ac:dyDescent="0.2">
      <c r="B48" s="15">
        <v>2036</v>
      </c>
      <c r="C48" s="11"/>
      <c r="D48" s="11">
        <v>-2383.6990505130761</v>
      </c>
      <c r="E48" s="11">
        <v>-182239420.36300951</v>
      </c>
      <c r="F48" s="16">
        <v>1275675942.5410662</v>
      </c>
      <c r="G48" s="11">
        <f t="shared" si="3"/>
        <v>0</v>
      </c>
      <c r="H48" s="11">
        <f t="shared" si="9"/>
        <v>1.0500000000000003</v>
      </c>
      <c r="I48" s="11">
        <f t="shared" si="7"/>
        <v>735840000.00000012</v>
      </c>
      <c r="J48" s="13">
        <f t="shared" si="8"/>
        <v>353749247.20434374</v>
      </c>
    </row>
    <row r="49" spans="2:10" x14ac:dyDescent="0.2">
      <c r="B49" s="15">
        <v>2037</v>
      </c>
      <c r="C49" s="11"/>
      <c r="D49" s="11">
        <v>-2502.88400303873</v>
      </c>
      <c r="E49" s="11">
        <v>-185884208.77026969</v>
      </c>
      <c r="F49" s="16">
        <v>1301189461.3918874</v>
      </c>
      <c r="G49" s="11">
        <f t="shared" si="3"/>
        <v>0</v>
      </c>
      <c r="H49" s="11">
        <f t="shared" si="9"/>
        <v>1.1000000000000003</v>
      </c>
      <c r="I49" s="11">
        <f t="shared" si="7"/>
        <v>770880000.00000024</v>
      </c>
      <c r="J49" s="13">
        <f t="shared" si="8"/>
        <v>373810711.25291985</v>
      </c>
    </row>
    <row r="50" spans="2:10" x14ac:dyDescent="0.2">
      <c r="B50" s="15">
        <v>2038</v>
      </c>
      <c r="C50" s="11"/>
      <c r="D50" s="11">
        <v>-2628.0282031906668</v>
      </c>
      <c r="E50" s="11">
        <v>-189601892.94567508</v>
      </c>
      <c r="F50" s="16">
        <v>1327213250.6197252</v>
      </c>
      <c r="G50" s="11">
        <f t="shared" si="3"/>
        <v>0</v>
      </c>
      <c r="H50" s="11">
        <f t="shared" si="9"/>
        <v>1.1500000000000004</v>
      </c>
      <c r="I50" s="11">
        <f t="shared" si="7"/>
        <v>805920000.00000024</v>
      </c>
      <c r="J50" s="13">
        <f t="shared" si="8"/>
        <v>393825591.09769189</v>
      </c>
    </row>
    <row r="51" spans="2:10" x14ac:dyDescent="0.2">
      <c r="J51" s="25">
        <f>IRR(J30:J50)</f>
        <v>0.97473373744281511</v>
      </c>
    </row>
    <row r="52" spans="2:10" x14ac:dyDescent="0.2">
      <c r="B52" t="s">
        <v>4</v>
      </c>
    </row>
    <row r="53" spans="2:10" x14ac:dyDescent="0.2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">
      <c r="B54" s="12">
        <v>2018</v>
      </c>
      <c r="C54" s="11">
        <v>-76466016</v>
      </c>
      <c r="D54" s="14"/>
      <c r="E54" s="14"/>
      <c r="F54" s="14"/>
      <c r="G54" s="16"/>
      <c r="H54" s="14"/>
      <c r="I54" s="14"/>
      <c r="J54" s="13">
        <f>C54*$D$3</f>
        <v>-48861784.223999999</v>
      </c>
    </row>
    <row r="55" spans="2:10" x14ac:dyDescent="0.2">
      <c r="B55" s="15">
        <v>2019</v>
      </c>
      <c r="C55" s="11"/>
      <c r="D55" s="11">
        <v>-620</v>
      </c>
      <c r="E55" s="11">
        <v>-18383485.714285713</v>
      </c>
      <c r="F55" s="16">
        <v>128684400</v>
      </c>
      <c r="G55" s="11">
        <f t="shared" ref="G55:G74" si="10">$D$2*F55</f>
        <v>0</v>
      </c>
      <c r="H55" s="11">
        <v>0.2</v>
      </c>
      <c r="I55" s="11">
        <f>I31</f>
        <v>140160000</v>
      </c>
      <c r="J55" s="13">
        <f>(I55+D55+E55+G55)*$D$3</f>
        <v>77814796.448571429</v>
      </c>
    </row>
    <row r="56" spans="2:10" x14ac:dyDescent="0.2">
      <c r="B56" s="15">
        <v>2020</v>
      </c>
      <c r="C56" s="11"/>
      <c r="D56" s="11">
        <v>-651</v>
      </c>
      <c r="E56" s="11">
        <v>-18751155.428571429</v>
      </c>
      <c r="F56" s="16">
        <v>131258088</v>
      </c>
      <c r="G56" s="11">
        <f t="shared" si="10"/>
        <v>0</v>
      </c>
      <c r="H56" s="11">
        <v>0.25</v>
      </c>
      <c r="I56" s="11">
        <f t="shared" ref="I56:I74" si="11">I32</f>
        <v>175200000</v>
      </c>
      <c r="J56" s="13">
        <f t="shared" ref="J56:J74" si="12">(I56+D56+E56+G56)*$D$3</f>
        <v>99970395.692142859</v>
      </c>
    </row>
    <row r="57" spans="2:10" x14ac:dyDescent="0.2">
      <c r="B57" s="15">
        <v>2021</v>
      </c>
      <c r="C57" s="11"/>
      <c r="D57" s="11">
        <v>-683.55000000000007</v>
      </c>
      <c r="E57" s="11">
        <v>-19126178.537142858</v>
      </c>
      <c r="F57" s="16">
        <v>133883249.76000001</v>
      </c>
      <c r="G57" s="11">
        <f t="shared" si="10"/>
        <v>0</v>
      </c>
      <c r="H57" s="11">
        <v>0.3</v>
      </c>
      <c r="I57" s="11">
        <f t="shared" si="11"/>
        <v>210240000</v>
      </c>
      <c r="J57" s="13">
        <f t="shared" si="12"/>
        <v>122121295.1263157</v>
      </c>
    </row>
    <row r="58" spans="2:10" x14ac:dyDescent="0.2">
      <c r="B58" s="15">
        <v>2022</v>
      </c>
      <c r="C58" s="11"/>
      <c r="D58" s="11">
        <v>-717.72750000000008</v>
      </c>
      <c r="E58" s="11">
        <v>-19508702.107885715</v>
      </c>
      <c r="F58" s="16">
        <v>136560914.7552</v>
      </c>
      <c r="G58" s="11">
        <f t="shared" si="10"/>
        <v>0</v>
      </c>
      <c r="H58" s="11">
        <v>0.35</v>
      </c>
      <c r="I58" s="11">
        <f t="shared" si="11"/>
        <v>245280000</v>
      </c>
      <c r="J58" s="13">
        <f t="shared" si="12"/>
        <v>144267400.72518852</v>
      </c>
    </row>
    <row r="59" spans="2:10" x14ac:dyDescent="0.2">
      <c r="B59" s="15">
        <v>2023</v>
      </c>
      <c r="C59" s="11"/>
      <c r="D59" s="11">
        <v>-753.61387500000012</v>
      </c>
      <c r="E59" s="11">
        <v>-19898876.150043428</v>
      </c>
      <c r="F59" s="16">
        <v>139292133.050304</v>
      </c>
      <c r="G59" s="11">
        <f t="shared" si="10"/>
        <v>0</v>
      </c>
      <c r="H59" s="11">
        <v>0.39999999999999997</v>
      </c>
      <c r="I59" s="11">
        <f t="shared" si="11"/>
        <v>280319999.99999994</v>
      </c>
      <c r="J59" s="13">
        <f t="shared" si="12"/>
        <v>166408616.58085611</v>
      </c>
    </row>
    <row r="60" spans="2:10" x14ac:dyDescent="0.2">
      <c r="B60" s="15">
        <v>2024</v>
      </c>
      <c r="C60" s="11"/>
      <c r="D60" s="11">
        <v>-791.29456875000017</v>
      </c>
      <c r="E60" s="11">
        <v>-20296853.673044298</v>
      </c>
      <c r="F60" s="16">
        <v>142077975.71131009</v>
      </c>
      <c r="G60" s="11">
        <f t="shared" si="10"/>
        <v>0</v>
      </c>
      <c r="H60" s="11">
        <v>0.44999999999999996</v>
      </c>
      <c r="I60" s="11">
        <f t="shared" si="11"/>
        <v>315360000</v>
      </c>
      <c r="J60" s="13">
        <f t="shared" si="12"/>
        <v>188544844.86569524</v>
      </c>
    </row>
    <row r="61" spans="2:10" x14ac:dyDescent="0.2">
      <c r="B61" s="15">
        <v>2025</v>
      </c>
      <c r="C61" s="11"/>
      <c r="D61" s="11">
        <v>-830.85929718750026</v>
      </c>
      <c r="E61" s="11">
        <v>-20702790.746505186</v>
      </c>
      <c r="F61" s="16">
        <v>144919535.22553629</v>
      </c>
      <c r="G61" s="11">
        <f t="shared" si="10"/>
        <v>0</v>
      </c>
      <c r="H61" s="11">
        <v>0.49999999999999994</v>
      </c>
      <c r="I61" s="11">
        <f t="shared" si="11"/>
        <v>350399999.99999994</v>
      </c>
      <c r="J61" s="13">
        <f t="shared" si="12"/>
        <v>210675985.79389223</v>
      </c>
    </row>
    <row r="62" spans="2:10" x14ac:dyDescent="0.2">
      <c r="B62" s="15">
        <v>2026</v>
      </c>
      <c r="C62" s="11"/>
      <c r="D62" s="11">
        <v>-872.40226204687531</v>
      </c>
      <c r="E62" s="11">
        <v>-21116846.56143529</v>
      </c>
      <c r="F62" s="16">
        <v>147817925.93004701</v>
      </c>
      <c r="G62" s="11">
        <f t="shared" si="10"/>
        <v>0</v>
      </c>
      <c r="H62" s="11">
        <v>0.54999999999999993</v>
      </c>
      <c r="I62" s="11">
        <f t="shared" si="11"/>
        <v>385439999.99999994</v>
      </c>
      <c r="J62" s="13">
        <f t="shared" si="12"/>
        <v>232801937.58219737</v>
      </c>
    </row>
    <row r="63" spans="2:10" x14ac:dyDescent="0.2">
      <c r="B63" s="15">
        <v>2027</v>
      </c>
      <c r="C63" s="11"/>
      <c r="D63" s="11">
        <v>-916.0223751492191</v>
      </c>
      <c r="E63" s="11">
        <v>-21539183.492663994</v>
      </c>
      <c r="F63" s="16">
        <v>150774284.44864795</v>
      </c>
      <c r="G63" s="11">
        <f t="shared" si="10"/>
        <v>0</v>
      </c>
      <c r="H63" s="11">
        <v>0.6</v>
      </c>
      <c r="I63" s="11">
        <f t="shared" si="11"/>
        <v>420480000</v>
      </c>
      <c r="J63" s="13">
        <f t="shared" si="12"/>
        <v>254922596.40989</v>
      </c>
    </row>
    <row r="64" spans="2:10" x14ac:dyDescent="0.2">
      <c r="B64" s="15">
        <v>2028</v>
      </c>
      <c r="C64" s="11"/>
      <c r="D64" s="11">
        <v>-961.82349390668014</v>
      </c>
      <c r="E64" s="11">
        <v>-21969967.162517276</v>
      </c>
      <c r="F64" s="16">
        <v>153789770.1376209</v>
      </c>
      <c r="G64" s="11">
        <f t="shared" si="10"/>
        <v>0</v>
      </c>
      <c r="H64" s="11">
        <v>0.65</v>
      </c>
      <c r="I64" s="11">
        <f t="shared" si="11"/>
        <v>455520000</v>
      </c>
      <c r="J64" s="13">
        <f t="shared" si="12"/>
        <v>277037856.37793887</v>
      </c>
    </row>
    <row r="65" spans="2:10" x14ac:dyDescent="0.2">
      <c r="B65" s="15">
        <v>2029</v>
      </c>
      <c r="C65" s="11"/>
      <c r="D65" s="11">
        <v>-1009.9146686020142</v>
      </c>
      <c r="E65" s="11">
        <v>-22409366.505767621</v>
      </c>
      <c r="F65" s="16">
        <v>156865565.54037333</v>
      </c>
      <c r="G65" s="11">
        <f t="shared" si="10"/>
        <v>0</v>
      </c>
      <c r="H65" s="11">
        <v>0.70000000000000007</v>
      </c>
      <c r="I65" s="11">
        <f t="shared" si="11"/>
        <v>490560000.00000012</v>
      </c>
      <c r="J65" s="13">
        <f t="shared" si="12"/>
        <v>299147609.4673413</v>
      </c>
    </row>
    <row r="66" spans="2:10" x14ac:dyDescent="0.2">
      <c r="B66" s="15">
        <v>2030</v>
      </c>
      <c r="C66" s="11"/>
      <c r="D66" s="11">
        <v>-1060.4104020321149</v>
      </c>
      <c r="E66" s="11">
        <v>-22857553.835882973</v>
      </c>
      <c r="F66" s="16">
        <v>160002876.85118079</v>
      </c>
      <c r="G66" s="11">
        <f t="shared" si="10"/>
        <v>0</v>
      </c>
      <c r="H66" s="11">
        <v>0.75000000000000011</v>
      </c>
      <c r="I66" s="11">
        <f t="shared" si="11"/>
        <v>525600000.00000012</v>
      </c>
      <c r="J66" s="13">
        <f t="shared" si="12"/>
        <v>321251745.49662393</v>
      </c>
    </row>
    <row r="67" spans="2:10" x14ac:dyDescent="0.2">
      <c r="B67" s="15">
        <v>2031</v>
      </c>
      <c r="C67" s="11"/>
      <c r="D67" s="11">
        <v>-1113.4309221337207</v>
      </c>
      <c r="E67" s="11">
        <v>-23314704.912600633</v>
      </c>
      <c r="F67" s="16">
        <v>163202934.3882044</v>
      </c>
      <c r="G67" s="11">
        <f t="shared" si="10"/>
        <v>0</v>
      </c>
      <c r="H67" s="11">
        <v>0.80000000000000016</v>
      </c>
      <c r="I67" s="11">
        <f t="shared" si="11"/>
        <v>560640000.00000012</v>
      </c>
      <c r="J67" s="13">
        <f t="shared" si="12"/>
        <v>343350152.07848901</v>
      </c>
    </row>
    <row r="68" spans="2:10" x14ac:dyDescent="0.2">
      <c r="B68" s="15">
        <v>2032</v>
      </c>
      <c r="C68" s="11"/>
      <c r="D68" s="11">
        <v>-1169.1024682404068</v>
      </c>
      <c r="E68" s="11">
        <v>-23780999.010852646</v>
      </c>
      <c r="F68" s="16">
        <v>166466993.07596847</v>
      </c>
      <c r="G68" s="11">
        <f t="shared" si="10"/>
        <v>0</v>
      </c>
      <c r="H68" s="11">
        <v>0.8500000000000002</v>
      </c>
      <c r="I68" s="11">
        <f t="shared" si="11"/>
        <v>595680000.00000012</v>
      </c>
      <c r="J68" s="13">
        <f t="shared" si="12"/>
        <v>365442714.57558799</v>
      </c>
    </row>
    <row r="69" spans="2:10" x14ac:dyDescent="0.2">
      <c r="B69" s="15">
        <v>2033</v>
      </c>
      <c r="C69" s="11"/>
      <c r="D69" s="11">
        <v>-1227.5575916524272</v>
      </c>
      <c r="E69" s="11">
        <v>-24256618.991069701</v>
      </c>
      <c r="F69" s="16">
        <v>169796332.93748784</v>
      </c>
      <c r="G69" s="11">
        <f t="shared" si="10"/>
        <v>0</v>
      </c>
      <c r="H69" s="11">
        <v>0.90000000000000024</v>
      </c>
      <c r="I69" s="11">
        <f t="shared" si="11"/>
        <v>630720000.00000012</v>
      </c>
      <c r="J69" s="13">
        <f t="shared" si="12"/>
        <v>387529316.0554055</v>
      </c>
    </row>
    <row r="70" spans="2:10" x14ac:dyDescent="0.2">
      <c r="B70" s="15">
        <v>2034</v>
      </c>
      <c r="C70" s="11"/>
      <c r="D70" s="11">
        <v>-1288.9354712350487</v>
      </c>
      <c r="E70" s="11">
        <v>-24741751.370891094</v>
      </c>
      <c r="F70" s="16">
        <v>173192259.5962376</v>
      </c>
      <c r="G70" s="11">
        <f t="shared" si="10"/>
        <v>0</v>
      </c>
      <c r="H70" s="11">
        <v>0.95000000000000029</v>
      </c>
      <c r="I70" s="11">
        <f t="shared" si="11"/>
        <v>665760000.00000024</v>
      </c>
      <c r="J70" s="13">
        <f t="shared" si="12"/>
        <v>409609837.24423468</v>
      </c>
    </row>
    <row r="71" spans="2:10" x14ac:dyDescent="0.2">
      <c r="B71" s="15">
        <v>2035</v>
      </c>
      <c r="C71" s="11"/>
      <c r="D71" s="11">
        <v>-1353.3822447968012</v>
      </c>
      <c r="E71" s="11">
        <v>-25236586.398308918</v>
      </c>
      <c r="F71" s="16">
        <v>176656104.78816235</v>
      </c>
      <c r="G71" s="11">
        <f t="shared" si="10"/>
        <v>0</v>
      </c>
      <c r="H71" s="11">
        <v>1.0000000000000002</v>
      </c>
      <c r="I71" s="11">
        <f t="shared" si="11"/>
        <v>700800000.00000012</v>
      </c>
      <c r="J71" s="13">
        <f t="shared" si="12"/>
        <v>431684156.48022628</v>
      </c>
    </row>
    <row r="72" spans="2:10" x14ac:dyDescent="0.2">
      <c r="B72" s="15">
        <v>2036</v>
      </c>
      <c r="C72" s="11"/>
      <c r="D72" s="11">
        <v>-1421.0513570366413</v>
      </c>
      <c r="E72" s="11">
        <v>-25741318.126275096</v>
      </c>
      <c r="F72" s="16">
        <v>180189226.88392559</v>
      </c>
      <c r="G72" s="11">
        <f t="shared" si="10"/>
        <v>0</v>
      </c>
      <c r="H72" s="11">
        <v>1.0500000000000003</v>
      </c>
      <c r="I72" s="11">
        <f t="shared" si="11"/>
        <v>735840000.00000012</v>
      </c>
      <c r="J72" s="13">
        <f t="shared" si="12"/>
        <v>453752149.66549319</v>
      </c>
    </row>
    <row r="73" spans="2:10" x14ac:dyDescent="0.2">
      <c r="B73" s="15">
        <v>2037</v>
      </c>
      <c r="C73" s="11"/>
      <c r="D73" s="11">
        <v>-1492.1039248884736</v>
      </c>
      <c r="E73" s="11">
        <v>-26256144.4888006</v>
      </c>
      <c r="F73" s="16">
        <v>183793011.4216041</v>
      </c>
      <c r="G73" s="11">
        <f t="shared" si="10"/>
        <v>0</v>
      </c>
      <c r="H73" s="11">
        <v>1.1000000000000003</v>
      </c>
      <c r="I73" s="11">
        <f t="shared" si="11"/>
        <v>770880000.00000024</v>
      </c>
      <c r="J73" s="13">
        <f t="shared" si="12"/>
        <v>475813690.21724856</v>
      </c>
    </row>
    <row r="74" spans="2:10" x14ac:dyDescent="0.2">
      <c r="B74" s="15">
        <v>2038</v>
      </c>
      <c r="C74" s="11"/>
      <c r="D74" s="11">
        <v>-1566.7091211328973</v>
      </c>
      <c r="E74" s="11">
        <v>-26781267.378576614</v>
      </c>
      <c r="F74" s="16">
        <v>187468871.65003619</v>
      </c>
      <c r="G74" s="11">
        <f t="shared" si="10"/>
        <v>0</v>
      </c>
      <c r="H74" s="11">
        <v>1.1500000000000004</v>
      </c>
      <c r="I74" s="11">
        <f t="shared" si="11"/>
        <v>805920000.00000024</v>
      </c>
      <c r="J74" s="13">
        <f t="shared" si="12"/>
        <v>497868649.01796132</v>
      </c>
    </row>
    <row r="76" spans="2:10" x14ac:dyDescent="0.2">
      <c r="B76" t="s">
        <v>3</v>
      </c>
    </row>
    <row r="77" spans="2:10" x14ac:dyDescent="0.2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">
      <c r="B78" s="12">
        <v>2018</v>
      </c>
      <c r="C78" s="11">
        <v>-79695000</v>
      </c>
      <c r="D78" s="14"/>
      <c r="E78" s="14"/>
      <c r="F78" s="14"/>
      <c r="G78" s="16"/>
      <c r="H78" s="14"/>
      <c r="I78" s="14"/>
      <c r="J78" s="13">
        <f>C78*$D$3</f>
        <v>-50925105</v>
      </c>
    </row>
    <row r="79" spans="2:10" x14ac:dyDescent="0.2">
      <c r="B79" s="15">
        <v>2019</v>
      </c>
      <c r="C79" s="11"/>
      <c r="D79" s="11">
        <v>-720</v>
      </c>
      <c r="E79" s="11">
        <v>-107372571.42857143</v>
      </c>
      <c r="F79" s="16">
        <v>751608000</v>
      </c>
      <c r="G79" s="11">
        <f t="shared" ref="G79:G98" si="13">$D$2*F79</f>
        <v>0</v>
      </c>
      <c r="H79" s="11">
        <v>0.2</v>
      </c>
      <c r="I79" s="11">
        <f>I55</f>
        <v>140160000</v>
      </c>
      <c r="J79" s="13">
        <f>(I79+D79+E79+G79)*$D$3</f>
        <v>20950706.777142856</v>
      </c>
    </row>
    <row r="80" spans="2:10" x14ac:dyDescent="0.2">
      <c r="B80" s="15">
        <v>2020</v>
      </c>
      <c r="C80" s="11"/>
      <c r="D80" s="11">
        <v>-756</v>
      </c>
      <c r="E80" s="11">
        <v>-109520022.85714287</v>
      </c>
      <c r="F80" s="16">
        <v>766640160</v>
      </c>
      <c r="G80" s="11">
        <f t="shared" si="13"/>
        <v>0</v>
      </c>
      <c r="H80" s="11">
        <v>0.25</v>
      </c>
      <c r="I80" s="11">
        <f t="shared" ref="I80:I98" si="14">I56</f>
        <v>175200000</v>
      </c>
      <c r="J80" s="13">
        <f t="shared" ref="J80:J98" si="15">(I80+D80+E80+G80)*$D$3</f>
        <v>41969022.31028571</v>
      </c>
    </row>
    <row r="81" spans="2:10" x14ac:dyDescent="0.2">
      <c r="B81" s="15">
        <v>2021</v>
      </c>
      <c r="C81" s="11"/>
      <c r="D81" s="11">
        <v>-793.80000000000007</v>
      </c>
      <c r="E81" s="11">
        <v>-111710423.31428573</v>
      </c>
      <c r="F81" s="16">
        <v>781972963.20000005</v>
      </c>
      <c r="G81" s="11">
        <f t="shared" si="13"/>
        <v>0</v>
      </c>
      <c r="H81" s="11">
        <v>0.3</v>
      </c>
      <c r="I81" s="11">
        <f t="shared" si="14"/>
        <v>210240000</v>
      </c>
      <c r="J81" s="13">
        <f t="shared" si="15"/>
        <v>62959892.263971418</v>
      </c>
    </row>
    <row r="82" spans="2:10" x14ac:dyDescent="0.2">
      <c r="B82" s="15">
        <v>2022</v>
      </c>
      <c r="C82" s="11"/>
      <c r="D82" s="11">
        <v>-833.49000000000012</v>
      </c>
      <c r="E82" s="11">
        <v>-113944631.78057145</v>
      </c>
      <c r="F82" s="16">
        <v>797612422.46400011</v>
      </c>
      <c r="G82" s="11">
        <f t="shared" si="13"/>
        <v>0</v>
      </c>
      <c r="H82" s="11">
        <v>0.35</v>
      </c>
      <c r="I82" s="11">
        <f t="shared" si="14"/>
        <v>245280000</v>
      </c>
      <c r="J82" s="13">
        <f t="shared" si="15"/>
        <v>83922767.692104846</v>
      </c>
    </row>
    <row r="83" spans="2:10" x14ac:dyDescent="0.2">
      <c r="B83" s="15">
        <v>2023</v>
      </c>
      <c r="C83" s="11"/>
      <c r="D83" s="11">
        <v>-875.1645000000002</v>
      </c>
      <c r="E83" s="11">
        <v>-116223524.41618288</v>
      </c>
      <c r="F83" s="16">
        <v>813564670.91328013</v>
      </c>
      <c r="G83" s="11">
        <f t="shared" si="13"/>
        <v>0</v>
      </c>
      <c r="H83" s="11">
        <v>0.39999999999999997</v>
      </c>
      <c r="I83" s="11">
        <f t="shared" si="14"/>
        <v>280319999.99999994</v>
      </c>
      <c r="J83" s="13">
        <f t="shared" si="15"/>
        <v>104857088.66794361</v>
      </c>
    </row>
    <row r="84" spans="2:10" x14ac:dyDescent="0.2">
      <c r="B84" s="15">
        <v>2024</v>
      </c>
      <c r="C84" s="11"/>
      <c r="D84" s="11">
        <v>-918.92272500000024</v>
      </c>
      <c r="E84" s="11">
        <v>-118547994.90450653</v>
      </c>
      <c r="F84" s="16">
        <v>829835964.33154571</v>
      </c>
      <c r="G84" s="11">
        <f t="shared" si="13"/>
        <v>0</v>
      </c>
      <c r="H84" s="11">
        <v>0.44999999999999996</v>
      </c>
      <c r="I84" s="11">
        <f t="shared" si="14"/>
        <v>315360000</v>
      </c>
      <c r="J84" s="13">
        <f t="shared" si="15"/>
        <v>125762284.06439903</v>
      </c>
    </row>
    <row r="85" spans="2:10" x14ac:dyDescent="0.2">
      <c r="B85" s="15">
        <v>2025</v>
      </c>
      <c r="C85" s="11"/>
      <c r="D85" s="11">
        <v>-964.86886125000035</v>
      </c>
      <c r="E85" s="11">
        <v>-120918954.80259667</v>
      </c>
      <c r="F85" s="16">
        <v>846432683.6181767</v>
      </c>
      <c r="G85" s="11">
        <f t="shared" si="13"/>
        <v>0</v>
      </c>
      <c r="H85" s="11">
        <v>0.49999999999999994</v>
      </c>
      <c r="I85" s="11">
        <f t="shared" si="14"/>
        <v>350399999.99999994</v>
      </c>
      <c r="J85" s="13">
        <f t="shared" si="15"/>
        <v>146637771.32993832</v>
      </c>
    </row>
    <row r="86" spans="2:10" x14ac:dyDescent="0.2">
      <c r="B86" s="15">
        <v>2026</v>
      </c>
      <c r="C86" s="11"/>
      <c r="D86" s="11">
        <v>-1013.1123043125004</v>
      </c>
      <c r="E86" s="11">
        <v>-123337333.8986486</v>
      </c>
      <c r="F86" s="16">
        <v>863361337.29054022</v>
      </c>
      <c r="G86" s="11">
        <f t="shared" si="13"/>
        <v>0</v>
      </c>
      <c r="H86" s="11">
        <v>0.54999999999999993</v>
      </c>
      <c r="I86" s="11">
        <f t="shared" si="14"/>
        <v>385439999.99999994</v>
      </c>
      <c r="J86" s="13">
        <f t="shared" si="15"/>
        <v>167482956.26000103</v>
      </c>
    </row>
    <row r="87" spans="2:10" x14ac:dyDescent="0.2">
      <c r="B87" s="15">
        <v>2027</v>
      </c>
      <c r="C87" s="11"/>
      <c r="D87" s="11">
        <v>-1063.7679195281255</v>
      </c>
      <c r="E87" s="11">
        <v>-125804080.57662158</v>
      </c>
      <c r="F87" s="16">
        <v>880628564.03635108</v>
      </c>
      <c r="G87" s="11">
        <f t="shared" si="13"/>
        <v>0</v>
      </c>
      <c r="H87" s="11">
        <v>0.6</v>
      </c>
      <c r="I87" s="11">
        <f t="shared" si="14"/>
        <v>420480000</v>
      </c>
      <c r="J87" s="13">
        <f t="shared" si="15"/>
        <v>188297232.76383823</v>
      </c>
    </row>
    <row r="88" spans="2:10" x14ac:dyDescent="0.2">
      <c r="B88" s="15">
        <v>2028</v>
      </c>
      <c r="C88" s="11"/>
      <c r="D88" s="11">
        <v>-1116.9563155045319</v>
      </c>
      <c r="E88" s="11">
        <v>-128320162.18815401</v>
      </c>
      <c r="F88" s="16">
        <v>898241135.31707811</v>
      </c>
      <c r="G88" s="11">
        <f t="shared" si="13"/>
        <v>0</v>
      </c>
      <c r="H88" s="11">
        <v>0.65</v>
      </c>
      <c r="I88" s="11">
        <f t="shared" si="14"/>
        <v>455520000</v>
      </c>
      <c r="J88" s="13">
        <f t="shared" si="15"/>
        <v>209079982.62668398</v>
      </c>
    </row>
    <row r="89" spans="2:10" x14ac:dyDescent="0.2">
      <c r="B89" s="15">
        <v>2029</v>
      </c>
      <c r="C89" s="11"/>
      <c r="D89" s="11">
        <v>-1172.8041312797584</v>
      </c>
      <c r="E89" s="11">
        <v>-130886565.4319171</v>
      </c>
      <c r="F89" s="16">
        <v>916205958.02341974</v>
      </c>
      <c r="G89" s="11">
        <f t="shared" si="13"/>
        <v>0</v>
      </c>
      <c r="H89" s="11">
        <v>0.70000000000000007</v>
      </c>
      <c r="I89" s="11">
        <f t="shared" si="14"/>
        <v>490560000.00000012</v>
      </c>
      <c r="J89" s="13">
        <f t="shared" si="15"/>
        <v>229830575.26716518</v>
      </c>
    </row>
    <row r="90" spans="2:10" x14ac:dyDescent="0.2">
      <c r="B90" s="15">
        <v>2030</v>
      </c>
      <c r="C90" s="11"/>
      <c r="D90" s="11">
        <v>-1231.4443378437463</v>
      </c>
      <c r="E90" s="11">
        <v>-133504296.74055545</v>
      </c>
      <c r="F90" s="16">
        <v>934530077.1838882</v>
      </c>
      <c r="G90" s="11">
        <f t="shared" si="13"/>
        <v>0</v>
      </c>
      <c r="H90" s="11">
        <v>0.75000000000000011</v>
      </c>
      <c r="I90" s="11">
        <f t="shared" si="14"/>
        <v>525600000.00000012</v>
      </c>
      <c r="J90" s="13">
        <f t="shared" si="15"/>
        <v>250548367.48985326</v>
      </c>
    </row>
    <row r="91" spans="2:10" x14ac:dyDescent="0.2">
      <c r="B91" s="15">
        <v>2031</v>
      </c>
      <c r="C91" s="11"/>
      <c r="D91" s="11">
        <v>-1293.0165547359336</v>
      </c>
      <c r="E91" s="11">
        <v>-136174382.67536655</v>
      </c>
      <c r="F91" s="16">
        <v>953220678.727566</v>
      </c>
      <c r="G91" s="11">
        <f t="shared" si="13"/>
        <v>0</v>
      </c>
      <c r="H91" s="11">
        <v>0.80000000000000016</v>
      </c>
      <c r="I91" s="11">
        <f t="shared" si="14"/>
        <v>560640000.00000012</v>
      </c>
      <c r="J91" s="13">
        <f t="shared" si="15"/>
        <v>271232703.23286241</v>
      </c>
    </row>
    <row r="92" spans="2:10" x14ac:dyDescent="0.2">
      <c r="B92" s="15">
        <v>2032</v>
      </c>
      <c r="C92" s="11"/>
      <c r="D92" s="11">
        <v>-1357.6673824727304</v>
      </c>
      <c r="E92" s="11">
        <v>-138897870.32887387</v>
      </c>
      <c r="F92" s="16">
        <v>972285092.30211735</v>
      </c>
      <c r="G92" s="11">
        <f t="shared" si="13"/>
        <v>0</v>
      </c>
      <c r="H92" s="11">
        <v>0.8500000000000002</v>
      </c>
      <c r="I92" s="11">
        <f t="shared" si="14"/>
        <v>595680000.00000012</v>
      </c>
      <c r="J92" s="13">
        <f t="shared" si="15"/>
        <v>291882913.31039226</v>
      </c>
    </row>
    <row r="93" spans="2:10" x14ac:dyDescent="0.2">
      <c r="B93" s="15">
        <v>2033</v>
      </c>
      <c r="C93" s="11"/>
      <c r="D93" s="11">
        <v>-1425.550751596367</v>
      </c>
      <c r="E93" s="11">
        <v>-141675827.73545134</v>
      </c>
      <c r="F93" s="16">
        <v>991730794.14815974</v>
      </c>
      <c r="G93" s="11">
        <f t="shared" si="13"/>
        <v>0</v>
      </c>
      <c r="H93" s="11">
        <v>0.90000000000000024</v>
      </c>
      <c r="I93" s="11">
        <f t="shared" si="14"/>
        <v>630720000.00000012</v>
      </c>
      <c r="J93" s="13">
        <f t="shared" si="15"/>
        <v>312498315.15011644</v>
      </c>
    </row>
    <row r="94" spans="2:10" x14ac:dyDescent="0.2">
      <c r="B94" s="15">
        <v>2034</v>
      </c>
      <c r="C94" s="11"/>
      <c r="D94" s="11">
        <v>-1496.8282891761855</v>
      </c>
      <c r="E94" s="11">
        <v>-144509344.29016036</v>
      </c>
      <c r="F94" s="16">
        <v>1011565410.0311229</v>
      </c>
      <c r="G94" s="11">
        <f t="shared" si="13"/>
        <v>0</v>
      </c>
      <c r="H94" s="11">
        <v>0.95000000000000029</v>
      </c>
      <c r="I94" s="11">
        <f t="shared" si="14"/>
        <v>665760000.00000024</v>
      </c>
      <c r="J94" s="13">
        <f t="shared" si="15"/>
        <v>333078212.52531093</v>
      </c>
    </row>
    <row r="95" spans="2:10" x14ac:dyDescent="0.2">
      <c r="B95" s="15">
        <v>2035</v>
      </c>
      <c r="C95" s="11"/>
      <c r="D95" s="11">
        <v>-1571.6697036349949</v>
      </c>
      <c r="E95" s="11">
        <v>-147399531.17596358</v>
      </c>
      <c r="F95" s="16">
        <v>1031796718.2317454</v>
      </c>
      <c r="G95" s="11">
        <f t="shared" si="13"/>
        <v>0</v>
      </c>
      <c r="H95" s="11">
        <v>1.0000000000000002</v>
      </c>
      <c r="I95" s="11">
        <f t="shared" si="14"/>
        <v>700800000.00000012</v>
      </c>
      <c r="J95" s="13">
        <f t="shared" si="15"/>
        <v>353621895.28161871</v>
      </c>
    </row>
    <row r="96" spans="2:10" x14ac:dyDescent="0.2">
      <c r="B96" s="15">
        <v>2036</v>
      </c>
      <c r="C96" s="11"/>
      <c r="D96" s="11">
        <v>-1650.2531888167448</v>
      </c>
      <c r="E96" s="11">
        <v>-150347521.79948285</v>
      </c>
      <c r="F96" s="16">
        <v>1052432652.5963802</v>
      </c>
      <c r="G96" s="11">
        <f t="shared" si="13"/>
        <v>0</v>
      </c>
      <c r="H96" s="11">
        <v>1.0500000000000003</v>
      </c>
      <c r="I96" s="11">
        <f t="shared" si="14"/>
        <v>735840000.00000012</v>
      </c>
      <c r="J96" s="13">
        <f t="shared" si="15"/>
        <v>374128639.05834287</v>
      </c>
    </row>
    <row r="97" spans="2:10" x14ac:dyDescent="0.2">
      <c r="B97" s="15">
        <v>2037</v>
      </c>
      <c r="C97" s="11"/>
      <c r="D97" s="11">
        <v>-1732.7658482575821</v>
      </c>
      <c r="E97" s="11">
        <v>-153354472.2354725</v>
      </c>
      <c r="F97" s="16">
        <v>1073481305.6483078</v>
      </c>
      <c r="G97" s="11">
        <f t="shared" si="13"/>
        <v>0</v>
      </c>
      <c r="H97" s="11">
        <v>1.1000000000000003</v>
      </c>
      <c r="I97" s="11">
        <f t="shared" si="14"/>
        <v>770880000.00000024</v>
      </c>
      <c r="J97" s="13">
        <f t="shared" si="15"/>
        <v>394597705.00415617</v>
      </c>
    </row>
    <row r="98" spans="2:10" x14ac:dyDescent="0.2">
      <c r="B98" s="15">
        <v>2038</v>
      </c>
      <c r="C98" s="11"/>
      <c r="D98" s="11">
        <v>-1819.4041406704612</v>
      </c>
      <c r="E98" s="11">
        <v>-156421561.68018195</v>
      </c>
      <c r="F98" s="16">
        <v>1094950931.7612739</v>
      </c>
      <c r="G98" s="11">
        <f t="shared" si="13"/>
        <v>0</v>
      </c>
      <c r="H98" s="11">
        <v>1.1500000000000004</v>
      </c>
      <c r="I98" s="11">
        <f t="shared" si="14"/>
        <v>805920000.00000024</v>
      </c>
      <c r="J98" s="13">
        <f t="shared" si="15"/>
        <v>415028339.48711795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selection activeCell="R5" sqref="R5:S27"/>
    </sheetView>
  </sheetViews>
  <sheetFormatPr baseColWidth="10" defaultColWidth="8.83203125" defaultRowHeight="15" x14ac:dyDescent="0.2"/>
  <cols>
    <col min="2" max="2" width="5" bestFit="1" customWidth="1"/>
    <col min="3" max="3" width="27.1640625" customWidth="1"/>
    <col min="4" max="4" width="12.6640625" bestFit="1" customWidth="1"/>
    <col min="5" max="5" width="16.33203125" bestFit="1" customWidth="1"/>
    <col min="6" max="6" width="15.33203125" bestFit="1" customWidth="1"/>
    <col min="7" max="7" width="18.83203125" bestFit="1" customWidth="1"/>
    <col min="8" max="8" width="18" bestFit="1" customWidth="1"/>
    <col min="9" max="9" width="20.5" bestFit="1" customWidth="1"/>
    <col min="10" max="10" width="18.33203125" bestFit="1" customWidth="1"/>
    <col min="13" max="13" width="21.5" bestFit="1" customWidth="1"/>
    <col min="16" max="16" width="21.5" bestFit="1" customWidth="1"/>
    <col min="19" max="19" width="21.5" bestFit="1" customWidth="1"/>
  </cols>
  <sheetData>
    <row r="2" spans="2:19" x14ac:dyDescent="0.2">
      <c r="C2" t="s">
        <v>46</v>
      </c>
      <c r="D2">
        <v>0</v>
      </c>
    </row>
    <row r="3" spans="2:19" x14ac:dyDescent="0.2">
      <c r="C3" t="s">
        <v>51</v>
      </c>
      <c r="D3">
        <f>1-0.28</f>
        <v>0.72</v>
      </c>
    </row>
    <row r="4" spans="2:19" x14ac:dyDescent="0.2">
      <c r="B4" t="s">
        <v>41</v>
      </c>
      <c r="L4" t="s">
        <v>48</v>
      </c>
      <c r="O4" t="s">
        <v>49</v>
      </c>
      <c r="R4" t="s">
        <v>50</v>
      </c>
    </row>
    <row r="5" spans="2:19" x14ac:dyDescent="0.2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">
      <c r="B6" s="12">
        <v>2018</v>
      </c>
      <c r="C6" s="11">
        <v>-74614320</v>
      </c>
      <c r="D6" s="14"/>
      <c r="E6" s="14"/>
      <c r="F6" s="14"/>
      <c r="G6" s="14"/>
      <c r="H6" s="14"/>
      <c r="I6" s="14"/>
      <c r="J6" s="13">
        <f>C6*$D$3</f>
        <v>-53722310.399999999</v>
      </c>
      <c r="L6" s="12">
        <v>2018</v>
      </c>
      <c r="M6" s="13">
        <f>J6-J30</f>
        <v>-21788870.399999999</v>
      </c>
      <c r="O6" s="12">
        <v>2018</v>
      </c>
      <c r="P6" s="13">
        <f>J54-J6</f>
        <v>-1333221.1199999973</v>
      </c>
      <c r="R6" s="12">
        <v>2018</v>
      </c>
      <c r="S6" s="13">
        <f>J78-J54</f>
        <v>-2324868.4800000042</v>
      </c>
    </row>
    <row r="7" spans="2:19" x14ac:dyDescent="0.2">
      <c r="B7" s="15">
        <v>2019</v>
      </c>
      <c r="C7" s="11"/>
      <c r="D7" s="11">
        <v>-770</v>
      </c>
      <c r="E7" s="11">
        <v>-69954857.142857149</v>
      </c>
      <c r="F7" s="16">
        <v>489684000</v>
      </c>
      <c r="G7" s="11">
        <f>$D$2*F7</f>
        <v>0</v>
      </c>
      <c r="H7" s="11">
        <v>0.2</v>
      </c>
      <c r="I7" s="11">
        <f>H7*80000*365*24</f>
        <v>140160000</v>
      </c>
      <c r="J7" s="13">
        <f>(I7+D7+E7+G7)*$D$3</f>
        <v>50547148.457142852</v>
      </c>
      <c r="L7" s="15">
        <v>2019</v>
      </c>
      <c r="M7" s="13">
        <f t="shared" ref="M7:M26" si="0">J7-J31</f>
        <v>43338171.085714281</v>
      </c>
      <c r="O7" s="15">
        <v>2019</v>
      </c>
      <c r="P7" s="13">
        <f t="shared" ref="P7:P26" si="1">J55-J7</f>
        <v>37131495.428571425</v>
      </c>
      <c r="R7" s="15">
        <v>2019</v>
      </c>
      <c r="S7" s="13">
        <f t="shared" ref="S7:S26" si="2">J79-J55</f>
        <v>-64072213.714285709</v>
      </c>
    </row>
    <row r="8" spans="2:19" x14ac:dyDescent="0.2">
      <c r="B8" s="15">
        <v>2020</v>
      </c>
      <c r="C8" s="11"/>
      <c r="D8" s="11">
        <v>-808.5</v>
      </c>
      <c r="E8" s="11">
        <v>-71353954.285714298</v>
      </c>
      <c r="F8" s="16">
        <v>499477680</v>
      </c>
      <c r="G8" s="11">
        <f t="shared" ref="G8:G50" si="3">$D$2*F8</f>
        <v>0</v>
      </c>
      <c r="H8" s="11">
        <f>H7+0.05</f>
        <v>0.25</v>
      </c>
      <c r="I8" s="11">
        <f t="shared" ref="I8:I26" si="4">H8*80000*365*24</f>
        <v>175200000</v>
      </c>
      <c r="J8" s="13">
        <f t="shared" ref="J8:J26" si="5">(I8+D8+E8+G8)*$D$3</f>
        <v>74768570.7942857</v>
      </c>
      <c r="L8" s="15">
        <v>2020</v>
      </c>
      <c r="M8" s="13">
        <f t="shared" si="0"/>
        <v>44204895.411428563</v>
      </c>
      <c r="O8" s="15">
        <v>2020</v>
      </c>
      <c r="P8" s="13">
        <f t="shared" si="1"/>
        <v>37874128.577142864</v>
      </c>
      <c r="R8" s="15">
        <v>2020</v>
      </c>
      <c r="S8" s="13">
        <f t="shared" si="2"/>
        <v>-65353660.148571432</v>
      </c>
    </row>
    <row r="9" spans="2:19" x14ac:dyDescent="0.2">
      <c r="B9" s="15">
        <v>2021</v>
      </c>
      <c r="C9" s="11"/>
      <c r="D9" s="11">
        <v>-848.92500000000007</v>
      </c>
      <c r="E9" s="11">
        <v>-72781033.371428579</v>
      </c>
      <c r="F9" s="16">
        <v>509467233.60000002</v>
      </c>
      <c r="G9" s="11">
        <f t="shared" si="3"/>
        <v>0</v>
      </c>
      <c r="H9" s="11">
        <f t="shared" ref="H9:H26" si="6">H8+0.05</f>
        <v>0.3</v>
      </c>
      <c r="I9" s="11">
        <f t="shared" si="4"/>
        <v>210240000</v>
      </c>
      <c r="J9" s="13">
        <f t="shared" si="5"/>
        <v>98969844.746571407</v>
      </c>
      <c r="L9" s="15">
        <v>2021</v>
      </c>
      <c r="M9" s="13">
        <f t="shared" si="0"/>
        <v>45088952.268857136</v>
      </c>
      <c r="O9" s="15">
        <v>2021</v>
      </c>
      <c r="P9" s="13">
        <f t="shared" si="1"/>
        <v>38631614.550685719</v>
      </c>
      <c r="R9" s="15">
        <v>2021</v>
      </c>
      <c r="S9" s="13">
        <f t="shared" si="2"/>
        <v>-66660735.619542852</v>
      </c>
    </row>
    <row r="10" spans="2:19" x14ac:dyDescent="0.2">
      <c r="B10" s="15">
        <v>2022</v>
      </c>
      <c r="C10" s="11"/>
      <c r="D10" s="11">
        <v>-891.37125000000015</v>
      </c>
      <c r="E10" s="11">
        <v>-74236654.038857147</v>
      </c>
      <c r="F10" s="16">
        <v>519656578.27200001</v>
      </c>
      <c r="G10" s="11">
        <f t="shared" si="3"/>
        <v>0</v>
      </c>
      <c r="H10" s="11">
        <f t="shared" si="6"/>
        <v>0.35</v>
      </c>
      <c r="I10" s="11">
        <f t="shared" si="4"/>
        <v>245280000</v>
      </c>
      <c r="J10" s="13">
        <f t="shared" si="5"/>
        <v>123150567.30472286</v>
      </c>
      <c r="L10" s="15">
        <v>2022</v>
      </c>
      <c r="M10" s="13">
        <f t="shared" si="0"/>
        <v>45990688.210894302</v>
      </c>
      <c r="O10" s="15">
        <v>2022</v>
      </c>
      <c r="P10" s="13">
        <f t="shared" si="1"/>
        <v>39404250.41379942</v>
      </c>
      <c r="R10" s="15">
        <v>2022</v>
      </c>
      <c r="S10" s="13">
        <f t="shared" si="2"/>
        <v>-67993952.713333726</v>
      </c>
    </row>
    <row r="11" spans="2:19" x14ac:dyDescent="0.2">
      <c r="B11" s="15">
        <v>2023</v>
      </c>
      <c r="C11" s="11"/>
      <c r="D11" s="11">
        <v>-935.93981250000024</v>
      </c>
      <c r="E11" s="11">
        <v>-75721387.119634286</v>
      </c>
      <c r="F11" s="16">
        <v>530049709.83744001</v>
      </c>
      <c r="G11" s="11">
        <f t="shared" si="3"/>
        <v>0</v>
      </c>
      <c r="H11" s="11">
        <f t="shared" si="6"/>
        <v>0.39999999999999997</v>
      </c>
      <c r="I11" s="11">
        <f t="shared" si="4"/>
        <v>280319999.99999994</v>
      </c>
      <c r="J11" s="13">
        <f t="shared" si="5"/>
        <v>147310327.39719829</v>
      </c>
      <c r="L11" s="15">
        <v>2023</v>
      </c>
      <c r="M11" s="13">
        <f t="shared" si="0"/>
        <v>46910456.716605201</v>
      </c>
      <c r="O11" s="15">
        <v>2023</v>
      </c>
      <c r="P11" s="13">
        <f t="shared" si="1"/>
        <v>40192339.172780424</v>
      </c>
      <c r="R11" s="15">
        <v>2023</v>
      </c>
      <c r="S11" s="13">
        <f t="shared" si="2"/>
        <v>-69353834.26807043</v>
      </c>
    </row>
    <row r="12" spans="2:19" x14ac:dyDescent="0.2">
      <c r="B12" s="15">
        <v>2024</v>
      </c>
      <c r="C12" s="11"/>
      <c r="D12" s="11">
        <v>-982.73680312500028</v>
      </c>
      <c r="E12" s="11">
        <v>-77235814.862026975</v>
      </c>
      <c r="F12" s="16">
        <v>540650704.03418887</v>
      </c>
      <c r="G12" s="11">
        <f t="shared" si="3"/>
        <v>0</v>
      </c>
      <c r="H12" s="11">
        <f t="shared" si="6"/>
        <v>0.44999999999999996</v>
      </c>
      <c r="I12" s="11">
        <f t="shared" si="4"/>
        <v>315360000</v>
      </c>
      <c r="J12" s="13">
        <f t="shared" si="5"/>
        <v>171448705.72884232</v>
      </c>
      <c r="L12" s="15">
        <v>2024</v>
      </c>
      <c r="M12" s="13">
        <f t="shared" si="0"/>
        <v>47848618.329504922</v>
      </c>
      <c r="O12" s="15">
        <v>2024</v>
      </c>
      <c r="P12" s="13">
        <f t="shared" si="1"/>
        <v>40996189.894476235</v>
      </c>
      <c r="R12" s="15">
        <v>2024</v>
      </c>
      <c r="S12" s="13">
        <f t="shared" si="2"/>
        <v>-70740913.578925282</v>
      </c>
    </row>
    <row r="13" spans="2:19" x14ac:dyDescent="0.2">
      <c r="B13" s="15">
        <v>2025</v>
      </c>
      <c r="C13" s="11"/>
      <c r="D13" s="11">
        <v>-1031.8736432812502</v>
      </c>
      <c r="E13" s="11">
        <v>-78780531.159267515</v>
      </c>
      <c r="F13" s="16">
        <v>551463718.11487269</v>
      </c>
      <c r="G13" s="11">
        <f t="shared" si="3"/>
        <v>0</v>
      </c>
      <c r="H13" s="11">
        <f t="shared" si="6"/>
        <v>0.49999999999999994</v>
      </c>
      <c r="I13" s="11">
        <f t="shared" si="4"/>
        <v>350399999.99999994</v>
      </c>
      <c r="J13" s="13">
        <f t="shared" si="5"/>
        <v>195565274.61630419</v>
      </c>
      <c r="L13" s="15">
        <v>2025</v>
      </c>
      <c r="M13" s="13">
        <f t="shared" si="0"/>
        <v>48805540.798591077</v>
      </c>
      <c r="O13" s="15">
        <v>2025</v>
      </c>
      <c r="P13" s="13">
        <f t="shared" si="1"/>
        <v>41816117.827518016</v>
      </c>
      <c r="R13" s="15">
        <v>2025</v>
      </c>
      <c r="S13" s="13">
        <f t="shared" si="2"/>
        <v>-72155734.607271969</v>
      </c>
    </row>
    <row r="14" spans="2:19" x14ac:dyDescent="0.2">
      <c r="B14" s="15">
        <v>2026</v>
      </c>
      <c r="C14" s="11"/>
      <c r="D14" s="11">
        <v>-1083.4673254453128</v>
      </c>
      <c r="E14" s="11">
        <v>-80356141.782452866</v>
      </c>
      <c r="F14" s="16">
        <v>562492992.47717011</v>
      </c>
      <c r="G14" s="11">
        <f t="shared" si="3"/>
        <v>0</v>
      </c>
      <c r="H14" s="11">
        <f t="shared" si="6"/>
        <v>0.54999999999999993</v>
      </c>
      <c r="I14" s="11">
        <f t="shared" si="4"/>
        <v>385439999.99999994</v>
      </c>
      <c r="J14" s="13">
        <f t="shared" si="5"/>
        <v>219659597.82015955</v>
      </c>
      <c r="L14" s="15">
        <v>2026</v>
      </c>
      <c r="M14" s="13">
        <f t="shared" si="0"/>
        <v>49781599.222183704</v>
      </c>
      <c r="O14" s="15">
        <v>2026</v>
      </c>
      <c r="P14" s="13">
        <f t="shared" si="1"/>
        <v>42652444.525978327</v>
      </c>
      <c r="R14" s="15">
        <v>2026</v>
      </c>
      <c r="S14" s="13">
        <f t="shared" si="2"/>
        <v>-73598852.194024056</v>
      </c>
    </row>
    <row r="15" spans="2:19" x14ac:dyDescent="0.2">
      <c r="B15" s="15">
        <v>2027</v>
      </c>
      <c r="C15" s="11"/>
      <c r="D15" s="11">
        <v>-1137.6406917175784</v>
      </c>
      <c r="E15" s="11">
        <v>-81963264.618101925</v>
      </c>
      <c r="F15" s="16">
        <v>573742852.32671356</v>
      </c>
      <c r="G15" s="11">
        <f t="shared" si="3"/>
        <v>0</v>
      </c>
      <c r="H15" s="11">
        <f t="shared" si="6"/>
        <v>0.6</v>
      </c>
      <c r="I15" s="11">
        <f t="shared" si="4"/>
        <v>420480000</v>
      </c>
      <c r="J15" s="13">
        <f t="shared" si="5"/>
        <v>243731230.37366861</v>
      </c>
      <c r="L15" s="15">
        <v>2027</v>
      </c>
      <c r="M15" s="13">
        <f t="shared" si="0"/>
        <v>50777176.194629341</v>
      </c>
      <c r="O15" s="15">
        <v>2027</v>
      </c>
      <c r="P15" s="13">
        <f t="shared" si="1"/>
        <v>43505497.975503206</v>
      </c>
      <c r="R15" s="15">
        <v>2027</v>
      </c>
      <c r="S15" s="13">
        <f t="shared" si="2"/>
        <v>-75070832.277241439</v>
      </c>
    </row>
    <row r="16" spans="2:19" x14ac:dyDescent="0.2">
      <c r="B16" s="15">
        <v>2028</v>
      </c>
      <c r="C16" s="11"/>
      <c r="D16" s="11">
        <v>-1194.5227263034574</v>
      </c>
      <c r="E16" s="11">
        <v>-83602529.910463959</v>
      </c>
      <c r="F16" s="16">
        <v>585217709.37324786</v>
      </c>
      <c r="G16" s="11">
        <f t="shared" si="3"/>
        <v>0</v>
      </c>
      <c r="H16" s="11">
        <f t="shared" si="6"/>
        <v>0.65</v>
      </c>
      <c r="I16" s="11">
        <f t="shared" si="4"/>
        <v>455520000</v>
      </c>
      <c r="J16" s="13">
        <f t="shared" si="5"/>
        <v>267779718.40810302</v>
      </c>
      <c r="L16" s="15">
        <v>2028</v>
      </c>
      <c r="M16" s="13">
        <f t="shared" si="0"/>
        <v>51792661.955923885</v>
      </c>
      <c r="O16" s="15">
        <v>2028</v>
      </c>
      <c r="P16" s="13">
        <f t="shared" si="1"/>
        <v>44375612.721968919</v>
      </c>
      <c r="R16" s="15">
        <v>2028</v>
      </c>
      <c r="S16" s="13">
        <f t="shared" si="2"/>
        <v>-76572252.114089996</v>
      </c>
    </row>
    <row r="17" spans="2:19" x14ac:dyDescent="0.2">
      <c r="B17" s="15">
        <v>2029</v>
      </c>
      <c r="C17" s="11"/>
      <c r="D17" s="11">
        <v>-1254.2488626186303</v>
      </c>
      <c r="E17" s="11">
        <v>-85274580.508673236</v>
      </c>
      <c r="F17" s="16">
        <v>596922063.56071281</v>
      </c>
      <c r="G17" s="11">
        <f t="shared" si="3"/>
        <v>0</v>
      </c>
      <c r="H17" s="11">
        <f t="shared" si="6"/>
        <v>0.70000000000000007</v>
      </c>
      <c r="I17" s="11">
        <f t="shared" si="4"/>
        <v>490560000.00000012</v>
      </c>
      <c r="J17" s="13">
        <f t="shared" si="5"/>
        <v>291804598.97457427</v>
      </c>
      <c r="L17" s="15">
        <v>2029</v>
      </c>
      <c r="M17" s="13">
        <f t="shared" si="0"/>
        <v>52828454.544314444</v>
      </c>
      <c r="O17" s="15">
        <v>2029</v>
      </c>
      <c r="P17" s="13">
        <f t="shared" si="1"/>
        <v>45263130.002711713</v>
      </c>
      <c r="R17" s="15">
        <v>2029</v>
      </c>
      <c r="S17" s="13">
        <f t="shared" si="2"/>
        <v>-78103700.507240713</v>
      </c>
    </row>
    <row r="18" spans="2:19" x14ac:dyDescent="0.2">
      <c r="B18" s="15">
        <v>2030</v>
      </c>
      <c r="C18" s="11"/>
      <c r="D18" s="11">
        <v>-1316.9613057495619</v>
      </c>
      <c r="E18" s="11">
        <v>-86980072.1188467</v>
      </c>
      <c r="F18" s="16">
        <v>608860504.83192706</v>
      </c>
      <c r="G18" s="11">
        <f t="shared" si="3"/>
        <v>0</v>
      </c>
      <c r="H18" s="11">
        <f t="shared" si="6"/>
        <v>0.75000000000000011</v>
      </c>
      <c r="I18" s="11">
        <f t="shared" si="4"/>
        <v>525600000.00000012</v>
      </c>
      <c r="J18" s="13">
        <f t="shared" si="5"/>
        <v>315805399.86229032</v>
      </c>
      <c r="L18" s="15">
        <v>2030</v>
      </c>
      <c r="M18" s="13">
        <f t="shared" si="0"/>
        <v>53884959.951936364</v>
      </c>
      <c r="O18" s="15">
        <v>2030</v>
      </c>
      <c r="P18" s="13">
        <f t="shared" si="1"/>
        <v>46168397.880384505</v>
      </c>
      <c r="R18" s="15">
        <v>2030</v>
      </c>
      <c r="S18" s="13">
        <f t="shared" si="2"/>
        <v>-79665778.035797954</v>
      </c>
    </row>
    <row r="19" spans="2:19" x14ac:dyDescent="0.2">
      <c r="B19" s="15">
        <v>2031</v>
      </c>
      <c r="C19" s="11"/>
      <c r="D19" s="11">
        <v>-1382.8093710370401</v>
      </c>
      <c r="E19" s="11">
        <v>-88719673.561223641</v>
      </c>
      <c r="F19" s="16">
        <v>621037714.92856562</v>
      </c>
      <c r="G19" s="11">
        <f t="shared" si="3"/>
        <v>0</v>
      </c>
      <c r="H19" s="11">
        <f t="shared" si="6"/>
        <v>0.80000000000000016</v>
      </c>
      <c r="I19" s="11">
        <f t="shared" si="4"/>
        <v>560640000.00000012</v>
      </c>
      <c r="J19" s="13">
        <f t="shared" si="5"/>
        <v>339781639.41317195</v>
      </c>
      <c r="L19" s="15">
        <v>2031</v>
      </c>
      <c r="M19" s="13">
        <f t="shared" si="0"/>
        <v>54962592.283547521</v>
      </c>
      <c r="O19" s="15">
        <v>2031</v>
      </c>
      <c r="P19" s="13">
        <f t="shared" si="1"/>
        <v>47091771.379491746</v>
      </c>
      <c r="R19" s="15">
        <v>2031</v>
      </c>
      <c r="S19" s="13">
        <f t="shared" si="2"/>
        <v>-81259097.290846884</v>
      </c>
    </row>
    <row r="20" spans="2:19" x14ac:dyDescent="0.2">
      <c r="B20" s="15">
        <v>2032</v>
      </c>
      <c r="C20" s="11"/>
      <c r="D20" s="11">
        <v>-1451.9498395888922</v>
      </c>
      <c r="E20" s="11">
        <v>-90494067.032448113</v>
      </c>
      <c r="F20" s="16">
        <v>633458469.22713697</v>
      </c>
      <c r="G20" s="11">
        <f t="shared" si="3"/>
        <v>0</v>
      </c>
      <c r="H20" s="11">
        <f t="shared" si="6"/>
        <v>0.8500000000000002</v>
      </c>
      <c r="I20" s="11">
        <f t="shared" si="4"/>
        <v>595680000.00000012</v>
      </c>
      <c r="J20" s="13">
        <f t="shared" si="5"/>
        <v>363732826.33275294</v>
      </c>
      <c r="L20" s="15">
        <v>2032</v>
      </c>
      <c r="M20" s="13">
        <f t="shared" si="0"/>
        <v>56061773.91841954</v>
      </c>
      <c r="O20" s="15">
        <v>2032</v>
      </c>
      <c r="P20" s="13">
        <f t="shared" si="1"/>
        <v>48033612.625656068</v>
      </c>
      <c r="R20" s="15">
        <v>2032</v>
      </c>
      <c r="S20" s="13">
        <f t="shared" si="2"/>
        <v>-82884283.115713537</v>
      </c>
    </row>
    <row r="21" spans="2:19" x14ac:dyDescent="0.2">
      <c r="B21" s="15">
        <v>2033</v>
      </c>
      <c r="C21" s="11"/>
      <c r="D21" s="11">
        <v>-1524.5473315683369</v>
      </c>
      <c r="E21" s="11">
        <v>-92303948.373097077</v>
      </c>
      <c r="F21" s="16">
        <v>646127638.61167967</v>
      </c>
      <c r="G21" s="11">
        <f t="shared" si="3"/>
        <v>0</v>
      </c>
      <c r="H21" s="11">
        <f t="shared" si="6"/>
        <v>0.90000000000000024</v>
      </c>
      <c r="I21" s="11">
        <f t="shared" si="4"/>
        <v>630720000.00000012</v>
      </c>
      <c r="J21" s="13">
        <f t="shared" si="5"/>
        <v>387658459.49729145</v>
      </c>
      <c r="L21" s="15">
        <v>2033</v>
      </c>
      <c r="M21" s="13">
        <f t="shared" si="0"/>
        <v>57182935.675449014</v>
      </c>
      <c r="O21" s="15">
        <v>2033</v>
      </c>
      <c r="P21" s="13">
        <f t="shared" si="1"/>
        <v>48994290.987672448</v>
      </c>
      <c r="R21" s="15">
        <v>2033</v>
      </c>
      <c r="S21" s="13">
        <f t="shared" si="2"/>
        <v>-84541972.851029932</v>
      </c>
    </row>
    <row r="22" spans="2:19" x14ac:dyDescent="0.2">
      <c r="B22" s="15">
        <v>2034</v>
      </c>
      <c r="C22" s="11"/>
      <c r="D22" s="11">
        <v>-1600.7746981467537</v>
      </c>
      <c r="E22" s="11">
        <v>-94150027.340559021</v>
      </c>
      <c r="F22" s="16">
        <v>659050191.38391328</v>
      </c>
      <c r="G22" s="11">
        <f t="shared" si="3"/>
        <v>0</v>
      </c>
      <c r="H22" s="11">
        <f t="shared" si="6"/>
        <v>0.95000000000000029</v>
      </c>
      <c r="I22" s="11">
        <f t="shared" si="4"/>
        <v>665760000.00000024</v>
      </c>
      <c r="J22" s="13">
        <f t="shared" si="5"/>
        <v>411558027.75701499</v>
      </c>
      <c r="L22" s="15">
        <v>2034</v>
      </c>
      <c r="M22" s="13">
        <f t="shared" si="0"/>
        <v>58326516.981552184</v>
      </c>
      <c r="O22" s="15">
        <v>2034</v>
      </c>
      <c r="P22" s="13">
        <f t="shared" si="1"/>
        <v>49974183.222404301</v>
      </c>
      <c r="R22" s="15">
        <v>2034</v>
      </c>
      <c r="S22" s="13">
        <f t="shared" si="2"/>
        <v>-86232816.58470279</v>
      </c>
    </row>
    <row r="23" spans="2:19" x14ac:dyDescent="0.2">
      <c r="B23" s="15">
        <v>2035</v>
      </c>
      <c r="C23" s="11"/>
      <c r="D23" s="11">
        <v>-1680.8134330540915</v>
      </c>
      <c r="E23" s="11">
        <v>-96033027.887370199</v>
      </c>
      <c r="F23" s="16">
        <v>672231195.2115916</v>
      </c>
      <c r="G23" s="11">
        <f t="shared" si="3"/>
        <v>0</v>
      </c>
      <c r="H23" s="11">
        <f t="shared" si="6"/>
        <v>1.0000000000000002</v>
      </c>
      <c r="I23" s="11">
        <f t="shared" si="4"/>
        <v>700800000.00000012</v>
      </c>
      <c r="J23" s="13">
        <f t="shared" si="5"/>
        <v>435431009.73542172</v>
      </c>
      <c r="L23" s="15">
        <v>2035</v>
      </c>
      <c r="M23" s="13">
        <f t="shared" si="0"/>
        <v>59492966.043407142</v>
      </c>
      <c r="O23" s="15">
        <v>2035</v>
      </c>
      <c r="P23" s="13">
        <f t="shared" si="1"/>
        <v>50973673.622579694</v>
      </c>
      <c r="R23" s="15">
        <v>2035</v>
      </c>
      <c r="S23" s="13">
        <f t="shared" si="2"/>
        <v>-87957477.40688175</v>
      </c>
    </row>
    <row r="24" spans="2:19" x14ac:dyDescent="0.2">
      <c r="B24" s="15">
        <v>2036</v>
      </c>
      <c r="C24" s="11"/>
      <c r="D24" s="11">
        <v>-1764.8541047067963</v>
      </c>
      <c r="E24" s="11">
        <v>-97953688.445117608</v>
      </c>
      <c r="F24" s="16">
        <v>685675819.11582339</v>
      </c>
      <c r="G24" s="11">
        <f t="shared" si="3"/>
        <v>0</v>
      </c>
      <c r="H24" s="11">
        <f t="shared" si="6"/>
        <v>1.0500000000000003</v>
      </c>
      <c r="I24" s="11">
        <f t="shared" si="4"/>
        <v>735840000.00000012</v>
      </c>
      <c r="J24" s="13">
        <f t="shared" si="5"/>
        <v>459276873.62456</v>
      </c>
      <c r="L24" s="15">
        <v>2036</v>
      </c>
      <c r="M24" s="13">
        <f t="shared" si="0"/>
        <v>60682740.022610366</v>
      </c>
      <c r="O24" s="15">
        <v>2036</v>
      </c>
      <c r="P24" s="13">
        <f t="shared" si="1"/>
        <v>51993154.167544961</v>
      </c>
      <c r="R24" s="15">
        <v>2036</v>
      </c>
      <c r="S24" s="13">
        <f t="shared" si="2"/>
        <v>-89716631.670028508</v>
      </c>
    </row>
    <row r="25" spans="2:19" x14ac:dyDescent="0.2">
      <c r="B25" s="15">
        <v>2037</v>
      </c>
      <c r="C25" s="11"/>
      <c r="D25" s="11">
        <v>-1853.0968099421361</v>
      </c>
      <c r="E25" s="11">
        <v>-99912762.214019954</v>
      </c>
      <c r="F25" s="16">
        <v>699389335.49813986</v>
      </c>
      <c r="G25" s="11">
        <f t="shared" si="3"/>
        <v>0</v>
      </c>
      <c r="H25" s="11">
        <f t="shared" si="6"/>
        <v>1.1000000000000003</v>
      </c>
      <c r="I25" s="11">
        <f t="shared" si="4"/>
        <v>770880000.00000024</v>
      </c>
      <c r="J25" s="13">
        <f t="shared" si="5"/>
        <v>483095076.97620267</v>
      </c>
      <c r="L25" s="15">
        <v>2037</v>
      </c>
      <c r="M25" s="13">
        <f t="shared" si="0"/>
        <v>61896305.21431452</v>
      </c>
      <c r="O25" s="15">
        <v>2037</v>
      </c>
      <c r="P25" s="13">
        <f t="shared" si="1"/>
        <v>53033024.677035093</v>
      </c>
      <c r="R25" s="15">
        <v>2037</v>
      </c>
      <c r="S25" s="13">
        <f t="shared" si="2"/>
        <v>-91510969.254188597</v>
      </c>
    </row>
    <row r="26" spans="2:19" x14ac:dyDescent="0.2">
      <c r="B26" s="15">
        <v>2038</v>
      </c>
      <c r="C26" s="11"/>
      <c r="D26" s="11">
        <v>-1945.7516504392431</v>
      </c>
      <c r="E26" s="11">
        <v>-101911017.45830035</v>
      </c>
      <c r="F26" s="16">
        <v>713377122.2081027</v>
      </c>
      <c r="G26" s="11">
        <f t="shared" si="3"/>
        <v>0</v>
      </c>
      <c r="H26" s="11">
        <f t="shared" si="6"/>
        <v>1.1500000000000004</v>
      </c>
      <c r="I26" s="11">
        <f t="shared" si="4"/>
        <v>805920000.00000024</v>
      </c>
      <c r="J26" s="13">
        <f t="shared" si="5"/>
        <v>506885066.48883557</v>
      </c>
      <c r="L26" s="15">
        <v>2038</v>
      </c>
      <c r="M26" s="13">
        <f t="shared" si="0"/>
        <v>63134137.229415178</v>
      </c>
      <c r="O26" s="15">
        <v>2038</v>
      </c>
      <c r="P26" s="13">
        <f t="shared" si="1"/>
        <v>54093692.968022227</v>
      </c>
      <c r="R26" s="15">
        <v>2038</v>
      </c>
      <c r="S26" s="13">
        <f t="shared" si="2"/>
        <v>-93341193.837570012</v>
      </c>
    </row>
    <row r="27" spans="2:19" x14ac:dyDescent="0.2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IRR(M6:M26)</f>
        <v>2.0090040335106147</v>
      </c>
      <c r="O27" s="14" t="s">
        <v>44</v>
      </c>
      <c r="P27" s="22">
        <f>IRR(P6:P26)</f>
        <v>27.870965596037369</v>
      </c>
      <c r="R27" s="14" t="s">
        <v>44</v>
      </c>
      <c r="S27" s="22" t="e">
        <f>IRR(S6:S26)</f>
        <v>#NUM!</v>
      </c>
    </row>
    <row r="28" spans="2:19" x14ac:dyDescent="0.2">
      <c r="B28" t="s">
        <v>5</v>
      </c>
      <c r="G28" s="18"/>
    </row>
    <row r="29" spans="2:19" x14ac:dyDescent="0.2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">
      <c r="B30" s="12">
        <v>2018</v>
      </c>
      <c r="C30" s="11">
        <v>-44352000</v>
      </c>
      <c r="D30" s="14"/>
      <c r="E30" s="14"/>
      <c r="F30" s="14"/>
      <c r="G30" s="16"/>
      <c r="H30" s="14"/>
      <c r="I30" s="14"/>
      <c r="J30" s="13">
        <f>C30*$D$3</f>
        <v>-31933440</v>
      </c>
    </row>
    <row r="31" spans="2:19" x14ac:dyDescent="0.2">
      <c r="B31" s="15">
        <v>2019</v>
      </c>
      <c r="C31" s="11"/>
      <c r="D31" s="11">
        <v>1040</v>
      </c>
      <c r="E31" s="11">
        <v>-130148571.42857143</v>
      </c>
      <c r="F31" s="16">
        <v>911040000</v>
      </c>
      <c r="G31" s="11">
        <f t="shared" si="3"/>
        <v>0</v>
      </c>
      <c r="H31" s="11">
        <v>0.2</v>
      </c>
      <c r="I31" s="11">
        <f>I7</f>
        <v>140160000</v>
      </c>
      <c r="J31" s="13">
        <f>(I31+D31+E31+G31)*$D$3</f>
        <v>7208977.3714285679</v>
      </c>
    </row>
    <row r="32" spans="2:19" x14ac:dyDescent="0.2">
      <c r="B32" s="15">
        <v>2020</v>
      </c>
      <c r="C32" s="11"/>
      <c r="D32" s="11">
        <v>1092</v>
      </c>
      <c r="E32" s="11">
        <v>-132751542.85714287</v>
      </c>
      <c r="F32" s="16">
        <v>929260800</v>
      </c>
      <c r="G32" s="11">
        <f t="shared" si="3"/>
        <v>0</v>
      </c>
      <c r="H32" s="11">
        <f>H31+0.05</f>
        <v>0.25</v>
      </c>
      <c r="I32" s="11">
        <f t="shared" ref="I32:I50" si="7">I8</f>
        <v>175200000</v>
      </c>
      <c r="J32" s="13">
        <f t="shared" ref="J32:J50" si="8">(I32+D32+E32+G32)*$D$3</f>
        <v>30563675.382857136</v>
      </c>
    </row>
    <row r="33" spans="2:10" x14ac:dyDescent="0.2">
      <c r="B33" s="15">
        <v>2021</v>
      </c>
      <c r="C33" s="11"/>
      <c r="D33" s="11">
        <v>1146.6000000000001</v>
      </c>
      <c r="E33" s="11">
        <v>-135406573.71428573</v>
      </c>
      <c r="F33" s="16">
        <v>947846016</v>
      </c>
      <c r="G33" s="11">
        <f t="shared" si="3"/>
        <v>0</v>
      </c>
      <c r="H33" s="11">
        <f t="shared" ref="H33:H50" si="9">H32+0.05</f>
        <v>0.3</v>
      </c>
      <c r="I33" s="11">
        <f t="shared" si="7"/>
        <v>210240000</v>
      </c>
      <c r="J33" s="13">
        <f t="shared" si="8"/>
        <v>53880892.47771427</v>
      </c>
    </row>
    <row r="34" spans="2:10" x14ac:dyDescent="0.2">
      <c r="B34" s="15">
        <v>2022</v>
      </c>
      <c r="C34" s="11"/>
      <c r="D34" s="11">
        <v>1203.9300000000003</v>
      </c>
      <c r="E34" s="11">
        <v>-138114705.18857145</v>
      </c>
      <c r="F34" s="16">
        <v>966802936.32000005</v>
      </c>
      <c r="G34" s="11">
        <f t="shared" si="3"/>
        <v>0</v>
      </c>
      <c r="H34" s="11">
        <f t="shared" si="9"/>
        <v>0.35</v>
      </c>
      <c r="I34" s="11">
        <f t="shared" si="7"/>
        <v>245280000</v>
      </c>
      <c r="J34" s="13">
        <f t="shared" si="8"/>
        <v>77159879.093828559</v>
      </c>
    </row>
    <row r="35" spans="2:10" x14ac:dyDescent="0.2">
      <c r="B35" s="15">
        <v>2023</v>
      </c>
      <c r="C35" s="11"/>
      <c r="D35" s="11">
        <v>1264.1265000000003</v>
      </c>
      <c r="E35" s="11">
        <v>-140876999.29234287</v>
      </c>
      <c r="F35" s="16">
        <v>986138995.04640007</v>
      </c>
      <c r="G35" s="11">
        <f t="shared" si="3"/>
        <v>0</v>
      </c>
      <c r="H35" s="11">
        <f t="shared" si="9"/>
        <v>0.39999999999999997</v>
      </c>
      <c r="I35" s="11">
        <f t="shared" si="7"/>
        <v>280319999.99999994</v>
      </c>
      <c r="J35" s="13">
        <f t="shared" si="8"/>
        <v>100399870.68059309</v>
      </c>
    </row>
    <row r="36" spans="2:10" x14ac:dyDescent="0.2">
      <c r="B36" s="15">
        <v>2024</v>
      </c>
      <c r="C36" s="11"/>
      <c r="D36" s="11">
        <v>1327.3328250000004</v>
      </c>
      <c r="E36" s="11">
        <v>-143694539.27818972</v>
      </c>
      <c r="F36" s="16">
        <v>1005861774.9473281</v>
      </c>
      <c r="G36" s="11">
        <f t="shared" si="3"/>
        <v>0</v>
      </c>
      <c r="H36" s="11">
        <f t="shared" si="9"/>
        <v>0.44999999999999996</v>
      </c>
      <c r="I36" s="11">
        <f t="shared" si="7"/>
        <v>315360000</v>
      </c>
      <c r="J36" s="13">
        <f t="shared" si="8"/>
        <v>123600087.3993374</v>
      </c>
    </row>
    <row r="37" spans="2:10" x14ac:dyDescent="0.2">
      <c r="B37" s="15">
        <v>2025</v>
      </c>
      <c r="C37" s="11"/>
      <c r="D37" s="11">
        <v>1393.6994662500006</v>
      </c>
      <c r="E37" s="11">
        <v>-146568430.06375352</v>
      </c>
      <c r="F37" s="16">
        <v>1025979010.4462746</v>
      </c>
      <c r="G37" s="11">
        <f t="shared" si="3"/>
        <v>0</v>
      </c>
      <c r="H37" s="11">
        <f t="shared" si="9"/>
        <v>0.49999999999999994</v>
      </c>
      <c r="I37" s="11">
        <f t="shared" si="7"/>
        <v>350399999.99999994</v>
      </c>
      <c r="J37" s="13">
        <f t="shared" si="8"/>
        <v>146759733.81771311</v>
      </c>
    </row>
    <row r="38" spans="2:10" x14ac:dyDescent="0.2">
      <c r="B38" s="15">
        <v>2026</v>
      </c>
      <c r="C38" s="11"/>
      <c r="D38" s="11">
        <v>1463.3844395625006</v>
      </c>
      <c r="E38" s="11">
        <v>-149499798.6650286</v>
      </c>
      <c r="F38" s="16">
        <v>1046498590.6552001</v>
      </c>
      <c r="G38" s="11">
        <f t="shared" si="3"/>
        <v>0</v>
      </c>
      <c r="H38" s="11">
        <f t="shared" si="9"/>
        <v>0.54999999999999993</v>
      </c>
      <c r="I38" s="11">
        <f t="shared" si="7"/>
        <v>385439999.99999994</v>
      </c>
      <c r="J38" s="13">
        <f t="shared" si="8"/>
        <v>169877998.59797585</v>
      </c>
    </row>
    <row r="39" spans="2:10" x14ac:dyDescent="0.2">
      <c r="B39" s="15">
        <v>2027</v>
      </c>
      <c r="C39" s="11"/>
      <c r="D39" s="11">
        <v>1536.5536615406256</v>
      </c>
      <c r="E39" s="11">
        <v>-152489794.63832918</v>
      </c>
      <c r="F39" s="16">
        <v>1067428562.4683042</v>
      </c>
      <c r="G39" s="11">
        <f t="shared" si="3"/>
        <v>0</v>
      </c>
      <c r="H39" s="11">
        <f t="shared" si="9"/>
        <v>0.6</v>
      </c>
      <c r="I39" s="11">
        <f t="shared" si="7"/>
        <v>420480000</v>
      </c>
      <c r="J39" s="13">
        <f t="shared" si="8"/>
        <v>192954054.17903927</v>
      </c>
    </row>
    <row r="40" spans="2:10" x14ac:dyDescent="0.2">
      <c r="B40" s="15">
        <v>2028</v>
      </c>
      <c r="C40" s="11"/>
      <c r="D40" s="11">
        <v>1613.3813446176571</v>
      </c>
      <c r="E40" s="11">
        <v>-155539590.53109577</v>
      </c>
      <c r="F40" s="16">
        <v>1088777133.7176702</v>
      </c>
      <c r="G40" s="11">
        <f t="shared" si="3"/>
        <v>0</v>
      </c>
      <c r="H40" s="11">
        <f t="shared" si="9"/>
        <v>0.65</v>
      </c>
      <c r="I40" s="11">
        <f t="shared" si="7"/>
        <v>455520000</v>
      </c>
      <c r="J40" s="13">
        <f t="shared" si="8"/>
        <v>215987056.45217913</v>
      </c>
    </row>
    <row r="41" spans="2:10" x14ac:dyDescent="0.2">
      <c r="B41" s="15">
        <v>2029</v>
      </c>
      <c r="C41" s="11"/>
      <c r="D41" s="11">
        <v>1694.0504118485401</v>
      </c>
      <c r="E41" s="11">
        <v>-158650382.34171769</v>
      </c>
      <c r="F41" s="16">
        <v>1110552676.3920236</v>
      </c>
      <c r="G41" s="11">
        <f t="shared" si="3"/>
        <v>0</v>
      </c>
      <c r="H41" s="11">
        <f t="shared" si="9"/>
        <v>0.70000000000000007</v>
      </c>
      <c r="I41" s="11">
        <f t="shared" si="7"/>
        <v>490560000.00000012</v>
      </c>
      <c r="J41" s="13">
        <f t="shared" si="8"/>
        <v>238976144.43025982</v>
      </c>
    </row>
    <row r="42" spans="2:10" x14ac:dyDescent="0.2">
      <c r="B42" s="15">
        <v>2030</v>
      </c>
      <c r="C42" s="11"/>
      <c r="D42" s="11">
        <v>1778.7529324409672</v>
      </c>
      <c r="E42" s="11">
        <v>-161823389.98855203</v>
      </c>
      <c r="F42" s="16">
        <v>1132763729.9198639</v>
      </c>
      <c r="G42" s="11">
        <f t="shared" si="3"/>
        <v>0</v>
      </c>
      <c r="H42" s="11">
        <f t="shared" si="9"/>
        <v>0.75000000000000011</v>
      </c>
      <c r="I42" s="11">
        <f t="shared" si="7"/>
        <v>525600000.00000012</v>
      </c>
      <c r="J42" s="13">
        <f t="shared" si="8"/>
        <v>261920439.91035396</v>
      </c>
    </row>
    <row r="43" spans="2:10" x14ac:dyDescent="0.2">
      <c r="B43" s="15">
        <v>2031</v>
      </c>
      <c r="C43" s="11"/>
      <c r="D43" s="11">
        <v>1867.6905790630158</v>
      </c>
      <c r="E43" s="11">
        <v>-165059857.78832307</v>
      </c>
      <c r="F43" s="16">
        <v>1155419004.5182612</v>
      </c>
      <c r="G43" s="11">
        <f t="shared" si="3"/>
        <v>0</v>
      </c>
      <c r="H43" s="11">
        <f t="shared" si="9"/>
        <v>0.80000000000000016</v>
      </c>
      <c r="I43" s="11">
        <f t="shared" si="7"/>
        <v>560640000.00000012</v>
      </c>
      <c r="J43" s="13">
        <f t="shared" si="8"/>
        <v>284819047.12962443</v>
      </c>
    </row>
    <row r="44" spans="2:10" x14ac:dyDescent="0.2">
      <c r="B44" s="15">
        <v>2032</v>
      </c>
      <c r="C44" s="11"/>
      <c r="D44" s="11">
        <v>1961.0751080161667</v>
      </c>
      <c r="E44" s="11">
        <v>-168361054.94408953</v>
      </c>
      <c r="F44" s="16">
        <v>1178527384.6086264</v>
      </c>
      <c r="G44" s="11">
        <f t="shared" si="3"/>
        <v>0</v>
      </c>
      <c r="H44" s="11">
        <f t="shared" si="9"/>
        <v>0.8500000000000002</v>
      </c>
      <c r="I44" s="11">
        <f t="shared" si="7"/>
        <v>595680000.00000012</v>
      </c>
      <c r="J44" s="13">
        <f t="shared" si="8"/>
        <v>307671052.4143334</v>
      </c>
    </row>
    <row r="45" spans="2:10" x14ac:dyDescent="0.2">
      <c r="B45" s="15">
        <v>2033</v>
      </c>
      <c r="C45" s="11"/>
      <c r="D45" s="11">
        <v>2059.128863416975</v>
      </c>
      <c r="E45" s="11">
        <v>-171728276.04297131</v>
      </c>
      <c r="F45" s="16">
        <v>1202097932.3007989</v>
      </c>
      <c r="G45" s="11">
        <f t="shared" si="3"/>
        <v>0</v>
      </c>
      <c r="H45" s="11">
        <f t="shared" si="9"/>
        <v>0.90000000000000024</v>
      </c>
      <c r="I45" s="11">
        <f t="shared" si="7"/>
        <v>630720000.00000012</v>
      </c>
      <c r="J45" s="13">
        <f t="shared" si="8"/>
        <v>330475523.82184243</v>
      </c>
    </row>
    <row r="46" spans="2:10" x14ac:dyDescent="0.2">
      <c r="B46" s="15">
        <v>2034</v>
      </c>
      <c r="C46" s="11"/>
      <c r="D46" s="11">
        <v>2162.0853065878241</v>
      </c>
      <c r="E46" s="11">
        <v>-175162841.56383073</v>
      </c>
      <c r="F46" s="16">
        <v>1226139890.9468148</v>
      </c>
      <c r="G46" s="11">
        <f t="shared" si="3"/>
        <v>0</v>
      </c>
      <c r="H46" s="11">
        <f t="shared" si="9"/>
        <v>0.95000000000000029</v>
      </c>
      <c r="I46" s="11">
        <f t="shared" si="7"/>
        <v>665760000.00000024</v>
      </c>
      <c r="J46" s="13">
        <f t="shared" si="8"/>
        <v>353231510.77546281</v>
      </c>
    </row>
    <row r="47" spans="2:10" x14ac:dyDescent="0.2">
      <c r="B47" s="15">
        <v>2035</v>
      </c>
      <c r="C47" s="11"/>
      <c r="D47" s="11">
        <v>2270.1895719172153</v>
      </c>
      <c r="E47" s="11">
        <v>-178666098.39510736</v>
      </c>
      <c r="F47" s="16">
        <v>1250662688.7657511</v>
      </c>
      <c r="G47" s="11">
        <f t="shared" si="3"/>
        <v>0</v>
      </c>
      <c r="H47" s="11">
        <f t="shared" si="9"/>
        <v>1.0000000000000002</v>
      </c>
      <c r="I47" s="11">
        <f t="shared" si="7"/>
        <v>700800000.00000012</v>
      </c>
      <c r="J47" s="13">
        <f t="shared" si="8"/>
        <v>375938043.69201458</v>
      </c>
    </row>
    <row r="48" spans="2:10" x14ac:dyDescent="0.2">
      <c r="B48" s="15">
        <v>2036</v>
      </c>
      <c r="C48" s="11"/>
      <c r="D48" s="11">
        <v>2383.6990505130761</v>
      </c>
      <c r="E48" s="11">
        <v>-182239420.36300951</v>
      </c>
      <c r="F48" s="16">
        <v>1275675942.5410662</v>
      </c>
      <c r="G48" s="11">
        <f t="shared" si="3"/>
        <v>0</v>
      </c>
      <c r="H48" s="11">
        <f t="shared" si="9"/>
        <v>1.0500000000000003</v>
      </c>
      <c r="I48" s="11">
        <f t="shared" si="7"/>
        <v>735840000.00000012</v>
      </c>
      <c r="J48" s="13">
        <f t="shared" si="8"/>
        <v>398594133.60194963</v>
      </c>
    </row>
    <row r="49" spans="2:10" x14ac:dyDescent="0.2">
      <c r="B49" s="15">
        <v>2037</v>
      </c>
      <c r="C49" s="11"/>
      <c r="D49" s="11">
        <v>2502.88400303873</v>
      </c>
      <c r="E49" s="11">
        <v>-185884208.77026969</v>
      </c>
      <c r="F49" s="16">
        <v>1301189461.3918874</v>
      </c>
      <c r="G49" s="11">
        <f t="shared" si="3"/>
        <v>0</v>
      </c>
      <c r="H49" s="11">
        <f t="shared" si="9"/>
        <v>1.1000000000000003</v>
      </c>
      <c r="I49" s="11">
        <f t="shared" si="7"/>
        <v>770880000.00000024</v>
      </c>
      <c r="J49" s="13">
        <f t="shared" si="8"/>
        <v>421198771.76188815</v>
      </c>
    </row>
    <row r="50" spans="2:10" x14ac:dyDescent="0.2">
      <c r="B50" s="15">
        <v>2038</v>
      </c>
      <c r="C50" s="11"/>
      <c r="D50" s="11">
        <v>2628.0282031906668</v>
      </c>
      <c r="E50" s="11">
        <v>-189601892.94567508</v>
      </c>
      <c r="F50" s="16">
        <v>1327213250.6197252</v>
      </c>
      <c r="G50" s="11">
        <f t="shared" si="3"/>
        <v>0</v>
      </c>
      <c r="H50" s="11">
        <f t="shared" si="9"/>
        <v>1.1500000000000004</v>
      </c>
      <c r="I50" s="11">
        <f t="shared" si="7"/>
        <v>805920000.00000024</v>
      </c>
      <c r="J50" s="13">
        <f t="shared" si="8"/>
        <v>443750929.25942039</v>
      </c>
    </row>
    <row r="51" spans="2:10" x14ac:dyDescent="0.2">
      <c r="J51" s="25">
        <f>IRR(J30:J50)</f>
        <v>0.97476171422699331</v>
      </c>
    </row>
    <row r="52" spans="2:10" x14ac:dyDescent="0.2">
      <c r="B52" t="s">
        <v>4</v>
      </c>
    </row>
    <row r="53" spans="2:10" x14ac:dyDescent="0.2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">
      <c r="B54" s="12">
        <v>2018</v>
      </c>
      <c r="C54" s="11">
        <v>-76466016</v>
      </c>
      <c r="D54" s="14"/>
      <c r="E54" s="14"/>
      <c r="F54" s="14"/>
      <c r="G54" s="16"/>
      <c r="H54" s="14"/>
      <c r="I54" s="14"/>
      <c r="J54" s="13">
        <f>C54*$D$3</f>
        <v>-55055531.519999996</v>
      </c>
    </row>
    <row r="55" spans="2:10" x14ac:dyDescent="0.2">
      <c r="B55" s="15">
        <v>2019</v>
      </c>
      <c r="C55" s="11"/>
      <c r="D55" s="11">
        <v>-620</v>
      </c>
      <c r="E55" s="11">
        <v>-18383485.714285713</v>
      </c>
      <c r="F55" s="16">
        <v>128684400</v>
      </c>
      <c r="G55" s="11">
        <f t="shared" ref="G55:G74" si="10">$D$2*F55</f>
        <v>0</v>
      </c>
      <c r="H55" s="11">
        <v>0.2</v>
      </c>
      <c r="I55" s="11">
        <f>I31</f>
        <v>140160000</v>
      </c>
      <c r="J55" s="13">
        <f>(I55+D55+E55+G55)*$D$3</f>
        <v>87678643.885714278</v>
      </c>
    </row>
    <row r="56" spans="2:10" x14ac:dyDescent="0.2">
      <c r="B56" s="15">
        <v>2020</v>
      </c>
      <c r="C56" s="11"/>
      <c r="D56" s="11">
        <v>-651</v>
      </c>
      <c r="E56" s="11">
        <v>-18751155.428571429</v>
      </c>
      <c r="F56" s="16">
        <v>131258088</v>
      </c>
      <c r="G56" s="11">
        <f t="shared" si="10"/>
        <v>0</v>
      </c>
      <c r="H56" s="11">
        <v>0.25</v>
      </c>
      <c r="I56" s="11">
        <f t="shared" ref="I56:I74" si="11">I32</f>
        <v>175200000</v>
      </c>
      <c r="J56" s="13">
        <f t="shared" ref="J56:J74" si="12">(I56+D56+E56+G56)*$D$3</f>
        <v>112642699.37142856</v>
      </c>
    </row>
    <row r="57" spans="2:10" x14ac:dyDescent="0.2">
      <c r="B57" s="15">
        <v>2021</v>
      </c>
      <c r="C57" s="11"/>
      <c r="D57" s="11">
        <v>-683.55000000000007</v>
      </c>
      <c r="E57" s="11">
        <v>-19126178.537142858</v>
      </c>
      <c r="F57" s="16">
        <v>133883249.76000001</v>
      </c>
      <c r="G57" s="11">
        <f t="shared" si="10"/>
        <v>0</v>
      </c>
      <c r="H57" s="11">
        <v>0.3</v>
      </c>
      <c r="I57" s="11">
        <f t="shared" si="11"/>
        <v>210240000</v>
      </c>
      <c r="J57" s="13">
        <f t="shared" si="12"/>
        <v>137601459.29725713</v>
      </c>
    </row>
    <row r="58" spans="2:10" x14ac:dyDescent="0.2">
      <c r="B58" s="15">
        <v>2022</v>
      </c>
      <c r="C58" s="11"/>
      <c r="D58" s="11">
        <v>-717.72750000000008</v>
      </c>
      <c r="E58" s="11">
        <v>-19508702.107885715</v>
      </c>
      <c r="F58" s="16">
        <v>136560914.7552</v>
      </c>
      <c r="G58" s="11">
        <f t="shared" si="10"/>
        <v>0</v>
      </c>
      <c r="H58" s="11">
        <v>0.35</v>
      </c>
      <c r="I58" s="11">
        <f t="shared" si="11"/>
        <v>245280000</v>
      </c>
      <c r="J58" s="13">
        <f t="shared" si="12"/>
        <v>162554817.71852228</v>
      </c>
    </row>
    <row r="59" spans="2:10" x14ac:dyDescent="0.2">
      <c r="B59" s="15">
        <v>2023</v>
      </c>
      <c r="C59" s="11"/>
      <c r="D59" s="11">
        <v>-753.61387500000012</v>
      </c>
      <c r="E59" s="11">
        <v>-19898876.150043428</v>
      </c>
      <c r="F59" s="16">
        <v>139292133.050304</v>
      </c>
      <c r="G59" s="11">
        <f t="shared" si="10"/>
        <v>0</v>
      </c>
      <c r="H59" s="11">
        <v>0.39999999999999997</v>
      </c>
      <c r="I59" s="11">
        <f t="shared" si="11"/>
        <v>280319999.99999994</v>
      </c>
      <c r="J59" s="13">
        <f t="shared" si="12"/>
        <v>187502666.56997871</v>
      </c>
    </row>
    <row r="60" spans="2:10" x14ac:dyDescent="0.2">
      <c r="B60" s="15">
        <v>2024</v>
      </c>
      <c r="C60" s="11"/>
      <c r="D60" s="11">
        <v>-791.29456875000017</v>
      </c>
      <c r="E60" s="11">
        <v>-20296853.673044298</v>
      </c>
      <c r="F60" s="16">
        <v>142077975.71131009</v>
      </c>
      <c r="G60" s="11">
        <f t="shared" si="10"/>
        <v>0</v>
      </c>
      <c r="H60" s="11">
        <v>0.44999999999999996</v>
      </c>
      <c r="I60" s="11">
        <f t="shared" si="11"/>
        <v>315360000</v>
      </c>
      <c r="J60" s="13">
        <f t="shared" si="12"/>
        <v>212444895.62331855</v>
      </c>
    </row>
    <row r="61" spans="2:10" x14ac:dyDescent="0.2">
      <c r="B61" s="15">
        <v>2025</v>
      </c>
      <c r="C61" s="11"/>
      <c r="D61" s="11">
        <v>-830.85929718750026</v>
      </c>
      <c r="E61" s="11">
        <v>-20702790.746505186</v>
      </c>
      <c r="F61" s="16">
        <v>144919535.22553629</v>
      </c>
      <c r="G61" s="11">
        <f t="shared" si="10"/>
        <v>0</v>
      </c>
      <c r="H61" s="11">
        <v>0.49999999999999994</v>
      </c>
      <c r="I61" s="11">
        <f t="shared" si="11"/>
        <v>350399999.99999994</v>
      </c>
      <c r="J61" s="13">
        <f t="shared" si="12"/>
        <v>237381392.44382221</v>
      </c>
    </row>
    <row r="62" spans="2:10" x14ac:dyDescent="0.2">
      <c r="B62" s="15">
        <v>2026</v>
      </c>
      <c r="C62" s="11"/>
      <c r="D62" s="11">
        <v>-872.40226204687531</v>
      </c>
      <c r="E62" s="11">
        <v>-21116846.56143529</v>
      </c>
      <c r="F62" s="16">
        <v>147817925.93004701</v>
      </c>
      <c r="G62" s="11">
        <f t="shared" si="10"/>
        <v>0</v>
      </c>
      <c r="H62" s="11">
        <v>0.54999999999999993</v>
      </c>
      <c r="I62" s="11">
        <f t="shared" si="11"/>
        <v>385439999.99999994</v>
      </c>
      <c r="J62" s="13">
        <f t="shared" si="12"/>
        <v>262312042.34613788</v>
      </c>
    </row>
    <row r="63" spans="2:10" x14ac:dyDescent="0.2">
      <c r="B63" s="15">
        <v>2027</v>
      </c>
      <c r="C63" s="11"/>
      <c r="D63" s="11">
        <v>-916.0223751492191</v>
      </c>
      <c r="E63" s="11">
        <v>-21539183.492663994</v>
      </c>
      <c r="F63" s="16">
        <v>150774284.44864795</v>
      </c>
      <c r="G63" s="11">
        <f t="shared" si="10"/>
        <v>0</v>
      </c>
      <c r="H63" s="11">
        <v>0.6</v>
      </c>
      <c r="I63" s="11">
        <f t="shared" si="11"/>
        <v>420480000</v>
      </c>
      <c r="J63" s="13">
        <f t="shared" si="12"/>
        <v>287236728.34917182</v>
      </c>
    </row>
    <row r="64" spans="2:10" x14ac:dyDescent="0.2">
      <c r="B64" s="15">
        <v>2028</v>
      </c>
      <c r="C64" s="11"/>
      <c r="D64" s="11">
        <v>-961.82349390668014</v>
      </c>
      <c r="E64" s="11">
        <v>-21969967.162517276</v>
      </c>
      <c r="F64" s="16">
        <v>153789770.1376209</v>
      </c>
      <c r="G64" s="11">
        <f t="shared" si="10"/>
        <v>0</v>
      </c>
      <c r="H64" s="11">
        <v>0.65</v>
      </c>
      <c r="I64" s="11">
        <f t="shared" si="11"/>
        <v>455520000</v>
      </c>
      <c r="J64" s="13">
        <f t="shared" si="12"/>
        <v>312155331.13007194</v>
      </c>
    </row>
    <row r="65" spans="2:10" x14ac:dyDescent="0.2">
      <c r="B65" s="15">
        <v>2029</v>
      </c>
      <c r="C65" s="11"/>
      <c r="D65" s="11">
        <v>-1009.9146686020142</v>
      </c>
      <c r="E65" s="11">
        <v>-22409366.505767621</v>
      </c>
      <c r="F65" s="16">
        <v>156865565.54037333</v>
      </c>
      <c r="G65" s="11">
        <f t="shared" si="10"/>
        <v>0</v>
      </c>
      <c r="H65" s="11">
        <v>0.70000000000000007</v>
      </c>
      <c r="I65" s="11">
        <f t="shared" si="11"/>
        <v>490560000.00000012</v>
      </c>
      <c r="J65" s="13">
        <f t="shared" si="12"/>
        <v>337067728.97728598</v>
      </c>
    </row>
    <row r="66" spans="2:10" x14ac:dyDescent="0.2">
      <c r="B66" s="15">
        <v>2030</v>
      </c>
      <c r="C66" s="11"/>
      <c r="D66" s="11">
        <v>-1060.4104020321149</v>
      </c>
      <c r="E66" s="11">
        <v>-22857553.835882973</v>
      </c>
      <c r="F66" s="16">
        <v>160002876.85118079</v>
      </c>
      <c r="G66" s="11">
        <f t="shared" si="10"/>
        <v>0</v>
      </c>
      <c r="H66" s="11">
        <v>0.75000000000000011</v>
      </c>
      <c r="I66" s="11">
        <f t="shared" si="11"/>
        <v>525600000.00000012</v>
      </c>
      <c r="J66" s="13">
        <f t="shared" si="12"/>
        <v>361973797.74267483</v>
      </c>
    </row>
    <row r="67" spans="2:10" x14ac:dyDescent="0.2">
      <c r="B67" s="15">
        <v>2031</v>
      </c>
      <c r="C67" s="11"/>
      <c r="D67" s="11">
        <v>-1113.4309221337207</v>
      </c>
      <c r="E67" s="11">
        <v>-23314704.912600633</v>
      </c>
      <c r="F67" s="16">
        <v>163202934.3882044</v>
      </c>
      <c r="G67" s="11">
        <f t="shared" si="10"/>
        <v>0</v>
      </c>
      <c r="H67" s="11">
        <v>0.80000000000000016</v>
      </c>
      <c r="I67" s="11">
        <f t="shared" si="11"/>
        <v>560640000.00000012</v>
      </c>
      <c r="J67" s="13">
        <f t="shared" si="12"/>
        <v>386873410.79266369</v>
      </c>
    </row>
    <row r="68" spans="2:10" x14ac:dyDescent="0.2">
      <c r="B68" s="15">
        <v>2032</v>
      </c>
      <c r="C68" s="11"/>
      <c r="D68" s="11">
        <v>-1169.1024682404068</v>
      </c>
      <c r="E68" s="11">
        <v>-23780999.010852646</v>
      </c>
      <c r="F68" s="16">
        <v>166466993.07596847</v>
      </c>
      <c r="G68" s="11">
        <f t="shared" si="10"/>
        <v>0</v>
      </c>
      <c r="H68" s="11">
        <v>0.8500000000000002</v>
      </c>
      <c r="I68" s="11">
        <f t="shared" si="11"/>
        <v>595680000.00000012</v>
      </c>
      <c r="J68" s="13">
        <f t="shared" si="12"/>
        <v>411766438.95840901</v>
      </c>
    </row>
    <row r="69" spans="2:10" x14ac:dyDescent="0.2">
      <c r="B69" s="15">
        <v>2033</v>
      </c>
      <c r="C69" s="11"/>
      <c r="D69" s="11">
        <v>-1227.5575916524272</v>
      </c>
      <c r="E69" s="11">
        <v>-24256618.991069701</v>
      </c>
      <c r="F69" s="16">
        <v>169796332.93748784</v>
      </c>
      <c r="G69" s="11">
        <f t="shared" si="10"/>
        <v>0</v>
      </c>
      <c r="H69" s="11">
        <v>0.90000000000000024</v>
      </c>
      <c r="I69" s="11">
        <f t="shared" si="11"/>
        <v>630720000.00000012</v>
      </c>
      <c r="J69" s="13">
        <f t="shared" si="12"/>
        <v>436652750.48496389</v>
      </c>
    </row>
    <row r="70" spans="2:10" x14ac:dyDescent="0.2">
      <c r="B70" s="15">
        <v>2034</v>
      </c>
      <c r="C70" s="11"/>
      <c r="D70" s="11">
        <v>-1288.9354712350487</v>
      </c>
      <c r="E70" s="11">
        <v>-24741751.370891094</v>
      </c>
      <c r="F70" s="16">
        <v>173192259.5962376</v>
      </c>
      <c r="G70" s="11">
        <f t="shared" si="10"/>
        <v>0</v>
      </c>
      <c r="H70" s="11">
        <v>0.95000000000000029</v>
      </c>
      <c r="I70" s="11">
        <f t="shared" si="11"/>
        <v>665760000.00000024</v>
      </c>
      <c r="J70" s="13">
        <f t="shared" si="12"/>
        <v>461532210.97941929</v>
      </c>
    </row>
    <row r="71" spans="2:10" x14ac:dyDescent="0.2">
      <c r="B71" s="15">
        <v>2035</v>
      </c>
      <c r="C71" s="11"/>
      <c r="D71" s="11">
        <v>-1353.3822447968012</v>
      </c>
      <c r="E71" s="11">
        <v>-25236586.398308918</v>
      </c>
      <c r="F71" s="16">
        <v>176656104.78816235</v>
      </c>
      <c r="G71" s="11">
        <f t="shared" si="10"/>
        <v>0</v>
      </c>
      <c r="H71" s="11">
        <v>1.0000000000000002</v>
      </c>
      <c r="I71" s="11">
        <f t="shared" si="11"/>
        <v>700800000.00000012</v>
      </c>
      <c r="J71" s="13">
        <f t="shared" si="12"/>
        <v>486404683.35800141</v>
      </c>
    </row>
    <row r="72" spans="2:10" x14ac:dyDescent="0.2">
      <c r="B72" s="15">
        <v>2036</v>
      </c>
      <c r="C72" s="11"/>
      <c r="D72" s="11">
        <v>-1421.0513570366413</v>
      </c>
      <c r="E72" s="11">
        <v>-25741318.126275096</v>
      </c>
      <c r="F72" s="16">
        <v>180189226.88392559</v>
      </c>
      <c r="G72" s="11">
        <f t="shared" si="10"/>
        <v>0</v>
      </c>
      <c r="H72" s="11">
        <v>1.0500000000000003</v>
      </c>
      <c r="I72" s="11">
        <f t="shared" si="11"/>
        <v>735840000.00000012</v>
      </c>
      <c r="J72" s="13">
        <f t="shared" si="12"/>
        <v>511270027.79210496</v>
      </c>
    </row>
    <row r="73" spans="2:10" x14ac:dyDescent="0.2">
      <c r="B73" s="15">
        <v>2037</v>
      </c>
      <c r="C73" s="11"/>
      <c r="D73" s="11">
        <v>-1492.1039248884736</v>
      </c>
      <c r="E73" s="11">
        <v>-26256144.4888006</v>
      </c>
      <c r="F73" s="16">
        <v>183793011.4216041</v>
      </c>
      <c r="G73" s="11">
        <f t="shared" si="10"/>
        <v>0</v>
      </c>
      <c r="H73" s="11">
        <v>1.1000000000000003</v>
      </c>
      <c r="I73" s="11">
        <f t="shared" si="11"/>
        <v>770880000.00000024</v>
      </c>
      <c r="J73" s="13">
        <f t="shared" si="12"/>
        <v>536128101.65323776</v>
      </c>
    </row>
    <row r="74" spans="2:10" x14ac:dyDescent="0.2">
      <c r="B74" s="15">
        <v>2038</v>
      </c>
      <c r="C74" s="11"/>
      <c r="D74" s="11">
        <v>-1566.7091211328973</v>
      </c>
      <c r="E74" s="11">
        <v>-26781267.378576614</v>
      </c>
      <c r="F74" s="16">
        <v>187468871.65003619</v>
      </c>
      <c r="G74" s="11">
        <f t="shared" si="10"/>
        <v>0</v>
      </c>
      <c r="H74" s="11">
        <v>1.1500000000000004</v>
      </c>
      <c r="I74" s="11">
        <f t="shared" si="11"/>
        <v>805920000.00000024</v>
      </c>
      <c r="J74" s="13">
        <f t="shared" si="12"/>
        <v>560978759.4568578</v>
      </c>
    </row>
    <row r="76" spans="2:10" x14ac:dyDescent="0.2">
      <c r="B76" t="s">
        <v>3</v>
      </c>
    </row>
    <row r="77" spans="2:10" x14ac:dyDescent="0.2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">
      <c r="B78" s="12">
        <v>2018</v>
      </c>
      <c r="C78" s="11">
        <v>-79695000</v>
      </c>
      <c r="D78" s="14"/>
      <c r="E78" s="14"/>
      <c r="F78" s="14"/>
      <c r="G78" s="16"/>
      <c r="H78" s="14"/>
      <c r="I78" s="14"/>
      <c r="J78" s="13">
        <f>C78*$D$3</f>
        <v>-57380400</v>
      </c>
    </row>
    <row r="79" spans="2:10" x14ac:dyDescent="0.2">
      <c r="B79" s="15">
        <v>2019</v>
      </c>
      <c r="C79" s="11"/>
      <c r="D79" s="11">
        <v>-720</v>
      </c>
      <c r="E79" s="11">
        <v>-107372571.42857143</v>
      </c>
      <c r="F79" s="16">
        <v>751608000</v>
      </c>
      <c r="G79" s="11">
        <f t="shared" ref="G79:G98" si="13">$D$2*F79</f>
        <v>0</v>
      </c>
      <c r="H79" s="11">
        <v>0.2</v>
      </c>
      <c r="I79" s="11">
        <f>I55</f>
        <v>140160000</v>
      </c>
      <c r="J79" s="13">
        <f>(I79+D79+E79+G79)*$D$3</f>
        <v>23606430.171428569</v>
      </c>
    </row>
    <row r="80" spans="2:10" x14ac:dyDescent="0.2">
      <c r="B80" s="15">
        <v>2020</v>
      </c>
      <c r="C80" s="11"/>
      <c r="D80" s="11">
        <v>-756</v>
      </c>
      <c r="E80" s="11">
        <v>-109520022.85714287</v>
      </c>
      <c r="F80" s="16">
        <v>766640160</v>
      </c>
      <c r="G80" s="11">
        <f t="shared" si="13"/>
        <v>0</v>
      </c>
      <c r="H80" s="11">
        <v>0.25</v>
      </c>
      <c r="I80" s="11">
        <f t="shared" ref="I80:I98" si="14">I56</f>
        <v>175200000</v>
      </c>
      <c r="J80" s="13">
        <f t="shared" ref="J80:J98" si="15">(I80+D80+E80+G80)*$D$3</f>
        <v>47289039.222857133</v>
      </c>
    </row>
    <row r="81" spans="2:10" x14ac:dyDescent="0.2">
      <c r="B81" s="15">
        <v>2021</v>
      </c>
      <c r="C81" s="11"/>
      <c r="D81" s="11">
        <v>-793.80000000000007</v>
      </c>
      <c r="E81" s="11">
        <v>-111710423.31428573</v>
      </c>
      <c r="F81" s="16">
        <v>781972963.20000005</v>
      </c>
      <c r="G81" s="11">
        <f t="shared" si="13"/>
        <v>0</v>
      </c>
      <c r="H81" s="11">
        <v>0.3</v>
      </c>
      <c r="I81" s="11">
        <f t="shared" si="14"/>
        <v>210240000</v>
      </c>
      <c r="J81" s="13">
        <f t="shared" si="15"/>
        <v>70940723.677714273</v>
      </c>
    </row>
    <row r="82" spans="2:10" x14ac:dyDescent="0.2">
      <c r="B82" s="15">
        <v>2022</v>
      </c>
      <c r="C82" s="11"/>
      <c r="D82" s="11">
        <v>-833.49000000000012</v>
      </c>
      <c r="E82" s="11">
        <v>-113944631.78057145</v>
      </c>
      <c r="F82" s="16">
        <v>797612422.46400011</v>
      </c>
      <c r="G82" s="11">
        <f t="shared" si="13"/>
        <v>0</v>
      </c>
      <c r="H82" s="11">
        <v>0.35</v>
      </c>
      <c r="I82" s="11">
        <f t="shared" si="14"/>
        <v>245280000</v>
      </c>
      <c r="J82" s="13">
        <f t="shared" si="15"/>
        <v>94560865.005188555</v>
      </c>
    </row>
    <row r="83" spans="2:10" x14ac:dyDescent="0.2">
      <c r="B83" s="15">
        <v>2023</v>
      </c>
      <c r="C83" s="11"/>
      <c r="D83" s="11">
        <v>-875.1645000000002</v>
      </c>
      <c r="E83" s="11">
        <v>-116223524.41618288</v>
      </c>
      <c r="F83" s="16">
        <v>813564670.91328013</v>
      </c>
      <c r="G83" s="11">
        <f t="shared" si="13"/>
        <v>0</v>
      </c>
      <c r="H83" s="11">
        <v>0.39999999999999997</v>
      </c>
      <c r="I83" s="11">
        <f t="shared" si="14"/>
        <v>280319999.99999994</v>
      </c>
      <c r="J83" s="13">
        <f t="shared" si="15"/>
        <v>118148832.30190828</v>
      </c>
    </row>
    <row r="84" spans="2:10" x14ac:dyDescent="0.2">
      <c r="B84" s="15">
        <v>2024</v>
      </c>
      <c r="C84" s="11"/>
      <c r="D84" s="11">
        <v>-918.92272500000024</v>
      </c>
      <c r="E84" s="11">
        <v>-118547994.90450653</v>
      </c>
      <c r="F84" s="16">
        <v>829835964.33154571</v>
      </c>
      <c r="G84" s="11">
        <f t="shared" si="13"/>
        <v>0</v>
      </c>
      <c r="H84" s="11">
        <v>0.44999999999999996</v>
      </c>
      <c r="I84" s="11">
        <f t="shared" si="14"/>
        <v>315360000</v>
      </c>
      <c r="J84" s="13">
        <f t="shared" si="15"/>
        <v>141703982.04439327</v>
      </c>
    </row>
    <row r="85" spans="2:10" x14ac:dyDescent="0.2">
      <c r="B85" s="15">
        <v>2025</v>
      </c>
      <c r="C85" s="11"/>
      <c r="D85" s="11">
        <v>-964.86886125000035</v>
      </c>
      <c r="E85" s="11">
        <v>-120918954.80259667</v>
      </c>
      <c r="F85" s="16">
        <v>846432683.6181767</v>
      </c>
      <c r="G85" s="11">
        <f t="shared" si="13"/>
        <v>0</v>
      </c>
      <c r="H85" s="11">
        <v>0.49999999999999994</v>
      </c>
      <c r="I85" s="11">
        <f t="shared" si="14"/>
        <v>350399999.99999994</v>
      </c>
      <c r="J85" s="13">
        <f t="shared" si="15"/>
        <v>165225657.83655024</v>
      </c>
    </row>
    <row r="86" spans="2:10" x14ac:dyDescent="0.2">
      <c r="B86" s="15">
        <v>2026</v>
      </c>
      <c r="C86" s="11"/>
      <c r="D86" s="11">
        <v>-1013.1123043125004</v>
      </c>
      <c r="E86" s="11">
        <v>-123337333.8986486</v>
      </c>
      <c r="F86" s="16">
        <v>863361337.29054022</v>
      </c>
      <c r="G86" s="11">
        <f t="shared" si="13"/>
        <v>0</v>
      </c>
      <c r="H86" s="11">
        <v>0.54999999999999993</v>
      </c>
      <c r="I86" s="11">
        <f t="shared" si="14"/>
        <v>385439999.99999994</v>
      </c>
      <c r="J86" s="13">
        <f t="shared" si="15"/>
        <v>188713190.15211383</v>
      </c>
    </row>
    <row r="87" spans="2:10" x14ac:dyDescent="0.2">
      <c r="B87" s="15">
        <v>2027</v>
      </c>
      <c r="C87" s="11"/>
      <c r="D87" s="11">
        <v>-1063.7679195281255</v>
      </c>
      <c r="E87" s="11">
        <v>-125804080.57662158</v>
      </c>
      <c r="F87" s="16">
        <v>880628564.03635108</v>
      </c>
      <c r="G87" s="11">
        <f t="shared" si="13"/>
        <v>0</v>
      </c>
      <c r="H87" s="11">
        <v>0.6</v>
      </c>
      <c r="I87" s="11">
        <f t="shared" si="14"/>
        <v>420480000</v>
      </c>
      <c r="J87" s="13">
        <f t="shared" si="15"/>
        <v>212165896.07193038</v>
      </c>
    </row>
    <row r="88" spans="2:10" x14ac:dyDescent="0.2">
      <c r="B88" s="15">
        <v>2028</v>
      </c>
      <c r="C88" s="11"/>
      <c r="D88" s="11">
        <v>-1116.9563155045319</v>
      </c>
      <c r="E88" s="11">
        <v>-128320162.18815401</v>
      </c>
      <c r="F88" s="16">
        <v>898241135.31707811</v>
      </c>
      <c r="G88" s="11">
        <f t="shared" si="13"/>
        <v>0</v>
      </c>
      <c r="H88" s="11">
        <v>0.65</v>
      </c>
      <c r="I88" s="11">
        <f t="shared" si="14"/>
        <v>455520000</v>
      </c>
      <c r="J88" s="13">
        <f t="shared" si="15"/>
        <v>235583079.01598194</v>
      </c>
    </row>
    <row r="89" spans="2:10" x14ac:dyDescent="0.2">
      <c r="B89" s="15">
        <v>2029</v>
      </c>
      <c r="C89" s="11"/>
      <c r="D89" s="11">
        <v>-1172.8041312797584</v>
      </c>
      <c r="E89" s="11">
        <v>-130886565.4319171</v>
      </c>
      <c r="F89" s="16">
        <v>916205958.02341974</v>
      </c>
      <c r="G89" s="11">
        <f t="shared" si="13"/>
        <v>0</v>
      </c>
      <c r="H89" s="11">
        <v>0.70000000000000007</v>
      </c>
      <c r="I89" s="11">
        <f t="shared" si="14"/>
        <v>490560000.00000012</v>
      </c>
      <c r="J89" s="13">
        <f t="shared" si="15"/>
        <v>258964028.47004527</v>
      </c>
    </row>
    <row r="90" spans="2:10" x14ac:dyDescent="0.2">
      <c r="B90" s="15">
        <v>2030</v>
      </c>
      <c r="C90" s="11"/>
      <c r="D90" s="11">
        <v>-1231.4443378437463</v>
      </c>
      <c r="E90" s="11">
        <v>-133504296.74055545</v>
      </c>
      <c r="F90" s="16">
        <v>934530077.1838882</v>
      </c>
      <c r="G90" s="11">
        <f t="shared" si="13"/>
        <v>0</v>
      </c>
      <c r="H90" s="11">
        <v>0.75000000000000011</v>
      </c>
      <c r="I90" s="11">
        <f t="shared" si="14"/>
        <v>525600000.00000012</v>
      </c>
      <c r="J90" s="13">
        <f t="shared" si="15"/>
        <v>282308019.70687687</v>
      </c>
    </row>
    <row r="91" spans="2:10" x14ac:dyDescent="0.2">
      <c r="B91" s="15">
        <v>2031</v>
      </c>
      <c r="C91" s="11"/>
      <c r="D91" s="11">
        <v>-1293.0165547359336</v>
      </c>
      <c r="E91" s="11">
        <v>-136174382.67536655</v>
      </c>
      <c r="F91" s="16">
        <v>953220678.727566</v>
      </c>
      <c r="G91" s="11">
        <f t="shared" si="13"/>
        <v>0</v>
      </c>
      <c r="H91" s="11">
        <v>0.80000000000000016</v>
      </c>
      <c r="I91" s="11">
        <f t="shared" si="14"/>
        <v>560640000.00000012</v>
      </c>
      <c r="J91" s="13">
        <f t="shared" si="15"/>
        <v>305614313.50181681</v>
      </c>
    </row>
    <row r="92" spans="2:10" x14ac:dyDescent="0.2">
      <c r="B92" s="15">
        <v>2032</v>
      </c>
      <c r="C92" s="11"/>
      <c r="D92" s="11">
        <v>-1357.6673824727304</v>
      </c>
      <c r="E92" s="11">
        <v>-138897870.32887387</v>
      </c>
      <c r="F92" s="16">
        <v>972285092.30211735</v>
      </c>
      <c r="G92" s="11">
        <f t="shared" si="13"/>
        <v>0</v>
      </c>
      <c r="H92" s="11">
        <v>0.8500000000000002</v>
      </c>
      <c r="I92" s="11">
        <f t="shared" si="14"/>
        <v>595680000.00000012</v>
      </c>
      <c r="J92" s="13">
        <f t="shared" si="15"/>
        <v>328882155.84269547</v>
      </c>
    </row>
    <row r="93" spans="2:10" x14ac:dyDescent="0.2">
      <c r="B93" s="15">
        <v>2033</v>
      </c>
      <c r="C93" s="11"/>
      <c r="D93" s="11">
        <v>-1425.550751596367</v>
      </c>
      <c r="E93" s="11">
        <v>-141675827.73545134</v>
      </c>
      <c r="F93" s="16">
        <v>991730794.14815974</v>
      </c>
      <c r="G93" s="11">
        <f t="shared" si="13"/>
        <v>0</v>
      </c>
      <c r="H93" s="11">
        <v>0.90000000000000024</v>
      </c>
      <c r="I93" s="11">
        <f t="shared" si="14"/>
        <v>630720000.00000012</v>
      </c>
      <c r="J93" s="13">
        <f t="shared" si="15"/>
        <v>352110777.63393396</v>
      </c>
    </row>
    <row r="94" spans="2:10" x14ac:dyDescent="0.2">
      <c r="B94" s="15">
        <v>2034</v>
      </c>
      <c r="C94" s="11"/>
      <c r="D94" s="11">
        <v>-1496.8282891761855</v>
      </c>
      <c r="E94" s="11">
        <v>-144509344.29016036</v>
      </c>
      <c r="F94" s="16">
        <v>1011565410.0311229</v>
      </c>
      <c r="G94" s="11">
        <f t="shared" si="13"/>
        <v>0</v>
      </c>
      <c r="H94" s="11">
        <v>0.95000000000000029</v>
      </c>
      <c r="I94" s="11">
        <f t="shared" si="14"/>
        <v>665760000.00000024</v>
      </c>
      <c r="J94" s="13">
        <f t="shared" si="15"/>
        <v>375299394.3947165</v>
      </c>
    </row>
    <row r="95" spans="2:10" x14ac:dyDescent="0.2">
      <c r="B95" s="15">
        <v>2035</v>
      </c>
      <c r="C95" s="11"/>
      <c r="D95" s="11">
        <v>-1571.6697036349949</v>
      </c>
      <c r="E95" s="11">
        <v>-147399531.17596358</v>
      </c>
      <c r="F95" s="16">
        <v>1031796718.2317454</v>
      </c>
      <c r="G95" s="11">
        <f t="shared" si="13"/>
        <v>0</v>
      </c>
      <c r="H95" s="11">
        <v>1.0000000000000002</v>
      </c>
      <c r="I95" s="11">
        <f t="shared" si="14"/>
        <v>700800000.00000012</v>
      </c>
      <c r="J95" s="13">
        <f t="shared" si="15"/>
        <v>398447205.95111966</v>
      </c>
    </row>
    <row r="96" spans="2:10" x14ac:dyDescent="0.2">
      <c r="B96" s="15">
        <v>2036</v>
      </c>
      <c r="C96" s="11"/>
      <c r="D96" s="11">
        <v>-1650.2531888167448</v>
      </c>
      <c r="E96" s="11">
        <v>-150347521.79948285</v>
      </c>
      <c r="F96" s="16">
        <v>1052432652.5963802</v>
      </c>
      <c r="G96" s="11">
        <f t="shared" si="13"/>
        <v>0</v>
      </c>
      <c r="H96" s="11">
        <v>1.0500000000000003</v>
      </c>
      <c r="I96" s="11">
        <f t="shared" si="14"/>
        <v>735840000.00000012</v>
      </c>
      <c r="J96" s="13">
        <f t="shared" si="15"/>
        <v>421553396.12207645</v>
      </c>
    </row>
    <row r="97" spans="2:10" x14ac:dyDescent="0.2">
      <c r="B97" s="15">
        <v>2037</v>
      </c>
      <c r="C97" s="11"/>
      <c r="D97" s="11">
        <v>-1732.7658482575821</v>
      </c>
      <c r="E97" s="11">
        <v>-153354472.2354725</v>
      </c>
      <c r="F97" s="16">
        <v>1073481305.6483078</v>
      </c>
      <c r="G97" s="11">
        <f t="shared" si="13"/>
        <v>0</v>
      </c>
      <c r="H97" s="11">
        <v>1.1000000000000003</v>
      </c>
      <c r="I97" s="11">
        <f t="shared" si="14"/>
        <v>770880000.00000024</v>
      </c>
      <c r="J97" s="13">
        <f t="shared" si="15"/>
        <v>444617132.39904916</v>
      </c>
    </row>
    <row r="98" spans="2:10" x14ac:dyDescent="0.2">
      <c r="B98" s="15">
        <v>2038</v>
      </c>
      <c r="C98" s="11"/>
      <c r="D98" s="11">
        <v>-1819.4041406704612</v>
      </c>
      <c r="E98" s="11">
        <v>-156421561.68018195</v>
      </c>
      <c r="F98" s="16">
        <v>1094950931.7612739</v>
      </c>
      <c r="G98" s="11">
        <f t="shared" si="13"/>
        <v>0</v>
      </c>
      <c r="H98" s="11">
        <v>1.1500000000000004</v>
      </c>
      <c r="I98" s="11">
        <f t="shared" si="14"/>
        <v>805920000.00000024</v>
      </c>
      <c r="J98" s="13">
        <f t="shared" si="15"/>
        <v>467637565.61928779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Options Comparison</vt:lpstr>
      <vt:lpstr>Options for Report</vt:lpstr>
      <vt:lpstr>Present Worth</vt:lpstr>
      <vt:lpstr>EAC</vt:lpstr>
      <vt:lpstr>Present Worth (UK)</vt:lpstr>
      <vt:lpstr>Incremental Rate of Return</vt:lpstr>
      <vt:lpstr>Incremental Rate of Return (UK)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Stanislav Rashevskyi</cp:lastModifiedBy>
  <dcterms:created xsi:type="dcterms:W3CDTF">2018-04-11T17:41:20Z</dcterms:created>
  <dcterms:modified xsi:type="dcterms:W3CDTF">2018-04-17T05:18:06Z</dcterms:modified>
</cp:coreProperties>
</file>