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645a5a4c21b99ef9/Semester 7/Economics/"/>
    </mc:Choice>
  </mc:AlternateContent>
  <bookViews>
    <workbookView xWindow="0" yWindow="0" windowWidth="28800" windowHeight="12885" activeTab="2"/>
  </bookViews>
  <sheets>
    <sheet name="Options Comparison" sheetId="1" r:id="rId1"/>
    <sheet name="Options for Report" sheetId="2" r:id="rId2"/>
    <sheet name="Present Worth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J3" i="4"/>
  <c r="I3" i="4"/>
  <c r="E2" i="4"/>
  <c r="D2" i="4"/>
  <c r="C2" i="4"/>
  <c r="C4" i="4" s="1"/>
  <c r="B2" i="4"/>
  <c r="K51" i="4"/>
  <c r="J75" i="4"/>
  <c r="J76" i="4" s="1"/>
  <c r="K76" i="4" s="1"/>
  <c r="I75" i="4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L76" i="4"/>
  <c r="L77" i="4" s="1"/>
  <c r="H76" i="4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M75" i="4"/>
  <c r="J51" i="4"/>
  <c r="J52" i="4" s="1"/>
  <c r="K52" i="4" s="1"/>
  <c r="I51" i="4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L52" i="4"/>
  <c r="L53" i="4" s="1"/>
  <c r="H52" i="4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M51" i="4"/>
  <c r="J27" i="4"/>
  <c r="K27" i="4" s="1"/>
  <c r="I27" i="4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L28" i="4"/>
  <c r="M28" i="4" s="1"/>
  <c r="H28" i="4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M27" i="4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M3" i="4"/>
  <c r="L4" i="4"/>
  <c r="M4" i="4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E4" i="4"/>
  <c r="D4" i="4"/>
  <c r="B4" i="4"/>
  <c r="C11" i="2"/>
  <c r="D11" i="2"/>
  <c r="E11" i="2"/>
  <c r="B11" i="2"/>
  <c r="C10" i="2"/>
  <c r="D10" i="2"/>
  <c r="E10" i="2"/>
  <c r="B10" i="2"/>
  <c r="C9" i="2"/>
  <c r="D9" i="2"/>
  <c r="E9" i="2"/>
  <c r="B9" i="2"/>
  <c r="E2" i="2"/>
  <c r="D2" i="2"/>
  <c r="C2" i="2"/>
  <c r="B2" i="2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74" i="1"/>
  <c r="B82" i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76" i="1"/>
  <c r="B77" i="1" s="1"/>
  <c r="B78" i="1" s="1"/>
  <c r="B79" i="1" s="1"/>
  <c r="B80" i="1" s="1"/>
  <c r="B81" i="1" s="1"/>
  <c r="B75" i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I5" i="1"/>
  <c r="J5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I4" i="1"/>
  <c r="G4" i="1"/>
  <c r="I3" i="1"/>
  <c r="J3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I2" i="1"/>
  <c r="G2" i="1"/>
  <c r="E5" i="1"/>
  <c r="L5" i="1" s="1"/>
  <c r="E4" i="1"/>
  <c r="L4" i="1" s="1"/>
  <c r="D4" i="1"/>
  <c r="C4" i="1"/>
  <c r="E3" i="1"/>
  <c r="L3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D3" i="1"/>
  <c r="F3" i="1" s="1"/>
  <c r="E2" i="1"/>
  <c r="L2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C2" i="1"/>
  <c r="F2" i="1" s="1"/>
  <c r="B5" i="1"/>
  <c r="B4" i="1"/>
  <c r="B3" i="1"/>
  <c r="B2" i="1"/>
  <c r="N3" i="4" l="1"/>
  <c r="O3" i="4" s="1"/>
  <c r="K75" i="4"/>
  <c r="N75" i="4" s="1"/>
  <c r="O75" i="4" s="1"/>
  <c r="L29" i="4"/>
  <c r="M29" i="4" s="1"/>
  <c r="L78" i="4"/>
  <c r="M77" i="4"/>
  <c r="J77" i="4"/>
  <c r="K77" i="4" s="1"/>
  <c r="M76" i="4"/>
  <c r="N76" i="4" s="1"/>
  <c r="O76" i="4" s="1"/>
  <c r="L54" i="4"/>
  <c r="M53" i="4"/>
  <c r="N51" i="4"/>
  <c r="O51" i="4" s="1"/>
  <c r="J53" i="4"/>
  <c r="K53" i="4" s="1"/>
  <c r="M52" i="4"/>
  <c r="N52" i="4" s="1"/>
  <c r="O52" i="4" s="1"/>
  <c r="N27" i="4"/>
  <c r="O27" i="4" s="1"/>
  <c r="J28" i="4"/>
  <c r="K28" i="4" s="1"/>
  <c r="L5" i="4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M22" i="4" s="1"/>
  <c r="J4" i="4"/>
  <c r="K4" i="4" s="1"/>
  <c r="J4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J2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F5" i="1"/>
  <c r="K2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K5" i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K4" i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K3" i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F4" i="1"/>
  <c r="L30" i="4" l="1"/>
  <c r="M5" i="4"/>
  <c r="J78" i="4"/>
  <c r="K78" i="4" s="1"/>
  <c r="N77" i="4"/>
  <c r="O77" i="4" s="1"/>
  <c r="M78" i="4"/>
  <c r="L79" i="4"/>
  <c r="N53" i="4"/>
  <c r="O53" i="4" s="1"/>
  <c r="L55" i="4"/>
  <c r="M54" i="4"/>
  <c r="J54" i="4"/>
  <c r="K54" i="4" s="1"/>
  <c r="M30" i="4"/>
  <c r="L31" i="4"/>
  <c r="J29" i="4"/>
  <c r="K29" i="4" s="1"/>
  <c r="N28" i="4"/>
  <c r="O28" i="4" s="1"/>
  <c r="M16" i="4"/>
  <c r="M13" i="4"/>
  <c r="M6" i="4"/>
  <c r="M20" i="4"/>
  <c r="M17" i="4"/>
  <c r="M10" i="4"/>
  <c r="M7" i="4"/>
  <c r="M8" i="4"/>
  <c r="M21" i="4"/>
  <c r="M14" i="4"/>
  <c r="M11" i="4"/>
  <c r="M12" i="4"/>
  <c r="M9" i="4"/>
  <c r="M19" i="4"/>
  <c r="M18" i="4"/>
  <c r="M15" i="4"/>
  <c r="J5" i="4"/>
  <c r="K5" i="4" s="1"/>
  <c r="M79" i="4" l="1"/>
  <c r="L80" i="4"/>
  <c r="J79" i="4"/>
  <c r="K79" i="4" s="1"/>
  <c r="N78" i="4"/>
  <c r="O78" i="4" s="1"/>
  <c r="L56" i="4"/>
  <c r="M55" i="4"/>
  <c r="J55" i="4"/>
  <c r="K55" i="4" s="1"/>
  <c r="N54" i="4"/>
  <c r="O54" i="4" s="1"/>
  <c r="N4" i="4"/>
  <c r="O4" i="4" s="1"/>
  <c r="J30" i="4"/>
  <c r="K30" i="4" s="1"/>
  <c r="N29" i="4"/>
  <c r="O29" i="4" s="1"/>
  <c r="M31" i="4"/>
  <c r="L32" i="4"/>
  <c r="J6" i="4"/>
  <c r="K6" i="4" s="1"/>
  <c r="M80" i="4" l="1"/>
  <c r="L81" i="4"/>
  <c r="J80" i="4"/>
  <c r="K80" i="4" s="1"/>
  <c r="N79" i="4"/>
  <c r="O79" i="4" s="1"/>
  <c r="L57" i="4"/>
  <c r="M56" i="4"/>
  <c r="N55" i="4"/>
  <c r="O55" i="4" s="1"/>
  <c r="J56" i="4"/>
  <c r="K56" i="4" s="1"/>
  <c r="N5" i="4"/>
  <c r="O5" i="4" s="1"/>
  <c r="N30" i="4"/>
  <c r="O30" i="4" s="1"/>
  <c r="J31" i="4"/>
  <c r="K31" i="4" s="1"/>
  <c r="M32" i="4"/>
  <c r="L33" i="4"/>
  <c r="J7" i="4"/>
  <c r="K7" i="4" s="1"/>
  <c r="J81" i="4" l="1"/>
  <c r="K81" i="4" s="1"/>
  <c r="N80" i="4"/>
  <c r="O80" i="4" s="1"/>
  <c r="M81" i="4"/>
  <c r="L82" i="4"/>
  <c r="N56" i="4"/>
  <c r="O56" i="4" s="1"/>
  <c r="L58" i="4"/>
  <c r="M57" i="4"/>
  <c r="J57" i="4"/>
  <c r="K57" i="4" s="1"/>
  <c r="N6" i="4"/>
  <c r="O6" i="4" s="1"/>
  <c r="N31" i="4"/>
  <c r="O31" i="4" s="1"/>
  <c r="J32" i="4"/>
  <c r="K32" i="4" s="1"/>
  <c r="M33" i="4"/>
  <c r="L34" i="4"/>
  <c r="J8" i="4"/>
  <c r="K8" i="4" s="1"/>
  <c r="M82" i="4" l="1"/>
  <c r="L83" i="4"/>
  <c r="N81" i="4"/>
  <c r="O81" i="4" s="1"/>
  <c r="J82" i="4"/>
  <c r="K82" i="4" s="1"/>
  <c r="J58" i="4"/>
  <c r="K58" i="4" s="1"/>
  <c r="N57" i="4"/>
  <c r="O57" i="4" s="1"/>
  <c r="L59" i="4"/>
  <c r="M58" i="4"/>
  <c r="N7" i="4"/>
  <c r="O7" i="4" s="1"/>
  <c r="M34" i="4"/>
  <c r="L35" i="4"/>
  <c r="N32" i="4"/>
  <c r="O32" i="4" s="1"/>
  <c r="J33" i="4"/>
  <c r="K33" i="4" s="1"/>
  <c r="J9" i="4"/>
  <c r="K9" i="4" s="1"/>
  <c r="J83" i="4" l="1"/>
  <c r="K83" i="4" s="1"/>
  <c r="N82" i="4"/>
  <c r="O82" i="4" s="1"/>
  <c r="M83" i="4"/>
  <c r="L84" i="4"/>
  <c r="N58" i="4"/>
  <c r="O58" i="4" s="1"/>
  <c r="J59" i="4"/>
  <c r="K59" i="4" s="1"/>
  <c r="L60" i="4"/>
  <c r="M59" i="4"/>
  <c r="N8" i="4"/>
  <c r="O8" i="4" s="1"/>
  <c r="N33" i="4"/>
  <c r="O33" i="4" s="1"/>
  <c r="J34" i="4"/>
  <c r="K34" i="4" s="1"/>
  <c r="M35" i="4"/>
  <c r="L36" i="4"/>
  <c r="J10" i="4"/>
  <c r="K10" i="4" s="1"/>
  <c r="M84" i="4" l="1"/>
  <c r="L85" i="4"/>
  <c r="N83" i="4"/>
  <c r="O83" i="4" s="1"/>
  <c r="J84" i="4"/>
  <c r="K84" i="4" s="1"/>
  <c r="J60" i="4"/>
  <c r="K60" i="4" s="1"/>
  <c r="N59" i="4"/>
  <c r="O59" i="4" s="1"/>
  <c r="L61" i="4"/>
  <c r="M60" i="4"/>
  <c r="N9" i="4"/>
  <c r="O9" i="4" s="1"/>
  <c r="M36" i="4"/>
  <c r="L37" i="4"/>
  <c r="N34" i="4"/>
  <c r="O34" i="4" s="1"/>
  <c r="J35" i="4"/>
  <c r="K35" i="4" s="1"/>
  <c r="J11" i="4"/>
  <c r="K11" i="4" s="1"/>
  <c r="J85" i="4" l="1"/>
  <c r="K85" i="4" s="1"/>
  <c r="N84" i="4"/>
  <c r="O84" i="4" s="1"/>
  <c r="M85" i="4"/>
  <c r="L86" i="4"/>
  <c r="L62" i="4"/>
  <c r="M61" i="4"/>
  <c r="N60" i="4"/>
  <c r="O60" i="4" s="1"/>
  <c r="J61" i="4"/>
  <c r="K61" i="4" s="1"/>
  <c r="N10" i="4"/>
  <c r="O10" i="4" s="1"/>
  <c r="M37" i="4"/>
  <c r="L38" i="4"/>
  <c r="N35" i="4"/>
  <c r="O35" i="4" s="1"/>
  <c r="J36" i="4"/>
  <c r="K36" i="4" s="1"/>
  <c r="J12" i="4"/>
  <c r="K12" i="4" s="1"/>
  <c r="M86" i="4" l="1"/>
  <c r="L87" i="4"/>
  <c r="N85" i="4"/>
  <c r="O85" i="4" s="1"/>
  <c r="J86" i="4"/>
  <c r="K86" i="4" s="1"/>
  <c r="N61" i="4"/>
  <c r="O61" i="4" s="1"/>
  <c r="J62" i="4"/>
  <c r="K62" i="4" s="1"/>
  <c r="L63" i="4"/>
  <c r="M62" i="4"/>
  <c r="N11" i="4"/>
  <c r="O11" i="4" s="1"/>
  <c r="M38" i="4"/>
  <c r="L39" i="4"/>
  <c r="N36" i="4"/>
  <c r="O36" i="4" s="1"/>
  <c r="J37" i="4"/>
  <c r="K37" i="4" s="1"/>
  <c r="J13" i="4"/>
  <c r="K13" i="4" s="1"/>
  <c r="J87" i="4" l="1"/>
  <c r="K87" i="4" s="1"/>
  <c r="N86" i="4"/>
  <c r="O86" i="4" s="1"/>
  <c r="L88" i="4"/>
  <c r="M87" i="4"/>
  <c r="L64" i="4"/>
  <c r="M63" i="4"/>
  <c r="N62" i="4"/>
  <c r="O62" i="4" s="1"/>
  <c r="J63" i="4"/>
  <c r="K63" i="4" s="1"/>
  <c r="N12" i="4"/>
  <c r="O12" i="4" s="1"/>
  <c r="N37" i="4"/>
  <c r="O37" i="4" s="1"/>
  <c r="J38" i="4"/>
  <c r="K38" i="4" s="1"/>
  <c r="M39" i="4"/>
  <c r="L40" i="4"/>
  <c r="J14" i="4"/>
  <c r="K14" i="4" s="1"/>
  <c r="L89" i="4" l="1"/>
  <c r="M88" i="4"/>
  <c r="J88" i="4"/>
  <c r="K88" i="4" s="1"/>
  <c r="N87" i="4"/>
  <c r="O87" i="4" s="1"/>
  <c r="J64" i="4"/>
  <c r="K64" i="4" s="1"/>
  <c r="N63" i="4"/>
  <c r="O63" i="4" s="1"/>
  <c r="L65" i="4"/>
  <c r="M64" i="4"/>
  <c r="N13" i="4"/>
  <c r="O13" i="4" s="1"/>
  <c r="M40" i="4"/>
  <c r="L41" i="4"/>
  <c r="N38" i="4"/>
  <c r="O38" i="4" s="1"/>
  <c r="J39" i="4"/>
  <c r="K39" i="4" s="1"/>
  <c r="J15" i="4"/>
  <c r="K15" i="4" s="1"/>
  <c r="J89" i="4" l="1"/>
  <c r="K89" i="4" s="1"/>
  <c r="N88" i="4"/>
  <c r="O88" i="4" s="1"/>
  <c r="M89" i="4"/>
  <c r="L90" i="4"/>
  <c r="L66" i="4"/>
  <c r="M65" i="4"/>
  <c r="N64" i="4"/>
  <c r="O64" i="4" s="1"/>
  <c r="J65" i="4"/>
  <c r="K65" i="4" s="1"/>
  <c r="N14" i="4"/>
  <c r="O14" i="4" s="1"/>
  <c r="M41" i="4"/>
  <c r="L42" i="4"/>
  <c r="N39" i="4"/>
  <c r="O39" i="4" s="1"/>
  <c r="J40" i="4"/>
  <c r="K40" i="4" s="1"/>
  <c r="J16" i="4"/>
  <c r="K16" i="4" s="1"/>
  <c r="M90" i="4" l="1"/>
  <c r="L91" i="4"/>
  <c r="J90" i="4"/>
  <c r="K90" i="4" s="1"/>
  <c r="N89" i="4"/>
  <c r="O89" i="4" s="1"/>
  <c r="J66" i="4"/>
  <c r="K66" i="4" s="1"/>
  <c r="N65" i="4"/>
  <c r="O65" i="4" s="1"/>
  <c r="L67" i="4"/>
  <c r="M66" i="4"/>
  <c r="N15" i="4"/>
  <c r="O15" i="4" s="1"/>
  <c r="M42" i="4"/>
  <c r="L43" i="4"/>
  <c r="J41" i="4"/>
  <c r="K41" i="4" s="1"/>
  <c r="N40" i="4"/>
  <c r="O40" i="4" s="1"/>
  <c r="J17" i="4"/>
  <c r="K17" i="4" s="1"/>
  <c r="J91" i="4" l="1"/>
  <c r="K91" i="4" s="1"/>
  <c r="N90" i="4"/>
  <c r="O90" i="4" s="1"/>
  <c r="M91" i="4"/>
  <c r="L92" i="4"/>
  <c r="L68" i="4"/>
  <c r="M67" i="4"/>
  <c r="N66" i="4"/>
  <c r="O66" i="4" s="1"/>
  <c r="J67" i="4"/>
  <c r="K67" i="4" s="1"/>
  <c r="N16" i="4"/>
  <c r="O16" i="4" s="1"/>
  <c r="M43" i="4"/>
  <c r="L44" i="4"/>
  <c r="J42" i="4"/>
  <c r="K42" i="4" s="1"/>
  <c r="N41" i="4"/>
  <c r="O41" i="4" s="1"/>
  <c r="J18" i="4"/>
  <c r="K18" i="4" s="1"/>
  <c r="M92" i="4" l="1"/>
  <c r="L93" i="4"/>
  <c r="N91" i="4"/>
  <c r="O91" i="4" s="1"/>
  <c r="J92" i="4"/>
  <c r="K92" i="4" s="1"/>
  <c r="J68" i="4"/>
  <c r="K68" i="4" s="1"/>
  <c r="N67" i="4"/>
  <c r="O67" i="4" s="1"/>
  <c r="L69" i="4"/>
  <c r="M68" i="4"/>
  <c r="N17" i="4"/>
  <c r="O17" i="4" s="1"/>
  <c r="J43" i="4"/>
  <c r="K43" i="4" s="1"/>
  <c r="N42" i="4"/>
  <c r="O42" i="4" s="1"/>
  <c r="M44" i="4"/>
  <c r="L45" i="4"/>
  <c r="J19" i="4"/>
  <c r="K19" i="4" s="1"/>
  <c r="J93" i="4" l="1"/>
  <c r="K93" i="4" s="1"/>
  <c r="N92" i="4"/>
  <c r="O92" i="4" s="1"/>
  <c r="M93" i="4"/>
  <c r="L94" i="4"/>
  <c r="M94" i="4" s="1"/>
  <c r="J69" i="4"/>
  <c r="K69" i="4" s="1"/>
  <c r="L70" i="4"/>
  <c r="M70" i="4" s="1"/>
  <c r="M69" i="4"/>
  <c r="N68" i="4"/>
  <c r="O68" i="4" s="1"/>
  <c r="N18" i="4"/>
  <c r="O18" i="4" s="1"/>
  <c r="M45" i="4"/>
  <c r="L46" i="4"/>
  <c r="M46" i="4" s="1"/>
  <c r="N43" i="4"/>
  <c r="O43" i="4" s="1"/>
  <c r="J44" i="4"/>
  <c r="K44" i="4" s="1"/>
  <c r="J20" i="4"/>
  <c r="K20" i="4" s="1"/>
  <c r="J94" i="4" l="1"/>
  <c r="N93" i="4"/>
  <c r="O93" i="4" s="1"/>
  <c r="J70" i="4"/>
  <c r="N69" i="4"/>
  <c r="O69" i="4" s="1"/>
  <c r="N19" i="4"/>
  <c r="O19" i="4" s="1"/>
  <c r="J45" i="4"/>
  <c r="K45" i="4" s="1"/>
  <c r="N44" i="4"/>
  <c r="O44" i="4" s="1"/>
  <c r="J21" i="4"/>
  <c r="K21" i="4" s="1"/>
  <c r="K70" i="4" l="1"/>
  <c r="N70" i="4" s="1"/>
  <c r="O70" i="4" s="1"/>
  <c r="O71" i="4" s="1"/>
  <c r="K94" i="4"/>
  <c r="N94" i="4" s="1"/>
  <c r="O94" i="4" s="1"/>
  <c r="O95" i="4" s="1"/>
  <c r="N20" i="4"/>
  <c r="O20" i="4" s="1"/>
  <c r="N45" i="4"/>
  <c r="O45" i="4" s="1"/>
  <c r="J46" i="4"/>
  <c r="J22" i="4"/>
  <c r="K22" i="4" s="1"/>
  <c r="E15" i="4" l="1"/>
  <c r="E14" i="4"/>
  <c r="D15" i="4"/>
  <c r="D14" i="4"/>
  <c r="K46" i="4"/>
  <c r="N46" i="4" s="1"/>
  <c r="O46" i="4" s="1"/>
  <c r="O47" i="4" s="1"/>
  <c r="N21" i="4"/>
  <c r="O21" i="4" s="1"/>
  <c r="N22" i="4"/>
  <c r="O22" i="4" s="1"/>
  <c r="C15" i="4" l="1"/>
  <c r="C14" i="4"/>
  <c r="O23" i="4"/>
  <c r="B15" i="4" l="1"/>
  <c r="B14" i="4"/>
</calcChain>
</file>

<file path=xl/sharedStrings.xml><?xml version="1.0" encoding="utf-8"?>
<sst xmlns="http://schemas.openxmlformats.org/spreadsheetml/2006/main" count="101" uniqueCount="41">
  <si>
    <t>Option</t>
  </si>
  <si>
    <t>Capital Cost (2018)</t>
  </si>
  <si>
    <t>Wind + Diesel</t>
  </si>
  <si>
    <t>Solar + Diesel</t>
  </si>
  <si>
    <t>Solar + Wind + Diesel</t>
  </si>
  <si>
    <t>Diesel</t>
  </si>
  <si>
    <t>Solar Energy (kWh)</t>
  </si>
  <si>
    <t>Wind Energy (kWh)</t>
  </si>
  <si>
    <t>Diesel Energy (kWh)</t>
  </si>
  <si>
    <t>Total Energy (kWh)</t>
  </si>
  <si>
    <t>Wind Maintenance (2018)</t>
  </si>
  <si>
    <t>Solar Maintenance (2018)</t>
  </si>
  <si>
    <t>Diesel Maintenance (2018)</t>
  </si>
  <si>
    <t>Total Maintenance (2018)</t>
  </si>
  <si>
    <t>Diesel cost/litre</t>
  </si>
  <si>
    <t>Diesel Energy/litre (kWh)</t>
  </si>
  <si>
    <t>Diesel Energy Production Figures</t>
  </si>
  <si>
    <t>CO2/kWh (kg)</t>
  </si>
  <si>
    <t>Diesel Fuel Cost (2018)</t>
  </si>
  <si>
    <t>Maintenance Costs</t>
  </si>
  <si>
    <t>CO2 Emissions</t>
  </si>
  <si>
    <t>kg CO2 Emissions (2018)</t>
  </si>
  <si>
    <t>Diesel Fuel Costs</t>
  </si>
  <si>
    <t>Energy Sales Revenue</t>
  </si>
  <si>
    <t>Selling Price ($/kWh)</t>
  </si>
  <si>
    <t>Total Revenue</t>
  </si>
  <si>
    <t>Capital Cost</t>
  </si>
  <si>
    <t>CTF</t>
  </si>
  <si>
    <t>Present Worth</t>
  </si>
  <si>
    <t>Maintenance</t>
  </si>
  <si>
    <t>Carbon Tax Cost</t>
  </si>
  <si>
    <t>CO2 Output (kg)</t>
  </si>
  <si>
    <t>Energy Price / kWh</t>
  </si>
  <si>
    <t>Income - Expenses</t>
  </si>
  <si>
    <t>Energy Produced</t>
  </si>
  <si>
    <t>Tax Rate</t>
  </si>
  <si>
    <t>MARR after tax</t>
  </si>
  <si>
    <t>Diesel Fuel Cost</t>
  </si>
  <si>
    <t>Carbon tax per kg</t>
  </si>
  <si>
    <t>Total Present Worth</t>
  </si>
  <si>
    <t>Annuities Present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</si>
</sst>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44" fontId="0" fillId="0" borderId="0" xfId="1" applyFont="1"/>
    <xf numFmtId="0" fontId="2" fillId="0" borderId="0" xfId="0" applyFont="1"/>
    <xf numFmtId="8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Font="1"/>
    <xf numFmtId="44" fontId="0" fillId="0" borderId="0" xfId="0" applyNumberFormat="1" applyFont="1"/>
    <xf numFmtId="1" fontId="0" fillId="0" borderId="0" xfId="0" applyNumberFormat="1"/>
    <xf numFmtId="44" fontId="0" fillId="0" borderId="0" xfId="0" applyNumberFormat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44" fontId="0" fillId="0" borderId="1" xfId="1" applyFont="1" applyBorder="1"/>
    <xf numFmtId="0" fontId="0" fillId="0" borderId="1" xfId="0" applyBorder="1"/>
    <xf numFmtId="44" fontId="0" fillId="0" borderId="1" xfId="0" applyNumberFormat="1" applyBorder="1"/>
    <xf numFmtId="0" fontId="2" fillId="0" borderId="1" xfId="0" applyFont="1" applyBorder="1"/>
    <xf numFmtId="0" fontId="0" fillId="0" borderId="1" xfId="0" applyFont="1" applyBorder="1"/>
    <xf numFmtId="1" fontId="0" fillId="0" borderId="1" xfId="1" applyNumberFormat="1" applyFont="1" applyBorder="1"/>
    <xf numFmtId="0" fontId="3" fillId="0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workbookViewId="0">
      <selection activeCell="G18" sqref="G18"/>
    </sheetView>
  </sheetViews>
  <sheetFormatPr defaultRowHeight="15" x14ac:dyDescent="0.25"/>
  <cols>
    <col min="1" max="1" width="20.85546875" bestFit="1" customWidth="1"/>
    <col min="2" max="2" width="19.28515625" bestFit="1" customWidth="1"/>
    <col min="3" max="3" width="20.42578125" bestFit="1" customWidth="1"/>
    <col min="4" max="4" width="20.140625" bestFit="1" customWidth="1"/>
    <col min="5" max="5" width="20.85546875" bestFit="1" customWidth="1"/>
    <col min="6" max="6" width="20.140625" bestFit="1" customWidth="1"/>
    <col min="7" max="7" width="25.7109375" bestFit="1" customWidth="1"/>
    <col min="8" max="8" width="26.5703125" bestFit="1" customWidth="1"/>
    <col min="9" max="9" width="27.28515625" bestFit="1" customWidth="1"/>
    <col min="10" max="10" width="26.5703125" bestFit="1" customWidth="1"/>
    <col min="11" max="11" width="23" bestFit="1" customWidth="1"/>
    <col min="12" max="12" width="24.5703125" bestFit="1" customWidth="1"/>
    <col min="14" max="14" width="15.28515625" bestFit="1" customWidth="1"/>
    <col min="15" max="15" width="23.85546875" bestFit="1" customWidth="1"/>
    <col min="16" max="16" width="13.42578125" bestFit="1" customWidth="1"/>
  </cols>
  <sheetData>
    <row r="1" spans="1:16" ht="15.75" x14ac:dyDescent="0.25">
      <c r="A1" s="1" t="s">
        <v>0</v>
      </c>
      <c r="B1" s="1" t="s">
        <v>1</v>
      </c>
      <c r="C1" s="1" t="s">
        <v>7</v>
      </c>
      <c r="D1" s="1" t="s">
        <v>6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18</v>
      </c>
      <c r="L1" s="1" t="s">
        <v>21</v>
      </c>
      <c r="N1" s="5" t="s">
        <v>16</v>
      </c>
      <c r="O1" s="5"/>
      <c r="P1" s="5"/>
    </row>
    <row r="2" spans="1:16" x14ac:dyDescent="0.25">
      <c r="A2" s="3" t="s">
        <v>2</v>
      </c>
      <c r="B2" s="2">
        <f>94210*10^3</f>
        <v>94210000</v>
      </c>
      <c r="C2">
        <f>37*10^3</f>
        <v>37000</v>
      </c>
      <c r="D2">
        <v>0</v>
      </c>
      <c r="E2">
        <f>43*10^3</f>
        <v>43000</v>
      </c>
      <c r="F2">
        <f>SUM(C2:E2)</f>
        <v>80000</v>
      </c>
      <c r="G2" s="2">
        <f>1.2*10^2</f>
        <v>120</v>
      </c>
      <c r="H2" s="2">
        <v>0</v>
      </c>
      <c r="I2" s="2">
        <f>6.5*10^2</f>
        <v>650</v>
      </c>
      <c r="J2" s="2">
        <f>SUM(G2:I2)</f>
        <v>770</v>
      </c>
      <c r="K2" s="2">
        <f>$N$3*(E2/$O$3)</f>
        <v>7985.7142857142862</v>
      </c>
      <c r="L2">
        <f>$P$3*E2</f>
        <v>55900</v>
      </c>
      <c r="N2" t="s">
        <v>14</v>
      </c>
      <c r="O2" t="s">
        <v>15</v>
      </c>
      <c r="P2" t="s">
        <v>17</v>
      </c>
    </row>
    <row r="3" spans="1:16" x14ac:dyDescent="0.25">
      <c r="A3" s="3" t="s">
        <v>3</v>
      </c>
      <c r="B3" s="2">
        <f>100625*10^3</f>
        <v>100625000</v>
      </c>
      <c r="C3">
        <v>0</v>
      </c>
      <c r="D3">
        <f>14*10^3</f>
        <v>14000</v>
      </c>
      <c r="E3">
        <f>66*10^3</f>
        <v>66000</v>
      </c>
      <c r="F3">
        <f t="shared" ref="F3:F5" si="0">SUM(C3:E3)</f>
        <v>80000</v>
      </c>
      <c r="G3" s="2">
        <v>0</v>
      </c>
      <c r="H3" s="2">
        <v>0</v>
      </c>
      <c r="I3" s="2">
        <f>7.2*10^2</f>
        <v>720</v>
      </c>
      <c r="J3" s="2">
        <f t="shared" ref="J3:J5" si="1">SUM(G3:I3)</f>
        <v>720</v>
      </c>
      <c r="K3" s="2">
        <f>$N$3*(E3/$O$3)</f>
        <v>12257.142857142859</v>
      </c>
      <c r="L3">
        <f>$P$3*E3</f>
        <v>85800</v>
      </c>
      <c r="N3" s="4">
        <v>1.3</v>
      </c>
      <c r="O3">
        <v>7</v>
      </c>
      <c r="P3">
        <v>1.3</v>
      </c>
    </row>
    <row r="4" spans="1:16" x14ac:dyDescent="0.25">
      <c r="A4" s="3" t="s">
        <v>4</v>
      </c>
      <c r="B4" s="2">
        <f>96548*10^3</f>
        <v>96548000</v>
      </c>
      <c r="C4">
        <f>42*10^3</f>
        <v>42000</v>
      </c>
      <c r="D4">
        <f>26.7*10^3</f>
        <v>26700</v>
      </c>
      <c r="E4">
        <f>11.3*10^3</f>
        <v>11300</v>
      </c>
      <c r="F4">
        <f t="shared" si="0"/>
        <v>80000</v>
      </c>
      <c r="G4" s="2">
        <f>1.2*10^2</f>
        <v>120</v>
      </c>
      <c r="H4" s="2">
        <v>0</v>
      </c>
      <c r="I4" s="2">
        <f>5*10^2</f>
        <v>500</v>
      </c>
      <c r="J4" s="2">
        <f t="shared" si="1"/>
        <v>620</v>
      </c>
      <c r="K4" s="2">
        <f>$N$3*(E4/$O$3)</f>
        <v>2098.5714285714284</v>
      </c>
      <c r="L4">
        <f>$P$3*E4</f>
        <v>14690</v>
      </c>
    </row>
    <row r="5" spans="1:16" x14ac:dyDescent="0.25">
      <c r="A5" s="3" t="s">
        <v>5</v>
      </c>
      <c r="B5" s="2">
        <f>56000*10^3</f>
        <v>56000000</v>
      </c>
      <c r="C5">
        <v>0</v>
      </c>
      <c r="D5">
        <v>0</v>
      </c>
      <c r="E5">
        <f>80*10^3</f>
        <v>80000</v>
      </c>
      <c r="F5">
        <f t="shared" si="0"/>
        <v>80000</v>
      </c>
      <c r="G5" s="2">
        <v>0</v>
      </c>
      <c r="H5" s="2">
        <v>0</v>
      </c>
      <c r="I5" s="2">
        <f>10.4*10^2</f>
        <v>1040</v>
      </c>
      <c r="J5" s="2">
        <f t="shared" si="1"/>
        <v>1040</v>
      </c>
      <c r="K5" s="2">
        <f>$N$3*(E5/$O$3)</f>
        <v>14857.142857142859</v>
      </c>
      <c r="L5">
        <f>$P$3*E5</f>
        <v>104000</v>
      </c>
    </row>
    <row r="7" spans="1:16" x14ac:dyDescent="0.25">
      <c r="A7" s="3" t="s">
        <v>19</v>
      </c>
      <c r="B7" s="3" t="s">
        <v>2</v>
      </c>
      <c r="C7" s="3" t="s">
        <v>3</v>
      </c>
      <c r="D7" s="3" t="s">
        <v>4</v>
      </c>
      <c r="E7" s="3" t="s">
        <v>5</v>
      </c>
    </row>
    <row r="8" spans="1:16" x14ac:dyDescent="0.25">
      <c r="A8" s="6">
        <v>2019</v>
      </c>
      <c r="B8" s="7">
        <f>$J$2</f>
        <v>770</v>
      </c>
      <c r="C8" s="7">
        <f>$J$3</f>
        <v>720</v>
      </c>
      <c r="D8" s="7">
        <f>$J$4</f>
        <v>620</v>
      </c>
      <c r="E8" s="7">
        <f>$J$5</f>
        <v>1040</v>
      </c>
    </row>
    <row r="9" spans="1:16" x14ac:dyDescent="0.25">
      <c r="A9" s="6">
        <v>2020</v>
      </c>
      <c r="B9" s="7">
        <f>B8*1.05</f>
        <v>808.5</v>
      </c>
      <c r="C9" s="7">
        <f t="shared" ref="C9:E24" si="2">C8*1.05</f>
        <v>756</v>
      </c>
      <c r="D9" s="7">
        <f t="shared" si="2"/>
        <v>651</v>
      </c>
      <c r="E9" s="7">
        <f t="shared" si="2"/>
        <v>1092</v>
      </c>
    </row>
    <row r="10" spans="1:16" x14ac:dyDescent="0.25">
      <c r="A10" s="6">
        <v>2021</v>
      </c>
      <c r="B10" s="7">
        <f t="shared" ref="B10:B27" si="3">B9*1.05</f>
        <v>848.92500000000007</v>
      </c>
      <c r="C10" s="7">
        <f t="shared" si="2"/>
        <v>793.80000000000007</v>
      </c>
      <c r="D10" s="7">
        <f t="shared" si="2"/>
        <v>683.55000000000007</v>
      </c>
      <c r="E10" s="7">
        <f t="shared" si="2"/>
        <v>1146.6000000000001</v>
      </c>
    </row>
    <row r="11" spans="1:16" x14ac:dyDescent="0.25">
      <c r="A11" s="6">
        <v>2022</v>
      </c>
      <c r="B11" s="7">
        <f t="shared" si="3"/>
        <v>891.37125000000015</v>
      </c>
      <c r="C11" s="7">
        <f t="shared" si="2"/>
        <v>833.49000000000012</v>
      </c>
      <c r="D11" s="7">
        <f t="shared" si="2"/>
        <v>717.72750000000008</v>
      </c>
      <c r="E11" s="7">
        <f t="shared" si="2"/>
        <v>1203.9300000000003</v>
      </c>
    </row>
    <row r="12" spans="1:16" x14ac:dyDescent="0.25">
      <c r="A12" s="6">
        <v>2023</v>
      </c>
      <c r="B12" s="7">
        <f t="shared" si="3"/>
        <v>935.93981250000024</v>
      </c>
      <c r="C12" s="7">
        <f t="shared" si="2"/>
        <v>875.1645000000002</v>
      </c>
      <c r="D12" s="7">
        <f t="shared" si="2"/>
        <v>753.61387500000012</v>
      </c>
      <c r="E12" s="7">
        <f t="shared" si="2"/>
        <v>1264.1265000000003</v>
      </c>
    </row>
    <row r="13" spans="1:16" x14ac:dyDescent="0.25">
      <c r="A13" s="6">
        <v>2024</v>
      </c>
      <c r="B13" s="7">
        <f t="shared" si="3"/>
        <v>982.73680312500028</v>
      </c>
      <c r="C13" s="7">
        <f t="shared" si="2"/>
        <v>918.92272500000024</v>
      </c>
      <c r="D13" s="7">
        <f t="shared" si="2"/>
        <v>791.29456875000017</v>
      </c>
      <c r="E13" s="7">
        <f t="shared" si="2"/>
        <v>1327.3328250000004</v>
      </c>
    </row>
    <row r="14" spans="1:16" x14ac:dyDescent="0.25">
      <c r="A14" s="6">
        <v>2025</v>
      </c>
      <c r="B14" s="7">
        <f t="shared" si="3"/>
        <v>1031.8736432812502</v>
      </c>
      <c r="C14" s="7">
        <f t="shared" si="2"/>
        <v>964.86886125000035</v>
      </c>
      <c r="D14" s="7">
        <f t="shared" si="2"/>
        <v>830.85929718750026</v>
      </c>
      <c r="E14" s="7">
        <f t="shared" si="2"/>
        <v>1393.6994662500006</v>
      </c>
    </row>
    <row r="15" spans="1:16" x14ac:dyDescent="0.25">
      <c r="A15" s="6">
        <v>2026</v>
      </c>
      <c r="B15" s="7">
        <f t="shared" si="3"/>
        <v>1083.4673254453128</v>
      </c>
      <c r="C15" s="7">
        <f t="shared" si="2"/>
        <v>1013.1123043125004</v>
      </c>
      <c r="D15" s="7">
        <f t="shared" si="2"/>
        <v>872.40226204687531</v>
      </c>
      <c r="E15" s="7">
        <f t="shared" si="2"/>
        <v>1463.3844395625006</v>
      </c>
    </row>
    <row r="16" spans="1:16" x14ac:dyDescent="0.25">
      <c r="A16" s="6">
        <v>2027</v>
      </c>
      <c r="B16" s="7">
        <f t="shared" si="3"/>
        <v>1137.6406917175784</v>
      </c>
      <c r="C16" s="7">
        <f t="shared" si="2"/>
        <v>1063.7679195281255</v>
      </c>
      <c r="D16" s="7">
        <f t="shared" si="2"/>
        <v>916.0223751492191</v>
      </c>
      <c r="E16" s="7">
        <f t="shared" si="2"/>
        <v>1536.5536615406256</v>
      </c>
    </row>
    <row r="17" spans="1:5" x14ac:dyDescent="0.25">
      <c r="A17" s="6">
        <v>2028</v>
      </c>
      <c r="B17" s="7">
        <f t="shared" si="3"/>
        <v>1194.5227263034574</v>
      </c>
      <c r="C17" s="7">
        <f t="shared" si="2"/>
        <v>1116.9563155045319</v>
      </c>
      <c r="D17" s="7">
        <f t="shared" si="2"/>
        <v>961.82349390668014</v>
      </c>
      <c r="E17" s="7">
        <f t="shared" si="2"/>
        <v>1613.3813446176571</v>
      </c>
    </row>
    <row r="18" spans="1:5" x14ac:dyDescent="0.25">
      <c r="A18" s="6">
        <v>2029</v>
      </c>
      <c r="B18" s="7">
        <f t="shared" si="3"/>
        <v>1254.2488626186303</v>
      </c>
      <c r="C18" s="7">
        <f t="shared" si="2"/>
        <v>1172.8041312797584</v>
      </c>
      <c r="D18" s="7">
        <f t="shared" si="2"/>
        <v>1009.9146686020142</v>
      </c>
      <c r="E18" s="7">
        <f t="shared" si="2"/>
        <v>1694.0504118485401</v>
      </c>
    </row>
    <row r="19" spans="1:5" x14ac:dyDescent="0.25">
      <c r="A19" s="6">
        <v>2030</v>
      </c>
      <c r="B19" s="7">
        <f t="shared" si="3"/>
        <v>1316.9613057495619</v>
      </c>
      <c r="C19" s="7">
        <f t="shared" si="2"/>
        <v>1231.4443378437463</v>
      </c>
      <c r="D19" s="7">
        <f t="shared" si="2"/>
        <v>1060.4104020321149</v>
      </c>
      <c r="E19" s="7">
        <f t="shared" si="2"/>
        <v>1778.7529324409672</v>
      </c>
    </row>
    <row r="20" spans="1:5" x14ac:dyDescent="0.25">
      <c r="A20" s="6">
        <v>2031</v>
      </c>
      <c r="B20" s="7">
        <f t="shared" si="3"/>
        <v>1382.8093710370401</v>
      </c>
      <c r="C20" s="7">
        <f t="shared" si="2"/>
        <v>1293.0165547359336</v>
      </c>
      <c r="D20" s="7">
        <f t="shared" si="2"/>
        <v>1113.4309221337207</v>
      </c>
      <c r="E20" s="7">
        <f t="shared" si="2"/>
        <v>1867.6905790630158</v>
      </c>
    </row>
    <row r="21" spans="1:5" x14ac:dyDescent="0.25">
      <c r="A21" s="6">
        <v>2032</v>
      </c>
      <c r="B21" s="7">
        <f t="shared" si="3"/>
        <v>1451.9498395888922</v>
      </c>
      <c r="C21" s="7">
        <f t="shared" si="2"/>
        <v>1357.6673824727304</v>
      </c>
      <c r="D21" s="7">
        <f t="shared" si="2"/>
        <v>1169.1024682404068</v>
      </c>
      <c r="E21" s="7">
        <f t="shared" si="2"/>
        <v>1961.0751080161667</v>
      </c>
    </row>
    <row r="22" spans="1:5" x14ac:dyDescent="0.25">
      <c r="A22" s="6">
        <v>2033</v>
      </c>
      <c r="B22" s="7">
        <f t="shared" si="3"/>
        <v>1524.5473315683369</v>
      </c>
      <c r="C22" s="7">
        <f t="shared" si="2"/>
        <v>1425.550751596367</v>
      </c>
      <c r="D22" s="7">
        <f t="shared" si="2"/>
        <v>1227.5575916524272</v>
      </c>
      <c r="E22" s="7">
        <f t="shared" si="2"/>
        <v>2059.128863416975</v>
      </c>
    </row>
    <row r="23" spans="1:5" x14ac:dyDescent="0.25">
      <c r="A23" s="6">
        <v>2034</v>
      </c>
      <c r="B23" s="7">
        <f t="shared" si="3"/>
        <v>1600.7746981467537</v>
      </c>
      <c r="C23" s="7">
        <f t="shared" si="2"/>
        <v>1496.8282891761855</v>
      </c>
      <c r="D23" s="7">
        <f t="shared" si="2"/>
        <v>1288.9354712350487</v>
      </c>
      <c r="E23" s="7">
        <f t="shared" si="2"/>
        <v>2162.0853065878241</v>
      </c>
    </row>
    <row r="24" spans="1:5" x14ac:dyDescent="0.25">
      <c r="A24" s="6">
        <v>2035</v>
      </c>
      <c r="B24" s="7">
        <f t="shared" si="3"/>
        <v>1680.8134330540915</v>
      </c>
      <c r="C24" s="7">
        <f t="shared" si="2"/>
        <v>1571.6697036349949</v>
      </c>
      <c r="D24" s="7">
        <f t="shared" si="2"/>
        <v>1353.3822447968012</v>
      </c>
      <c r="E24" s="7">
        <f t="shared" si="2"/>
        <v>2270.1895719172153</v>
      </c>
    </row>
    <row r="25" spans="1:5" x14ac:dyDescent="0.25">
      <c r="A25" s="6">
        <v>2036</v>
      </c>
      <c r="B25" s="7">
        <f t="shared" si="3"/>
        <v>1764.8541047067963</v>
      </c>
      <c r="C25" s="7">
        <f t="shared" ref="C25:C27" si="4">C24*1.05</f>
        <v>1650.2531888167448</v>
      </c>
      <c r="D25" s="7">
        <f t="shared" ref="D25:D27" si="5">D24*1.05</f>
        <v>1421.0513570366413</v>
      </c>
      <c r="E25" s="7">
        <f t="shared" ref="E25:E27" si="6">E24*1.05</f>
        <v>2383.6990505130761</v>
      </c>
    </row>
    <row r="26" spans="1:5" x14ac:dyDescent="0.25">
      <c r="A26" s="6">
        <v>2037</v>
      </c>
      <c r="B26" s="7">
        <f t="shared" si="3"/>
        <v>1853.0968099421361</v>
      </c>
      <c r="C26" s="7">
        <f t="shared" si="4"/>
        <v>1732.7658482575821</v>
      </c>
      <c r="D26" s="7">
        <f t="shared" si="5"/>
        <v>1492.1039248884736</v>
      </c>
      <c r="E26" s="7">
        <f t="shared" si="6"/>
        <v>2502.88400303873</v>
      </c>
    </row>
    <row r="27" spans="1:5" x14ac:dyDescent="0.25">
      <c r="A27" s="6">
        <v>2038</v>
      </c>
      <c r="B27" s="7">
        <f t="shared" si="3"/>
        <v>1945.7516504392431</v>
      </c>
      <c r="C27" s="7">
        <f t="shared" si="4"/>
        <v>1819.4041406704612</v>
      </c>
      <c r="D27" s="7">
        <f t="shared" si="5"/>
        <v>1566.7091211328973</v>
      </c>
      <c r="E27" s="7">
        <f t="shared" si="6"/>
        <v>2628.0282031906668</v>
      </c>
    </row>
    <row r="28" spans="1:5" x14ac:dyDescent="0.25">
      <c r="A28" s="6"/>
    </row>
    <row r="29" spans="1:5" x14ac:dyDescent="0.25">
      <c r="A29" s="3" t="s">
        <v>20</v>
      </c>
      <c r="B29" s="3" t="s">
        <v>2</v>
      </c>
      <c r="C29" s="3" t="s">
        <v>3</v>
      </c>
      <c r="D29" s="3" t="s">
        <v>4</v>
      </c>
      <c r="E29" s="3" t="s">
        <v>5</v>
      </c>
    </row>
    <row r="30" spans="1:5" x14ac:dyDescent="0.25">
      <c r="A30" s="6">
        <v>2019</v>
      </c>
      <c r="B30" s="8">
        <f>$L$2</f>
        <v>55900</v>
      </c>
      <c r="C30" s="8">
        <f>$L$3</f>
        <v>85800</v>
      </c>
      <c r="D30" s="8">
        <f>$L$4</f>
        <v>14690</v>
      </c>
      <c r="E30" s="8">
        <f>$L$5</f>
        <v>104000</v>
      </c>
    </row>
    <row r="31" spans="1:5" x14ac:dyDescent="0.25">
      <c r="A31" s="6">
        <v>2020</v>
      </c>
      <c r="B31" s="8">
        <f>B30*1.02</f>
        <v>57018</v>
      </c>
      <c r="C31" s="8">
        <f t="shared" ref="C31:E46" si="7">C30*1.02</f>
        <v>87516</v>
      </c>
      <c r="D31" s="8">
        <f t="shared" si="7"/>
        <v>14983.800000000001</v>
      </c>
      <c r="E31" s="8">
        <f t="shared" si="7"/>
        <v>106080</v>
      </c>
    </row>
    <row r="32" spans="1:5" x14ac:dyDescent="0.25">
      <c r="A32" s="6">
        <v>2021</v>
      </c>
      <c r="B32" s="8">
        <f t="shared" ref="B32:B49" si="8">B31*1.02</f>
        <v>58158.36</v>
      </c>
      <c r="C32" s="8">
        <f t="shared" si="7"/>
        <v>89266.32</v>
      </c>
      <c r="D32" s="8">
        <f t="shared" si="7"/>
        <v>15283.476000000001</v>
      </c>
      <c r="E32" s="8">
        <f t="shared" si="7"/>
        <v>108201.60000000001</v>
      </c>
    </row>
    <row r="33" spans="1:5" x14ac:dyDescent="0.25">
      <c r="A33" s="6">
        <v>2022</v>
      </c>
      <c r="B33" s="8">
        <f t="shared" si="8"/>
        <v>59321.527200000004</v>
      </c>
      <c r="C33" s="8">
        <f t="shared" si="7"/>
        <v>91051.646400000012</v>
      </c>
      <c r="D33" s="8">
        <f t="shared" si="7"/>
        <v>15589.14552</v>
      </c>
      <c r="E33" s="8">
        <f t="shared" si="7"/>
        <v>110365.63200000001</v>
      </c>
    </row>
    <row r="34" spans="1:5" x14ac:dyDescent="0.25">
      <c r="A34" s="6">
        <v>2023</v>
      </c>
      <c r="B34" s="8">
        <f t="shared" si="8"/>
        <v>60507.957744000007</v>
      </c>
      <c r="C34" s="8">
        <f t="shared" si="7"/>
        <v>92872.679328000013</v>
      </c>
      <c r="D34" s="8">
        <f t="shared" si="7"/>
        <v>15900.928430400001</v>
      </c>
      <c r="E34" s="8">
        <f t="shared" si="7"/>
        <v>112572.94464000002</v>
      </c>
    </row>
    <row r="35" spans="1:5" x14ac:dyDescent="0.25">
      <c r="A35" s="6">
        <v>2024</v>
      </c>
      <c r="B35" s="8">
        <f t="shared" si="8"/>
        <v>61718.116898880005</v>
      </c>
      <c r="C35" s="8">
        <f t="shared" si="7"/>
        <v>94730.132914560018</v>
      </c>
      <c r="D35" s="8">
        <f t="shared" si="7"/>
        <v>16218.946999008002</v>
      </c>
      <c r="E35" s="8">
        <f t="shared" si="7"/>
        <v>114824.40353280002</v>
      </c>
    </row>
    <row r="36" spans="1:5" x14ac:dyDescent="0.25">
      <c r="A36" s="6">
        <v>2025</v>
      </c>
      <c r="B36" s="8">
        <f t="shared" si="8"/>
        <v>62952.479236857609</v>
      </c>
      <c r="C36" s="8">
        <f t="shared" si="7"/>
        <v>96624.735572851219</v>
      </c>
      <c r="D36" s="8">
        <f t="shared" si="7"/>
        <v>16543.32593898816</v>
      </c>
      <c r="E36" s="8">
        <f t="shared" si="7"/>
        <v>117120.89160345602</v>
      </c>
    </row>
    <row r="37" spans="1:5" x14ac:dyDescent="0.25">
      <c r="A37" s="6">
        <v>2026</v>
      </c>
      <c r="B37" s="8">
        <f t="shared" si="8"/>
        <v>64211.528821594766</v>
      </c>
      <c r="C37" s="8">
        <f t="shared" si="7"/>
        <v>98557.230284308243</v>
      </c>
      <c r="D37" s="8">
        <f t="shared" si="7"/>
        <v>16874.192457767924</v>
      </c>
      <c r="E37" s="8">
        <f t="shared" si="7"/>
        <v>119463.30943552515</v>
      </c>
    </row>
    <row r="38" spans="1:5" x14ac:dyDescent="0.25">
      <c r="A38" s="6">
        <v>2027</v>
      </c>
      <c r="B38" s="8">
        <f t="shared" si="8"/>
        <v>65495.759398026661</v>
      </c>
      <c r="C38" s="8">
        <f t="shared" si="7"/>
        <v>100528.3748899944</v>
      </c>
      <c r="D38" s="8">
        <f t="shared" si="7"/>
        <v>17211.676306923284</v>
      </c>
      <c r="E38" s="8">
        <f t="shared" si="7"/>
        <v>121852.57562423566</v>
      </c>
    </row>
    <row r="39" spans="1:5" x14ac:dyDescent="0.25">
      <c r="A39" s="6">
        <v>2028</v>
      </c>
      <c r="B39" s="8">
        <f t="shared" si="8"/>
        <v>66805.674585987203</v>
      </c>
      <c r="C39" s="8">
        <f t="shared" si="7"/>
        <v>102538.94238779429</v>
      </c>
      <c r="D39" s="8">
        <f t="shared" si="7"/>
        <v>17555.909833061749</v>
      </c>
      <c r="E39" s="8">
        <f t="shared" si="7"/>
        <v>124289.62713672037</v>
      </c>
    </row>
    <row r="40" spans="1:5" x14ac:dyDescent="0.25">
      <c r="A40" s="6">
        <v>2029</v>
      </c>
      <c r="B40" s="8">
        <f t="shared" si="8"/>
        <v>68141.788077706951</v>
      </c>
      <c r="C40" s="8">
        <f t="shared" si="7"/>
        <v>104589.72123555018</v>
      </c>
      <c r="D40" s="8">
        <f t="shared" si="7"/>
        <v>17907.028029722984</v>
      </c>
      <c r="E40" s="8">
        <f t="shared" si="7"/>
        <v>126775.41967945479</v>
      </c>
    </row>
    <row r="41" spans="1:5" x14ac:dyDescent="0.25">
      <c r="A41" s="6">
        <v>2030</v>
      </c>
      <c r="B41" s="8">
        <f t="shared" si="8"/>
        <v>69504.623839261098</v>
      </c>
      <c r="C41" s="8">
        <f t="shared" si="7"/>
        <v>106681.51566026118</v>
      </c>
      <c r="D41" s="8">
        <f t="shared" si="7"/>
        <v>18265.168590317444</v>
      </c>
      <c r="E41" s="8">
        <f t="shared" si="7"/>
        <v>129310.92807304389</v>
      </c>
    </row>
    <row r="42" spans="1:5" x14ac:dyDescent="0.25">
      <c r="A42" s="6">
        <v>2031</v>
      </c>
      <c r="B42" s="8">
        <f t="shared" si="8"/>
        <v>70894.716316046324</v>
      </c>
      <c r="C42" s="8">
        <f t="shared" si="7"/>
        <v>108815.14597346641</v>
      </c>
      <c r="D42" s="8">
        <f t="shared" si="7"/>
        <v>18630.471962123793</v>
      </c>
      <c r="E42" s="8">
        <f t="shared" si="7"/>
        <v>131897.14663450478</v>
      </c>
    </row>
    <row r="43" spans="1:5" x14ac:dyDescent="0.25">
      <c r="A43" s="6">
        <v>2032</v>
      </c>
      <c r="B43" s="8">
        <f t="shared" si="8"/>
        <v>72312.610642367246</v>
      </c>
      <c r="C43" s="8">
        <f t="shared" si="7"/>
        <v>110991.44889293575</v>
      </c>
      <c r="D43" s="8">
        <f t="shared" si="7"/>
        <v>19003.081401366268</v>
      </c>
      <c r="E43" s="8">
        <f t="shared" si="7"/>
        <v>134535.08956719487</v>
      </c>
    </row>
    <row r="44" spans="1:5" x14ac:dyDescent="0.25">
      <c r="A44" s="6">
        <v>2033</v>
      </c>
      <c r="B44" s="8">
        <f t="shared" si="8"/>
        <v>73758.862855214596</v>
      </c>
      <c r="C44" s="8">
        <f t="shared" si="7"/>
        <v>113211.27787079447</v>
      </c>
      <c r="D44" s="8">
        <f t="shared" si="7"/>
        <v>19383.143029393592</v>
      </c>
      <c r="E44" s="8">
        <f t="shared" si="7"/>
        <v>137225.79135853876</v>
      </c>
    </row>
    <row r="45" spans="1:5" x14ac:dyDescent="0.25">
      <c r="A45" s="6">
        <v>2034</v>
      </c>
      <c r="B45" s="8">
        <f t="shared" si="8"/>
        <v>75234.040112318893</v>
      </c>
      <c r="C45" s="8">
        <f t="shared" si="7"/>
        <v>115475.50342821036</v>
      </c>
      <c r="D45" s="8">
        <f t="shared" si="7"/>
        <v>19770.805889981464</v>
      </c>
      <c r="E45" s="8">
        <f t="shared" si="7"/>
        <v>139970.30718570953</v>
      </c>
    </row>
    <row r="46" spans="1:5" x14ac:dyDescent="0.25">
      <c r="A46" s="6">
        <v>2035</v>
      </c>
      <c r="B46" s="8">
        <f t="shared" si="8"/>
        <v>76738.720914565274</v>
      </c>
      <c r="C46" s="8">
        <f t="shared" si="7"/>
        <v>117785.01349677457</v>
      </c>
      <c r="D46" s="8">
        <f t="shared" si="7"/>
        <v>20166.222007781093</v>
      </c>
      <c r="E46" s="8">
        <f t="shared" si="7"/>
        <v>142769.71332942371</v>
      </c>
    </row>
    <row r="47" spans="1:5" x14ac:dyDescent="0.25">
      <c r="A47" s="6">
        <v>2036</v>
      </c>
      <c r="B47" s="8">
        <f t="shared" si="8"/>
        <v>78273.495332856575</v>
      </c>
      <c r="C47" s="8">
        <f t="shared" ref="C47:C49" si="9">C46*1.02</f>
        <v>120140.71376671006</v>
      </c>
      <c r="D47" s="8">
        <f t="shared" ref="D47:D49" si="10">D46*1.02</f>
        <v>20569.546447936715</v>
      </c>
      <c r="E47" s="8">
        <f t="shared" ref="E47:E49" si="11">E46*1.02</f>
        <v>145625.10759601218</v>
      </c>
    </row>
    <row r="48" spans="1:5" x14ac:dyDescent="0.25">
      <c r="A48" s="6">
        <v>2037</v>
      </c>
      <c r="B48" s="8">
        <f t="shared" si="8"/>
        <v>79838.965239513709</v>
      </c>
      <c r="C48" s="8">
        <f t="shared" si="9"/>
        <v>122543.52804204426</v>
      </c>
      <c r="D48" s="8">
        <f t="shared" si="10"/>
        <v>20980.93737689545</v>
      </c>
      <c r="E48" s="8">
        <f t="shared" si="11"/>
        <v>148537.60974793244</v>
      </c>
    </row>
    <row r="49" spans="1:5" x14ac:dyDescent="0.25">
      <c r="A49" s="6">
        <v>2038</v>
      </c>
      <c r="B49" s="8">
        <f t="shared" si="8"/>
        <v>81435.744544303991</v>
      </c>
      <c r="C49" s="8">
        <f t="shared" si="9"/>
        <v>124994.39860288515</v>
      </c>
      <c r="D49" s="8">
        <f t="shared" si="10"/>
        <v>21400.556124433358</v>
      </c>
      <c r="E49" s="8">
        <f t="shared" si="11"/>
        <v>151508.36194289109</v>
      </c>
    </row>
    <row r="51" spans="1:5" x14ac:dyDescent="0.25">
      <c r="A51" s="3" t="s">
        <v>22</v>
      </c>
      <c r="B51" s="3" t="s">
        <v>2</v>
      </c>
      <c r="C51" s="3" t="s">
        <v>3</v>
      </c>
      <c r="D51" s="3" t="s">
        <v>4</v>
      </c>
      <c r="E51" s="3" t="s">
        <v>5</v>
      </c>
    </row>
    <row r="52" spans="1:5" x14ac:dyDescent="0.25">
      <c r="A52" s="6">
        <v>2019</v>
      </c>
      <c r="B52" s="9">
        <f>$K$2</f>
        <v>7985.7142857142862</v>
      </c>
      <c r="C52" s="9">
        <f>$K$3</f>
        <v>12257.142857142859</v>
      </c>
      <c r="D52" s="9">
        <f>$K$4</f>
        <v>2098.5714285714284</v>
      </c>
      <c r="E52" s="9">
        <f>$K$5</f>
        <v>14857.142857142859</v>
      </c>
    </row>
    <row r="53" spans="1:5" x14ac:dyDescent="0.25">
      <c r="A53" s="6">
        <v>2020</v>
      </c>
      <c r="B53" s="9">
        <f>B52*1.02</f>
        <v>8145.4285714285725</v>
      </c>
      <c r="C53" s="9">
        <f t="shared" ref="C53:E68" si="12">C52*1.02</f>
        <v>12502.285714285716</v>
      </c>
      <c r="D53" s="9">
        <f t="shared" si="12"/>
        <v>2140.542857142857</v>
      </c>
      <c r="E53" s="9">
        <f t="shared" si="12"/>
        <v>15154.285714285716</v>
      </c>
    </row>
    <row r="54" spans="1:5" x14ac:dyDescent="0.25">
      <c r="A54" s="6">
        <v>2021</v>
      </c>
      <c r="B54" s="9">
        <f t="shared" ref="B54:B71" si="13">B53*1.02</f>
        <v>8308.3371428571445</v>
      </c>
      <c r="C54" s="9">
        <f t="shared" si="12"/>
        <v>12752.33142857143</v>
      </c>
      <c r="D54" s="9">
        <f t="shared" si="12"/>
        <v>2183.353714285714</v>
      </c>
      <c r="E54" s="9">
        <f t="shared" si="12"/>
        <v>15457.37142857143</v>
      </c>
    </row>
    <row r="55" spans="1:5" x14ac:dyDescent="0.25">
      <c r="A55" s="6">
        <v>2022</v>
      </c>
      <c r="B55" s="9">
        <f t="shared" si="13"/>
        <v>8474.5038857142881</v>
      </c>
      <c r="C55" s="9">
        <f t="shared" si="12"/>
        <v>13007.378057142858</v>
      </c>
      <c r="D55" s="9">
        <f t="shared" si="12"/>
        <v>2227.0207885714285</v>
      </c>
      <c r="E55" s="9">
        <f t="shared" si="12"/>
        <v>15766.518857142859</v>
      </c>
    </row>
    <row r="56" spans="1:5" x14ac:dyDescent="0.25">
      <c r="A56" s="6">
        <v>2023</v>
      </c>
      <c r="B56" s="9">
        <f t="shared" si="13"/>
        <v>8643.9939634285747</v>
      </c>
      <c r="C56" s="9">
        <f t="shared" si="12"/>
        <v>13267.525618285716</v>
      </c>
      <c r="D56" s="9">
        <f t="shared" si="12"/>
        <v>2271.5612043428573</v>
      </c>
      <c r="E56" s="9">
        <f t="shared" si="12"/>
        <v>16081.849234285717</v>
      </c>
    </row>
    <row r="57" spans="1:5" x14ac:dyDescent="0.25">
      <c r="A57" s="6">
        <v>2024</v>
      </c>
      <c r="B57" s="9">
        <f t="shared" si="13"/>
        <v>8816.8738426971468</v>
      </c>
      <c r="C57" s="9">
        <f t="shared" si="12"/>
        <v>13532.87613065143</v>
      </c>
      <c r="D57" s="9">
        <f t="shared" si="12"/>
        <v>2316.9924284297144</v>
      </c>
      <c r="E57" s="9">
        <f t="shared" si="12"/>
        <v>16403.486218971433</v>
      </c>
    </row>
    <row r="58" spans="1:5" x14ac:dyDescent="0.25">
      <c r="A58" s="6">
        <v>2025</v>
      </c>
      <c r="B58" s="9">
        <f t="shared" si="13"/>
        <v>8993.2113195510901</v>
      </c>
      <c r="C58" s="9">
        <f t="shared" si="12"/>
        <v>13803.533653264458</v>
      </c>
      <c r="D58" s="9">
        <f t="shared" si="12"/>
        <v>2363.3322769983088</v>
      </c>
      <c r="E58" s="9">
        <f t="shared" si="12"/>
        <v>16731.555943350861</v>
      </c>
    </row>
    <row r="59" spans="1:5" x14ac:dyDescent="0.25">
      <c r="A59" s="6">
        <v>2026</v>
      </c>
      <c r="B59" s="9">
        <f t="shared" si="13"/>
        <v>9173.0755459421125</v>
      </c>
      <c r="C59" s="9">
        <f t="shared" si="12"/>
        <v>14079.604326329747</v>
      </c>
      <c r="D59" s="9">
        <f t="shared" si="12"/>
        <v>2410.598922538275</v>
      </c>
      <c r="E59" s="9">
        <f t="shared" si="12"/>
        <v>17066.187062217879</v>
      </c>
    </row>
    <row r="60" spans="1:5" x14ac:dyDescent="0.25">
      <c r="A60" s="6">
        <v>2027</v>
      </c>
      <c r="B60" s="9">
        <f t="shared" si="13"/>
        <v>9356.5370568609542</v>
      </c>
      <c r="C60" s="9">
        <f t="shared" si="12"/>
        <v>14361.196412856341</v>
      </c>
      <c r="D60" s="9">
        <f t="shared" si="12"/>
        <v>2458.8109009890404</v>
      </c>
      <c r="E60" s="9">
        <f t="shared" si="12"/>
        <v>17407.510803462239</v>
      </c>
    </row>
    <row r="61" spans="1:5" x14ac:dyDescent="0.25">
      <c r="A61" s="6">
        <v>2028</v>
      </c>
      <c r="B61" s="9">
        <f t="shared" si="13"/>
        <v>9543.6677979981741</v>
      </c>
      <c r="C61" s="9">
        <f t="shared" si="12"/>
        <v>14648.420341113468</v>
      </c>
      <c r="D61" s="9">
        <f t="shared" si="12"/>
        <v>2507.9871190088211</v>
      </c>
      <c r="E61" s="9">
        <f t="shared" si="12"/>
        <v>17755.661019531482</v>
      </c>
    </row>
    <row r="62" spans="1:5" x14ac:dyDescent="0.25">
      <c r="A62" s="6">
        <v>2029</v>
      </c>
      <c r="B62" s="9">
        <f t="shared" si="13"/>
        <v>9734.5411539581382</v>
      </c>
      <c r="C62" s="9">
        <f t="shared" si="12"/>
        <v>14941.388747935738</v>
      </c>
      <c r="D62" s="9">
        <f t="shared" si="12"/>
        <v>2558.1468613889974</v>
      </c>
      <c r="E62" s="9">
        <f t="shared" si="12"/>
        <v>18110.774239922113</v>
      </c>
    </row>
    <row r="63" spans="1:5" x14ac:dyDescent="0.25">
      <c r="A63" s="6">
        <v>2030</v>
      </c>
      <c r="B63" s="9">
        <f t="shared" si="13"/>
        <v>9929.2319770373015</v>
      </c>
      <c r="C63" s="9">
        <f t="shared" si="12"/>
        <v>15240.216522894452</v>
      </c>
      <c r="D63" s="9">
        <f t="shared" si="12"/>
        <v>2609.3097986167772</v>
      </c>
      <c r="E63" s="9">
        <f t="shared" si="12"/>
        <v>18472.989724720555</v>
      </c>
    </row>
    <row r="64" spans="1:5" x14ac:dyDescent="0.25">
      <c r="A64" s="6">
        <v>2031</v>
      </c>
      <c r="B64" s="9">
        <f t="shared" si="13"/>
        <v>10127.816616578048</v>
      </c>
      <c r="C64" s="9">
        <f t="shared" si="12"/>
        <v>15545.020853352342</v>
      </c>
      <c r="D64" s="9">
        <f t="shared" si="12"/>
        <v>2661.4959945891128</v>
      </c>
      <c r="E64" s="9">
        <f t="shared" si="12"/>
        <v>18842.449519214966</v>
      </c>
    </row>
    <row r="65" spans="1:5" x14ac:dyDescent="0.25">
      <c r="A65" s="6">
        <v>2032</v>
      </c>
      <c r="B65" s="9">
        <f t="shared" si="13"/>
        <v>10330.372948909609</v>
      </c>
      <c r="C65" s="9">
        <f t="shared" si="12"/>
        <v>15855.921270419389</v>
      </c>
      <c r="D65" s="9">
        <f t="shared" si="12"/>
        <v>2714.725914480895</v>
      </c>
      <c r="E65" s="9">
        <f t="shared" si="12"/>
        <v>19219.298509599266</v>
      </c>
    </row>
    <row r="66" spans="1:5" x14ac:dyDescent="0.25">
      <c r="A66" s="6">
        <v>2033</v>
      </c>
      <c r="B66" s="9">
        <f t="shared" si="13"/>
        <v>10536.980407887802</v>
      </c>
      <c r="C66" s="9">
        <f t="shared" si="12"/>
        <v>16173.039695827776</v>
      </c>
      <c r="D66" s="9">
        <f t="shared" si="12"/>
        <v>2769.0204327705128</v>
      </c>
      <c r="E66" s="9">
        <f t="shared" si="12"/>
        <v>19603.684479791253</v>
      </c>
    </row>
    <row r="67" spans="1:5" x14ac:dyDescent="0.25">
      <c r="A67" s="6">
        <v>2034</v>
      </c>
      <c r="B67" s="9">
        <f t="shared" si="13"/>
        <v>10747.720016045558</v>
      </c>
      <c r="C67" s="9">
        <f t="shared" si="12"/>
        <v>16496.500489744332</v>
      </c>
      <c r="D67" s="9">
        <f t="shared" si="12"/>
        <v>2824.4008414259233</v>
      </c>
      <c r="E67" s="9">
        <f t="shared" si="12"/>
        <v>19995.758169387078</v>
      </c>
    </row>
    <row r="68" spans="1:5" x14ac:dyDescent="0.25">
      <c r="A68" s="6">
        <v>2035</v>
      </c>
      <c r="B68" s="9">
        <f t="shared" si="13"/>
        <v>10962.67441636647</v>
      </c>
      <c r="C68" s="9">
        <f t="shared" si="12"/>
        <v>16826.430499539219</v>
      </c>
      <c r="D68" s="9">
        <f t="shared" si="12"/>
        <v>2880.8888582544419</v>
      </c>
      <c r="E68" s="9">
        <f t="shared" si="12"/>
        <v>20395.673332774819</v>
      </c>
    </row>
    <row r="69" spans="1:5" x14ac:dyDescent="0.25">
      <c r="A69" s="6">
        <v>2036</v>
      </c>
      <c r="B69" s="9">
        <f t="shared" si="13"/>
        <v>11181.927904693799</v>
      </c>
      <c r="C69" s="9">
        <f t="shared" ref="C69:C71" si="14">C68*1.02</f>
        <v>17162.959109530006</v>
      </c>
      <c r="D69" s="9">
        <f t="shared" ref="D69:D71" si="15">D68*1.02</f>
        <v>2938.5066354195305</v>
      </c>
      <c r="E69" s="9">
        <f t="shared" ref="E69:E71" si="16">E68*1.02</f>
        <v>20803.586799430315</v>
      </c>
    </row>
    <row r="70" spans="1:5" x14ac:dyDescent="0.25">
      <c r="A70" s="6">
        <v>2037</v>
      </c>
      <c r="B70" s="9">
        <f t="shared" si="13"/>
        <v>11405.566462787676</v>
      </c>
      <c r="C70" s="9">
        <f t="shared" si="14"/>
        <v>17506.218291720605</v>
      </c>
      <c r="D70" s="9">
        <f t="shared" si="15"/>
        <v>2997.2767681279211</v>
      </c>
      <c r="E70" s="9">
        <f t="shared" si="16"/>
        <v>21219.658535418923</v>
      </c>
    </row>
    <row r="71" spans="1:5" x14ac:dyDescent="0.25">
      <c r="A71" s="6">
        <v>2038</v>
      </c>
      <c r="B71" s="9">
        <f t="shared" si="13"/>
        <v>11633.677792043429</v>
      </c>
      <c r="C71" s="9">
        <f t="shared" si="14"/>
        <v>17856.342657555018</v>
      </c>
      <c r="D71" s="9">
        <f t="shared" si="15"/>
        <v>3057.2223034904796</v>
      </c>
      <c r="E71" s="9">
        <f t="shared" si="16"/>
        <v>21644.051706127302</v>
      </c>
    </row>
    <row r="73" spans="1:5" x14ac:dyDescent="0.25">
      <c r="A73" s="3" t="s">
        <v>23</v>
      </c>
      <c r="B73" s="3" t="s">
        <v>24</v>
      </c>
      <c r="C73" s="3" t="s">
        <v>25</v>
      </c>
      <c r="D73" s="3"/>
      <c r="E73" s="3"/>
    </row>
    <row r="74" spans="1:5" x14ac:dyDescent="0.25">
      <c r="A74" s="6">
        <v>2019</v>
      </c>
      <c r="B74" s="4">
        <v>0.2</v>
      </c>
      <c r="C74" s="4">
        <f>B74*$F$2</f>
        <v>16000</v>
      </c>
    </row>
    <row r="75" spans="1:5" x14ac:dyDescent="0.25">
      <c r="A75" s="6">
        <v>2020</v>
      </c>
      <c r="B75" s="4">
        <f>B74+0.05</f>
        <v>0.25</v>
      </c>
      <c r="C75" s="4">
        <f t="shared" ref="C75:C93" si="17">B75*$F$2</f>
        <v>20000</v>
      </c>
    </row>
    <row r="76" spans="1:5" x14ac:dyDescent="0.25">
      <c r="A76" s="6">
        <v>2021</v>
      </c>
      <c r="B76" s="4">
        <f t="shared" ref="B76:B93" si="18">B75+0.05</f>
        <v>0.3</v>
      </c>
      <c r="C76" s="4">
        <f t="shared" si="17"/>
        <v>24000</v>
      </c>
    </row>
    <row r="77" spans="1:5" x14ac:dyDescent="0.25">
      <c r="A77" s="6">
        <v>2022</v>
      </c>
      <c r="B77" s="4">
        <f t="shared" si="18"/>
        <v>0.35</v>
      </c>
      <c r="C77" s="4">
        <f t="shared" si="17"/>
        <v>28000</v>
      </c>
    </row>
    <row r="78" spans="1:5" x14ac:dyDescent="0.25">
      <c r="A78" s="6">
        <v>2023</v>
      </c>
      <c r="B78" s="4">
        <f t="shared" si="18"/>
        <v>0.39999999999999997</v>
      </c>
      <c r="C78" s="4">
        <f t="shared" si="17"/>
        <v>31999.999999999996</v>
      </c>
    </row>
    <row r="79" spans="1:5" x14ac:dyDescent="0.25">
      <c r="A79" s="6">
        <v>2024</v>
      </c>
      <c r="B79" s="4">
        <f t="shared" si="18"/>
        <v>0.44999999999999996</v>
      </c>
      <c r="C79" s="4">
        <f t="shared" si="17"/>
        <v>36000</v>
      </c>
    </row>
    <row r="80" spans="1:5" x14ac:dyDescent="0.25">
      <c r="A80" s="6">
        <v>2025</v>
      </c>
      <c r="B80" s="4">
        <f t="shared" si="18"/>
        <v>0.49999999999999994</v>
      </c>
      <c r="C80" s="4">
        <f t="shared" si="17"/>
        <v>39999.999999999993</v>
      </c>
    </row>
    <row r="81" spans="1:3" x14ac:dyDescent="0.25">
      <c r="A81" s="6">
        <v>2026</v>
      </c>
      <c r="B81" s="4">
        <f t="shared" si="18"/>
        <v>0.54999999999999993</v>
      </c>
      <c r="C81" s="4">
        <f t="shared" si="17"/>
        <v>43999.999999999993</v>
      </c>
    </row>
    <row r="82" spans="1:3" x14ac:dyDescent="0.25">
      <c r="A82" s="6">
        <v>2027</v>
      </c>
      <c r="B82" s="4">
        <f t="shared" si="18"/>
        <v>0.6</v>
      </c>
      <c r="C82" s="4">
        <f t="shared" si="17"/>
        <v>48000</v>
      </c>
    </row>
    <row r="83" spans="1:3" x14ac:dyDescent="0.25">
      <c r="A83" s="6">
        <v>2028</v>
      </c>
      <c r="B83" s="4">
        <f t="shared" si="18"/>
        <v>0.65</v>
      </c>
      <c r="C83" s="4">
        <f t="shared" si="17"/>
        <v>52000</v>
      </c>
    </row>
    <row r="84" spans="1:3" x14ac:dyDescent="0.25">
      <c r="A84" s="6">
        <v>2029</v>
      </c>
      <c r="B84" s="4">
        <f t="shared" si="18"/>
        <v>0.70000000000000007</v>
      </c>
      <c r="C84" s="4">
        <f t="shared" si="17"/>
        <v>56000.000000000007</v>
      </c>
    </row>
    <row r="85" spans="1:3" x14ac:dyDescent="0.25">
      <c r="A85" s="6">
        <v>2030</v>
      </c>
      <c r="B85" s="4">
        <f t="shared" si="18"/>
        <v>0.75000000000000011</v>
      </c>
      <c r="C85" s="4">
        <f t="shared" si="17"/>
        <v>60000.000000000007</v>
      </c>
    </row>
    <row r="86" spans="1:3" x14ac:dyDescent="0.25">
      <c r="A86" s="6">
        <v>2031</v>
      </c>
      <c r="B86" s="4">
        <f t="shared" si="18"/>
        <v>0.80000000000000016</v>
      </c>
      <c r="C86" s="4">
        <f t="shared" si="17"/>
        <v>64000.000000000015</v>
      </c>
    </row>
    <row r="87" spans="1:3" x14ac:dyDescent="0.25">
      <c r="A87" s="6">
        <v>2032</v>
      </c>
      <c r="B87" s="4">
        <f t="shared" si="18"/>
        <v>0.8500000000000002</v>
      </c>
      <c r="C87" s="4">
        <f t="shared" si="17"/>
        <v>68000.000000000015</v>
      </c>
    </row>
    <row r="88" spans="1:3" x14ac:dyDescent="0.25">
      <c r="A88" s="6">
        <v>2033</v>
      </c>
      <c r="B88" s="4">
        <f t="shared" si="18"/>
        <v>0.90000000000000024</v>
      </c>
      <c r="C88" s="4">
        <f t="shared" si="17"/>
        <v>72000.000000000015</v>
      </c>
    </row>
    <row r="89" spans="1:3" x14ac:dyDescent="0.25">
      <c r="A89" s="6">
        <v>2034</v>
      </c>
      <c r="B89" s="4">
        <f t="shared" si="18"/>
        <v>0.95000000000000029</v>
      </c>
      <c r="C89" s="4">
        <f t="shared" si="17"/>
        <v>76000.000000000029</v>
      </c>
    </row>
    <row r="90" spans="1:3" x14ac:dyDescent="0.25">
      <c r="A90" s="6">
        <v>2035</v>
      </c>
      <c r="B90" s="4">
        <f t="shared" si="18"/>
        <v>1.0000000000000002</v>
      </c>
      <c r="C90" s="4">
        <f t="shared" si="17"/>
        <v>80000.000000000015</v>
      </c>
    </row>
    <row r="91" spans="1:3" x14ac:dyDescent="0.25">
      <c r="A91" s="6">
        <v>2036</v>
      </c>
      <c r="B91" s="4">
        <f t="shared" si="18"/>
        <v>1.0500000000000003</v>
      </c>
      <c r="C91" s="4">
        <f t="shared" si="17"/>
        <v>84000.000000000015</v>
      </c>
    </row>
    <row r="92" spans="1:3" x14ac:dyDescent="0.25">
      <c r="A92" s="6">
        <v>2037</v>
      </c>
      <c r="B92" s="4">
        <f t="shared" si="18"/>
        <v>1.1000000000000003</v>
      </c>
      <c r="C92" s="4">
        <f t="shared" si="17"/>
        <v>88000.000000000029</v>
      </c>
    </row>
    <row r="93" spans="1:3" x14ac:dyDescent="0.25">
      <c r="A93" s="6">
        <v>2038</v>
      </c>
      <c r="B93" s="4">
        <f t="shared" si="18"/>
        <v>1.1500000000000004</v>
      </c>
      <c r="C93" s="4">
        <f t="shared" si="17"/>
        <v>92000.000000000029</v>
      </c>
    </row>
  </sheetData>
  <mergeCells count="1">
    <mergeCell ref="N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7" sqref="J7"/>
    </sheetView>
  </sheetViews>
  <sheetFormatPr defaultRowHeight="15" x14ac:dyDescent="0.25"/>
  <cols>
    <col min="1" max="1" width="26.42578125" customWidth="1"/>
    <col min="2" max="2" width="15.28515625" bestFit="1" customWidth="1"/>
    <col min="3" max="3" width="16.28515625" bestFit="1" customWidth="1"/>
    <col min="4" max="4" width="22" bestFit="1" customWidth="1"/>
    <col min="5" max="5" width="15.28515625" bestFit="1" customWidth="1"/>
  </cols>
  <sheetData>
    <row r="1" spans="1:11" ht="15.75" x14ac:dyDescent="0.25">
      <c r="A1" s="10"/>
      <c r="B1" s="10" t="s">
        <v>2</v>
      </c>
      <c r="C1" s="10" t="s">
        <v>3</v>
      </c>
      <c r="D1" s="10" t="s">
        <v>4</v>
      </c>
      <c r="E1" s="10" t="s">
        <v>5</v>
      </c>
    </row>
    <row r="2" spans="1:11" ht="15.75" x14ac:dyDescent="0.25">
      <c r="A2" s="11" t="s">
        <v>26</v>
      </c>
      <c r="B2" s="12">
        <f>94210*10^3</f>
        <v>94210000</v>
      </c>
      <c r="C2" s="12">
        <f>100625*10^3</f>
        <v>100625000</v>
      </c>
      <c r="D2" s="12">
        <f>96548*10^3</f>
        <v>96548000</v>
      </c>
      <c r="E2" s="12">
        <f>56000*10^3</f>
        <v>56000000</v>
      </c>
      <c r="F2" s="1"/>
      <c r="G2" s="1"/>
      <c r="H2" s="1"/>
      <c r="I2" s="1"/>
      <c r="J2" s="1"/>
    </row>
    <row r="3" spans="1:11" ht="15.75" x14ac:dyDescent="0.25">
      <c r="A3" s="11" t="s">
        <v>7</v>
      </c>
      <c r="B3" s="13">
        <v>37000</v>
      </c>
      <c r="C3" s="13">
        <v>0</v>
      </c>
      <c r="D3" s="13">
        <v>42000</v>
      </c>
      <c r="E3" s="13">
        <v>0</v>
      </c>
    </row>
    <row r="4" spans="1:11" ht="15.75" x14ac:dyDescent="0.25">
      <c r="A4" s="11" t="s">
        <v>6</v>
      </c>
      <c r="B4" s="13">
        <v>0</v>
      </c>
      <c r="C4" s="13">
        <v>14000</v>
      </c>
      <c r="D4" s="13">
        <v>26700</v>
      </c>
      <c r="E4" s="13">
        <v>0</v>
      </c>
    </row>
    <row r="5" spans="1:11" ht="15.75" x14ac:dyDescent="0.25">
      <c r="A5" s="11" t="s">
        <v>8</v>
      </c>
      <c r="B5" s="13">
        <v>43000</v>
      </c>
      <c r="C5" s="13">
        <v>66000</v>
      </c>
      <c r="D5" s="13">
        <v>11300</v>
      </c>
      <c r="E5" s="13">
        <v>80000</v>
      </c>
    </row>
    <row r="6" spans="1:11" ht="15.75" x14ac:dyDescent="0.25">
      <c r="A6" s="11" t="s">
        <v>10</v>
      </c>
      <c r="B6" s="12">
        <v>120</v>
      </c>
      <c r="C6" s="12">
        <v>0</v>
      </c>
      <c r="D6" s="12">
        <v>120</v>
      </c>
      <c r="E6" s="12"/>
    </row>
    <row r="7" spans="1:11" ht="15.75" x14ac:dyDescent="0.25">
      <c r="A7" s="11" t="s">
        <v>11</v>
      </c>
      <c r="B7" s="12">
        <v>0</v>
      </c>
      <c r="C7" s="12">
        <v>0</v>
      </c>
      <c r="D7" s="12">
        <v>0</v>
      </c>
      <c r="E7" s="12">
        <v>0</v>
      </c>
    </row>
    <row r="8" spans="1:11" ht="15.75" x14ac:dyDescent="0.25">
      <c r="A8" s="11" t="s">
        <v>12</v>
      </c>
      <c r="B8" s="12">
        <v>650</v>
      </c>
      <c r="C8" s="12">
        <v>720</v>
      </c>
      <c r="D8" s="12">
        <v>500</v>
      </c>
      <c r="E8" s="12">
        <v>1040</v>
      </c>
    </row>
    <row r="9" spans="1:11" ht="15.75" x14ac:dyDescent="0.25">
      <c r="A9" s="11" t="s">
        <v>13</v>
      </c>
      <c r="B9" s="12">
        <f>SUM(B6:B8)</f>
        <v>770</v>
      </c>
      <c r="C9" s="12">
        <f t="shared" ref="C9:E9" si="0">SUM(C6:C8)</f>
        <v>720</v>
      </c>
      <c r="D9" s="12">
        <f t="shared" si="0"/>
        <v>620</v>
      </c>
      <c r="E9" s="12">
        <f t="shared" si="0"/>
        <v>1040</v>
      </c>
    </row>
    <row r="10" spans="1:11" ht="15.75" x14ac:dyDescent="0.25">
      <c r="A10" s="11" t="s">
        <v>18</v>
      </c>
      <c r="B10" s="14">
        <f>1.3*B5/7</f>
        <v>7985.7142857142853</v>
      </c>
      <c r="C10" s="14">
        <f>1.3*C5/7</f>
        <v>12257.142857142857</v>
      </c>
      <c r="D10" s="14">
        <f>1.3*D5/7</f>
        <v>2098.5714285714284</v>
      </c>
      <c r="E10" s="14">
        <f>1.3*E5/7</f>
        <v>14857.142857142857</v>
      </c>
    </row>
    <row r="11" spans="1:11" ht="15.75" x14ac:dyDescent="0.25">
      <c r="A11" s="11" t="s">
        <v>21</v>
      </c>
      <c r="B11" s="13">
        <f>1.3*B5</f>
        <v>55900</v>
      </c>
      <c r="C11" s="13">
        <f t="shared" ref="C11:E11" si="1">1.3*C5</f>
        <v>85800</v>
      </c>
      <c r="D11" s="13">
        <f t="shared" si="1"/>
        <v>14690</v>
      </c>
      <c r="E11" s="13">
        <f t="shared" si="1"/>
        <v>104000</v>
      </c>
    </row>
    <row r="14" spans="1:11" ht="15.75" x14ac:dyDescent="0.25">
      <c r="G14" s="1"/>
      <c r="H14" s="1"/>
      <c r="I14" s="1"/>
      <c r="J14" s="1"/>
      <c r="K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tabSelected="1" workbookViewId="0">
      <selection activeCell="A6" sqref="A6"/>
    </sheetView>
  </sheetViews>
  <sheetFormatPr defaultRowHeight="15" x14ac:dyDescent="0.25"/>
  <cols>
    <col min="1" max="1" width="26.42578125" customWidth="1"/>
    <col min="2" max="2" width="16" bestFit="1" customWidth="1"/>
    <col min="3" max="3" width="17" bestFit="1" customWidth="1"/>
    <col min="4" max="4" width="22" bestFit="1" customWidth="1"/>
    <col min="5" max="5" width="16" bestFit="1" customWidth="1"/>
    <col min="7" max="7" width="5" bestFit="1" customWidth="1"/>
    <col min="8" max="8" width="12.7109375" bestFit="1" customWidth="1"/>
    <col min="9" max="10" width="15.28515625" bestFit="1" customWidth="1"/>
    <col min="11" max="11" width="15.140625" bestFit="1" customWidth="1"/>
    <col min="12" max="12" width="17.42578125" bestFit="1" customWidth="1"/>
    <col min="13" max="13" width="20.5703125" bestFit="1" customWidth="1"/>
    <col min="14" max="14" width="17.7109375" bestFit="1" customWidth="1"/>
    <col min="15" max="15" width="16" bestFit="1" customWidth="1"/>
  </cols>
  <sheetData>
    <row r="1" spans="1:16" ht="15.75" x14ac:dyDescent="0.25">
      <c r="A1" s="10"/>
      <c r="B1" s="10" t="s">
        <v>2</v>
      </c>
      <c r="C1" s="10" t="s">
        <v>3</v>
      </c>
      <c r="D1" s="10" t="s">
        <v>4</v>
      </c>
      <c r="E1" s="10" t="s">
        <v>5</v>
      </c>
      <c r="G1" s="6" t="s">
        <v>2</v>
      </c>
    </row>
    <row r="2" spans="1:16" ht="15.75" x14ac:dyDescent="0.25">
      <c r="A2" s="11" t="s">
        <v>26</v>
      </c>
      <c r="B2" s="12">
        <f>-94210*10^3</f>
        <v>-94210000</v>
      </c>
      <c r="C2" s="12">
        <f>-100625*10^3</f>
        <v>-100625000</v>
      </c>
      <c r="D2" s="12">
        <f>-96548*10^3</f>
        <v>-96548000</v>
      </c>
      <c r="E2" s="12">
        <f>-56000*10^3</f>
        <v>-56000000</v>
      </c>
      <c r="F2" s="1"/>
      <c r="G2" s="13"/>
      <c r="H2" s="15" t="s">
        <v>29</v>
      </c>
      <c r="I2" s="15" t="s">
        <v>37</v>
      </c>
      <c r="J2" s="15" t="s">
        <v>31</v>
      </c>
      <c r="K2" s="15" t="s">
        <v>30</v>
      </c>
      <c r="L2" s="15" t="s">
        <v>32</v>
      </c>
      <c r="M2" s="15" t="s">
        <v>23</v>
      </c>
      <c r="N2" s="15" t="s">
        <v>33</v>
      </c>
      <c r="O2" s="15" t="s">
        <v>28</v>
      </c>
    </row>
    <row r="3" spans="1:16" ht="15.75" x14ac:dyDescent="0.25">
      <c r="A3" s="11" t="s">
        <v>27</v>
      </c>
      <c r="B3" s="13">
        <v>0.79200000000000004</v>
      </c>
      <c r="C3" s="13">
        <v>0.79200000000000004</v>
      </c>
      <c r="D3" s="13">
        <v>0.79200000000000004</v>
      </c>
      <c r="E3" s="13">
        <v>0.79200000000000004</v>
      </c>
      <c r="G3" s="16">
        <v>2019</v>
      </c>
      <c r="H3" s="12">
        <v>-770</v>
      </c>
      <c r="I3" s="12">
        <f>-1.3*$B$7/7</f>
        <v>-7985.7142857142853</v>
      </c>
      <c r="J3" s="17">
        <f>1.3*$B$7</f>
        <v>55900</v>
      </c>
      <c r="K3" s="12">
        <f>J3*$B$11</f>
        <v>-2795000</v>
      </c>
      <c r="L3" s="12">
        <v>0.2</v>
      </c>
      <c r="M3" s="12">
        <f>L3*80000</f>
        <v>16000</v>
      </c>
      <c r="N3" s="14">
        <f>M3+K3+H3+I3</f>
        <v>-2787755.7142857141</v>
      </c>
      <c r="O3" s="14">
        <f>N3*(1-$B$9)/((1+$B$10)^P3)</f>
        <v>-1579514.0108428546</v>
      </c>
      <c r="P3">
        <v>1</v>
      </c>
    </row>
    <row r="4" spans="1:16" ht="15.75" x14ac:dyDescent="0.25">
      <c r="A4" s="11" t="s">
        <v>28</v>
      </c>
      <c r="B4" s="14">
        <f>B2*B3</f>
        <v>-74614320</v>
      </c>
      <c r="C4" s="14">
        <f t="shared" ref="C4:E4" si="0">C2*C3</f>
        <v>-79695000</v>
      </c>
      <c r="D4" s="14">
        <f t="shared" si="0"/>
        <v>-76466016</v>
      </c>
      <c r="E4" s="14">
        <f t="shared" si="0"/>
        <v>-44352000</v>
      </c>
      <c r="G4" s="16">
        <v>2020</v>
      </c>
      <c r="H4" s="12">
        <f>H3*1.05</f>
        <v>-808.5</v>
      </c>
      <c r="I4" s="12">
        <f>I3*1.02</f>
        <v>-8145.4285714285716</v>
      </c>
      <c r="J4" s="17">
        <f>J3*1.02</f>
        <v>57018</v>
      </c>
      <c r="K4" s="12">
        <f t="shared" ref="K4:K22" si="1">J4*$B$11</f>
        <v>-2850900</v>
      </c>
      <c r="L4" s="12">
        <f>L3+0.05</f>
        <v>0.25</v>
      </c>
      <c r="M4" s="12">
        <f t="shared" ref="M4:M22" si="2">L4*80000</f>
        <v>20000</v>
      </c>
      <c r="N4" s="14">
        <f t="shared" ref="N4:N22" si="3">M4+K4+H4+I4</f>
        <v>-2839853.9285714286</v>
      </c>
      <c r="O4" s="14">
        <f t="shared" ref="O4:O22" si="4">N4*(1-$B$9)/((1+$B$10)^P4)</f>
        <v>-1426700.0609538027</v>
      </c>
      <c r="P4">
        <v>2</v>
      </c>
    </row>
    <row r="5" spans="1:16" x14ac:dyDescent="0.25">
      <c r="G5" s="16">
        <v>2021</v>
      </c>
      <c r="H5" s="12">
        <f t="shared" ref="H5:H22" si="5">H4*1.05</f>
        <v>-848.92500000000007</v>
      </c>
      <c r="I5" s="12">
        <f t="shared" ref="I5:I22" si="6">I4*1.02</f>
        <v>-8308.3371428571427</v>
      </c>
      <c r="J5" s="17">
        <f t="shared" ref="J5:J22" si="7">J4*1.02</f>
        <v>58158.36</v>
      </c>
      <c r="K5" s="12">
        <f t="shared" si="1"/>
        <v>-2907918</v>
      </c>
      <c r="L5" s="12">
        <f t="shared" ref="L5:L22" si="8">L4+0.05</f>
        <v>0.3</v>
      </c>
      <c r="M5" s="12">
        <f t="shared" si="2"/>
        <v>24000</v>
      </c>
      <c r="N5" s="14">
        <f t="shared" si="3"/>
        <v>-2893075.2621428571</v>
      </c>
      <c r="O5" s="14">
        <f t="shared" si="4"/>
        <v>-1288737.064607494</v>
      </c>
      <c r="P5">
        <v>3</v>
      </c>
    </row>
    <row r="6" spans="1:16" x14ac:dyDescent="0.25">
      <c r="G6" s="16">
        <v>2022</v>
      </c>
      <c r="H6" s="12">
        <f t="shared" si="5"/>
        <v>-891.37125000000015</v>
      </c>
      <c r="I6" s="12">
        <f t="shared" si="6"/>
        <v>-8474.5038857142863</v>
      </c>
      <c r="J6" s="17">
        <f t="shared" si="7"/>
        <v>59321.527200000004</v>
      </c>
      <c r="K6" s="12">
        <f t="shared" si="1"/>
        <v>-2966076.3600000003</v>
      </c>
      <c r="L6" s="12">
        <f t="shared" si="8"/>
        <v>0.35</v>
      </c>
      <c r="M6" s="12">
        <f t="shared" si="2"/>
        <v>28000</v>
      </c>
      <c r="N6" s="14">
        <f t="shared" si="3"/>
        <v>-2947442.2351357145</v>
      </c>
      <c r="O6" s="14">
        <f t="shared" si="4"/>
        <v>-1164173.7421087176</v>
      </c>
      <c r="P6">
        <v>4</v>
      </c>
    </row>
    <row r="7" spans="1:16" ht="15.75" x14ac:dyDescent="0.25">
      <c r="A7" s="18" t="s">
        <v>34</v>
      </c>
      <c r="B7" s="13">
        <v>43000</v>
      </c>
      <c r="C7" s="13">
        <v>66000</v>
      </c>
      <c r="D7" s="13">
        <v>11300</v>
      </c>
      <c r="E7" s="13">
        <v>80000</v>
      </c>
      <c r="G7" s="16">
        <v>2023</v>
      </c>
      <c r="H7" s="12">
        <f t="shared" si="5"/>
        <v>-935.93981250000024</v>
      </c>
      <c r="I7" s="12">
        <f t="shared" si="6"/>
        <v>-8643.9939634285729</v>
      </c>
      <c r="J7" s="17">
        <f t="shared" si="7"/>
        <v>60507.957744000007</v>
      </c>
      <c r="K7" s="12">
        <f t="shared" si="1"/>
        <v>-3025397.8872000002</v>
      </c>
      <c r="L7" s="12">
        <f t="shared" si="8"/>
        <v>0.39999999999999997</v>
      </c>
      <c r="M7" s="12">
        <f t="shared" si="2"/>
        <v>31999.999999999996</v>
      </c>
      <c r="N7" s="14">
        <f t="shared" si="3"/>
        <v>-3002977.820975929</v>
      </c>
      <c r="O7" s="14">
        <f t="shared" si="4"/>
        <v>-1051701.5925361922</v>
      </c>
      <c r="P7">
        <v>5</v>
      </c>
    </row>
    <row r="8" spans="1:16" x14ac:dyDescent="0.25">
      <c r="G8" s="16">
        <v>2024</v>
      </c>
      <c r="H8" s="12">
        <f t="shared" si="5"/>
        <v>-982.73680312500028</v>
      </c>
      <c r="I8" s="12">
        <f t="shared" si="6"/>
        <v>-8816.8738426971449</v>
      </c>
      <c r="J8" s="17">
        <f t="shared" si="7"/>
        <v>61718.116898880005</v>
      </c>
      <c r="K8" s="12">
        <f t="shared" si="1"/>
        <v>-3085905.8449440002</v>
      </c>
      <c r="L8" s="12">
        <f t="shared" si="8"/>
        <v>0.44999999999999996</v>
      </c>
      <c r="M8" s="12">
        <f t="shared" si="2"/>
        <v>36000</v>
      </c>
      <c r="N8" s="14">
        <f t="shared" si="3"/>
        <v>-3059705.4555898225</v>
      </c>
      <c r="O8" s="14">
        <f t="shared" si="4"/>
        <v>-950140.73432742432</v>
      </c>
      <c r="P8">
        <v>6</v>
      </c>
    </row>
    <row r="9" spans="1:16" x14ac:dyDescent="0.25">
      <c r="A9" t="s">
        <v>35</v>
      </c>
      <c r="B9">
        <v>0.36099999999999999</v>
      </c>
      <c r="G9" s="16">
        <v>2025</v>
      </c>
      <c r="H9" s="12">
        <f t="shared" si="5"/>
        <v>-1031.8736432812502</v>
      </c>
      <c r="I9" s="12">
        <f t="shared" si="6"/>
        <v>-8993.2113195510883</v>
      </c>
      <c r="J9" s="17">
        <f t="shared" si="7"/>
        <v>62952.479236857609</v>
      </c>
      <c r="K9" s="12">
        <f t="shared" si="1"/>
        <v>-3147623.9618428806</v>
      </c>
      <c r="L9" s="12">
        <f t="shared" si="8"/>
        <v>0.49999999999999994</v>
      </c>
      <c r="M9" s="12">
        <f t="shared" si="2"/>
        <v>39999.999999999993</v>
      </c>
      <c r="N9" s="14">
        <f t="shared" si="3"/>
        <v>-3117649.0468057129</v>
      </c>
      <c r="O9" s="14">
        <f t="shared" si="4"/>
        <v>-858427.16318853362</v>
      </c>
      <c r="P9">
        <v>7</v>
      </c>
    </row>
    <row r="10" spans="1:16" x14ac:dyDescent="0.25">
      <c r="A10" t="s">
        <v>36</v>
      </c>
      <c r="B10">
        <v>0.1278</v>
      </c>
      <c r="G10" s="16">
        <v>2026</v>
      </c>
      <c r="H10" s="12">
        <f t="shared" si="5"/>
        <v>-1083.4673254453128</v>
      </c>
      <c r="I10" s="12">
        <f t="shared" si="6"/>
        <v>-9173.0755459421107</v>
      </c>
      <c r="J10" s="17">
        <f t="shared" si="7"/>
        <v>64211.528821594766</v>
      </c>
      <c r="K10" s="12">
        <f t="shared" si="1"/>
        <v>-3210576.4410797381</v>
      </c>
      <c r="L10" s="12">
        <f t="shared" si="8"/>
        <v>0.54999999999999993</v>
      </c>
      <c r="M10" s="12">
        <f t="shared" si="2"/>
        <v>43999.999999999993</v>
      </c>
      <c r="N10" s="14">
        <f t="shared" si="3"/>
        <v>-3176832.9839511253</v>
      </c>
      <c r="O10" s="14">
        <f t="shared" si="4"/>
        <v>-775601.28394653648</v>
      </c>
      <c r="P10">
        <v>8</v>
      </c>
    </row>
    <row r="11" spans="1:16" x14ac:dyDescent="0.25">
      <c r="A11" t="s">
        <v>38</v>
      </c>
      <c r="B11">
        <v>-50</v>
      </c>
      <c r="G11" s="16">
        <v>2027</v>
      </c>
      <c r="H11" s="12">
        <f t="shared" si="5"/>
        <v>-1137.6406917175784</v>
      </c>
      <c r="I11" s="12">
        <f t="shared" si="6"/>
        <v>-9356.5370568609524</v>
      </c>
      <c r="J11" s="17">
        <f t="shared" si="7"/>
        <v>65495.759398026661</v>
      </c>
      <c r="K11" s="12">
        <f t="shared" si="1"/>
        <v>-3274787.9699013331</v>
      </c>
      <c r="L11" s="12">
        <f t="shared" si="8"/>
        <v>0.6</v>
      </c>
      <c r="M11" s="12">
        <f t="shared" si="2"/>
        <v>48000</v>
      </c>
      <c r="N11" s="14">
        <f t="shared" si="3"/>
        <v>-3237282.1476499117</v>
      </c>
      <c r="O11" s="14">
        <f t="shared" si="4"/>
        <v>-700797.58763836953</v>
      </c>
      <c r="P11">
        <v>9</v>
      </c>
    </row>
    <row r="12" spans="1:16" x14ac:dyDescent="0.25">
      <c r="G12" s="16">
        <v>2028</v>
      </c>
      <c r="H12" s="12">
        <f t="shared" si="5"/>
        <v>-1194.5227263034574</v>
      </c>
      <c r="I12" s="12">
        <f t="shared" si="6"/>
        <v>-9543.6677979981723</v>
      </c>
      <c r="J12" s="17">
        <f t="shared" si="7"/>
        <v>66805.674585987203</v>
      </c>
      <c r="K12" s="12">
        <f t="shared" si="1"/>
        <v>-3340283.72929936</v>
      </c>
      <c r="L12" s="12">
        <f t="shared" si="8"/>
        <v>0.65</v>
      </c>
      <c r="M12" s="12">
        <f t="shared" si="2"/>
        <v>52000</v>
      </c>
      <c r="N12" s="14">
        <f t="shared" si="3"/>
        <v>-3299021.9198236614</v>
      </c>
      <c r="O12" s="14">
        <f t="shared" si="4"/>
        <v>-633235.35828621185</v>
      </c>
      <c r="P12">
        <v>10</v>
      </c>
    </row>
    <row r="13" spans="1:16" x14ac:dyDescent="0.25">
      <c r="G13" s="16">
        <v>2029</v>
      </c>
      <c r="H13" s="12">
        <f t="shared" si="5"/>
        <v>-1254.2488626186303</v>
      </c>
      <c r="I13" s="12">
        <f t="shared" si="6"/>
        <v>-9734.5411539581364</v>
      </c>
      <c r="J13" s="17">
        <f t="shared" si="7"/>
        <v>68141.788077706951</v>
      </c>
      <c r="K13" s="12">
        <f t="shared" si="1"/>
        <v>-3407089.4038853478</v>
      </c>
      <c r="L13" s="12">
        <f t="shared" si="8"/>
        <v>0.70000000000000007</v>
      </c>
      <c r="M13" s="12">
        <f t="shared" si="2"/>
        <v>56000.000000000007</v>
      </c>
      <c r="N13" s="14">
        <f t="shared" si="3"/>
        <v>-3362078.1939019244</v>
      </c>
      <c r="O13" s="14">
        <f t="shared" si="4"/>
        <v>-572210.30560224131</v>
      </c>
      <c r="P13">
        <v>11</v>
      </c>
    </row>
    <row r="14" spans="1:16" x14ac:dyDescent="0.25">
      <c r="A14" t="s">
        <v>40</v>
      </c>
      <c r="B14" s="9">
        <f>$O$23</f>
        <v>-14213107.811787499</v>
      </c>
      <c r="C14" s="9">
        <f>$O$47</f>
        <v>-21908360.267762385</v>
      </c>
      <c r="D14" s="9">
        <f>$O$71</f>
        <v>-3605674.921228454</v>
      </c>
      <c r="E14" s="9">
        <f>$O$95</f>
        <v>-26581622.391865481</v>
      </c>
      <c r="G14" s="16">
        <v>2030</v>
      </c>
      <c r="H14" s="12">
        <f t="shared" si="5"/>
        <v>-1316.9613057495619</v>
      </c>
      <c r="I14" s="12">
        <f t="shared" si="6"/>
        <v>-9929.2319770372997</v>
      </c>
      <c r="J14" s="17">
        <f t="shared" si="7"/>
        <v>69504.623839261098</v>
      </c>
      <c r="K14" s="12">
        <f t="shared" si="1"/>
        <v>-3475231.1919630547</v>
      </c>
      <c r="L14" s="12">
        <f t="shared" si="8"/>
        <v>0.75000000000000011</v>
      </c>
      <c r="M14" s="12">
        <f t="shared" si="2"/>
        <v>60000.000000000007</v>
      </c>
      <c r="N14" s="14">
        <f t="shared" si="3"/>
        <v>-3426477.3852458415</v>
      </c>
      <c r="O14" s="14">
        <f t="shared" si="4"/>
        <v>-517087.03044068365</v>
      </c>
      <c r="P14">
        <v>12</v>
      </c>
    </row>
    <row r="15" spans="1:16" x14ac:dyDescent="0.25">
      <c r="A15" t="s">
        <v>39</v>
      </c>
      <c r="B15" s="9">
        <f>B4+O23</f>
        <v>-88827427.811787501</v>
      </c>
      <c r="C15" s="9">
        <f>C4+O47</f>
        <v>-101603360.26776239</v>
      </c>
      <c r="D15" s="9">
        <f>D4+O71</f>
        <v>-80071690.921228454</v>
      </c>
      <c r="E15" s="9">
        <f>E2+O95</f>
        <v>-82581622.391865477</v>
      </c>
      <c r="G15" s="16">
        <v>2031</v>
      </c>
      <c r="H15" s="12">
        <f t="shared" si="5"/>
        <v>-1382.8093710370401</v>
      </c>
      <c r="I15" s="12">
        <f t="shared" si="6"/>
        <v>-10127.816616578046</v>
      </c>
      <c r="J15" s="17">
        <f t="shared" si="7"/>
        <v>70894.716316046324</v>
      </c>
      <c r="K15" s="12">
        <f t="shared" si="1"/>
        <v>-3544735.8158023162</v>
      </c>
      <c r="L15" s="12">
        <f t="shared" si="8"/>
        <v>0.80000000000000016</v>
      </c>
      <c r="M15" s="12">
        <f t="shared" si="2"/>
        <v>64000.000000000015</v>
      </c>
      <c r="N15" s="14">
        <f t="shared" si="3"/>
        <v>-3492246.4417899312</v>
      </c>
      <c r="O15" s="14">
        <f t="shared" si="4"/>
        <v>-467292.239298534</v>
      </c>
      <c r="P15">
        <v>13</v>
      </c>
    </row>
    <row r="16" spans="1:16" x14ac:dyDescent="0.25">
      <c r="G16" s="16">
        <v>2032</v>
      </c>
      <c r="H16" s="12">
        <f t="shared" si="5"/>
        <v>-1451.9498395888922</v>
      </c>
      <c r="I16" s="12">
        <f t="shared" si="6"/>
        <v>-10330.372948909608</v>
      </c>
      <c r="J16" s="17">
        <f t="shared" si="7"/>
        <v>72312.610642367246</v>
      </c>
      <c r="K16" s="12">
        <f t="shared" si="1"/>
        <v>-3615630.5321183624</v>
      </c>
      <c r="L16" s="12">
        <f t="shared" si="8"/>
        <v>0.8500000000000002</v>
      </c>
      <c r="M16" s="12">
        <f t="shared" si="2"/>
        <v>68000.000000000015</v>
      </c>
      <c r="N16" s="14">
        <f t="shared" si="3"/>
        <v>-3559412.8549068607</v>
      </c>
      <c r="O16" s="14">
        <f t="shared" si="4"/>
        <v>-422308.63267271238</v>
      </c>
      <c r="P16">
        <v>14</v>
      </c>
    </row>
    <row r="17" spans="7:16" x14ac:dyDescent="0.25">
      <c r="G17" s="16">
        <v>2033</v>
      </c>
      <c r="H17" s="12">
        <f t="shared" si="5"/>
        <v>-1524.5473315683369</v>
      </c>
      <c r="I17" s="12">
        <f t="shared" si="6"/>
        <v>-10536.980407887801</v>
      </c>
      <c r="J17" s="17">
        <f t="shared" si="7"/>
        <v>73758.862855214596</v>
      </c>
      <c r="K17" s="12">
        <f t="shared" si="1"/>
        <v>-3687943.1427607299</v>
      </c>
      <c r="L17" s="12">
        <f t="shared" si="8"/>
        <v>0.90000000000000024</v>
      </c>
      <c r="M17" s="12">
        <f t="shared" si="2"/>
        <v>72000.000000000015</v>
      </c>
      <c r="N17" s="14">
        <f t="shared" si="3"/>
        <v>-3628004.6705001858</v>
      </c>
      <c r="O17" s="14">
        <f t="shared" si="4"/>
        <v>-381669.39971269475</v>
      </c>
      <c r="P17">
        <v>15</v>
      </c>
    </row>
    <row r="18" spans="7:16" x14ac:dyDescent="0.25">
      <c r="G18" s="16">
        <v>2034</v>
      </c>
      <c r="H18" s="12">
        <f t="shared" si="5"/>
        <v>-1600.7746981467537</v>
      </c>
      <c r="I18" s="12">
        <f t="shared" si="6"/>
        <v>-10747.720016045556</v>
      </c>
      <c r="J18" s="17">
        <f t="shared" si="7"/>
        <v>75234.040112318893</v>
      </c>
      <c r="K18" s="12">
        <f t="shared" si="1"/>
        <v>-3761702.0056159445</v>
      </c>
      <c r="L18" s="12">
        <f t="shared" si="8"/>
        <v>0.95000000000000029</v>
      </c>
      <c r="M18" s="12">
        <f t="shared" si="2"/>
        <v>76000.000000000029</v>
      </c>
      <c r="N18" s="14">
        <f t="shared" si="3"/>
        <v>-3698050.5003301366</v>
      </c>
      <c r="O18" s="14">
        <f t="shared" si="4"/>
        <v>-344953.25845501962</v>
      </c>
      <c r="P18">
        <v>16</v>
      </c>
    </row>
    <row r="19" spans="7:16" x14ac:dyDescent="0.25">
      <c r="G19" s="16">
        <v>2035</v>
      </c>
      <c r="H19" s="12">
        <f t="shared" si="5"/>
        <v>-1680.8134330540915</v>
      </c>
      <c r="I19" s="12">
        <f t="shared" si="6"/>
        <v>-10962.674416366468</v>
      </c>
      <c r="J19" s="17">
        <f t="shared" si="7"/>
        <v>76738.720914565274</v>
      </c>
      <c r="K19" s="12">
        <f t="shared" si="1"/>
        <v>-3836936.0457282639</v>
      </c>
      <c r="L19" s="12">
        <f t="shared" si="8"/>
        <v>1.0000000000000002</v>
      </c>
      <c r="M19" s="12">
        <f t="shared" si="2"/>
        <v>80000.000000000015</v>
      </c>
      <c r="N19" s="14">
        <f t="shared" si="3"/>
        <v>-3769579.5335776843</v>
      </c>
      <c r="O19" s="14">
        <f t="shared" si="4"/>
        <v>-311779.98707110295</v>
      </c>
      <c r="P19">
        <v>17</v>
      </c>
    </row>
    <row r="20" spans="7:16" x14ac:dyDescent="0.25">
      <c r="G20" s="16">
        <v>2036</v>
      </c>
      <c r="H20" s="12">
        <f t="shared" si="5"/>
        <v>-1764.8541047067963</v>
      </c>
      <c r="I20" s="12">
        <f t="shared" si="6"/>
        <v>-11181.927904693797</v>
      </c>
      <c r="J20" s="17">
        <f t="shared" si="7"/>
        <v>78273.495332856575</v>
      </c>
      <c r="K20" s="12">
        <f t="shared" si="1"/>
        <v>-3913674.7666428289</v>
      </c>
      <c r="L20" s="12">
        <f t="shared" si="8"/>
        <v>1.0500000000000003</v>
      </c>
      <c r="M20" s="12">
        <f t="shared" si="2"/>
        <v>84000.000000000015</v>
      </c>
      <c r="N20" s="14">
        <f t="shared" si="3"/>
        <v>-3842621.5486522298</v>
      </c>
      <c r="O20" s="14">
        <f t="shared" si="4"/>
        <v>-281806.39707545465</v>
      </c>
      <c r="P20">
        <v>18</v>
      </c>
    </row>
    <row r="21" spans="7:16" x14ac:dyDescent="0.25">
      <c r="G21" s="16">
        <v>2037</v>
      </c>
      <c r="H21" s="12">
        <f t="shared" si="5"/>
        <v>-1853.0968099421361</v>
      </c>
      <c r="I21" s="12">
        <f t="shared" si="6"/>
        <v>-11405.566462787674</v>
      </c>
      <c r="J21" s="17">
        <f t="shared" si="7"/>
        <v>79838.965239513709</v>
      </c>
      <c r="K21" s="12">
        <f t="shared" si="1"/>
        <v>-3991948.2619756856</v>
      </c>
      <c r="L21" s="12">
        <f t="shared" si="8"/>
        <v>1.1000000000000003</v>
      </c>
      <c r="M21" s="12">
        <f t="shared" si="2"/>
        <v>88000.000000000029</v>
      </c>
      <c r="N21" s="14">
        <f t="shared" si="3"/>
        <v>-3917206.9252484157</v>
      </c>
      <c r="O21" s="14">
        <f t="shared" si="4"/>
        <v>-254722.70439297569</v>
      </c>
      <c r="P21">
        <v>19</v>
      </c>
    </row>
    <row r="22" spans="7:16" x14ac:dyDescent="0.25">
      <c r="G22" s="16">
        <v>2038</v>
      </c>
      <c r="H22" s="12">
        <f t="shared" si="5"/>
        <v>-1945.7516504392431</v>
      </c>
      <c r="I22" s="12">
        <f t="shared" si="6"/>
        <v>-11633.677792043427</v>
      </c>
      <c r="J22" s="17">
        <f t="shared" si="7"/>
        <v>81435.744544303991</v>
      </c>
      <c r="K22" s="12">
        <f t="shared" si="1"/>
        <v>-4071787.2272151997</v>
      </c>
      <c r="L22" s="12">
        <f t="shared" si="8"/>
        <v>1.1500000000000004</v>
      </c>
      <c r="M22" s="12">
        <f t="shared" si="2"/>
        <v>92000.000000000029</v>
      </c>
      <c r="N22" s="14">
        <f t="shared" si="3"/>
        <v>-3993366.6566576823</v>
      </c>
      <c r="O22" s="14">
        <f t="shared" si="4"/>
        <v>-230249.25862994537</v>
      </c>
      <c r="P22">
        <v>20</v>
      </c>
    </row>
    <row r="23" spans="7:16" x14ac:dyDescent="0.25">
      <c r="O23" s="9">
        <f>SUM(O3:O22)</f>
        <v>-14213107.811787499</v>
      </c>
    </row>
    <row r="25" spans="7:16" x14ac:dyDescent="0.25">
      <c r="G25" s="6" t="s">
        <v>3</v>
      </c>
    </row>
    <row r="26" spans="7:16" x14ac:dyDescent="0.25">
      <c r="G26" s="13"/>
      <c r="H26" s="15" t="s">
        <v>29</v>
      </c>
      <c r="I26" s="15" t="s">
        <v>37</v>
      </c>
      <c r="J26" s="15" t="s">
        <v>31</v>
      </c>
      <c r="K26" s="15" t="s">
        <v>30</v>
      </c>
      <c r="L26" s="15" t="s">
        <v>32</v>
      </c>
      <c r="M26" s="15" t="s">
        <v>23</v>
      </c>
      <c r="N26" s="15" t="s">
        <v>33</v>
      </c>
      <c r="O26" s="15" t="s">
        <v>28</v>
      </c>
    </row>
    <row r="27" spans="7:16" x14ac:dyDescent="0.25">
      <c r="G27" s="16">
        <v>2019</v>
      </c>
      <c r="H27" s="12">
        <v>-720</v>
      </c>
      <c r="I27" s="12">
        <f>-1.3*$C$7/7</f>
        <v>-12257.142857142857</v>
      </c>
      <c r="J27" s="17">
        <f>1.3*$C$7</f>
        <v>85800</v>
      </c>
      <c r="K27" s="12">
        <f>J27*$B$11</f>
        <v>-4290000</v>
      </c>
      <c r="L27" s="12">
        <v>0.2</v>
      </c>
      <c r="M27" s="12">
        <f>L27*80000</f>
        <v>16000</v>
      </c>
      <c r="N27" s="14">
        <f>M27+K27+H27+I27</f>
        <v>-4286977.1428571427</v>
      </c>
      <c r="O27" s="14">
        <f>N27*(1-$B$9)/((1+$B$10)^P27)</f>
        <v>-2428957.6115319333</v>
      </c>
      <c r="P27">
        <v>1</v>
      </c>
    </row>
    <row r="28" spans="7:16" x14ac:dyDescent="0.25">
      <c r="G28" s="16">
        <v>2020</v>
      </c>
      <c r="H28" s="12">
        <f>H27*1.05</f>
        <v>-756</v>
      </c>
      <c r="I28" s="12">
        <f>I27*1.02</f>
        <v>-12502.285714285714</v>
      </c>
      <c r="J28" s="17">
        <f>J27*1.02</f>
        <v>87516</v>
      </c>
      <c r="K28" s="12">
        <f t="shared" ref="K28:K46" si="9">J28*$B$11</f>
        <v>-4375800</v>
      </c>
      <c r="L28" s="12">
        <f>L27+0.05</f>
        <v>0.25</v>
      </c>
      <c r="M28" s="12">
        <f t="shared" ref="M28:M46" si="10">L28*80000</f>
        <v>20000</v>
      </c>
      <c r="N28" s="14">
        <f t="shared" ref="N28:N46" si="11">M28+K28+H28+I28</f>
        <v>-4369058.2857142854</v>
      </c>
      <c r="O28" s="14">
        <f t="shared" ref="O28:O46" si="12">N28*(1-$B$9)/((1+$B$10)^P28)</f>
        <v>-2194949.4161747005</v>
      </c>
      <c r="P28">
        <v>2</v>
      </c>
    </row>
    <row r="29" spans="7:16" x14ac:dyDescent="0.25">
      <c r="G29" s="16">
        <v>2021</v>
      </c>
      <c r="H29" s="12">
        <f t="shared" ref="H29:H46" si="13">H28*1.05</f>
        <v>-793.80000000000007</v>
      </c>
      <c r="I29" s="12">
        <f t="shared" ref="I29:I46" si="14">I28*1.02</f>
        <v>-12752.331428571428</v>
      </c>
      <c r="J29" s="17">
        <f t="shared" ref="J29:J46" si="15">J28*1.02</f>
        <v>89266.32</v>
      </c>
      <c r="K29" s="12">
        <f t="shared" si="9"/>
        <v>-4463316</v>
      </c>
      <c r="L29" s="12">
        <f t="shared" ref="L29:L46" si="16">L28+0.05</f>
        <v>0.3</v>
      </c>
      <c r="M29" s="12">
        <f t="shared" si="10"/>
        <v>24000</v>
      </c>
      <c r="N29" s="14">
        <f t="shared" si="11"/>
        <v>-4452862.1314285714</v>
      </c>
      <c r="O29" s="14">
        <f t="shared" si="12"/>
        <v>-1983553.1233669517</v>
      </c>
      <c r="P29">
        <v>3</v>
      </c>
    </row>
    <row r="30" spans="7:16" x14ac:dyDescent="0.25">
      <c r="G30" s="16">
        <v>2022</v>
      </c>
      <c r="H30" s="12">
        <f t="shared" si="13"/>
        <v>-833.49000000000012</v>
      </c>
      <c r="I30" s="12">
        <f t="shared" si="14"/>
        <v>-13007.378057142856</v>
      </c>
      <c r="J30" s="17">
        <f t="shared" si="15"/>
        <v>91051.646400000012</v>
      </c>
      <c r="K30" s="12">
        <f t="shared" si="9"/>
        <v>-4552582.32</v>
      </c>
      <c r="L30" s="12">
        <f t="shared" si="16"/>
        <v>0.35</v>
      </c>
      <c r="M30" s="12">
        <f t="shared" si="10"/>
        <v>28000</v>
      </c>
      <c r="N30" s="14">
        <f t="shared" si="11"/>
        <v>-4538423.1880571432</v>
      </c>
      <c r="O30" s="14">
        <f t="shared" si="12"/>
        <v>-1792575.6247671407</v>
      </c>
      <c r="P30">
        <v>4</v>
      </c>
    </row>
    <row r="31" spans="7:16" x14ac:dyDescent="0.25">
      <c r="G31" s="16">
        <v>2023</v>
      </c>
      <c r="H31" s="12">
        <f t="shared" si="13"/>
        <v>-875.1645000000002</v>
      </c>
      <c r="I31" s="12">
        <f t="shared" si="14"/>
        <v>-13267.525618285714</v>
      </c>
      <c r="J31" s="17">
        <f t="shared" si="15"/>
        <v>92872.679328000013</v>
      </c>
      <c r="K31" s="12">
        <f t="shared" si="9"/>
        <v>-4643633.9664000003</v>
      </c>
      <c r="L31" s="12">
        <f t="shared" si="16"/>
        <v>0.39999999999999997</v>
      </c>
      <c r="M31" s="12">
        <f t="shared" si="10"/>
        <v>31999.999999999996</v>
      </c>
      <c r="N31" s="14">
        <f t="shared" si="11"/>
        <v>-4625776.6565182861</v>
      </c>
      <c r="O31" s="14">
        <f t="shared" si="12"/>
        <v>-1620037.49824432</v>
      </c>
      <c r="P31">
        <v>5</v>
      </c>
    </row>
    <row r="32" spans="7:16" x14ac:dyDescent="0.25">
      <c r="G32" s="16">
        <v>2024</v>
      </c>
      <c r="H32" s="12">
        <f t="shared" si="13"/>
        <v>-918.92272500000024</v>
      </c>
      <c r="I32" s="12">
        <f t="shared" si="14"/>
        <v>-13532.876130651428</v>
      </c>
      <c r="J32" s="17">
        <f t="shared" si="15"/>
        <v>94730.132914560018</v>
      </c>
      <c r="K32" s="12">
        <f t="shared" si="9"/>
        <v>-4736506.6457280004</v>
      </c>
      <c r="L32" s="12">
        <f t="shared" si="16"/>
        <v>0.44999999999999996</v>
      </c>
      <c r="M32" s="12">
        <f t="shared" si="10"/>
        <v>36000</v>
      </c>
      <c r="N32" s="14">
        <f t="shared" si="11"/>
        <v>-4714958.4445836525</v>
      </c>
      <c r="O32" s="14">
        <f t="shared" si="12"/>
        <v>-1464152.070806571</v>
      </c>
      <c r="P32">
        <v>6</v>
      </c>
    </row>
    <row r="33" spans="7:16" x14ac:dyDescent="0.25">
      <c r="G33" s="16">
        <v>2025</v>
      </c>
      <c r="H33" s="12">
        <f t="shared" si="13"/>
        <v>-964.86886125000035</v>
      </c>
      <c r="I33" s="12">
        <f t="shared" si="14"/>
        <v>-13803.533653264456</v>
      </c>
      <c r="J33" s="17">
        <f t="shared" si="15"/>
        <v>96624.735572851219</v>
      </c>
      <c r="K33" s="12">
        <f t="shared" si="9"/>
        <v>-4831236.7786425613</v>
      </c>
      <c r="L33" s="12">
        <f t="shared" si="16"/>
        <v>0.49999999999999994</v>
      </c>
      <c r="M33" s="12">
        <f t="shared" si="10"/>
        <v>39999.999999999993</v>
      </c>
      <c r="N33" s="14">
        <f t="shared" si="11"/>
        <v>-4806005.1811570758</v>
      </c>
      <c r="O33" s="14">
        <f t="shared" si="12"/>
        <v>-1323306.5466932799</v>
      </c>
      <c r="P33">
        <v>7</v>
      </c>
    </row>
    <row r="34" spans="7:16" x14ac:dyDescent="0.25">
      <c r="G34" s="16">
        <v>2026</v>
      </c>
      <c r="H34" s="12">
        <f t="shared" si="13"/>
        <v>-1013.1123043125004</v>
      </c>
      <c r="I34" s="12">
        <f t="shared" si="14"/>
        <v>-14079.604326329745</v>
      </c>
      <c r="J34" s="17">
        <f t="shared" si="15"/>
        <v>98557.230284308243</v>
      </c>
      <c r="K34" s="12">
        <f t="shared" si="9"/>
        <v>-4927861.5142154125</v>
      </c>
      <c r="L34" s="12">
        <f t="shared" si="16"/>
        <v>0.54999999999999993</v>
      </c>
      <c r="M34" s="12">
        <f t="shared" si="10"/>
        <v>43999.999999999993</v>
      </c>
      <c r="N34" s="14">
        <f t="shared" si="11"/>
        <v>-4898954.2308460549</v>
      </c>
      <c r="O34" s="14">
        <f t="shared" si="12"/>
        <v>-1196044.9953254368</v>
      </c>
      <c r="P34">
        <v>8</v>
      </c>
    </row>
    <row r="35" spans="7:16" x14ac:dyDescent="0.25">
      <c r="G35" s="16">
        <v>2027</v>
      </c>
      <c r="H35" s="12">
        <f t="shared" si="13"/>
        <v>-1063.7679195281255</v>
      </c>
      <c r="I35" s="12">
        <f t="shared" si="14"/>
        <v>-14361.19641285634</v>
      </c>
      <c r="J35" s="17">
        <f t="shared" si="15"/>
        <v>100528.3748899944</v>
      </c>
      <c r="K35" s="12">
        <f t="shared" si="9"/>
        <v>-5026418.7444997206</v>
      </c>
      <c r="L35" s="12">
        <f t="shared" si="16"/>
        <v>0.6</v>
      </c>
      <c r="M35" s="12">
        <f t="shared" si="10"/>
        <v>48000</v>
      </c>
      <c r="N35" s="14">
        <f t="shared" si="11"/>
        <v>-4993843.7088321056</v>
      </c>
      <c r="O35" s="14">
        <f t="shared" si="12"/>
        <v>-1081053.0144038133</v>
      </c>
      <c r="P35">
        <v>9</v>
      </c>
    </row>
    <row r="36" spans="7:16" x14ac:dyDescent="0.25">
      <c r="G36" s="16">
        <v>2028</v>
      </c>
      <c r="H36" s="12">
        <f t="shared" si="13"/>
        <v>-1116.9563155045319</v>
      </c>
      <c r="I36" s="12">
        <f t="shared" si="14"/>
        <v>-14648.420341113466</v>
      </c>
      <c r="J36" s="17">
        <f t="shared" si="15"/>
        <v>102538.94238779429</v>
      </c>
      <c r="K36" s="12">
        <f t="shared" si="9"/>
        <v>-5126947.1193897147</v>
      </c>
      <c r="L36" s="12">
        <f t="shared" si="16"/>
        <v>0.65</v>
      </c>
      <c r="M36" s="12">
        <f t="shared" si="10"/>
        <v>52000</v>
      </c>
      <c r="N36" s="14">
        <f t="shared" si="11"/>
        <v>-5090712.4960463326</v>
      </c>
      <c r="O36" s="14">
        <f t="shared" si="12"/>
        <v>-977143.90195331094</v>
      </c>
      <c r="P36">
        <v>10</v>
      </c>
    </row>
    <row r="37" spans="7:16" x14ac:dyDescent="0.25">
      <c r="G37" s="16">
        <v>2029</v>
      </c>
      <c r="H37" s="12">
        <f t="shared" si="13"/>
        <v>-1172.8041312797584</v>
      </c>
      <c r="I37" s="12">
        <f t="shared" si="14"/>
        <v>-14941.388747935736</v>
      </c>
      <c r="J37" s="17">
        <f t="shared" si="15"/>
        <v>104589.72123555018</v>
      </c>
      <c r="K37" s="12">
        <f t="shared" si="9"/>
        <v>-5229486.0617775088</v>
      </c>
      <c r="L37" s="12">
        <f t="shared" si="16"/>
        <v>0.70000000000000007</v>
      </c>
      <c r="M37" s="12">
        <f t="shared" si="10"/>
        <v>56000.000000000007</v>
      </c>
      <c r="N37" s="14">
        <f t="shared" si="11"/>
        <v>-5189600.2546567246</v>
      </c>
      <c r="O37" s="14">
        <f t="shared" si="12"/>
        <v>-883246.18774682155</v>
      </c>
      <c r="P37">
        <v>11</v>
      </c>
    </row>
    <row r="38" spans="7:16" x14ac:dyDescent="0.25">
      <c r="G38" s="16">
        <v>2030</v>
      </c>
      <c r="H38" s="12">
        <f t="shared" si="13"/>
        <v>-1231.4443378437463</v>
      </c>
      <c r="I38" s="12">
        <f t="shared" si="14"/>
        <v>-15240.21652289445</v>
      </c>
      <c r="J38" s="17">
        <f t="shared" si="15"/>
        <v>106681.51566026118</v>
      </c>
      <c r="K38" s="12">
        <f t="shared" si="9"/>
        <v>-5334075.7830130588</v>
      </c>
      <c r="L38" s="12">
        <f t="shared" si="16"/>
        <v>0.75000000000000011</v>
      </c>
      <c r="M38" s="12">
        <f t="shared" si="10"/>
        <v>60000.000000000007</v>
      </c>
      <c r="N38" s="14">
        <f t="shared" si="11"/>
        <v>-5290547.4438737975</v>
      </c>
      <c r="O38" s="14">
        <f t="shared" si="12"/>
        <v>-798392.38949536323</v>
      </c>
      <c r="P38">
        <v>12</v>
      </c>
    </row>
    <row r="39" spans="7:16" x14ac:dyDescent="0.25">
      <c r="G39" s="16">
        <v>2031</v>
      </c>
      <c r="H39" s="12">
        <f t="shared" si="13"/>
        <v>-1293.0165547359336</v>
      </c>
      <c r="I39" s="12">
        <f t="shared" si="14"/>
        <v>-15545.02085335234</v>
      </c>
      <c r="J39" s="17">
        <f t="shared" si="15"/>
        <v>108815.14597346641</v>
      </c>
      <c r="K39" s="12">
        <f t="shared" si="9"/>
        <v>-5440757.2986733206</v>
      </c>
      <c r="L39" s="12">
        <f t="shared" si="16"/>
        <v>0.80000000000000016</v>
      </c>
      <c r="M39" s="12">
        <f t="shared" si="10"/>
        <v>64000.000000000015</v>
      </c>
      <c r="N39" s="14">
        <f t="shared" si="11"/>
        <v>-5393595.3360814089</v>
      </c>
      <c r="O39" s="14">
        <f t="shared" si="12"/>
        <v>-721708.87263494532</v>
      </c>
      <c r="P39">
        <v>13</v>
      </c>
    </row>
    <row r="40" spans="7:16" x14ac:dyDescent="0.25">
      <c r="G40" s="16">
        <v>2032</v>
      </c>
      <c r="H40" s="12">
        <f t="shared" si="13"/>
        <v>-1357.6673824727304</v>
      </c>
      <c r="I40" s="12">
        <f t="shared" si="14"/>
        <v>-15855.921270419387</v>
      </c>
      <c r="J40" s="17">
        <f t="shared" si="15"/>
        <v>110991.44889293575</v>
      </c>
      <c r="K40" s="12">
        <f t="shared" si="9"/>
        <v>-5549572.4446467869</v>
      </c>
      <c r="L40" s="12">
        <f t="shared" si="16"/>
        <v>0.8500000000000002</v>
      </c>
      <c r="M40" s="12">
        <f t="shared" si="10"/>
        <v>68000.000000000015</v>
      </c>
      <c r="N40" s="14">
        <f t="shared" si="11"/>
        <v>-5498786.0332996799</v>
      </c>
      <c r="O40" s="14">
        <f t="shared" si="12"/>
        <v>-652406.70462863753</v>
      </c>
      <c r="P40">
        <v>14</v>
      </c>
    </row>
    <row r="41" spans="7:16" x14ac:dyDescent="0.25">
      <c r="G41" s="16">
        <v>2033</v>
      </c>
      <c r="H41" s="12">
        <f t="shared" si="13"/>
        <v>-1425.550751596367</v>
      </c>
      <c r="I41" s="12">
        <f t="shared" si="14"/>
        <v>-16173.039695827774</v>
      </c>
      <c r="J41" s="17">
        <f t="shared" si="15"/>
        <v>113211.27787079447</v>
      </c>
      <c r="K41" s="12">
        <f t="shared" si="9"/>
        <v>-5660563.893539723</v>
      </c>
      <c r="L41" s="12">
        <f t="shared" si="16"/>
        <v>0.90000000000000024</v>
      </c>
      <c r="M41" s="12">
        <f t="shared" si="10"/>
        <v>72000.000000000015</v>
      </c>
      <c r="N41" s="14">
        <f t="shared" si="11"/>
        <v>-5606162.4839871479</v>
      </c>
      <c r="O41" s="14">
        <f t="shared" si="12"/>
        <v>-589773.40557287866</v>
      </c>
      <c r="P41">
        <v>15</v>
      </c>
    </row>
    <row r="42" spans="7:16" x14ac:dyDescent="0.25">
      <c r="G42" s="16">
        <v>2034</v>
      </c>
      <c r="H42" s="12">
        <f t="shared" si="13"/>
        <v>-1496.8282891761855</v>
      </c>
      <c r="I42" s="12">
        <f t="shared" si="14"/>
        <v>-16496.500489744329</v>
      </c>
      <c r="J42" s="17">
        <f t="shared" si="15"/>
        <v>115475.50342821036</v>
      </c>
      <c r="K42" s="12">
        <f t="shared" si="9"/>
        <v>-5773775.1714105178</v>
      </c>
      <c r="L42" s="12">
        <f t="shared" si="16"/>
        <v>0.95000000000000029</v>
      </c>
      <c r="M42" s="12">
        <f t="shared" si="10"/>
        <v>76000.000000000029</v>
      </c>
      <c r="N42" s="14">
        <f t="shared" si="11"/>
        <v>-5715768.5001894385</v>
      </c>
      <c r="O42" s="14">
        <f t="shared" si="12"/>
        <v>-533165.50667409471</v>
      </c>
      <c r="P42">
        <v>16</v>
      </c>
    </row>
    <row r="43" spans="7:16" x14ac:dyDescent="0.25">
      <c r="G43" s="16">
        <v>2035</v>
      </c>
      <c r="H43" s="12">
        <f t="shared" si="13"/>
        <v>-1571.6697036349949</v>
      </c>
      <c r="I43" s="12">
        <f t="shared" si="14"/>
        <v>-16826.430499539216</v>
      </c>
      <c r="J43" s="17">
        <f t="shared" si="15"/>
        <v>117785.01349677457</v>
      </c>
      <c r="K43" s="12">
        <f t="shared" si="9"/>
        <v>-5889250.6748387283</v>
      </c>
      <c r="L43" s="12">
        <f t="shared" si="16"/>
        <v>1.0000000000000002</v>
      </c>
      <c r="M43" s="12">
        <f t="shared" si="10"/>
        <v>80000.000000000015</v>
      </c>
      <c r="N43" s="14">
        <f t="shared" si="11"/>
        <v>-5827648.7750419024</v>
      </c>
      <c r="O43" s="14">
        <f t="shared" si="12"/>
        <v>-482001.83695634693</v>
      </c>
      <c r="P43">
        <v>17</v>
      </c>
    </row>
    <row r="44" spans="7:16" x14ac:dyDescent="0.25">
      <c r="G44" s="16">
        <v>2036</v>
      </c>
      <c r="H44" s="12">
        <f t="shared" si="13"/>
        <v>-1650.2531888167448</v>
      </c>
      <c r="I44" s="12">
        <f t="shared" si="14"/>
        <v>-17162.959109530002</v>
      </c>
      <c r="J44" s="17">
        <f t="shared" si="15"/>
        <v>120140.71376671006</v>
      </c>
      <c r="K44" s="12">
        <f t="shared" si="9"/>
        <v>-6007035.6883355035</v>
      </c>
      <c r="L44" s="12">
        <f t="shared" si="16"/>
        <v>1.0500000000000003</v>
      </c>
      <c r="M44" s="12">
        <f t="shared" si="10"/>
        <v>84000.000000000015</v>
      </c>
      <c r="N44" s="14">
        <f t="shared" si="11"/>
        <v>-5941848.9006338501</v>
      </c>
      <c r="O44" s="14">
        <f t="shared" si="12"/>
        <v>-435757.46647277236</v>
      </c>
      <c r="P44">
        <v>18</v>
      </c>
    </row>
    <row r="45" spans="7:16" x14ac:dyDescent="0.25">
      <c r="G45" s="16">
        <v>2037</v>
      </c>
      <c r="H45" s="12">
        <f t="shared" si="13"/>
        <v>-1732.7658482575821</v>
      </c>
      <c r="I45" s="12">
        <f t="shared" si="14"/>
        <v>-17506.218291720601</v>
      </c>
      <c r="J45" s="17">
        <f t="shared" si="15"/>
        <v>122543.52804204426</v>
      </c>
      <c r="K45" s="12">
        <f t="shared" si="9"/>
        <v>-6127176.4021022134</v>
      </c>
      <c r="L45" s="12">
        <f t="shared" si="16"/>
        <v>1.1000000000000003</v>
      </c>
      <c r="M45" s="12">
        <f t="shared" si="10"/>
        <v>88000.000000000029</v>
      </c>
      <c r="N45" s="14">
        <f t="shared" si="11"/>
        <v>-6058415.3862421913</v>
      </c>
      <c r="O45" s="14">
        <f t="shared" si="12"/>
        <v>-393958.24141247274</v>
      </c>
      <c r="P45">
        <v>19</v>
      </c>
    </row>
    <row r="46" spans="7:16" x14ac:dyDescent="0.25">
      <c r="G46" s="16">
        <v>2038</v>
      </c>
      <c r="H46" s="12">
        <f t="shared" si="13"/>
        <v>-1819.4041406704612</v>
      </c>
      <c r="I46" s="12">
        <f t="shared" si="14"/>
        <v>-17856.342657555015</v>
      </c>
      <c r="J46" s="17">
        <f t="shared" si="15"/>
        <v>124994.39860288515</v>
      </c>
      <c r="K46" s="12">
        <f t="shared" si="9"/>
        <v>-6249719.9301442578</v>
      </c>
      <c r="L46" s="12">
        <f t="shared" si="16"/>
        <v>1.1500000000000004</v>
      </c>
      <c r="M46" s="12">
        <f t="shared" si="10"/>
        <v>92000.000000000029</v>
      </c>
      <c r="N46" s="14">
        <f t="shared" si="11"/>
        <v>-6177395.6769424835</v>
      </c>
      <c r="O46" s="14">
        <f t="shared" si="12"/>
        <v>-356175.85290059226</v>
      </c>
      <c r="P46">
        <v>20</v>
      </c>
    </row>
    <row r="47" spans="7:16" x14ac:dyDescent="0.25">
      <c r="O47" s="9">
        <f>SUM(O27:O46)</f>
        <v>-21908360.267762385</v>
      </c>
    </row>
    <row r="49" spans="7:16" x14ac:dyDescent="0.25">
      <c r="G49" s="6" t="s">
        <v>4</v>
      </c>
    </row>
    <row r="50" spans="7:16" x14ac:dyDescent="0.25">
      <c r="G50" s="13"/>
      <c r="H50" s="15" t="s">
        <v>29</v>
      </c>
      <c r="I50" s="15" t="s">
        <v>37</v>
      </c>
      <c r="J50" s="15" t="s">
        <v>31</v>
      </c>
      <c r="K50" s="15" t="s">
        <v>30</v>
      </c>
      <c r="L50" s="15" t="s">
        <v>32</v>
      </c>
      <c r="M50" s="15" t="s">
        <v>23</v>
      </c>
      <c r="N50" s="15" t="s">
        <v>33</v>
      </c>
      <c r="O50" s="15" t="s">
        <v>28</v>
      </c>
    </row>
    <row r="51" spans="7:16" x14ac:dyDescent="0.25">
      <c r="G51" s="16">
        <v>2019</v>
      </c>
      <c r="H51" s="12">
        <v>-620</v>
      </c>
      <c r="I51" s="12">
        <f>-1.3*$D$7/7</f>
        <v>-2098.5714285714284</v>
      </c>
      <c r="J51" s="17">
        <f>1.3*$D$7</f>
        <v>14690</v>
      </c>
      <c r="K51" s="12">
        <f>J51*$B$11</f>
        <v>-734500</v>
      </c>
      <c r="L51" s="12">
        <v>0.2</v>
      </c>
      <c r="M51" s="12">
        <f>L51*80000</f>
        <v>16000</v>
      </c>
      <c r="N51" s="14">
        <f>M51+K51+H51+I51</f>
        <v>-721218.57142857148</v>
      </c>
      <c r="O51" s="14">
        <f>N51*(1-$B$9)/((1+$B$10)^P51)</f>
        <v>-408635.10120842099</v>
      </c>
      <c r="P51">
        <v>1</v>
      </c>
    </row>
    <row r="52" spans="7:16" x14ac:dyDescent="0.25">
      <c r="G52" s="16">
        <v>2020</v>
      </c>
      <c r="H52" s="12">
        <f>H51*1.05</f>
        <v>-651</v>
      </c>
      <c r="I52" s="12">
        <f>I51*1.02</f>
        <v>-2140.542857142857</v>
      </c>
      <c r="J52" s="17">
        <f>J51*1.02</f>
        <v>14983.800000000001</v>
      </c>
      <c r="K52" s="12">
        <f t="shared" ref="K52:K70" si="17">J52*$B$11</f>
        <v>-749190</v>
      </c>
      <c r="L52" s="12">
        <f>L51+0.05</f>
        <v>0.25</v>
      </c>
      <c r="M52" s="12">
        <f t="shared" ref="M52:M70" si="18">L52*80000</f>
        <v>20000</v>
      </c>
      <c r="N52" s="14">
        <f t="shared" ref="N52:N70" si="19">M52+K52+H52+I52</f>
        <v>-731981.54285714286</v>
      </c>
      <c r="O52" s="14">
        <f t="shared" ref="O52:O70" si="20">N52*(1-$B$9)/((1+$B$10)^P52)</f>
        <v>-367736.55901966838</v>
      </c>
      <c r="P52">
        <v>2</v>
      </c>
    </row>
    <row r="53" spans="7:16" x14ac:dyDescent="0.25">
      <c r="G53" s="16">
        <v>2021</v>
      </c>
      <c r="H53" s="12">
        <f t="shared" ref="H53:H70" si="21">H52*1.05</f>
        <v>-683.55000000000007</v>
      </c>
      <c r="I53" s="12">
        <f t="shared" ref="I53:I70" si="22">I52*1.02</f>
        <v>-2183.353714285714</v>
      </c>
      <c r="J53" s="17">
        <f t="shared" ref="J53:J70" si="23">J52*1.02</f>
        <v>15283.476000000001</v>
      </c>
      <c r="K53" s="12">
        <f t="shared" si="17"/>
        <v>-764173.8</v>
      </c>
      <c r="L53" s="12">
        <f t="shared" ref="L53:L70" si="24">L52+0.05</f>
        <v>0.3</v>
      </c>
      <c r="M53" s="12">
        <f t="shared" si="18"/>
        <v>24000</v>
      </c>
      <c r="N53" s="14">
        <f t="shared" si="19"/>
        <v>-743040.70371428586</v>
      </c>
      <c r="O53" s="14">
        <f t="shared" si="20"/>
        <v>-330991.76779776107</v>
      </c>
      <c r="P53">
        <v>3</v>
      </c>
    </row>
    <row r="54" spans="7:16" x14ac:dyDescent="0.25">
      <c r="G54" s="16">
        <v>2022</v>
      </c>
      <c r="H54" s="12">
        <f t="shared" si="21"/>
        <v>-717.72750000000008</v>
      </c>
      <c r="I54" s="12">
        <f t="shared" si="22"/>
        <v>-2227.0207885714285</v>
      </c>
      <c r="J54" s="17">
        <f t="shared" si="23"/>
        <v>15589.14552</v>
      </c>
      <c r="K54" s="12">
        <f t="shared" si="17"/>
        <v>-779457.27599999995</v>
      </c>
      <c r="L54" s="12">
        <f t="shared" si="24"/>
        <v>0.35</v>
      </c>
      <c r="M54" s="12">
        <f t="shared" si="18"/>
        <v>28000</v>
      </c>
      <c r="N54" s="14">
        <f t="shared" si="19"/>
        <v>-754402.02428857144</v>
      </c>
      <c r="O54" s="14">
        <f t="shared" si="20"/>
        <v>-297971.92196032254</v>
      </c>
      <c r="P54">
        <v>4</v>
      </c>
    </row>
    <row r="55" spans="7:16" x14ac:dyDescent="0.25">
      <c r="G55" s="16">
        <v>2023</v>
      </c>
      <c r="H55" s="12">
        <f t="shared" si="21"/>
        <v>-753.61387500000012</v>
      </c>
      <c r="I55" s="12">
        <f t="shared" si="22"/>
        <v>-2271.5612043428573</v>
      </c>
      <c r="J55" s="17">
        <f t="shared" si="23"/>
        <v>15900.928430400001</v>
      </c>
      <c r="K55" s="12">
        <f t="shared" si="17"/>
        <v>-795046.42152000009</v>
      </c>
      <c r="L55" s="12">
        <f t="shared" si="24"/>
        <v>0.39999999999999997</v>
      </c>
      <c r="M55" s="12">
        <f t="shared" si="18"/>
        <v>31999.999999999996</v>
      </c>
      <c r="N55" s="14">
        <f t="shared" si="19"/>
        <v>-766071.596599343</v>
      </c>
      <c r="O55" s="14">
        <f t="shared" si="20"/>
        <v>-268293.26294472505</v>
      </c>
      <c r="P55">
        <v>5</v>
      </c>
    </row>
    <row r="56" spans="7:16" x14ac:dyDescent="0.25">
      <c r="G56" s="16">
        <v>2024</v>
      </c>
      <c r="H56" s="12">
        <f t="shared" si="21"/>
        <v>-791.29456875000017</v>
      </c>
      <c r="I56" s="12">
        <f t="shared" si="22"/>
        <v>-2316.9924284297144</v>
      </c>
      <c r="J56" s="17">
        <f t="shared" si="23"/>
        <v>16218.946999008002</v>
      </c>
      <c r="K56" s="12">
        <f t="shared" si="17"/>
        <v>-810947.34995040006</v>
      </c>
      <c r="L56" s="12">
        <f t="shared" si="24"/>
        <v>0.44999999999999996</v>
      </c>
      <c r="M56" s="12">
        <f t="shared" si="18"/>
        <v>36000</v>
      </c>
      <c r="N56" s="14">
        <f t="shared" si="19"/>
        <v>-778055.63694757968</v>
      </c>
      <c r="O56" s="14">
        <f t="shared" si="20"/>
        <v>-241612.26136535316</v>
      </c>
      <c r="P56">
        <v>6</v>
      </c>
    </row>
    <row r="57" spans="7:16" x14ac:dyDescent="0.25">
      <c r="G57" s="16">
        <v>2025</v>
      </c>
      <c r="H57" s="12">
        <f t="shared" si="21"/>
        <v>-830.85929718750026</v>
      </c>
      <c r="I57" s="12">
        <f t="shared" si="22"/>
        <v>-2363.3322769983088</v>
      </c>
      <c r="J57" s="17">
        <f t="shared" si="23"/>
        <v>16543.32593898816</v>
      </c>
      <c r="K57" s="12">
        <f t="shared" si="17"/>
        <v>-827166.29694940802</v>
      </c>
      <c r="L57" s="12">
        <f t="shared" si="24"/>
        <v>0.49999999999999994</v>
      </c>
      <c r="M57" s="12">
        <f t="shared" si="18"/>
        <v>39999.999999999993</v>
      </c>
      <c r="N57" s="14">
        <f t="shared" si="19"/>
        <v>-790360.48852359387</v>
      </c>
      <c r="O57" s="14">
        <f t="shared" si="20"/>
        <v>-217621.32359149191</v>
      </c>
      <c r="P57">
        <v>7</v>
      </c>
    </row>
    <row r="58" spans="7:16" x14ac:dyDescent="0.25">
      <c r="G58" s="16">
        <v>2026</v>
      </c>
      <c r="H58" s="12">
        <f t="shared" si="21"/>
        <v>-872.40226204687531</v>
      </c>
      <c r="I58" s="12">
        <f t="shared" si="22"/>
        <v>-2410.598922538275</v>
      </c>
      <c r="J58" s="17">
        <f t="shared" si="23"/>
        <v>16874.192457767924</v>
      </c>
      <c r="K58" s="12">
        <f t="shared" si="17"/>
        <v>-843709.62288839614</v>
      </c>
      <c r="L58" s="12">
        <f t="shared" si="24"/>
        <v>0.54999999999999993</v>
      </c>
      <c r="M58" s="12">
        <f t="shared" si="18"/>
        <v>43999.999999999993</v>
      </c>
      <c r="N58" s="14">
        <f t="shared" si="19"/>
        <v>-802992.6240729813</v>
      </c>
      <c r="O58" s="14">
        <f t="shared" si="20"/>
        <v>-196044.96471073673</v>
      </c>
      <c r="P58">
        <v>8</v>
      </c>
    </row>
    <row r="59" spans="7:16" x14ac:dyDescent="0.25">
      <c r="G59" s="16">
        <v>2027</v>
      </c>
      <c r="H59" s="12">
        <f t="shared" si="21"/>
        <v>-916.0223751492191</v>
      </c>
      <c r="I59" s="12">
        <f t="shared" si="22"/>
        <v>-2458.8109009890404</v>
      </c>
      <c r="J59" s="17">
        <f t="shared" si="23"/>
        <v>17211.676306923284</v>
      </c>
      <c r="K59" s="12">
        <f t="shared" si="17"/>
        <v>-860583.81534616416</v>
      </c>
      <c r="L59" s="12">
        <f t="shared" si="24"/>
        <v>0.6</v>
      </c>
      <c r="M59" s="12">
        <f t="shared" si="18"/>
        <v>48000</v>
      </c>
      <c r="N59" s="14">
        <f t="shared" si="19"/>
        <v>-815958.64862230234</v>
      </c>
      <c r="O59" s="14">
        <f t="shared" si="20"/>
        <v>-176636.39636177052</v>
      </c>
      <c r="P59">
        <v>9</v>
      </c>
    </row>
    <row r="60" spans="7:16" x14ac:dyDescent="0.25">
      <c r="G60" s="16">
        <v>2028</v>
      </c>
      <c r="H60" s="12">
        <f t="shared" si="21"/>
        <v>-961.82349390668014</v>
      </c>
      <c r="I60" s="12">
        <f t="shared" si="22"/>
        <v>-2507.9871190088211</v>
      </c>
      <c r="J60" s="17">
        <f t="shared" si="23"/>
        <v>17555.909833061749</v>
      </c>
      <c r="K60" s="12">
        <f t="shared" si="17"/>
        <v>-877795.49165308743</v>
      </c>
      <c r="L60" s="12">
        <f t="shared" si="24"/>
        <v>0.65</v>
      </c>
      <c r="M60" s="12">
        <f t="shared" si="18"/>
        <v>52000</v>
      </c>
      <c r="N60" s="14">
        <f t="shared" si="19"/>
        <v>-829265.30226600287</v>
      </c>
      <c r="O60" s="14">
        <f t="shared" si="20"/>
        <v>-159174.48369752109</v>
      </c>
      <c r="P60">
        <v>10</v>
      </c>
    </row>
    <row r="61" spans="7:16" x14ac:dyDescent="0.25">
      <c r="G61" s="16">
        <v>2029</v>
      </c>
      <c r="H61" s="12">
        <f t="shared" si="21"/>
        <v>-1009.9146686020142</v>
      </c>
      <c r="I61" s="12">
        <f t="shared" si="22"/>
        <v>-2558.1468613889974</v>
      </c>
      <c r="J61" s="17">
        <f t="shared" si="23"/>
        <v>17907.028029722984</v>
      </c>
      <c r="K61" s="12">
        <f t="shared" si="17"/>
        <v>-895351.40148614917</v>
      </c>
      <c r="L61" s="12">
        <f t="shared" si="24"/>
        <v>0.70000000000000007</v>
      </c>
      <c r="M61" s="12">
        <f t="shared" si="18"/>
        <v>56000.000000000007</v>
      </c>
      <c r="N61" s="14">
        <f t="shared" si="19"/>
        <v>-842919.46301614027</v>
      </c>
      <c r="O61" s="14">
        <f t="shared" si="20"/>
        <v>-143461.03086043004</v>
      </c>
      <c r="P61">
        <v>11</v>
      </c>
    </row>
    <row r="62" spans="7:16" x14ac:dyDescent="0.25">
      <c r="G62" s="16">
        <v>2030</v>
      </c>
      <c r="H62" s="12">
        <f t="shared" si="21"/>
        <v>-1060.4104020321149</v>
      </c>
      <c r="I62" s="12">
        <f t="shared" si="22"/>
        <v>-2609.3097986167772</v>
      </c>
      <c r="J62" s="17">
        <f t="shared" si="23"/>
        <v>18265.168590317444</v>
      </c>
      <c r="K62" s="12">
        <f t="shared" si="17"/>
        <v>-913258.42951587215</v>
      </c>
      <c r="L62" s="12">
        <f t="shared" si="24"/>
        <v>0.75000000000000011</v>
      </c>
      <c r="M62" s="12">
        <f t="shared" si="18"/>
        <v>60000.000000000007</v>
      </c>
      <c r="N62" s="14">
        <f t="shared" si="19"/>
        <v>-856928.14971652103</v>
      </c>
      <c r="O62" s="14">
        <f t="shared" si="20"/>
        <v>-129318.35889124178</v>
      </c>
      <c r="P62">
        <v>12</v>
      </c>
    </row>
    <row r="63" spans="7:16" x14ac:dyDescent="0.25">
      <c r="G63" s="16">
        <v>2031</v>
      </c>
      <c r="H63" s="12">
        <f t="shared" si="21"/>
        <v>-1113.4309221337207</v>
      </c>
      <c r="I63" s="12">
        <f t="shared" si="22"/>
        <v>-2661.4959945891128</v>
      </c>
      <c r="J63" s="17">
        <f t="shared" si="23"/>
        <v>18630.471962123793</v>
      </c>
      <c r="K63" s="12">
        <f t="shared" si="17"/>
        <v>-931523.59810618963</v>
      </c>
      <c r="L63" s="12">
        <f t="shared" si="24"/>
        <v>0.80000000000000016</v>
      </c>
      <c r="M63" s="12">
        <f t="shared" si="18"/>
        <v>64000.000000000015</v>
      </c>
      <c r="N63" s="14">
        <f t="shared" si="19"/>
        <v>-871298.52502291242</v>
      </c>
      <c r="O63" s="14">
        <f t="shared" si="20"/>
        <v>-116587.14401804459</v>
      </c>
      <c r="P63">
        <v>13</v>
      </c>
    </row>
    <row r="64" spans="7:16" x14ac:dyDescent="0.25">
      <c r="G64" s="16">
        <v>2032</v>
      </c>
      <c r="H64" s="12">
        <f t="shared" si="21"/>
        <v>-1169.1024682404068</v>
      </c>
      <c r="I64" s="12">
        <f t="shared" si="22"/>
        <v>-2714.725914480895</v>
      </c>
      <c r="J64" s="17">
        <f t="shared" si="23"/>
        <v>19003.081401366268</v>
      </c>
      <c r="K64" s="12">
        <f t="shared" si="17"/>
        <v>-950154.07006831339</v>
      </c>
      <c r="L64" s="12">
        <f t="shared" si="24"/>
        <v>0.8500000000000002</v>
      </c>
      <c r="M64" s="12">
        <f t="shared" si="18"/>
        <v>68000.000000000015</v>
      </c>
      <c r="N64" s="14">
        <f t="shared" si="19"/>
        <v>-886037.89845103468</v>
      </c>
      <c r="O64" s="14">
        <f t="shared" si="20"/>
        <v>-105124.48784220936</v>
      </c>
      <c r="P64">
        <v>14</v>
      </c>
    </row>
    <row r="65" spans="7:16" x14ac:dyDescent="0.25">
      <c r="G65" s="16">
        <v>2033</v>
      </c>
      <c r="H65" s="12">
        <f t="shared" si="21"/>
        <v>-1227.5575916524272</v>
      </c>
      <c r="I65" s="12">
        <f t="shared" si="22"/>
        <v>-2769.0204327705128</v>
      </c>
      <c r="J65" s="17">
        <f t="shared" si="23"/>
        <v>19383.143029393592</v>
      </c>
      <c r="K65" s="12">
        <f t="shared" si="17"/>
        <v>-969157.15146967955</v>
      </c>
      <c r="L65" s="12">
        <f t="shared" si="24"/>
        <v>0.90000000000000024</v>
      </c>
      <c r="M65" s="12">
        <f t="shared" si="18"/>
        <v>72000.000000000015</v>
      </c>
      <c r="N65" s="14">
        <f t="shared" si="19"/>
        <v>-901153.72949410242</v>
      </c>
      <c r="O65" s="14">
        <f t="shared" si="20"/>
        <v>-94802.194104521768</v>
      </c>
      <c r="P65">
        <v>15</v>
      </c>
    </row>
    <row r="66" spans="7:16" x14ac:dyDescent="0.25">
      <c r="G66" s="16">
        <v>2034</v>
      </c>
      <c r="H66" s="12">
        <f t="shared" si="21"/>
        <v>-1288.9354712350487</v>
      </c>
      <c r="I66" s="12">
        <f t="shared" si="22"/>
        <v>-2824.4008414259233</v>
      </c>
      <c r="J66" s="17">
        <f t="shared" si="23"/>
        <v>19770.805889981464</v>
      </c>
      <c r="K66" s="12">
        <f t="shared" si="17"/>
        <v>-988540.29449907318</v>
      </c>
      <c r="L66" s="12">
        <f t="shared" si="24"/>
        <v>0.95000000000000029</v>
      </c>
      <c r="M66" s="12">
        <f t="shared" si="18"/>
        <v>76000.000000000029</v>
      </c>
      <c r="N66" s="14">
        <f t="shared" si="19"/>
        <v>-916653.63081173413</v>
      </c>
      <c r="O66" s="14">
        <f t="shared" si="20"/>
        <v>-85505.229524286871</v>
      </c>
      <c r="P66">
        <v>16</v>
      </c>
    </row>
    <row r="67" spans="7:16" x14ac:dyDescent="0.25">
      <c r="G67" s="16">
        <v>2035</v>
      </c>
      <c r="H67" s="12">
        <f t="shared" si="21"/>
        <v>-1353.3822447968012</v>
      </c>
      <c r="I67" s="12">
        <f t="shared" si="22"/>
        <v>-2880.8888582544419</v>
      </c>
      <c r="J67" s="17">
        <f t="shared" si="23"/>
        <v>20166.222007781093</v>
      </c>
      <c r="K67" s="12">
        <f t="shared" si="17"/>
        <v>-1008311.1003890546</v>
      </c>
      <c r="L67" s="12">
        <f t="shared" si="24"/>
        <v>1.0000000000000002</v>
      </c>
      <c r="M67" s="12">
        <f t="shared" si="18"/>
        <v>80000.000000000015</v>
      </c>
      <c r="N67" s="14">
        <f t="shared" si="19"/>
        <v>-932545.37149210589</v>
      </c>
      <c r="O67" s="14">
        <f t="shared" si="20"/>
        <v>-77130.348697292939</v>
      </c>
      <c r="P67">
        <v>17</v>
      </c>
    </row>
    <row r="68" spans="7:16" x14ac:dyDescent="0.25">
      <c r="G68" s="16">
        <v>2036</v>
      </c>
      <c r="H68" s="12">
        <f t="shared" si="21"/>
        <v>-1421.0513570366413</v>
      </c>
      <c r="I68" s="12">
        <f t="shared" si="22"/>
        <v>-2938.5066354195305</v>
      </c>
      <c r="J68" s="17">
        <f t="shared" si="23"/>
        <v>20569.546447936715</v>
      </c>
      <c r="K68" s="12">
        <f t="shared" si="17"/>
        <v>-1028477.3223968358</v>
      </c>
      <c r="L68" s="12">
        <f t="shared" si="24"/>
        <v>1.0500000000000003</v>
      </c>
      <c r="M68" s="12">
        <f t="shared" si="18"/>
        <v>84000.000000000015</v>
      </c>
      <c r="N68" s="14">
        <f t="shared" si="19"/>
        <v>-948836.88038929203</v>
      </c>
      <c r="O68" s="14">
        <f t="shared" si="20"/>
        <v>-69584.865251329495</v>
      </c>
      <c r="P68">
        <v>18</v>
      </c>
    </row>
    <row r="69" spans="7:16" x14ac:dyDescent="0.25">
      <c r="G69" s="16">
        <v>2037</v>
      </c>
      <c r="H69" s="12">
        <f t="shared" si="21"/>
        <v>-1492.1039248884736</v>
      </c>
      <c r="I69" s="12">
        <f t="shared" si="22"/>
        <v>-2997.2767681279211</v>
      </c>
      <c r="J69" s="17">
        <f t="shared" si="23"/>
        <v>20980.93737689545</v>
      </c>
      <c r="K69" s="12">
        <f t="shared" si="17"/>
        <v>-1049046.8688447725</v>
      </c>
      <c r="L69" s="12">
        <f t="shared" si="24"/>
        <v>1.1000000000000003</v>
      </c>
      <c r="M69" s="12">
        <f t="shared" si="18"/>
        <v>88000.000000000029</v>
      </c>
      <c r="N69" s="14">
        <f t="shared" si="19"/>
        <v>-965536.2495377888</v>
      </c>
      <c r="O69" s="14">
        <f t="shared" si="20"/>
        <v>-62785.553422383899</v>
      </c>
      <c r="P69">
        <v>19</v>
      </c>
    </row>
    <row r="70" spans="7:16" x14ac:dyDescent="0.25">
      <c r="G70" s="16">
        <v>2038</v>
      </c>
      <c r="H70" s="12">
        <f t="shared" si="21"/>
        <v>-1566.7091211328973</v>
      </c>
      <c r="I70" s="12">
        <f t="shared" si="22"/>
        <v>-3057.2223034904796</v>
      </c>
      <c r="J70" s="17">
        <f t="shared" si="23"/>
        <v>21400.556124433358</v>
      </c>
      <c r="K70" s="12">
        <f t="shared" si="17"/>
        <v>-1070027.8062216679</v>
      </c>
      <c r="L70" s="12">
        <f t="shared" si="24"/>
        <v>1.1500000000000004</v>
      </c>
      <c r="M70" s="12">
        <f t="shared" si="18"/>
        <v>92000.000000000029</v>
      </c>
      <c r="N70" s="14">
        <f t="shared" si="19"/>
        <v>-982651.73764629127</v>
      </c>
      <c r="O70" s="14">
        <f t="shared" si="20"/>
        <v>-56657.665958941536</v>
      </c>
      <c r="P70">
        <v>20</v>
      </c>
    </row>
    <row r="71" spans="7:16" x14ac:dyDescent="0.25">
      <c r="O71" s="9">
        <f>SUM(O51:O70)</f>
        <v>-3605674.921228454</v>
      </c>
    </row>
    <row r="73" spans="7:16" x14ac:dyDescent="0.25">
      <c r="G73" s="6" t="s">
        <v>5</v>
      </c>
    </row>
    <row r="74" spans="7:16" x14ac:dyDescent="0.25">
      <c r="G74" s="13"/>
      <c r="H74" s="15" t="s">
        <v>29</v>
      </c>
      <c r="I74" s="15" t="s">
        <v>37</v>
      </c>
      <c r="J74" s="15" t="s">
        <v>31</v>
      </c>
      <c r="K74" s="15" t="s">
        <v>30</v>
      </c>
      <c r="L74" s="15" t="s">
        <v>32</v>
      </c>
      <c r="M74" s="15" t="s">
        <v>23</v>
      </c>
      <c r="N74" s="15" t="s">
        <v>33</v>
      </c>
      <c r="O74" s="15" t="s">
        <v>28</v>
      </c>
    </row>
    <row r="75" spans="7:16" x14ac:dyDescent="0.25">
      <c r="G75" s="16">
        <v>2019</v>
      </c>
      <c r="H75" s="12">
        <v>1040</v>
      </c>
      <c r="I75" s="12">
        <f>-1.3*$E$7/7</f>
        <v>-14857.142857142857</v>
      </c>
      <c r="J75" s="17">
        <f>1.3*$E$7</f>
        <v>104000</v>
      </c>
      <c r="K75" s="12">
        <f>J75*$B$11</f>
        <v>-5200000</v>
      </c>
      <c r="L75" s="12">
        <v>0.2</v>
      </c>
      <c r="M75" s="12">
        <f>L75*80000</f>
        <v>16000</v>
      </c>
      <c r="N75" s="14">
        <f>M75+K75+H75+I75</f>
        <v>-5197817.1428571427</v>
      </c>
      <c r="O75" s="14">
        <f>N75*(1-$B$9)/((1+$B$10)^P75)</f>
        <v>-2945030.2839915897</v>
      </c>
      <c r="P75">
        <v>1</v>
      </c>
    </row>
    <row r="76" spans="7:16" x14ac:dyDescent="0.25">
      <c r="G76" s="16">
        <v>2020</v>
      </c>
      <c r="H76" s="12">
        <f>H75*1.05</f>
        <v>1092</v>
      </c>
      <c r="I76" s="12">
        <f>I75*1.02</f>
        <v>-15154.285714285714</v>
      </c>
      <c r="J76" s="17">
        <f>J75*1.02</f>
        <v>106080</v>
      </c>
      <c r="K76" s="12">
        <f t="shared" ref="K76:K94" si="25">J76*$B$11</f>
        <v>-5304000</v>
      </c>
      <c r="L76" s="12">
        <f>L75+0.05</f>
        <v>0.25</v>
      </c>
      <c r="M76" s="12">
        <f t="shared" ref="M76:M94" si="26">L76*80000</f>
        <v>20000</v>
      </c>
      <c r="N76" s="14">
        <f t="shared" ref="N76:N94" si="27">M76+K76+H76+I76</f>
        <v>-5298062.2857142854</v>
      </c>
      <c r="O76" s="14">
        <f t="shared" ref="O76:O94" si="28">N76*(1-$B$9)/((1+$B$10)^P76)</f>
        <v>-2661667.1054514395</v>
      </c>
      <c r="P76">
        <v>2</v>
      </c>
    </row>
    <row r="77" spans="7:16" x14ac:dyDescent="0.25">
      <c r="G77" s="16">
        <v>2021</v>
      </c>
      <c r="H77" s="12">
        <f t="shared" ref="H77:H94" si="29">H76*1.05</f>
        <v>1146.6000000000001</v>
      </c>
      <c r="I77" s="12">
        <f t="shared" ref="I77:I94" si="30">I76*1.02</f>
        <v>-15457.371428571429</v>
      </c>
      <c r="J77" s="17">
        <f t="shared" ref="J77:J94" si="31">J76*1.02</f>
        <v>108201.60000000001</v>
      </c>
      <c r="K77" s="12">
        <f t="shared" si="25"/>
        <v>-5410080</v>
      </c>
      <c r="L77" s="12">
        <f t="shared" ref="L77:L94" si="32">L76+0.05</f>
        <v>0.3</v>
      </c>
      <c r="M77" s="12">
        <f t="shared" si="26"/>
        <v>24000</v>
      </c>
      <c r="N77" s="14">
        <f t="shared" si="27"/>
        <v>-5400390.771428572</v>
      </c>
      <c r="O77" s="14">
        <f t="shared" si="28"/>
        <v>-2405635.2219987963</v>
      </c>
      <c r="P77">
        <v>3</v>
      </c>
    </row>
    <row r="78" spans="7:16" x14ac:dyDescent="0.25">
      <c r="G78" s="16">
        <v>2022</v>
      </c>
      <c r="H78" s="12">
        <f t="shared" si="29"/>
        <v>1203.9300000000003</v>
      </c>
      <c r="I78" s="12">
        <f t="shared" si="30"/>
        <v>-15766.518857142857</v>
      </c>
      <c r="J78" s="17">
        <f t="shared" si="31"/>
        <v>110365.63200000001</v>
      </c>
      <c r="K78" s="12">
        <f t="shared" si="25"/>
        <v>-5518281.6000000006</v>
      </c>
      <c r="L78" s="12">
        <f t="shared" si="32"/>
        <v>0.35</v>
      </c>
      <c r="M78" s="12">
        <f t="shared" si="26"/>
        <v>28000</v>
      </c>
      <c r="N78" s="14">
        <f t="shared" si="27"/>
        <v>-5504844.1888571437</v>
      </c>
      <c r="O78" s="14">
        <f t="shared" si="28"/>
        <v>-2174290.2991183358</v>
      </c>
      <c r="P78">
        <v>4</v>
      </c>
    </row>
    <row r="79" spans="7:16" x14ac:dyDescent="0.25">
      <c r="G79" s="16">
        <v>2023</v>
      </c>
      <c r="H79" s="12">
        <f t="shared" si="29"/>
        <v>1264.1265000000003</v>
      </c>
      <c r="I79" s="12">
        <f t="shared" si="30"/>
        <v>-16081.849234285715</v>
      </c>
      <c r="J79" s="17">
        <f t="shared" si="31"/>
        <v>112572.94464000002</v>
      </c>
      <c r="K79" s="12">
        <f t="shared" si="25"/>
        <v>-5628647.2320000008</v>
      </c>
      <c r="L79" s="12">
        <f t="shared" si="32"/>
        <v>0.39999999999999997</v>
      </c>
      <c r="M79" s="12">
        <f t="shared" si="26"/>
        <v>31999.999999999996</v>
      </c>
      <c r="N79" s="14">
        <f t="shared" si="27"/>
        <v>-5611464.9547342863</v>
      </c>
      <c r="O79" s="14">
        <f t="shared" si="28"/>
        <v>-1965244.8273617758</v>
      </c>
      <c r="P79">
        <v>5</v>
      </c>
    </row>
    <row r="80" spans="7:16" x14ac:dyDescent="0.25">
      <c r="G80" s="16">
        <v>2024</v>
      </c>
      <c r="H80" s="12">
        <f t="shared" si="29"/>
        <v>1327.3328250000004</v>
      </c>
      <c r="I80" s="12">
        <f t="shared" si="30"/>
        <v>-16403.486218971429</v>
      </c>
      <c r="J80" s="17">
        <f t="shared" si="31"/>
        <v>114824.40353280002</v>
      </c>
      <c r="K80" s="12">
        <f t="shared" si="25"/>
        <v>-5741220.1766400011</v>
      </c>
      <c r="L80" s="12">
        <f t="shared" si="32"/>
        <v>0.44999999999999996</v>
      </c>
      <c r="M80" s="12">
        <f t="shared" si="26"/>
        <v>36000</v>
      </c>
      <c r="N80" s="14">
        <f t="shared" si="27"/>
        <v>-5720296.3300339719</v>
      </c>
      <c r="O80" s="14">
        <f t="shared" si="28"/>
        <v>-1776343.0612771912</v>
      </c>
      <c r="P80">
        <v>6</v>
      </c>
    </row>
    <row r="81" spans="7:16" x14ac:dyDescent="0.25">
      <c r="G81" s="16">
        <v>2025</v>
      </c>
      <c r="H81" s="12">
        <f t="shared" si="29"/>
        <v>1393.6994662500006</v>
      </c>
      <c r="I81" s="12">
        <f t="shared" si="30"/>
        <v>-16731.555943350857</v>
      </c>
      <c r="J81" s="17">
        <f t="shared" si="31"/>
        <v>117120.89160345602</v>
      </c>
      <c r="K81" s="12">
        <f t="shared" si="25"/>
        <v>-5856044.5801728014</v>
      </c>
      <c r="L81" s="12">
        <f t="shared" si="32"/>
        <v>0.49999999999999994</v>
      </c>
      <c r="M81" s="12">
        <f t="shared" si="26"/>
        <v>39999.999999999993</v>
      </c>
      <c r="N81" s="14">
        <f t="shared" si="27"/>
        <v>-5831382.4366499027</v>
      </c>
      <c r="O81" s="14">
        <f t="shared" si="28"/>
        <v>-1605638.417733287</v>
      </c>
      <c r="P81">
        <v>7</v>
      </c>
    </row>
    <row r="82" spans="7:16" x14ac:dyDescent="0.25">
      <c r="G82" s="16">
        <v>2026</v>
      </c>
      <c r="H82" s="12">
        <f t="shared" si="29"/>
        <v>1463.3844395625006</v>
      </c>
      <c r="I82" s="12">
        <f t="shared" si="30"/>
        <v>-17066.187062217876</v>
      </c>
      <c r="J82" s="17">
        <f t="shared" si="31"/>
        <v>119463.30943552515</v>
      </c>
      <c r="K82" s="12">
        <f t="shared" si="25"/>
        <v>-5973165.4717762573</v>
      </c>
      <c r="L82" s="12">
        <f t="shared" si="32"/>
        <v>0.54999999999999993</v>
      </c>
      <c r="M82" s="12">
        <f t="shared" si="26"/>
        <v>43999.999999999993</v>
      </c>
      <c r="N82" s="14">
        <f t="shared" si="27"/>
        <v>-5944768.2743989127</v>
      </c>
      <c r="O82" s="14">
        <f t="shared" si="28"/>
        <v>-1451373.090647616</v>
      </c>
      <c r="P82">
        <v>8</v>
      </c>
    </row>
    <row r="83" spans="7:16" x14ac:dyDescent="0.25">
      <c r="G83" s="16">
        <v>2027</v>
      </c>
      <c r="H83" s="12">
        <f t="shared" si="29"/>
        <v>1536.5536615406256</v>
      </c>
      <c r="I83" s="12">
        <f t="shared" si="30"/>
        <v>-17407.510803462235</v>
      </c>
      <c r="J83" s="17">
        <f t="shared" si="31"/>
        <v>121852.57562423566</v>
      </c>
      <c r="K83" s="12">
        <f t="shared" si="25"/>
        <v>-6092628.7812117832</v>
      </c>
      <c r="L83" s="12">
        <f t="shared" si="32"/>
        <v>0.6</v>
      </c>
      <c r="M83" s="12">
        <f t="shared" si="26"/>
        <v>48000</v>
      </c>
      <c r="N83" s="14">
        <f t="shared" si="27"/>
        <v>-6060499.7383537041</v>
      </c>
      <c r="O83" s="14">
        <f t="shared" si="28"/>
        <v>-1311959.6633257519</v>
      </c>
      <c r="P83">
        <v>9</v>
      </c>
    </row>
    <row r="84" spans="7:16" x14ac:dyDescent="0.25">
      <c r="G84" s="16">
        <v>2028</v>
      </c>
      <c r="H84" s="12">
        <f t="shared" si="29"/>
        <v>1613.3813446176571</v>
      </c>
      <c r="I84" s="12">
        <f t="shared" si="30"/>
        <v>-17755.661019531479</v>
      </c>
      <c r="J84" s="17">
        <f t="shared" si="31"/>
        <v>124289.62713672037</v>
      </c>
      <c r="K84" s="12">
        <f t="shared" si="25"/>
        <v>-6214481.3568360191</v>
      </c>
      <c r="L84" s="12">
        <f t="shared" si="32"/>
        <v>0.65</v>
      </c>
      <c r="M84" s="12">
        <f t="shared" si="26"/>
        <v>52000</v>
      </c>
      <c r="N84" s="14">
        <f t="shared" si="27"/>
        <v>-6178623.6365109328</v>
      </c>
      <c r="O84" s="14">
        <f t="shared" si="28"/>
        <v>-1185964.5213848078</v>
      </c>
      <c r="P84">
        <v>10</v>
      </c>
    </row>
    <row r="85" spans="7:16" x14ac:dyDescent="0.25">
      <c r="G85" s="16">
        <v>2029</v>
      </c>
      <c r="H85" s="12">
        <f t="shared" si="29"/>
        <v>1694.0504118485401</v>
      </c>
      <c r="I85" s="12">
        <f t="shared" si="30"/>
        <v>-18110.77423992211</v>
      </c>
      <c r="J85" s="17">
        <f t="shared" si="31"/>
        <v>126775.41967945479</v>
      </c>
      <c r="K85" s="12">
        <f t="shared" si="25"/>
        <v>-6338770.9839727394</v>
      </c>
      <c r="L85" s="12">
        <f t="shared" si="32"/>
        <v>0.70000000000000007</v>
      </c>
      <c r="M85" s="12">
        <f t="shared" si="26"/>
        <v>56000.000000000007</v>
      </c>
      <c r="N85" s="14">
        <f t="shared" si="27"/>
        <v>-6299187.707800813</v>
      </c>
      <c r="O85" s="14">
        <f t="shared" si="28"/>
        <v>-1072092.888816295</v>
      </c>
      <c r="P85">
        <v>11</v>
      </c>
    </row>
    <row r="86" spans="7:16" x14ac:dyDescent="0.25">
      <c r="G86" s="16">
        <v>2030</v>
      </c>
      <c r="H86" s="12">
        <f t="shared" si="29"/>
        <v>1778.7529324409672</v>
      </c>
      <c r="I86" s="12">
        <f t="shared" si="30"/>
        <v>-18472.989724720552</v>
      </c>
      <c r="J86" s="17">
        <f t="shared" si="31"/>
        <v>129310.92807304389</v>
      </c>
      <c r="K86" s="12">
        <f t="shared" si="25"/>
        <v>-6465546.4036521949</v>
      </c>
      <c r="L86" s="12">
        <f t="shared" si="32"/>
        <v>0.75000000000000011</v>
      </c>
      <c r="M86" s="12">
        <f t="shared" si="26"/>
        <v>60000.000000000007</v>
      </c>
      <c r="N86" s="14">
        <f t="shared" si="27"/>
        <v>-6422240.6404444743</v>
      </c>
      <c r="O86" s="14">
        <f t="shared" si="28"/>
        <v>-969175.32736164378</v>
      </c>
      <c r="P86">
        <v>12</v>
      </c>
    </row>
    <row r="87" spans="7:16" x14ac:dyDescent="0.25">
      <c r="G87" s="16">
        <v>2031</v>
      </c>
      <c r="H87" s="12">
        <f t="shared" si="29"/>
        <v>1867.6905790630158</v>
      </c>
      <c r="I87" s="12">
        <f t="shared" si="30"/>
        <v>-18842.449519214962</v>
      </c>
      <c r="J87" s="17">
        <f t="shared" si="31"/>
        <v>131897.14663450478</v>
      </c>
      <c r="K87" s="12">
        <f t="shared" si="25"/>
        <v>-6594857.3317252388</v>
      </c>
      <c r="L87" s="12">
        <f t="shared" si="32"/>
        <v>0.80000000000000016</v>
      </c>
      <c r="M87" s="12">
        <f t="shared" si="26"/>
        <v>64000.000000000015</v>
      </c>
      <c r="N87" s="14">
        <f t="shared" si="27"/>
        <v>-6547832.0906653907</v>
      </c>
      <c r="O87" s="14">
        <f t="shared" si="28"/>
        <v>-876155.55522753252</v>
      </c>
      <c r="P87">
        <v>13</v>
      </c>
    </row>
    <row r="88" spans="7:16" x14ac:dyDescent="0.25">
      <c r="G88" s="16">
        <v>2032</v>
      </c>
      <c r="H88" s="12">
        <f t="shared" si="29"/>
        <v>1961.0751080161667</v>
      </c>
      <c r="I88" s="12">
        <f t="shared" si="30"/>
        <v>-19219.298509599263</v>
      </c>
      <c r="J88" s="17">
        <f t="shared" si="31"/>
        <v>134535.08956719487</v>
      </c>
      <c r="K88" s="12">
        <f t="shared" si="25"/>
        <v>-6726754.478359743</v>
      </c>
      <c r="L88" s="12">
        <f t="shared" si="32"/>
        <v>0.8500000000000002</v>
      </c>
      <c r="M88" s="12">
        <f t="shared" si="26"/>
        <v>68000.000000000015</v>
      </c>
      <c r="N88" s="14">
        <f t="shared" si="27"/>
        <v>-6676012.7017613268</v>
      </c>
      <c r="O88" s="14">
        <f t="shared" si="28"/>
        <v>-792079.45543598931</v>
      </c>
      <c r="P88">
        <v>14</v>
      </c>
    </row>
    <row r="89" spans="7:16" x14ac:dyDescent="0.25">
      <c r="G89" s="16">
        <v>2033</v>
      </c>
      <c r="H89" s="12">
        <f t="shared" si="29"/>
        <v>2059.128863416975</v>
      </c>
      <c r="I89" s="12">
        <f t="shared" si="30"/>
        <v>-19603.684479791249</v>
      </c>
      <c r="J89" s="17">
        <f t="shared" si="31"/>
        <v>137225.79135853876</v>
      </c>
      <c r="K89" s="12">
        <f t="shared" si="25"/>
        <v>-6861289.5679269377</v>
      </c>
      <c r="L89" s="12">
        <f t="shared" si="32"/>
        <v>0.90000000000000024</v>
      </c>
      <c r="M89" s="12">
        <f t="shared" si="26"/>
        <v>72000.000000000015</v>
      </c>
      <c r="N89" s="14">
        <f t="shared" si="27"/>
        <v>-6806834.1235433128</v>
      </c>
      <c r="O89" s="14">
        <f t="shared" si="28"/>
        <v>-716085.15694619738</v>
      </c>
      <c r="P89">
        <v>15</v>
      </c>
    </row>
    <row r="90" spans="7:16" x14ac:dyDescent="0.25">
      <c r="G90" s="16">
        <v>2034</v>
      </c>
      <c r="H90" s="12">
        <f t="shared" si="29"/>
        <v>2162.0853065878241</v>
      </c>
      <c r="I90" s="12">
        <f t="shared" si="30"/>
        <v>-19995.758169387074</v>
      </c>
      <c r="J90" s="17">
        <f t="shared" si="31"/>
        <v>139970.30718570953</v>
      </c>
      <c r="K90" s="12">
        <f t="shared" si="25"/>
        <v>-6998515.3592854766</v>
      </c>
      <c r="L90" s="12">
        <f t="shared" si="32"/>
        <v>0.95000000000000029</v>
      </c>
      <c r="M90" s="12">
        <f t="shared" si="26"/>
        <v>76000.000000000029</v>
      </c>
      <c r="N90" s="14">
        <f t="shared" si="27"/>
        <v>-6940349.0321482765</v>
      </c>
      <c r="O90" s="14">
        <f t="shared" si="28"/>
        <v>-647394.08324493165</v>
      </c>
      <c r="P90">
        <v>16</v>
      </c>
    </row>
    <row r="91" spans="7:16" x14ac:dyDescent="0.25">
      <c r="G91" s="16">
        <v>2035</v>
      </c>
      <c r="H91" s="12">
        <f t="shared" si="29"/>
        <v>2270.1895719172153</v>
      </c>
      <c r="I91" s="12">
        <f t="shared" si="30"/>
        <v>-20395.673332774815</v>
      </c>
      <c r="J91" s="17">
        <f t="shared" si="31"/>
        <v>142769.71332942371</v>
      </c>
      <c r="K91" s="12">
        <f t="shared" si="25"/>
        <v>-7138485.6664711861</v>
      </c>
      <c r="L91" s="12">
        <f t="shared" si="32"/>
        <v>1.0000000000000002</v>
      </c>
      <c r="M91" s="12">
        <f t="shared" si="26"/>
        <v>80000.000000000015</v>
      </c>
      <c r="N91" s="14">
        <f t="shared" si="27"/>
        <v>-7076611.150232044</v>
      </c>
      <c r="O91" s="14">
        <f t="shared" si="28"/>
        <v>-585302.8735097521</v>
      </c>
      <c r="P91">
        <v>17</v>
      </c>
    </row>
    <row r="92" spans="7:16" x14ac:dyDescent="0.25">
      <c r="G92" s="16">
        <v>2036</v>
      </c>
      <c r="H92" s="12">
        <f t="shared" si="29"/>
        <v>2383.6990505130761</v>
      </c>
      <c r="I92" s="12">
        <f t="shared" si="30"/>
        <v>-20803.586799430312</v>
      </c>
      <c r="J92" s="17">
        <f t="shared" si="31"/>
        <v>145625.10759601218</v>
      </c>
      <c r="K92" s="12">
        <f t="shared" si="25"/>
        <v>-7281255.3798006093</v>
      </c>
      <c r="L92" s="12">
        <f t="shared" si="32"/>
        <v>1.0500000000000003</v>
      </c>
      <c r="M92" s="12">
        <f t="shared" si="26"/>
        <v>84000.000000000015</v>
      </c>
      <c r="N92" s="14">
        <f t="shared" si="27"/>
        <v>-7215675.2675495269</v>
      </c>
      <c r="O92" s="14">
        <f t="shared" si="28"/>
        <v>-529176.09081951028</v>
      </c>
      <c r="P92">
        <v>18</v>
      </c>
    </row>
    <row r="93" spans="7:16" x14ac:dyDescent="0.25">
      <c r="G93" s="16">
        <v>2037</v>
      </c>
      <c r="H93" s="12">
        <f t="shared" si="29"/>
        <v>2502.88400303873</v>
      </c>
      <c r="I93" s="12">
        <f t="shared" si="30"/>
        <v>-21219.658535418919</v>
      </c>
      <c r="J93" s="17">
        <f t="shared" si="31"/>
        <v>148537.60974793244</v>
      </c>
      <c r="K93" s="12">
        <f t="shared" si="25"/>
        <v>-7426880.4873966221</v>
      </c>
      <c r="L93" s="12">
        <f t="shared" si="32"/>
        <v>1.1000000000000003</v>
      </c>
      <c r="M93" s="12">
        <f t="shared" si="26"/>
        <v>88000.000000000029</v>
      </c>
      <c r="N93" s="14">
        <f t="shared" si="27"/>
        <v>-7357597.2619290026</v>
      </c>
      <c r="O93" s="14">
        <f t="shared" si="28"/>
        <v>-478439.64032460621</v>
      </c>
      <c r="P93">
        <v>19</v>
      </c>
    </row>
    <row r="94" spans="7:16" x14ac:dyDescent="0.25">
      <c r="G94" s="16">
        <v>2038</v>
      </c>
      <c r="H94" s="12">
        <f t="shared" si="29"/>
        <v>2628.0282031906668</v>
      </c>
      <c r="I94" s="12">
        <f t="shared" si="30"/>
        <v>-21644.051706127299</v>
      </c>
      <c r="J94" s="17">
        <f t="shared" si="31"/>
        <v>151508.36194289109</v>
      </c>
      <c r="K94" s="12">
        <f t="shared" si="25"/>
        <v>-7575418.0971445544</v>
      </c>
      <c r="L94" s="12">
        <f t="shared" si="32"/>
        <v>1.1500000000000004</v>
      </c>
      <c r="M94" s="12">
        <f t="shared" si="26"/>
        <v>92000.000000000029</v>
      </c>
      <c r="N94" s="14">
        <f t="shared" si="27"/>
        <v>-7502434.120647491</v>
      </c>
      <c r="O94" s="14">
        <f t="shared" si="28"/>
        <v>-432574.82788842975</v>
      </c>
      <c r="P94">
        <v>20</v>
      </c>
    </row>
    <row r="95" spans="7:16" x14ac:dyDescent="0.25">
      <c r="O95" s="9">
        <f>SUM(O75:O94)</f>
        <v>-26581622.391865481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Options Comparison</vt:lpstr>
      <vt:lpstr>Options for Report</vt:lpstr>
      <vt:lpstr>Present Worth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dcterms:created xsi:type="dcterms:W3CDTF">2018-04-11T17:41:20Z</dcterms:created>
  <dcterms:modified xsi:type="dcterms:W3CDTF">2018-04-11T20:29:47Z</dcterms:modified>
</cp:coreProperties>
</file>