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taborda\Oracle Content - Accounts\Oracle Content\misc\ESPM\20201101-Integradora\"/>
    </mc:Choice>
  </mc:AlternateContent>
  <xr:revisionPtr revIDLastSave="0" documentId="13_ncr:1_{223B2767-1BE5-4004-A940-5F27A33653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ilha Financei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1" l="1"/>
  <c r="G24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4" i="1"/>
  <c r="E23" i="1"/>
  <c r="E22" i="1"/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P17" i="1" l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16" i="1"/>
  <c r="N16" i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L15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P14" i="1"/>
  <c r="N14" i="1"/>
  <c r="N15" i="1" s="1"/>
  <c r="M14" i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L14" i="1"/>
  <c r="K14" i="1"/>
  <c r="P13" i="1"/>
  <c r="N13" i="1"/>
  <c r="M13" i="1"/>
  <c r="L13" i="1"/>
  <c r="K13" i="1"/>
  <c r="P12" i="1"/>
  <c r="N12" i="1"/>
  <c r="M12" i="1"/>
  <c r="L12" i="1"/>
  <c r="K12" i="1"/>
  <c r="P11" i="1"/>
  <c r="N11" i="1"/>
  <c r="M11" i="1"/>
  <c r="L11" i="1"/>
  <c r="K11" i="1"/>
  <c r="P10" i="1"/>
  <c r="N10" i="1"/>
  <c r="M10" i="1"/>
  <c r="L10" i="1"/>
  <c r="K10" i="1"/>
  <c r="P9" i="1"/>
  <c r="N9" i="1"/>
  <c r="M9" i="1"/>
  <c r="L9" i="1"/>
  <c r="K9" i="1"/>
  <c r="P8" i="1"/>
  <c r="N8" i="1"/>
  <c r="M8" i="1"/>
  <c r="L8" i="1"/>
  <c r="K8" i="1"/>
  <c r="P7" i="1"/>
  <c r="N7" i="1"/>
  <c r="M7" i="1"/>
  <c r="L7" i="1"/>
  <c r="K7" i="1"/>
  <c r="P6" i="1"/>
  <c r="N6" i="1"/>
  <c r="M6" i="1"/>
  <c r="L6" i="1"/>
  <c r="K6" i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S5" i="1"/>
  <c r="R5" i="1" s="1"/>
  <c r="P5" i="1"/>
  <c r="N5" i="1"/>
  <c r="M5" i="1"/>
  <c r="L5" i="1"/>
  <c r="K5" i="1"/>
  <c r="R4" i="1"/>
  <c r="Q4" i="1"/>
  <c r="P4" i="1"/>
  <c r="N4" i="1"/>
  <c r="M4" i="1"/>
  <c r="L4" i="1"/>
  <c r="K4" i="1"/>
  <c r="B4" i="1"/>
  <c r="C4" i="1" s="1"/>
  <c r="P3" i="1"/>
  <c r="D3" i="1" s="1"/>
  <c r="O3" i="1"/>
  <c r="O4" i="1" s="1"/>
  <c r="O5" i="1" s="1"/>
  <c r="O6" i="1" s="1"/>
  <c r="O7" i="1" s="1"/>
  <c r="N3" i="1"/>
  <c r="M3" i="1"/>
  <c r="L3" i="1"/>
  <c r="K3" i="1"/>
  <c r="B3" i="1"/>
  <c r="Q3" i="1" s="1"/>
  <c r="Q5" i="1" l="1"/>
  <c r="B5" i="1"/>
  <c r="O8" i="1"/>
  <c r="O9" i="1" s="1"/>
  <c r="O10" i="1" s="1"/>
  <c r="O11" i="1" s="1"/>
  <c r="K15" i="1"/>
  <c r="S6" i="1"/>
  <c r="R6" i="1" l="1"/>
  <c r="S7" i="1"/>
  <c r="C5" i="1"/>
  <c r="U5" i="1"/>
  <c r="K16" i="1"/>
  <c r="O12" i="1"/>
  <c r="O13" i="1" l="1"/>
  <c r="K17" i="1"/>
  <c r="R7" i="1"/>
  <c r="S8" i="1"/>
  <c r="Q6" i="1"/>
  <c r="B6" i="1"/>
  <c r="S9" i="1" l="1"/>
  <c r="R8" i="1"/>
  <c r="K18" i="1"/>
  <c r="C6" i="1"/>
  <c r="U6" i="1"/>
  <c r="Q7" i="1"/>
  <c r="B7" i="1"/>
  <c r="O14" i="1"/>
  <c r="U7" i="1" l="1"/>
  <c r="C7" i="1"/>
  <c r="K19" i="1"/>
  <c r="O15" i="1"/>
  <c r="B8" i="1"/>
  <c r="Q8" i="1"/>
  <c r="R9" i="1"/>
  <c r="S10" i="1"/>
  <c r="C8" i="1" l="1"/>
  <c r="U8" i="1"/>
  <c r="O16" i="1"/>
  <c r="K20" i="1"/>
  <c r="R10" i="1"/>
  <c r="S11" i="1"/>
  <c r="Q9" i="1"/>
  <c r="B9" i="1"/>
  <c r="R11" i="1" l="1"/>
  <c r="S12" i="1"/>
  <c r="K21" i="1"/>
  <c r="C9" i="1"/>
  <c r="U9" i="1"/>
  <c r="Q10" i="1"/>
  <c r="B10" i="1"/>
  <c r="O17" i="1"/>
  <c r="C10" i="1" l="1"/>
  <c r="U10" i="1"/>
  <c r="R12" i="1"/>
  <c r="S13" i="1"/>
  <c r="K22" i="1"/>
  <c r="O18" i="1"/>
  <c r="Q11" i="1"/>
  <c r="B11" i="1"/>
  <c r="O19" i="1" l="1"/>
  <c r="R13" i="1"/>
  <c r="S14" i="1"/>
  <c r="K23" i="1"/>
  <c r="B12" i="1"/>
  <c r="Q12" i="1"/>
  <c r="U11" i="1"/>
  <c r="C11" i="1"/>
  <c r="U12" i="1" l="1"/>
  <c r="C12" i="1"/>
  <c r="S15" i="1"/>
  <c r="R14" i="1"/>
  <c r="K24" i="1"/>
  <c r="Q13" i="1"/>
  <c r="B13" i="1"/>
  <c r="O20" i="1"/>
  <c r="K25" i="1" l="1"/>
  <c r="S16" i="1"/>
  <c r="R15" i="1"/>
  <c r="C13" i="1"/>
  <c r="U13" i="1"/>
  <c r="Q14" i="1"/>
  <c r="B14" i="1"/>
  <c r="O21" i="1"/>
  <c r="U14" i="1" l="1"/>
  <c r="C14" i="1"/>
  <c r="Q15" i="1"/>
  <c r="B15" i="1"/>
  <c r="S17" i="1"/>
  <c r="R16" i="1"/>
  <c r="O22" i="1"/>
  <c r="K26" i="1"/>
  <c r="Q16" i="1" l="1"/>
  <c r="B16" i="1"/>
  <c r="S18" i="1"/>
  <c r="R17" i="1"/>
  <c r="U15" i="1"/>
  <c r="C15" i="1"/>
  <c r="O23" i="1"/>
  <c r="K27" i="1"/>
  <c r="S19" i="1" l="1"/>
  <c r="R18" i="1"/>
  <c r="C16" i="1"/>
  <c r="U16" i="1"/>
  <c r="O24" i="1"/>
  <c r="Q17" i="1"/>
  <c r="B17" i="1"/>
  <c r="K28" i="1"/>
  <c r="O25" i="1" l="1"/>
  <c r="C17" i="1"/>
  <c r="U17" i="1"/>
  <c r="K29" i="1"/>
  <c r="Q18" i="1"/>
  <c r="B18" i="1"/>
  <c r="S20" i="1"/>
  <c r="R19" i="1"/>
  <c r="S21" i="1" l="1"/>
  <c r="R20" i="1"/>
  <c r="O26" i="1"/>
  <c r="K30" i="1"/>
  <c r="U18" i="1"/>
  <c r="C18" i="1"/>
  <c r="Q19" i="1"/>
  <c r="B19" i="1"/>
  <c r="K31" i="1" l="1"/>
  <c r="O27" i="1"/>
  <c r="U19" i="1"/>
  <c r="C19" i="1"/>
  <c r="Q20" i="1"/>
  <c r="B20" i="1"/>
  <c r="S22" i="1"/>
  <c r="R21" i="1"/>
  <c r="O28" i="1" l="1"/>
  <c r="Q21" i="1"/>
  <c r="B21" i="1"/>
  <c r="C20" i="1"/>
  <c r="U20" i="1"/>
  <c r="S23" i="1"/>
  <c r="R22" i="1"/>
  <c r="K32" i="1"/>
  <c r="Q22" i="1" l="1"/>
  <c r="B22" i="1"/>
  <c r="S24" i="1"/>
  <c r="R23" i="1"/>
  <c r="C21" i="1"/>
  <c r="U21" i="1"/>
  <c r="K33" i="1"/>
  <c r="O29" i="1"/>
  <c r="S25" i="1" l="1"/>
  <c r="R24" i="1"/>
  <c r="Q23" i="1"/>
  <c r="B23" i="1"/>
  <c r="U22" i="1"/>
  <c r="C22" i="1"/>
  <c r="K34" i="1"/>
  <c r="O30" i="1"/>
  <c r="K35" i="1" l="1"/>
  <c r="O31" i="1"/>
  <c r="S26" i="1"/>
  <c r="R25" i="1"/>
  <c r="U23" i="1"/>
  <c r="C23" i="1"/>
  <c r="Q24" i="1"/>
  <c r="B24" i="1"/>
  <c r="C24" i="1" l="1"/>
  <c r="U24" i="1"/>
  <c r="K36" i="1"/>
  <c r="Q25" i="1"/>
  <c r="B25" i="1"/>
  <c r="S27" i="1"/>
  <c r="R26" i="1"/>
  <c r="O32" i="1"/>
  <c r="K37" i="1" l="1"/>
  <c r="S28" i="1"/>
  <c r="R27" i="1"/>
  <c r="Q26" i="1"/>
  <c r="B26" i="1"/>
  <c r="C25" i="1"/>
  <c r="U25" i="1"/>
  <c r="O33" i="1"/>
  <c r="O34" i="1" l="1"/>
  <c r="U26" i="1"/>
  <c r="C26" i="1"/>
  <c r="Q27" i="1"/>
  <c r="B27" i="1"/>
  <c r="S29" i="1"/>
  <c r="R28" i="1"/>
  <c r="K38" i="1"/>
  <c r="U27" i="1" l="1"/>
  <c r="C27" i="1"/>
  <c r="Q28" i="1"/>
  <c r="B28" i="1"/>
  <c r="S30" i="1"/>
  <c r="R29" i="1"/>
  <c r="K39" i="1"/>
  <c r="O35" i="1"/>
  <c r="Q29" i="1" l="1"/>
  <c r="B29" i="1"/>
  <c r="K40" i="1"/>
  <c r="S31" i="1"/>
  <c r="R30" i="1"/>
  <c r="C28" i="1"/>
  <c r="U28" i="1"/>
  <c r="O36" i="1"/>
  <c r="O37" i="1" l="1"/>
  <c r="Q30" i="1"/>
  <c r="B30" i="1"/>
  <c r="S32" i="1"/>
  <c r="R31" i="1"/>
  <c r="K41" i="1"/>
  <c r="C29" i="1"/>
  <c r="U29" i="1"/>
  <c r="Q31" i="1" l="1"/>
  <c r="B31" i="1"/>
  <c r="O38" i="1"/>
  <c r="U30" i="1"/>
  <c r="C30" i="1"/>
  <c r="K42" i="1"/>
  <c r="R32" i="1"/>
  <c r="S33" i="1"/>
  <c r="K43" i="1" l="1"/>
  <c r="Q32" i="1"/>
  <c r="B32" i="1"/>
  <c r="O39" i="1"/>
  <c r="S34" i="1"/>
  <c r="R33" i="1"/>
  <c r="U31" i="1"/>
  <c r="C31" i="1"/>
  <c r="Q33" i="1" l="1"/>
  <c r="B33" i="1"/>
  <c r="S35" i="1"/>
  <c r="R34" i="1"/>
  <c r="O40" i="1"/>
  <c r="C32" i="1"/>
  <c r="U32" i="1"/>
  <c r="K44" i="1"/>
  <c r="K45" i="1" l="1"/>
  <c r="O41" i="1"/>
  <c r="Q34" i="1"/>
  <c r="B34" i="1"/>
  <c r="S36" i="1"/>
  <c r="R35" i="1"/>
  <c r="C33" i="1"/>
  <c r="U33" i="1"/>
  <c r="U34" i="1" l="1"/>
  <c r="C34" i="1"/>
  <c r="R36" i="1"/>
  <c r="S37" i="1"/>
  <c r="K46" i="1"/>
  <c r="B35" i="1"/>
  <c r="Q35" i="1"/>
  <c r="O42" i="1"/>
  <c r="U35" i="1" l="1"/>
  <c r="C35" i="1"/>
  <c r="Q36" i="1"/>
  <c r="B36" i="1"/>
  <c r="R37" i="1"/>
  <c r="S38" i="1"/>
  <c r="K47" i="1"/>
  <c r="O43" i="1"/>
  <c r="K48" i="1" l="1"/>
  <c r="Q37" i="1"/>
  <c r="B37" i="1"/>
  <c r="C36" i="1"/>
  <c r="U36" i="1"/>
  <c r="S39" i="1"/>
  <c r="R38" i="1"/>
  <c r="O44" i="1"/>
  <c r="O45" i="1" l="1"/>
  <c r="S40" i="1"/>
  <c r="R39" i="1"/>
  <c r="K49" i="1"/>
  <c r="Q38" i="1"/>
  <c r="B38" i="1"/>
  <c r="C37" i="1"/>
  <c r="U37" i="1"/>
  <c r="U38" i="1" l="1"/>
  <c r="C38" i="1"/>
  <c r="B39" i="1"/>
  <c r="Q39" i="1"/>
  <c r="R40" i="1"/>
  <c r="S41" i="1"/>
  <c r="K50" i="1"/>
  <c r="O46" i="1"/>
  <c r="K51" i="1" l="1"/>
  <c r="R41" i="1"/>
  <c r="S42" i="1"/>
  <c r="U39" i="1"/>
  <c r="C39" i="1"/>
  <c r="Q40" i="1"/>
  <c r="B40" i="1"/>
  <c r="O47" i="1"/>
  <c r="C40" i="1" l="1"/>
  <c r="U40" i="1"/>
  <c r="R42" i="1"/>
  <c r="S43" i="1"/>
  <c r="Q41" i="1"/>
  <c r="B41" i="1"/>
  <c r="K52" i="1"/>
  <c r="O48" i="1"/>
  <c r="K53" i="1" l="1"/>
  <c r="C41" i="1"/>
  <c r="U41" i="1"/>
  <c r="S44" i="1"/>
  <c r="R43" i="1"/>
  <c r="Q42" i="1"/>
  <c r="B42" i="1"/>
  <c r="O49" i="1"/>
  <c r="U42" i="1" l="1"/>
  <c r="C42" i="1"/>
  <c r="R44" i="1"/>
  <c r="S45" i="1"/>
  <c r="K54" i="1"/>
  <c r="B43" i="1"/>
  <c r="Q43" i="1"/>
  <c r="O50" i="1"/>
  <c r="U43" i="1" l="1"/>
  <c r="C43" i="1"/>
  <c r="R45" i="1"/>
  <c r="S46" i="1"/>
  <c r="Q44" i="1"/>
  <c r="B44" i="1"/>
  <c r="K55" i="1"/>
  <c r="O51" i="1"/>
  <c r="C44" i="1" l="1"/>
  <c r="U44" i="1"/>
  <c r="R46" i="1"/>
  <c r="S47" i="1"/>
  <c r="Q45" i="1"/>
  <c r="B45" i="1"/>
  <c r="K56" i="1"/>
  <c r="O52" i="1"/>
  <c r="K57" i="1" l="1"/>
  <c r="Q46" i="1"/>
  <c r="B46" i="1"/>
  <c r="C45" i="1"/>
  <c r="U45" i="1"/>
  <c r="S48" i="1"/>
  <c r="R47" i="1"/>
  <c r="O53" i="1"/>
  <c r="R48" i="1" l="1"/>
  <c r="S49" i="1"/>
  <c r="U46" i="1"/>
  <c r="C46" i="1"/>
  <c r="B47" i="1"/>
  <c r="Q47" i="1"/>
  <c r="K58" i="1"/>
  <c r="O54" i="1"/>
  <c r="U47" i="1" l="1"/>
  <c r="C47" i="1"/>
  <c r="K59" i="1"/>
  <c r="R49" i="1"/>
  <c r="S50" i="1"/>
  <c r="O55" i="1"/>
  <c r="Q48" i="1"/>
  <c r="B48" i="1"/>
  <c r="R50" i="1" l="1"/>
  <c r="S51" i="1"/>
  <c r="Q49" i="1"/>
  <c r="B49" i="1"/>
  <c r="O56" i="1"/>
  <c r="K60" i="1"/>
  <c r="C48" i="1"/>
  <c r="U48" i="1"/>
  <c r="O57" i="1" l="1"/>
  <c r="C49" i="1"/>
  <c r="U49" i="1"/>
  <c r="K61" i="1"/>
  <c r="S52" i="1"/>
  <c r="R51" i="1"/>
  <c r="Q50" i="1"/>
  <c r="B50" i="1"/>
  <c r="B51" i="1" l="1"/>
  <c r="Q51" i="1"/>
  <c r="K62" i="1"/>
  <c r="U50" i="1"/>
  <c r="C50" i="1"/>
  <c r="R52" i="1"/>
  <c r="S53" i="1"/>
  <c r="O58" i="1"/>
  <c r="R53" i="1" l="1"/>
  <c r="S54" i="1"/>
  <c r="Q52" i="1"/>
  <c r="B52" i="1"/>
  <c r="O59" i="1"/>
  <c r="U51" i="1"/>
  <c r="C51" i="1"/>
  <c r="O60" i="1" l="1"/>
  <c r="Q53" i="1"/>
  <c r="B53" i="1"/>
  <c r="C52" i="1"/>
  <c r="U52" i="1"/>
  <c r="R54" i="1"/>
  <c r="S55" i="1"/>
  <c r="S56" i="1" l="1"/>
  <c r="R55" i="1"/>
  <c r="C53" i="1"/>
  <c r="U53" i="1"/>
  <c r="Q54" i="1"/>
  <c r="B54" i="1"/>
  <c r="O61" i="1"/>
  <c r="O62" i="1" l="1"/>
  <c r="U54" i="1"/>
  <c r="C54" i="1"/>
  <c r="B55" i="1"/>
  <c r="Q55" i="1"/>
  <c r="R56" i="1"/>
  <c r="S57" i="1"/>
  <c r="U55" i="1" l="1"/>
  <c r="C55" i="1"/>
  <c r="R57" i="1"/>
  <c r="S58" i="1"/>
  <c r="Q56" i="1"/>
  <c r="B56" i="1"/>
  <c r="Q57" i="1" l="1"/>
  <c r="B57" i="1"/>
  <c r="C56" i="1"/>
  <c r="U56" i="1"/>
  <c r="R58" i="1"/>
  <c r="S59" i="1"/>
  <c r="Q58" i="1" l="1"/>
  <c r="B58" i="1"/>
  <c r="C57" i="1"/>
  <c r="U57" i="1"/>
  <c r="R59" i="1"/>
  <c r="S60" i="1"/>
  <c r="R60" i="1" l="1"/>
  <c r="S61" i="1"/>
  <c r="B59" i="1"/>
  <c r="Q59" i="1"/>
  <c r="U58" i="1"/>
  <c r="C58" i="1"/>
  <c r="U59" i="1" l="1"/>
  <c r="C59" i="1"/>
  <c r="R61" i="1"/>
  <c r="S62" i="1"/>
  <c r="R62" i="1" s="1"/>
  <c r="Q60" i="1"/>
  <c r="B60" i="1"/>
  <c r="C60" i="1" l="1"/>
  <c r="U60" i="1"/>
  <c r="Q61" i="1"/>
  <c r="B61" i="1"/>
  <c r="Q62" i="1"/>
  <c r="B62" i="1"/>
  <c r="R64" i="1"/>
  <c r="U62" i="1" l="1"/>
  <c r="C62" i="1"/>
  <c r="C61" i="1"/>
  <c r="U61" i="1"/>
</calcChain>
</file>

<file path=xl/sharedStrings.xml><?xml version="1.0" encoding="utf-8"?>
<sst xmlns="http://schemas.openxmlformats.org/spreadsheetml/2006/main" count="84" uniqueCount="84">
  <si>
    <t>Pessoas</t>
  </si>
  <si>
    <t>Infraestrutura</t>
  </si>
  <si>
    <t>Quantidade de Clientes</t>
  </si>
  <si>
    <t>Receitas</t>
  </si>
  <si>
    <t>Despesas</t>
  </si>
  <si>
    <t>Squad Comercial</t>
  </si>
  <si>
    <t>Squad Dev</t>
  </si>
  <si>
    <t>Squad Ops</t>
  </si>
  <si>
    <t>Squad Gestão</t>
  </si>
  <si>
    <t>Cloud</t>
  </si>
  <si>
    <t>Despesas Operacionais Facilities, Equipamentos, Marketing, Plataforma de comunicação, Software etc</t>
  </si>
  <si>
    <t>Custo de Aquisição de Cliente</t>
  </si>
  <si>
    <t>Clientes Desbancarizados</t>
  </si>
  <si>
    <t>Clientes Endividados</t>
  </si>
  <si>
    <t>Crescimento Clientes %</t>
  </si>
  <si>
    <t>Receita por Cliente</t>
  </si>
  <si>
    <t>Conversão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</si>
  <si>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</si>
  <si>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</si>
  <si>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</si>
  <si>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</si>
  <si>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</si>
  <si>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</si>
  <si>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</si>
  <si>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</si>
  <si>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</si>
  <si>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</si>
  <si>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</si>
  <si>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</si>
  <si>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</si>
  <si>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</si>
  <si>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</si>
  <si>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</si>
  <si>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</si>
  <si>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</si>
  <si>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</si>
  <si>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</si>
  <si>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</si>
  <si>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</si>
  <si>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</si>
  <si>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</si>
  <si>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</si>
  <si>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</si>
  <si>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</si>
  <si>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</si>
  <si>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</si>
  <si>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</si>
  <si>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</si>
  <si>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</si>
  <si>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</si>
  <si>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</si>
  <si>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</si>
  <si>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</si>
  <si>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</si>
  <si>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</si>
  <si>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</si>
  <si>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</si>
  <si>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</si>
  <si>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</si>
  <si>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</si>
  <si>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</si>
  <si>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</si>
  <si>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</si>
  <si>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</si>
  <si>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</si>
  <si>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</si>
  <si>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</si>
  <si>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</si>
  <si>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</si>
  <si>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</si>
  <si>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</si>
  <si>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</si>
  <si>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</si>
  <si>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</si>
  <si>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</si>
  <si>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</si>
  <si>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</si>
  <si>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Pretensão de Clientes Adquiridos</t>
  </si>
  <si>
    <t>Mês</t>
  </si>
  <si>
    <t>Saldo</t>
  </si>
  <si>
    <t>BREAKEVEN</t>
  </si>
  <si>
    <t>Visão Sintética</t>
  </si>
  <si>
    <t>Visão Analítica</t>
  </si>
  <si>
    <t>PAYBACK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</si>
</sst>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]#,##0.00"/>
    <numFmt numFmtId="165" formatCode="[$R$ -416]#,##0.00"/>
    <numFmt numFmtId="166" formatCode="[$R$-416]\ #,##0.00"/>
  </numFmts>
  <fonts count="6" x14ac:knownFonts="1">
    <font>
      <sz val="10"/>
      <color rgb="FF000000"/>
      <name val="Arial"/>
    </font>
    <font>
      <sz val="1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166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 Financeira'!$B$2</c:f>
              <c:strCache>
                <c:ptCount val="1"/>
                <c:pt idx="0">
                  <c:v>Quantidade de Clientes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BD-4303-8BE3-9A865CAA5C94}"/>
                </c:ext>
              </c:extLst>
            </c:dLbl>
            <c:dLbl>
              <c:idx val="12"/>
              <c:layout>
                <c:manualLayout>
                  <c:x val="-3.0030030030030307E-3"/>
                  <c:y val="-7.147414710957501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BD-4303-8BE3-9A865CAA5C94}"/>
                </c:ext>
              </c:extLst>
            </c:dLbl>
            <c:dLbl>
              <c:idx val="2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BD-4303-8BE3-9A865CAA5C94}"/>
                </c:ext>
              </c:extLst>
            </c:dLbl>
            <c:dLbl>
              <c:idx val="3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BD-4303-8BE3-9A865CAA5C94}"/>
                </c:ext>
              </c:extLst>
            </c:dLbl>
            <c:dLbl>
              <c:idx val="4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FBD-4303-8BE3-9A865CAA5C94}"/>
                </c:ext>
              </c:extLst>
            </c:dLbl>
            <c:dLbl>
              <c:idx val="5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FBD-4303-8BE3-9A865CAA5C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 Financeira'!$A$3:$A$62</c:f>
              <c:strCache>
                <c:ptCount val="6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  <c:pt idx="33">
                  <c:v>M34</c:v>
                </c:pt>
                <c:pt idx="34">
                  <c:v>M35</c:v>
                </c:pt>
                <c:pt idx="35">
                  <c:v>M36</c:v>
                </c:pt>
                <c:pt idx="36">
                  <c:v>M37</c:v>
                </c:pt>
                <c:pt idx="37">
                  <c:v>M38</c:v>
                </c:pt>
                <c:pt idx="38">
                  <c:v>M39</c:v>
                </c:pt>
                <c:pt idx="39">
                  <c:v>M40</c:v>
                </c:pt>
                <c:pt idx="40">
                  <c:v>M41</c:v>
                </c:pt>
                <c:pt idx="41">
                  <c:v>M42</c:v>
                </c:pt>
                <c:pt idx="42">
                  <c:v>M43</c:v>
                </c:pt>
                <c:pt idx="43">
                  <c:v>M44</c:v>
                </c:pt>
                <c:pt idx="44">
                  <c:v>M45</c:v>
                </c:pt>
                <c:pt idx="45">
                  <c:v>M46</c:v>
                </c:pt>
                <c:pt idx="46">
                  <c:v>M47</c:v>
                </c:pt>
                <c:pt idx="47">
                  <c:v>M48</c:v>
                </c:pt>
                <c:pt idx="48">
                  <c:v>M49</c:v>
                </c:pt>
                <c:pt idx="49">
                  <c:v>M50</c:v>
                </c:pt>
                <c:pt idx="50">
                  <c:v>M51</c:v>
                </c:pt>
                <c:pt idx="51">
                  <c:v>M52</c:v>
                </c:pt>
                <c:pt idx="52">
                  <c:v>M53</c:v>
                </c:pt>
                <c:pt idx="53">
                  <c:v>M54</c:v>
                </c:pt>
                <c:pt idx="54">
                  <c:v>M55</c:v>
                </c:pt>
                <c:pt idx="55">
                  <c:v>M56</c:v>
                </c:pt>
                <c:pt idx="56">
                  <c:v>M57</c:v>
                </c:pt>
                <c:pt idx="57">
                  <c:v>M58</c:v>
                </c:pt>
                <c:pt idx="58">
                  <c:v>M59</c:v>
                </c:pt>
                <c:pt idx="59">
                  <c:v>M60</c:v>
                </c:pt>
              </c:strCache>
            </c:strRef>
          </c:cat>
          <c:val>
            <c:numRef>
              <c:f>'Planilha Financeira'!$B$3:$B$62</c:f>
              <c:numCache>
                <c:formatCode>#,##0</c:formatCode>
                <c:ptCount val="60"/>
                <c:pt idx="0">
                  <c:v>0</c:v>
                </c:pt>
                <c:pt idx="1">
                  <c:v>10800</c:v>
                </c:pt>
                <c:pt idx="2">
                  <c:v>21598.92</c:v>
                </c:pt>
                <c:pt idx="3">
                  <c:v>32396.760107999999</c:v>
                </c:pt>
                <c:pt idx="4">
                  <c:v>43193.5204319892</c:v>
                </c:pt>
                <c:pt idx="5">
                  <c:v>53989.201079946004</c:v>
                </c:pt>
                <c:pt idx="6">
                  <c:v>64783.802159838015</c:v>
                </c:pt>
                <c:pt idx="7">
                  <c:v>75577.323779622035</c:v>
                </c:pt>
                <c:pt idx="8">
                  <c:v>86369.766047244077</c:v>
                </c:pt>
                <c:pt idx="9">
                  <c:v>97161.129070639348</c:v>
                </c:pt>
                <c:pt idx="10">
                  <c:v>107951.41295773229</c:v>
                </c:pt>
                <c:pt idx="11">
                  <c:v>118740.61781643651</c:v>
                </c:pt>
                <c:pt idx="12">
                  <c:v>226524.77435489174</c:v>
                </c:pt>
                <c:pt idx="13">
                  <c:v>334201.14673680853</c:v>
                </c:pt>
                <c:pt idx="14">
                  <c:v>441769.84274634335</c:v>
                </c:pt>
                <c:pt idx="15">
                  <c:v>549230.97005986865</c:v>
                </c:pt>
                <c:pt idx="16">
                  <c:v>656584.63624608051</c:v>
                </c:pt>
                <c:pt idx="17">
                  <c:v>763830.94876610604</c:v>
                </c:pt>
                <c:pt idx="18">
                  <c:v>870970.01497361157</c:v>
                </c:pt>
                <c:pt idx="19">
                  <c:v>978001.94211490965</c:v>
                </c:pt>
                <c:pt idx="20">
                  <c:v>1084926.8373290664</c:v>
                </c:pt>
                <c:pt idx="21">
                  <c:v>1191744.8076480089</c:v>
                </c:pt>
                <c:pt idx="22">
                  <c:v>1298455.9599966325</c:v>
                </c:pt>
                <c:pt idx="23">
                  <c:v>1405060.4011929075</c:v>
                </c:pt>
                <c:pt idx="24">
                  <c:v>1511558.2379479862</c:v>
                </c:pt>
                <c:pt idx="25">
                  <c:v>1617949.5768663099</c:v>
                </c:pt>
                <c:pt idx="26">
                  <c:v>1724234.5244457151</c:v>
                </c:pt>
                <c:pt idx="27">
                  <c:v>1830413.1870775411</c:v>
                </c:pt>
                <c:pt idx="28">
                  <c:v>1936485.6710467353</c:v>
                </c:pt>
                <c:pt idx="29">
                  <c:v>2042452.0825319602</c:v>
                </c:pt>
                <c:pt idx="30">
                  <c:v>2148312.5276056998</c:v>
                </c:pt>
                <c:pt idx="31">
                  <c:v>2254067.1122343657</c:v>
                </c:pt>
                <c:pt idx="32">
                  <c:v>2359715.9422784029</c:v>
                </c:pt>
                <c:pt idx="33">
                  <c:v>2465259.123492396</c:v>
                </c:pt>
                <c:pt idx="34">
                  <c:v>2570696.7615251751</c:v>
                </c:pt>
                <c:pt idx="35">
                  <c:v>2676028.9619199215</c:v>
                </c:pt>
                <c:pt idx="36">
                  <c:v>2781255.8301142734</c:v>
                </c:pt>
                <c:pt idx="37">
                  <c:v>2886377.4714404307</c:v>
                </c:pt>
                <c:pt idx="38">
                  <c:v>2991393.9911252619</c:v>
                </c:pt>
                <c:pt idx="39">
                  <c:v>3096305.4942904082</c:v>
                </c:pt>
                <c:pt idx="40">
                  <c:v>3201112.0859523895</c:v>
                </c:pt>
                <c:pt idx="41">
                  <c:v>3305813.8710227087</c:v>
                </c:pt>
                <c:pt idx="42">
                  <c:v>3410410.9543079576</c:v>
                </c:pt>
                <c:pt idx="43">
                  <c:v>3514903.4405099214</c:v>
                </c:pt>
                <c:pt idx="44">
                  <c:v>3619291.4342256831</c:v>
                </c:pt>
                <c:pt idx="45">
                  <c:v>3723575.0399477291</c:v>
                </c:pt>
                <c:pt idx="46">
                  <c:v>3827754.3620640528</c:v>
                </c:pt>
                <c:pt idx="47">
                  <c:v>3931829.5048582605</c:v>
                </c:pt>
                <c:pt idx="48">
                  <c:v>4035800.5725096739</c:v>
                </c:pt>
                <c:pt idx="49">
                  <c:v>4139667.6690934356</c:v>
                </c:pt>
                <c:pt idx="50">
                  <c:v>4243430.8985806135</c:v>
                </c:pt>
                <c:pt idx="51">
                  <c:v>4347090.3648383049</c:v>
                </c:pt>
                <c:pt idx="52">
                  <c:v>4450646.1716297381</c:v>
                </c:pt>
                <c:pt idx="53">
                  <c:v>4554098.4226143798</c:v>
                </c:pt>
                <c:pt idx="54">
                  <c:v>4657447.221348037</c:v>
                </c:pt>
                <c:pt idx="55">
                  <c:v>4760692.671282961</c:v>
                </c:pt>
                <c:pt idx="56">
                  <c:v>4863834.87576795</c:v>
                </c:pt>
                <c:pt idx="57">
                  <c:v>4966873.938048454</c:v>
                </c:pt>
                <c:pt idx="58">
                  <c:v>5069809.9612666769</c:v>
                </c:pt>
                <c:pt idx="59">
                  <c:v>5172643.0484616822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D-4303-8BE3-9A865CAA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622285104"/>
        <c:axId val="622285432"/>
      </c:barChart>
      <c:lineChart>
        <c:grouping val="standard"/>
        <c:varyColors val="0"/>
        <c:ser>
          <c:idx val="1"/>
          <c:order val="1"/>
          <c:tx>
            <c:strRef>
              <c:f>'Planilha Financeira'!$C$2</c:f>
              <c:strCache>
                <c:ptCount val="1"/>
                <c:pt idx="0">
                  <c:v>Receitas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BD-4303-8BE3-9A865CAA5C94}"/>
                </c:ext>
              </c:extLst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BD-4303-8BE3-9A865CAA5C94}"/>
                </c:ext>
              </c:extLst>
            </c:dLbl>
            <c:dLbl>
              <c:idx val="2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BD-4303-8BE3-9A865CAA5C94}"/>
                </c:ext>
              </c:extLst>
            </c:dLbl>
            <c:dLbl>
              <c:idx val="2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FBD-4303-8BE3-9A865CAA5C94}"/>
                </c:ext>
              </c:extLst>
            </c:dLbl>
            <c:dLbl>
              <c:idx val="3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BD-4303-8BE3-9A865CAA5C94}"/>
                </c:ext>
              </c:extLst>
            </c:dLbl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BD-4303-8BE3-9A865CAA5C94}"/>
                </c:ext>
              </c:extLst>
            </c:dLbl>
            <c:dLbl>
              <c:idx val="5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BD-4303-8BE3-9A865CAA5C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 Financeira'!$A$3:$A$62</c:f>
              <c:strCache>
                <c:ptCount val="6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  <c:pt idx="33">
                  <c:v>M34</c:v>
                </c:pt>
                <c:pt idx="34">
                  <c:v>M35</c:v>
                </c:pt>
                <c:pt idx="35">
                  <c:v>M36</c:v>
                </c:pt>
                <c:pt idx="36">
                  <c:v>M37</c:v>
                </c:pt>
                <c:pt idx="37">
                  <c:v>M38</c:v>
                </c:pt>
                <c:pt idx="38">
                  <c:v>M39</c:v>
                </c:pt>
                <c:pt idx="39">
                  <c:v>M40</c:v>
                </c:pt>
                <c:pt idx="40">
                  <c:v>M41</c:v>
                </c:pt>
                <c:pt idx="41">
                  <c:v>M42</c:v>
                </c:pt>
                <c:pt idx="42">
                  <c:v>M43</c:v>
                </c:pt>
                <c:pt idx="43">
                  <c:v>M44</c:v>
                </c:pt>
                <c:pt idx="44">
                  <c:v>M45</c:v>
                </c:pt>
                <c:pt idx="45">
                  <c:v>M46</c:v>
                </c:pt>
                <c:pt idx="46">
                  <c:v>M47</c:v>
                </c:pt>
                <c:pt idx="47">
                  <c:v>M48</c:v>
                </c:pt>
                <c:pt idx="48">
                  <c:v>M49</c:v>
                </c:pt>
                <c:pt idx="49">
                  <c:v>M50</c:v>
                </c:pt>
                <c:pt idx="50">
                  <c:v>M51</c:v>
                </c:pt>
                <c:pt idx="51">
                  <c:v>M52</c:v>
                </c:pt>
                <c:pt idx="52">
                  <c:v>M53</c:v>
                </c:pt>
                <c:pt idx="53">
                  <c:v>M54</c:v>
                </c:pt>
                <c:pt idx="54">
                  <c:v>M55</c:v>
                </c:pt>
                <c:pt idx="55">
                  <c:v>M56</c:v>
                </c:pt>
                <c:pt idx="56">
                  <c:v>M57</c:v>
                </c:pt>
                <c:pt idx="57">
                  <c:v>M58</c:v>
                </c:pt>
                <c:pt idx="58">
                  <c:v>M59</c:v>
                </c:pt>
                <c:pt idx="59">
                  <c:v>M60</c:v>
                </c:pt>
              </c:strCache>
            </c:strRef>
          </c:cat>
          <c:val>
            <c:numRef>
              <c:f>'Planilha Financeira'!$C$3:$C$62</c:f>
              <c:numCache>
                <c:formatCode>[$R$ -416]#,##0.00</c:formatCode>
                <c:ptCount val="60"/>
                <c:pt idx="0" formatCode="General">
                  <c:v>0</c:v>
                </c:pt>
                <c:pt idx="1">
                  <c:v>64800</c:v>
                </c:pt>
                <c:pt idx="2">
                  <c:v>129593.51999999999</c:v>
                </c:pt>
                <c:pt idx="3">
                  <c:v>194380.56064799998</c:v>
                </c:pt>
                <c:pt idx="4">
                  <c:v>259161.12259193521</c:v>
                </c:pt>
                <c:pt idx="5">
                  <c:v>323935.20647967601</c:v>
                </c:pt>
                <c:pt idx="6">
                  <c:v>388702.81295902806</c:v>
                </c:pt>
                <c:pt idx="7">
                  <c:v>453463.94267773221</c:v>
                </c:pt>
                <c:pt idx="8">
                  <c:v>518218.59628346446</c:v>
                </c:pt>
                <c:pt idx="9">
                  <c:v>582966.77442383603</c:v>
                </c:pt>
                <c:pt idx="10">
                  <c:v>647708.47774639376</c:v>
                </c:pt>
                <c:pt idx="11">
                  <c:v>712443.70689861907</c:v>
                </c:pt>
                <c:pt idx="12">
                  <c:v>1359148.6461293504</c:v>
                </c:pt>
                <c:pt idx="13">
                  <c:v>2005206.8804208511</c:v>
                </c:pt>
                <c:pt idx="14">
                  <c:v>2650619.0564780599</c:v>
                </c:pt>
                <c:pt idx="15">
                  <c:v>3295385.8203592119</c:v>
                </c:pt>
                <c:pt idx="16">
                  <c:v>3939507.8174764831</c:v>
                </c:pt>
                <c:pt idx="17">
                  <c:v>4582985.6925966367</c:v>
                </c:pt>
                <c:pt idx="18">
                  <c:v>5225820.0898416694</c:v>
                </c:pt>
                <c:pt idx="19">
                  <c:v>5868011.6526894579</c:v>
                </c:pt>
                <c:pt idx="20">
                  <c:v>6509561.0239743982</c:v>
                </c:pt>
                <c:pt idx="21">
                  <c:v>7150468.845888054</c:v>
                </c:pt>
                <c:pt idx="22">
                  <c:v>7790735.7599797957</c:v>
                </c:pt>
                <c:pt idx="23">
                  <c:v>8430362.4071574453</c:v>
                </c:pt>
                <c:pt idx="24">
                  <c:v>9069349.4276879169</c:v>
                </c:pt>
                <c:pt idx="25">
                  <c:v>9707697.4611978587</c:v>
                </c:pt>
                <c:pt idx="26">
                  <c:v>10345407.14667429</c:v>
                </c:pt>
                <c:pt idx="27">
                  <c:v>10982479.122465247</c:v>
                </c:pt>
                <c:pt idx="28">
                  <c:v>11618914.026280411</c:v>
                </c:pt>
                <c:pt idx="29">
                  <c:v>12254712.49519176</c:v>
                </c:pt>
                <c:pt idx="30">
                  <c:v>12889875.1656342</c:v>
                </c:pt>
                <c:pt idx="31">
                  <c:v>13524402.673406195</c:v>
                </c:pt>
                <c:pt idx="32">
                  <c:v>14158295.653670417</c:v>
                </c:pt>
                <c:pt idx="33">
                  <c:v>14791554.740954377</c:v>
                </c:pt>
                <c:pt idx="34">
                  <c:v>15424180.569151051</c:v>
                </c:pt>
                <c:pt idx="35">
                  <c:v>16056173.771519529</c:v>
                </c:pt>
                <c:pt idx="36">
                  <c:v>16687534.98068564</c:v>
                </c:pt>
                <c:pt idx="37">
                  <c:v>17318264.828642584</c:v>
                </c:pt>
                <c:pt idx="38">
                  <c:v>17948363.946751572</c:v>
                </c:pt>
                <c:pt idx="39">
                  <c:v>18577832.96574245</c:v>
                </c:pt>
                <c:pt idx="40">
                  <c:v>19206672.515714336</c:v>
                </c:pt>
                <c:pt idx="41">
                  <c:v>19834883.226136252</c:v>
                </c:pt>
                <c:pt idx="42">
                  <c:v>20462465.725847743</c:v>
                </c:pt>
                <c:pt idx="43">
                  <c:v>21089420.643059529</c:v>
                </c:pt>
                <c:pt idx="44">
                  <c:v>21715748.6053541</c:v>
                </c:pt>
                <c:pt idx="45">
                  <c:v>22341450.239686374</c:v>
                </c:pt>
                <c:pt idx="46">
                  <c:v>22966526.172384318</c:v>
                </c:pt>
                <c:pt idx="47">
                  <c:v>23590977.029149562</c:v>
                </c:pt>
                <c:pt idx="48">
                  <c:v>24214803.435058042</c:v>
                </c:pt>
                <c:pt idx="49">
                  <c:v>24838006.014560614</c:v>
                </c:pt>
                <c:pt idx="50">
                  <c:v>25460585.391483679</c:v>
                </c:pt>
                <c:pt idx="51">
                  <c:v>26082542.189029828</c:v>
                </c:pt>
                <c:pt idx="52">
                  <c:v>26703877.029778428</c:v>
                </c:pt>
                <c:pt idx="53">
                  <c:v>27324590.535686277</c:v>
                </c:pt>
                <c:pt idx="54">
                  <c:v>27944683.328088224</c:v>
                </c:pt>
                <c:pt idx="55">
                  <c:v>28564156.027697764</c:v>
                </c:pt>
                <c:pt idx="56">
                  <c:v>29183009.2546077</c:v>
                </c:pt>
                <c:pt idx="57">
                  <c:v>29801243.628290724</c:v>
                </c:pt>
                <c:pt idx="58">
                  <c:v>30418859.76760006</c:v>
                </c:pt>
                <c:pt idx="59">
                  <c:v>31035858.290770091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D-4303-8BE3-9A865CAA5C94}"/>
            </c:ext>
          </c:extLst>
        </c:ser>
        <c:ser>
          <c:idx val="2"/>
          <c:order val="2"/>
          <c:tx>
            <c:strRef>
              <c:f>'Planilha Financeira'!$D$2</c:f>
              <c:strCache>
                <c:ptCount val="1"/>
                <c:pt idx="0">
                  <c:v>Despesas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BD-4303-8BE3-9A865CAA5C94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BD-4303-8BE3-9A865CAA5C94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BD-4303-8BE3-9A865CAA5C94}"/>
                </c:ext>
              </c:extLst>
            </c:dLbl>
            <c:dLbl>
              <c:idx val="2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FBD-4303-8BE3-9A865CAA5C94}"/>
                </c:ext>
              </c:extLst>
            </c:dLbl>
            <c:dLbl>
              <c:idx val="2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FBD-4303-8BE3-9A865CAA5C94}"/>
                </c:ext>
              </c:extLst>
            </c:dLbl>
            <c:dLbl>
              <c:idx val="3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BD-4303-8BE3-9A865CAA5C94}"/>
                </c:ext>
              </c:extLst>
            </c:dLbl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BD-4303-8BE3-9A865CAA5C94}"/>
                </c:ext>
              </c:extLst>
            </c:dLbl>
            <c:dLbl>
              <c:idx val="5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BD-4303-8BE3-9A865CAA5C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 Financeira'!$A$3:$A$62</c:f>
              <c:strCache>
                <c:ptCount val="6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  <c:pt idx="33">
                  <c:v>M34</c:v>
                </c:pt>
                <c:pt idx="34">
                  <c:v>M35</c:v>
                </c:pt>
                <c:pt idx="35">
                  <c:v>M36</c:v>
                </c:pt>
                <c:pt idx="36">
                  <c:v>M37</c:v>
                </c:pt>
                <c:pt idx="37">
                  <c:v>M38</c:v>
                </c:pt>
                <c:pt idx="38">
                  <c:v>M39</c:v>
                </c:pt>
                <c:pt idx="39">
                  <c:v>M40</c:v>
                </c:pt>
                <c:pt idx="40">
                  <c:v>M41</c:v>
                </c:pt>
                <c:pt idx="41">
                  <c:v>M42</c:v>
                </c:pt>
                <c:pt idx="42">
                  <c:v>M43</c:v>
                </c:pt>
                <c:pt idx="43">
                  <c:v>M44</c:v>
                </c:pt>
                <c:pt idx="44">
                  <c:v>M45</c:v>
                </c:pt>
                <c:pt idx="45">
                  <c:v>M46</c:v>
                </c:pt>
                <c:pt idx="46">
                  <c:v>M47</c:v>
                </c:pt>
                <c:pt idx="47">
                  <c:v>M48</c:v>
                </c:pt>
                <c:pt idx="48">
                  <c:v>M49</c:v>
                </c:pt>
                <c:pt idx="49">
                  <c:v>M50</c:v>
                </c:pt>
                <c:pt idx="50">
                  <c:v>M51</c:v>
                </c:pt>
                <c:pt idx="51">
                  <c:v>M52</c:v>
                </c:pt>
                <c:pt idx="52">
                  <c:v>M53</c:v>
                </c:pt>
                <c:pt idx="53">
                  <c:v>M54</c:v>
                </c:pt>
                <c:pt idx="54">
                  <c:v>M55</c:v>
                </c:pt>
                <c:pt idx="55">
                  <c:v>M56</c:v>
                </c:pt>
                <c:pt idx="56">
                  <c:v>M57</c:v>
                </c:pt>
                <c:pt idx="57">
                  <c:v>M58</c:v>
                </c:pt>
                <c:pt idx="58">
                  <c:v>M59</c:v>
                </c:pt>
                <c:pt idx="59">
                  <c:v>M60</c:v>
                </c:pt>
              </c:strCache>
            </c:strRef>
          </c:cat>
          <c:val>
            <c:numRef>
              <c:f>'Planilha Financeira'!$D$3:$D$62</c:f>
              <c:numCache>
                <c:formatCode>[$R$]#,##0.00</c:formatCode>
                <c:ptCount val="60"/>
                <c:pt idx="0">
                  <c:v>846450</c:v>
                </c:pt>
                <c:pt idx="1">
                  <c:v>1279243.5</c:v>
                </c:pt>
                <c:pt idx="2">
                  <c:v>1280017.605</c:v>
                </c:pt>
                <c:pt idx="3">
                  <c:v>1280816.2334700001</c:v>
                </c:pt>
                <c:pt idx="4">
                  <c:v>1281640.1209840681</c:v>
                </c:pt>
                <c:pt idx="5">
                  <c:v>1282490.025183507</c:v>
                </c:pt>
                <c:pt idx="6">
                  <c:v>1283366.7264388723</c:v>
                </c:pt>
                <c:pt idx="7">
                  <c:v>1284271.0285318485</c:v>
                </c:pt>
                <c:pt idx="8">
                  <c:v>1285203.7593575842</c:v>
                </c:pt>
                <c:pt idx="9">
                  <c:v>1286165.7716480945</c:v>
                </c:pt>
                <c:pt idx="10">
                  <c:v>1287157.9437173696</c:v>
                </c:pt>
                <c:pt idx="11">
                  <c:v>1288181.1802288305</c:v>
                </c:pt>
                <c:pt idx="12">
                  <c:v>6936347.0462441146</c:v>
                </c:pt>
                <c:pt idx="13">
                  <c:v>6932372.0149968304</c:v>
                </c:pt>
                <c:pt idx="14">
                  <c:v>6928444.7982547637</c:v>
                </c:pt>
                <c:pt idx="15">
                  <c:v>6924566.6633876283</c:v>
                </c:pt>
                <c:pt idx="16">
                  <c:v>6920738.9159532934</c:v>
                </c:pt>
                <c:pt idx="17">
                  <c:v>6916962.9008432645</c:v>
                </c:pt>
                <c:pt idx="18">
                  <c:v>6913240.0034625223</c:v>
                </c:pt>
                <c:pt idx="19">
                  <c:v>6909571.6509447638</c:v>
                </c:pt>
                <c:pt idx="20">
                  <c:v>6905959.3134040954</c:v>
                </c:pt>
                <c:pt idx="21">
                  <c:v>6902404.5052242745</c:v>
                </c:pt>
                <c:pt idx="22">
                  <c:v>6898908.7863866426</c:v>
                </c:pt>
                <c:pt idx="23">
                  <c:v>6895473.7638378749</c:v>
                </c:pt>
                <c:pt idx="24">
                  <c:v>7994837.2677625902</c:v>
                </c:pt>
                <c:pt idx="25">
                  <c:v>7990999.2753098374</c:v>
                </c:pt>
                <c:pt idx="26">
                  <c:v>7987237.6261939863</c:v>
                </c:pt>
                <c:pt idx="27">
                  <c:v>7983554.419232036</c:v>
                </c:pt>
                <c:pt idx="28">
                  <c:v>7979951.8163969712</c:v>
                </c:pt>
                <c:pt idx="29">
                  <c:v>7976432.0447122706</c:v>
                </c:pt>
                <c:pt idx="30">
                  <c:v>7972997.3982032044</c:v>
                </c:pt>
                <c:pt idx="31">
                  <c:v>7969650.2399067152</c:v>
                </c:pt>
                <c:pt idx="32">
                  <c:v>7966393.0039415769</c:v>
                </c:pt>
                <c:pt idx="33">
                  <c:v>7963228.1976406453</c:v>
                </c:pt>
                <c:pt idx="34">
                  <c:v>7960158.4037471041</c:v>
                </c:pt>
                <c:pt idx="35">
                  <c:v>7957186.2826765804</c:v>
                </c:pt>
                <c:pt idx="36">
                  <c:v>8777174.7032795865</c:v>
                </c:pt>
                <c:pt idx="37">
                  <c:v>8774119.8378803786</c:v>
                </c:pt>
                <c:pt idx="38">
                  <c:v>8771182.096625695</c:v>
                </c:pt>
                <c:pt idx="39">
                  <c:v>8768364.7844697591</c:v>
                </c:pt>
                <c:pt idx="40">
                  <c:v>8765671.3057242017</c:v>
                </c:pt>
                <c:pt idx="41">
                  <c:v>8763105.1670385581</c:v>
                </c:pt>
                <c:pt idx="42">
                  <c:v>8760669.980470201</c:v>
                </c:pt>
                <c:pt idx="43">
                  <c:v>8758369.4666463733</c:v>
                </c:pt>
                <c:pt idx="44">
                  <c:v>8756207.4580210671</c:v>
                </c:pt>
                <c:pt idx="45">
                  <c:v>8754187.9022296276</c:v>
                </c:pt>
                <c:pt idx="46">
                  <c:v>8752314.8655439764</c:v>
                </c:pt>
                <c:pt idx="47">
                  <c:v>8750592.53643151</c:v>
                </c:pt>
                <c:pt idx="48">
                  <c:v>8749025.2292207461</c:v>
                </c:pt>
                <c:pt idx="49">
                  <c:v>9841069.5613615867</c:v>
                </c:pt>
                <c:pt idx="50">
                  <c:v>9839670.2886274774</c:v>
                </c:pt>
                <c:pt idx="51">
                  <c:v>9838460.8690709192</c:v>
                </c:pt>
                <c:pt idx="52">
                  <c:v>9837446.7664558794</c:v>
                </c:pt>
                <c:pt idx="53">
                  <c:v>9836633.6086910777</c:v>
                </c:pt>
                <c:pt idx="54">
                  <c:v>9836027.1927540898</c:v>
                </c:pt>
                <c:pt idx="55">
                  <c:v>9835633.4897631891</c:v>
                </c:pt>
                <c:pt idx="56">
                  <c:v>9835458.6502013337</c:v>
                </c:pt>
                <c:pt idx="57">
                  <c:v>9835509.0092968792</c:v>
                </c:pt>
                <c:pt idx="58">
                  <c:v>9835791.0925657023</c:v>
                </c:pt>
                <c:pt idx="59">
                  <c:v>9836311.6215195991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D-4303-8BE3-9A865CAA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85104"/>
        <c:axId val="622285432"/>
      </c:lineChart>
      <c:catAx>
        <c:axId val="6222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285432"/>
        <c:crosses val="autoZero"/>
        <c:auto val="1"/>
        <c:lblAlgn val="ctr"/>
        <c:lblOffset val="100"/>
        <c:noMultiLvlLbl val="0"/>
      </c:catAx>
      <c:valAx>
        <c:axId val="622285432"/>
        <c:scaling>
          <c:logBase val="10"/>
          <c:orientation val="minMax"/>
          <c:max val="5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2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 Financeira'!$B$2</c:f>
              <c:strCache>
                <c:ptCount val="1"/>
                <c:pt idx="0">
                  <c:v>Quantidade de Clientes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05-40C8-9414-D1549D0150A5}"/>
                </c:ext>
              </c:extLst>
            </c:dLbl>
            <c:dLbl>
              <c:idx val="12"/>
              <c:layout>
                <c:manualLayout>
                  <c:x val="-3.0030030030030307E-3"/>
                  <c:y val="-7.147414710957501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05-40C8-9414-D1549D0150A5}"/>
                </c:ext>
              </c:extLst>
            </c:dLbl>
            <c:dLbl>
              <c:idx val="2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05-40C8-9414-D1549D0150A5}"/>
                </c:ext>
              </c:extLst>
            </c:dLbl>
            <c:dLbl>
              <c:idx val="3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05-40C8-9414-D1549D0150A5}"/>
                </c:ext>
              </c:extLst>
            </c:dLbl>
            <c:dLbl>
              <c:idx val="4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05-40C8-9414-D1549D0150A5}"/>
                </c:ext>
              </c:extLst>
            </c:dLbl>
            <c:dLbl>
              <c:idx val="5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05-40C8-9414-D1549D015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 Financeira'!$A$3:$A$62</c:f>
              <c:strCache>
                <c:ptCount val="6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  <c:pt idx="33">
                  <c:v>M34</c:v>
                </c:pt>
                <c:pt idx="34">
                  <c:v>M35</c:v>
                </c:pt>
                <c:pt idx="35">
                  <c:v>M36</c:v>
                </c:pt>
                <c:pt idx="36">
                  <c:v>M37</c:v>
                </c:pt>
                <c:pt idx="37">
                  <c:v>M38</c:v>
                </c:pt>
                <c:pt idx="38">
                  <c:v>M39</c:v>
                </c:pt>
                <c:pt idx="39">
                  <c:v>M40</c:v>
                </c:pt>
                <c:pt idx="40">
                  <c:v>M41</c:v>
                </c:pt>
                <c:pt idx="41">
                  <c:v>M42</c:v>
                </c:pt>
                <c:pt idx="42">
                  <c:v>M43</c:v>
                </c:pt>
                <c:pt idx="43">
                  <c:v>M44</c:v>
                </c:pt>
                <c:pt idx="44">
                  <c:v>M45</c:v>
                </c:pt>
                <c:pt idx="45">
                  <c:v>M46</c:v>
                </c:pt>
                <c:pt idx="46">
                  <c:v>M47</c:v>
                </c:pt>
                <c:pt idx="47">
                  <c:v>M48</c:v>
                </c:pt>
                <c:pt idx="48">
                  <c:v>M49</c:v>
                </c:pt>
                <c:pt idx="49">
                  <c:v>M50</c:v>
                </c:pt>
                <c:pt idx="50">
                  <c:v>M51</c:v>
                </c:pt>
                <c:pt idx="51">
                  <c:v>M52</c:v>
                </c:pt>
                <c:pt idx="52">
                  <c:v>M53</c:v>
                </c:pt>
                <c:pt idx="53">
                  <c:v>M54</c:v>
                </c:pt>
                <c:pt idx="54">
                  <c:v>M55</c:v>
                </c:pt>
                <c:pt idx="55">
                  <c:v>M56</c:v>
                </c:pt>
                <c:pt idx="56">
                  <c:v>M57</c:v>
                </c:pt>
                <c:pt idx="57">
                  <c:v>M58</c:v>
                </c:pt>
                <c:pt idx="58">
                  <c:v>M59</c:v>
                </c:pt>
                <c:pt idx="59">
                  <c:v>M60</c:v>
                </c:pt>
              </c:strCache>
            </c:strRef>
          </c:cat>
          <c:val>
            <c:numRef>
              <c:f>'Planilha Financeira'!$B$3:$B$62</c:f>
              <c:numCache>
                <c:formatCode>#,##0</c:formatCode>
                <c:ptCount val="60"/>
                <c:pt idx="0">
                  <c:v>0</c:v>
                </c:pt>
                <c:pt idx="1">
                  <c:v>10800</c:v>
                </c:pt>
                <c:pt idx="2">
                  <c:v>21598.92</c:v>
                </c:pt>
                <c:pt idx="3">
                  <c:v>32396.760107999999</c:v>
                </c:pt>
                <c:pt idx="4">
                  <c:v>43193.5204319892</c:v>
                </c:pt>
                <c:pt idx="5">
                  <c:v>53989.201079946004</c:v>
                </c:pt>
                <c:pt idx="6">
                  <c:v>64783.802159838015</c:v>
                </c:pt>
                <c:pt idx="7">
                  <c:v>75577.323779622035</c:v>
                </c:pt>
                <c:pt idx="8">
                  <c:v>86369.766047244077</c:v>
                </c:pt>
                <c:pt idx="9">
                  <c:v>97161.129070639348</c:v>
                </c:pt>
                <c:pt idx="10">
                  <c:v>107951.41295773229</c:v>
                </c:pt>
                <c:pt idx="11">
                  <c:v>118740.61781643651</c:v>
                </c:pt>
                <c:pt idx="12">
                  <c:v>226524.77435489174</c:v>
                </c:pt>
                <c:pt idx="13">
                  <c:v>334201.14673680853</c:v>
                </c:pt>
                <c:pt idx="14">
                  <c:v>441769.84274634335</c:v>
                </c:pt>
                <c:pt idx="15">
                  <c:v>549230.97005986865</c:v>
                </c:pt>
                <c:pt idx="16">
                  <c:v>656584.63624608051</c:v>
                </c:pt>
                <c:pt idx="17">
                  <c:v>763830.94876610604</c:v>
                </c:pt>
                <c:pt idx="18">
                  <c:v>870970.01497361157</c:v>
                </c:pt>
                <c:pt idx="19">
                  <c:v>978001.94211490965</c:v>
                </c:pt>
                <c:pt idx="20">
                  <c:v>1084926.8373290664</c:v>
                </c:pt>
                <c:pt idx="21">
                  <c:v>1191744.8076480089</c:v>
                </c:pt>
                <c:pt idx="22">
                  <c:v>1298455.9599966325</c:v>
                </c:pt>
                <c:pt idx="23">
                  <c:v>1405060.4011929075</c:v>
                </c:pt>
                <c:pt idx="24">
                  <c:v>1511558.2379479862</c:v>
                </c:pt>
                <c:pt idx="25">
                  <c:v>1617949.5768663099</c:v>
                </c:pt>
                <c:pt idx="26">
                  <c:v>1724234.5244457151</c:v>
                </c:pt>
                <c:pt idx="27">
                  <c:v>1830413.1870775411</c:v>
                </c:pt>
                <c:pt idx="28">
                  <c:v>1936485.6710467353</c:v>
                </c:pt>
                <c:pt idx="29">
                  <c:v>2042452.0825319602</c:v>
                </c:pt>
                <c:pt idx="30">
                  <c:v>2148312.5276056998</c:v>
                </c:pt>
                <c:pt idx="31">
                  <c:v>2254067.1122343657</c:v>
                </c:pt>
                <c:pt idx="32">
                  <c:v>2359715.9422784029</c:v>
                </c:pt>
                <c:pt idx="33">
                  <c:v>2465259.123492396</c:v>
                </c:pt>
                <c:pt idx="34">
                  <c:v>2570696.7615251751</c:v>
                </c:pt>
                <c:pt idx="35">
                  <c:v>2676028.9619199215</c:v>
                </c:pt>
                <c:pt idx="36">
                  <c:v>2781255.8301142734</c:v>
                </c:pt>
                <c:pt idx="37">
                  <c:v>2886377.4714404307</c:v>
                </c:pt>
                <c:pt idx="38">
                  <c:v>2991393.9911252619</c:v>
                </c:pt>
                <c:pt idx="39">
                  <c:v>3096305.4942904082</c:v>
                </c:pt>
                <c:pt idx="40">
                  <c:v>3201112.0859523895</c:v>
                </c:pt>
                <c:pt idx="41">
                  <c:v>3305813.8710227087</c:v>
                </c:pt>
                <c:pt idx="42">
                  <c:v>3410410.9543079576</c:v>
                </c:pt>
                <c:pt idx="43">
                  <c:v>3514903.4405099214</c:v>
                </c:pt>
                <c:pt idx="44">
                  <c:v>3619291.4342256831</c:v>
                </c:pt>
                <c:pt idx="45">
                  <c:v>3723575.0399477291</c:v>
                </c:pt>
                <c:pt idx="46">
                  <c:v>3827754.3620640528</c:v>
                </c:pt>
                <c:pt idx="47">
                  <c:v>3931829.5048582605</c:v>
                </c:pt>
                <c:pt idx="48">
                  <c:v>4035800.5725096739</c:v>
                </c:pt>
                <c:pt idx="49">
                  <c:v>4139667.6690934356</c:v>
                </c:pt>
                <c:pt idx="50">
                  <c:v>4243430.8985806135</c:v>
                </c:pt>
                <c:pt idx="51">
                  <c:v>4347090.3648383049</c:v>
                </c:pt>
                <c:pt idx="52">
                  <c:v>4450646.1716297381</c:v>
                </c:pt>
                <c:pt idx="53">
                  <c:v>4554098.4226143798</c:v>
                </c:pt>
                <c:pt idx="54">
                  <c:v>4657447.221348037</c:v>
                </c:pt>
                <c:pt idx="55">
                  <c:v>4760692.671282961</c:v>
                </c:pt>
                <c:pt idx="56">
                  <c:v>4863834.87576795</c:v>
                </c:pt>
                <c:pt idx="57">
                  <c:v>4966873.938048454</c:v>
                </c:pt>
                <c:pt idx="58">
                  <c:v>5069809.9612666769</c:v>
                </c:pt>
                <c:pt idx="59">
                  <c:v>5172643.0484616822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05-40C8-9414-D1549D01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622285104"/>
        <c:axId val="622285432"/>
      </c:barChart>
      <c:lineChart>
        <c:grouping val="standard"/>
        <c:varyColors val="0"/>
        <c:ser>
          <c:idx val="1"/>
          <c:order val="1"/>
          <c:tx>
            <c:strRef>
              <c:f>'Planilha Financeira'!$C$2</c:f>
              <c:strCache>
                <c:ptCount val="1"/>
                <c:pt idx="0">
                  <c:v>Receitas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05-40C8-9414-D1549D0150A5}"/>
                </c:ext>
              </c:extLst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05-40C8-9414-D1549D0150A5}"/>
                </c:ext>
              </c:extLst>
            </c:dLbl>
            <c:dLbl>
              <c:idx val="2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05-40C8-9414-D1549D0150A5}"/>
                </c:ext>
              </c:extLst>
            </c:dLbl>
            <c:dLbl>
              <c:idx val="2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05-40C8-9414-D1549D0150A5}"/>
                </c:ext>
              </c:extLst>
            </c:dLbl>
            <c:dLbl>
              <c:idx val="3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05-40C8-9414-D1549D0150A5}"/>
                </c:ext>
              </c:extLst>
            </c:dLbl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05-40C8-9414-D1549D0150A5}"/>
                </c:ext>
              </c:extLst>
            </c:dLbl>
            <c:dLbl>
              <c:idx val="5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705-40C8-9414-D1549D015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 Financeira'!$A$3:$A$62</c:f>
              <c:strCache>
                <c:ptCount val="6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  <c:pt idx="33">
                  <c:v>M34</c:v>
                </c:pt>
                <c:pt idx="34">
                  <c:v>M35</c:v>
                </c:pt>
                <c:pt idx="35">
                  <c:v>M36</c:v>
                </c:pt>
                <c:pt idx="36">
                  <c:v>M37</c:v>
                </c:pt>
                <c:pt idx="37">
                  <c:v>M38</c:v>
                </c:pt>
                <c:pt idx="38">
                  <c:v>M39</c:v>
                </c:pt>
                <c:pt idx="39">
                  <c:v>M40</c:v>
                </c:pt>
                <c:pt idx="40">
                  <c:v>M41</c:v>
                </c:pt>
                <c:pt idx="41">
                  <c:v>M42</c:v>
                </c:pt>
                <c:pt idx="42">
                  <c:v>M43</c:v>
                </c:pt>
                <c:pt idx="43">
                  <c:v>M44</c:v>
                </c:pt>
                <c:pt idx="44">
                  <c:v>M45</c:v>
                </c:pt>
                <c:pt idx="45">
                  <c:v>M46</c:v>
                </c:pt>
                <c:pt idx="46">
                  <c:v>M47</c:v>
                </c:pt>
                <c:pt idx="47">
                  <c:v>M48</c:v>
                </c:pt>
                <c:pt idx="48">
                  <c:v>M49</c:v>
                </c:pt>
                <c:pt idx="49">
                  <c:v>M50</c:v>
                </c:pt>
                <c:pt idx="50">
                  <c:v>M51</c:v>
                </c:pt>
                <c:pt idx="51">
                  <c:v>M52</c:v>
                </c:pt>
                <c:pt idx="52">
                  <c:v>M53</c:v>
                </c:pt>
                <c:pt idx="53">
                  <c:v>M54</c:v>
                </c:pt>
                <c:pt idx="54">
                  <c:v>M55</c:v>
                </c:pt>
                <c:pt idx="55">
                  <c:v>M56</c:v>
                </c:pt>
                <c:pt idx="56">
                  <c:v>M57</c:v>
                </c:pt>
                <c:pt idx="57">
                  <c:v>M58</c:v>
                </c:pt>
                <c:pt idx="58">
                  <c:v>M59</c:v>
                </c:pt>
                <c:pt idx="59">
                  <c:v>M60</c:v>
                </c:pt>
              </c:strCache>
            </c:strRef>
          </c:cat>
          <c:val>
            <c:numRef>
              <c:f>'Planilha Financeira'!$C$3:$C$62</c:f>
              <c:numCache>
                <c:formatCode>[$R$ -416]#,##0.00</c:formatCode>
                <c:ptCount val="60"/>
                <c:pt idx="0" formatCode="General">
                  <c:v>0</c:v>
                </c:pt>
                <c:pt idx="1">
                  <c:v>64800</c:v>
                </c:pt>
                <c:pt idx="2">
                  <c:v>129593.51999999999</c:v>
                </c:pt>
                <c:pt idx="3">
                  <c:v>194380.56064799998</c:v>
                </c:pt>
                <c:pt idx="4">
                  <c:v>259161.12259193521</c:v>
                </c:pt>
                <c:pt idx="5">
                  <c:v>323935.20647967601</c:v>
                </c:pt>
                <c:pt idx="6">
                  <c:v>388702.81295902806</c:v>
                </c:pt>
                <c:pt idx="7">
                  <c:v>453463.94267773221</c:v>
                </c:pt>
                <c:pt idx="8">
                  <c:v>518218.59628346446</c:v>
                </c:pt>
                <c:pt idx="9">
                  <c:v>582966.77442383603</c:v>
                </c:pt>
                <c:pt idx="10">
                  <c:v>647708.47774639376</c:v>
                </c:pt>
                <c:pt idx="11">
                  <c:v>712443.70689861907</c:v>
                </c:pt>
                <c:pt idx="12">
                  <c:v>1359148.6461293504</c:v>
                </c:pt>
                <c:pt idx="13">
                  <c:v>2005206.8804208511</c:v>
                </c:pt>
                <c:pt idx="14">
                  <c:v>2650619.0564780599</c:v>
                </c:pt>
                <c:pt idx="15">
                  <c:v>3295385.8203592119</c:v>
                </c:pt>
                <c:pt idx="16">
                  <c:v>3939507.8174764831</c:v>
                </c:pt>
                <c:pt idx="17">
                  <c:v>4582985.6925966367</c:v>
                </c:pt>
                <c:pt idx="18">
                  <c:v>5225820.0898416694</c:v>
                </c:pt>
                <c:pt idx="19">
                  <c:v>5868011.6526894579</c:v>
                </c:pt>
                <c:pt idx="20">
                  <c:v>6509561.0239743982</c:v>
                </c:pt>
                <c:pt idx="21">
                  <c:v>7150468.845888054</c:v>
                </c:pt>
                <c:pt idx="22">
                  <c:v>7790735.7599797957</c:v>
                </c:pt>
                <c:pt idx="23">
                  <c:v>8430362.4071574453</c:v>
                </c:pt>
                <c:pt idx="24">
                  <c:v>9069349.4276879169</c:v>
                </c:pt>
                <c:pt idx="25">
                  <c:v>9707697.4611978587</c:v>
                </c:pt>
                <c:pt idx="26">
                  <c:v>10345407.14667429</c:v>
                </c:pt>
                <c:pt idx="27">
                  <c:v>10982479.122465247</c:v>
                </c:pt>
                <c:pt idx="28">
                  <c:v>11618914.026280411</c:v>
                </c:pt>
                <c:pt idx="29">
                  <c:v>12254712.49519176</c:v>
                </c:pt>
                <c:pt idx="30">
                  <c:v>12889875.1656342</c:v>
                </c:pt>
                <c:pt idx="31">
                  <c:v>13524402.673406195</c:v>
                </c:pt>
                <c:pt idx="32">
                  <c:v>14158295.653670417</c:v>
                </c:pt>
                <c:pt idx="33">
                  <c:v>14791554.740954377</c:v>
                </c:pt>
                <c:pt idx="34">
                  <c:v>15424180.569151051</c:v>
                </c:pt>
                <c:pt idx="35">
                  <c:v>16056173.771519529</c:v>
                </c:pt>
                <c:pt idx="36">
                  <c:v>16687534.98068564</c:v>
                </c:pt>
                <c:pt idx="37">
                  <c:v>17318264.828642584</c:v>
                </c:pt>
                <c:pt idx="38">
                  <c:v>17948363.946751572</c:v>
                </c:pt>
                <c:pt idx="39">
                  <c:v>18577832.96574245</c:v>
                </c:pt>
                <c:pt idx="40">
                  <c:v>19206672.515714336</c:v>
                </c:pt>
                <c:pt idx="41">
                  <c:v>19834883.226136252</c:v>
                </c:pt>
                <c:pt idx="42">
                  <c:v>20462465.725847743</c:v>
                </c:pt>
                <c:pt idx="43">
                  <c:v>21089420.643059529</c:v>
                </c:pt>
                <c:pt idx="44">
                  <c:v>21715748.6053541</c:v>
                </c:pt>
                <c:pt idx="45">
                  <c:v>22341450.239686374</c:v>
                </c:pt>
                <c:pt idx="46">
                  <c:v>22966526.172384318</c:v>
                </c:pt>
                <c:pt idx="47">
                  <c:v>23590977.029149562</c:v>
                </c:pt>
                <c:pt idx="48">
                  <c:v>24214803.435058042</c:v>
                </c:pt>
                <c:pt idx="49">
                  <c:v>24838006.014560614</c:v>
                </c:pt>
                <c:pt idx="50">
                  <c:v>25460585.391483679</c:v>
                </c:pt>
                <c:pt idx="51">
                  <c:v>26082542.189029828</c:v>
                </c:pt>
                <c:pt idx="52">
                  <c:v>26703877.029778428</c:v>
                </c:pt>
                <c:pt idx="53">
                  <c:v>27324590.535686277</c:v>
                </c:pt>
                <c:pt idx="54">
                  <c:v>27944683.328088224</c:v>
                </c:pt>
                <c:pt idx="55">
                  <c:v>28564156.027697764</c:v>
                </c:pt>
                <c:pt idx="56">
                  <c:v>29183009.2546077</c:v>
                </c:pt>
                <c:pt idx="57">
                  <c:v>29801243.628290724</c:v>
                </c:pt>
                <c:pt idx="58">
                  <c:v>30418859.76760006</c:v>
                </c:pt>
                <c:pt idx="59">
                  <c:v>31035858.290770091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05-40C8-9414-D1549D0150A5}"/>
            </c:ext>
          </c:extLst>
        </c:ser>
        <c:ser>
          <c:idx val="2"/>
          <c:order val="2"/>
          <c:tx>
            <c:strRef>
              <c:f>'Planilha Financeira'!$D$2</c:f>
              <c:strCache>
                <c:ptCount val="1"/>
                <c:pt idx="0">
                  <c:v>Despesas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705-40C8-9414-D1549D0150A5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705-40C8-9414-D1549D0150A5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705-40C8-9414-D1549D0150A5}"/>
                </c:ext>
              </c:extLst>
            </c:dLbl>
            <c:dLbl>
              <c:idx val="2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705-40C8-9414-D1549D0150A5}"/>
                </c:ext>
              </c:extLst>
            </c:dLbl>
            <c:dLbl>
              <c:idx val="2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705-40C8-9414-D1549D0150A5}"/>
                </c:ext>
              </c:extLst>
            </c:dLbl>
            <c:dLbl>
              <c:idx val="3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705-40C8-9414-D1549D0150A5}"/>
                </c:ext>
              </c:extLst>
            </c:dLbl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705-40C8-9414-D1549D0150A5}"/>
                </c:ext>
              </c:extLst>
            </c:dLbl>
            <c:dLbl>
              <c:idx val="5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705-40C8-9414-D1549D015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 Financeira'!$A$3:$A$62</c:f>
              <c:strCache>
                <c:ptCount val="6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  <c:pt idx="33">
                  <c:v>M34</c:v>
                </c:pt>
                <c:pt idx="34">
                  <c:v>M35</c:v>
                </c:pt>
                <c:pt idx="35">
                  <c:v>M36</c:v>
                </c:pt>
                <c:pt idx="36">
                  <c:v>M37</c:v>
                </c:pt>
                <c:pt idx="37">
                  <c:v>M38</c:v>
                </c:pt>
                <c:pt idx="38">
                  <c:v>M39</c:v>
                </c:pt>
                <c:pt idx="39">
                  <c:v>M40</c:v>
                </c:pt>
                <c:pt idx="40">
                  <c:v>M41</c:v>
                </c:pt>
                <c:pt idx="41">
                  <c:v>M42</c:v>
                </c:pt>
                <c:pt idx="42">
                  <c:v>M43</c:v>
                </c:pt>
                <c:pt idx="43">
                  <c:v>M44</c:v>
                </c:pt>
                <c:pt idx="44">
                  <c:v>M45</c:v>
                </c:pt>
                <c:pt idx="45">
                  <c:v>M46</c:v>
                </c:pt>
                <c:pt idx="46">
                  <c:v>M47</c:v>
                </c:pt>
                <c:pt idx="47">
                  <c:v>M48</c:v>
                </c:pt>
                <c:pt idx="48">
                  <c:v>M49</c:v>
                </c:pt>
                <c:pt idx="49">
                  <c:v>M50</c:v>
                </c:pt>
                <c:pt idx="50">
                  <c:v>M51</c:v>
                </c:pt>
                <c:pt idx="51">
                  <c:v>M52</c:v>
                </c:pt>
                <c:pt idx="52">
                  <c:v>M53</c:v>
                </c:pt>
                <c:pt idx="53">
                  <c:v>M54</c:v>
                </c:pt>
                <c:pt idx="54">
                  <c:v>M55</c:v>
                </c:pt>
                <c:pt idx="55">
                  <c:v>M56</c:v>
                </c:pt>
                <c:pt idx="56">
                  <c:v>M57</c:v>
                </c:pt>
                <c:pt idx="57">
                  <c:v>M58</c:v>
                </c:pt>
                <c:pt idx="58">
                  <c:v>M59</c:v>
                </c:pt>
                <c:pt idx="59">
                  <c:v>M60</c:v>
                </c:pt>
              </c:strCache>
            </c:strRef>
          </c:cat>
          <c:val>
            <c:numRef>
              <c:f>'Planilha Financeira'!$D$3:$D$62</c:f>
              <c:numCache>
                <c:formatCode>[$R$]#,##0.00</c:formatCode>
                <c:ptCount val="60"/>
                <c:pt idx="0">
                  <c:v>846450</c:v>
                </c:pt>
                <c:pt idx="1">
                  <c:v>1279243.5</c:v>
                </c:pt>
                <c:pt idx="2">
                  <c:v>1280017.605</c:v>
                </c:pt>
                <c:pt idx="3">
                  <c:v>1280816.2334700001</c:v>
                </c:pt>
                <c:pt idx="4">
                  <c:v>1281640.1209840681</c:v>
                </c:pt>
                <c:pt idx="5">
                  <c:v>1282490.025183507</c:v>
                </c:pt>
                <c:pt idx="6">
                  <c:v>1283366.7264388723</c:v>
                </c:pt>
                <c:pt idx="7">
                  <c:v>1284271.0285318485</c:v>
                </c:pt>
                <c:pt idx="8">
                  <c:v>1285203.7593575842</c:v>
                </c:pt>
                <c:pt idx="9">
                  <c:v>1286165.7716480945</c:v>
                </c:pt>
                <c:pt idx="10">
                  <c:v>1287157.9437173696</c:v>
                </c:pt>
                <c:pt idx="11">
                  <c:v>1288181.1802288305</c:v>
                </c:pt>
                <c:pt idx="12">
                  <c:v>6936347.0462441146</c:v>
                </c:pt>
                <c:pt idx="13">
                  <c:v>6932372.0149968304</c:v>
                </c:pt>
                <c:pt idx="14">
                  <c:v>6928444.7982547637</c:v>
                </c:pt>
                <c:pt idx="15">
                  <c:v>6924566.6633876283</c:v>
                </c:pt>
                <c:pt idx="16">
                  <c:v>6920738.9159532934</c:v>
                </c:pt>
                <c:pt idx="17">
                  <c:v>6916962.9008432645</c:v>
                </c:pt>
                <c:pt idx="18">
                  <c:v>6913240.0034625223</c:v>
                </c:pt>
                <c:pt idx="19">
                  <c:v>6909571.6509447638</c:v>
                </c:pt>
                <c:pt idx="20">
                  <c:v>6905959.3134040954</c:v>
                </c:pt>
                <c:pt idx="21">
                  <c:v>6902404.5052242745</c:v>
                </c:pt>
                <c:pt idx="22">
                  <c:v>6898908.7863866426</c:v>
                </c:pt>
                <c:pt idx="23">
                  <c:v>6895473.7638378749</c:v>
                </c:pt>
                <c:pt idx="24">
                  <c:v>7994837.2677625902</c:v>
                </c:pt>
                <c:pt idx="25">
                  <c:v>7990999.2753098374</c:v>
                </c:pt>
                <c:pt idx="26">
                  <c:v>7987237.6261939863</c:v>
                </c:pt>
                <c:pt idx="27">
                  <c:v>7983554.419232036</c:v>
                </c:pt>
                <c:pt idx="28">
                  <c:v>7979951.8163969712</c:v>
                </c:pt>
                <c:pt idx="29">
                  <c:v>7976432.0447122706</c:v>
                </c:pt>
                <c:pt idx="30">
                  <c:v>7972997.3982032044</c:v>
                </c:pt>
                <c:pt idx="31">
                  <c:v>7969650.2399067152</c:v>
                </c:pt>
                <c:pt idx="32">
                  <c:v>7966393.0039415769</c:v>
                </c:pt>
                <c:pt idx="33">
                  <c:v>7963228.1976406453</c:v>
                </c:pt>
                <c:pt idx="34">
                  <c:v>7960158.4037471041</c:v>
                </c:pt>
                <c:pt idx="35">
                  <c:v>7957186.2826765804</c:v>
                </c:pt>
                <c:pt idx="36">
                  <c:v>8777174.7032795865</c:v>
                </c:pt>
                <c:pt idx="37">
                  <c:v>8774119.8378803786</c:v>
                </c:pt>
                <c:pt idx="38">
                  <c:v>8771182.096625695</c:v>
                </c:pt>
                <c:pt idx="39">
                  <c:v>8768364.7844697591</c:v>
                </c:pt>
                <c:pt idx="40">
                  <c:v>8765671.3057242017</c:v>
                </c:pt>
                <c:pt idx="41">
                  <c:v>8763105.1670385581</c:v>
                </c:pt>
                <c:pt idx="42">
                  <c:v>8760669.980470201</c:v>
                </c:pt>
                <c:pt idx="43">
                  <c:v>8758369.4666463733</c:v>
                </c:pt>
                <c:pt idx="44">
                  <c:v>8756207.4580210671</c:v>
                </c:pt>
                <c:pt idx="45">
                  <c:v>8754187.9022296276</c:v>
                </c:pt>
                <c:pt idx="46">
                  <c:v>8752314.8655439764</c:v>
                </c:pt>
                <c:pt idx="47">
                  <c:v>8750592.53643151</c:v>
                </c:pt>
                <c:pt idx="48">
                  <c:v>8749025.2292207461</c:v>
                </c:pt>
                <c:pt idx="49">
                  <c:v>9841069.5613615867</c:v>
                </c:pt>
                <c:pt idx="50">
                  <c:v>9839670.2886274774</c:v>
                </c:pt>
                <c:pt idx="51">
                  <c:v>9838460.8690709192</c:v>
                </c:pt>
                <c:pt idx="52">
                  <c:v>9837446.7664558794</c:v>
                </c:pt>
                <c:pt idx="53">
                  <c:v>9836633.6086910777</c:v>
                </c:pt>
                <c:pt idx="54">
                  <c:v>9836027.1927540898</c:v>
                </c:pt>
                <c:pt idx="55">
                  <c:v>9835633.4897631891</c:v>
                </c:pt>
                <c:pt idx="56">
                  <c:v>9835458.6502013337</c:v>
                </c:pt>
                <c:pt idx="57">
                  <c:v>9835509.0092968792</c:v>
                </c:pt>
                <c:pt idx="58">
                  <c:v>9835791.0925657023</c:v>
                </c:pt>
                <c:pt idx="59">
                  <c:v>9836311.6215195991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705-40C8-9414-D1549D01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85104"/>
        <c:axId val="622285432"/>
      </c:lineChart>
      <c:catAx>
        <c:axId val="6222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285432"/>
        <c:crosses val="autoZero"/>
        <c:auto val="1"/>
        <c:lblAlgn val="ctr"/>
        <c:lblOffset val="100"/>
        <c:noMultiLvlLbl val="0"/>
      </c:catAx>
      <c:valAx>
        <c:axId val="622285432"/>
        <c:scaling>
          <c:logBase val="10"/>
          <c:orientation val="minMax"/>
          <c:max val="50000000"/>
          <c:min val="1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222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66</xdr:row>
      <xdr:rowOff>47624</xdr:rowOff>
    </xdr:from>
    <xdr:to>
      <xdr:col>16</xdr:col>
      <xdr:colOff>447675</xdr:colOff>
      <xdr:row>106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B11AF-F0AC-4277-9104-9A6CEB9EF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16</xdr:col>
      <xdr:colOff>1047750</xdr:colOff>
      <xdr:row>149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AA595-9EFD-4091-AEEB-8314A31D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showGridLines="0" tabSelected="1" workbookViewId="0"/>
  </sheetViews>
  <sheetFormatPr defaultColWidth="14.42578125" defaultRowHeight="15.75" customHeight="1" x14ac:dyDescent="0.2"/>
  <cols>
    <col min="2" max="2" width="21" customWidth="1"/>
    <col min="3" max="3" width="15.7109375" bestFit="1" customWidth="1"/>
    <col min="5" max="5" width="15.28515625" bestFit="1" customWidth="1"/>
    <col min="7" max="7" width="16.28515625" bestFit="1" customWidth="1"/>
    <col min="11" max="11" width="15.7109375" customWidth="1"/>
    <col min="16" max="16" width="26.85546875" customWidth="1"/>
    <col min="17" max="17" width="21.42578125" customWidth="1"/>
    <col min="18" max="18" width="17.5703125" customWidth="1"/>
    <col min="19" max="19" width="23.28515625" customWidth="1"/>
    <col min="20" max="20" width="18.85546875" customWidth="1"/>
    <col min="21" max="21" width="21.42578125" customWidth="1"/>
  </cols>
  <sheetData>
    <row r="1" spans="1:26" ht="25.5" x14ac:dyDescent="0.2">
      <c r="A1" s="19" t="s">
        <v>81</v>
      </c>
      <c r="B1" s="2"/>
      <c r="C1" s="2"/>
      <c r="D1" s="2"/>
      <c r="E1" s="1"/>
      <c r="F1" s="1"/>
      <c r="G1" s="1"/>
      <c r="H1" s="1"/>
      <c r="I1" s="1"/>
      <c r="J1" s="19" t="s">
        <v>82</v>
      </c>
      <c r="K1" s="15" t="s">
        <v>0</v>
      </c>
      <c r="L1" s="16"/>
      <c r="M1" s="16"/>
      <c r="N1" s="17"/>
      <c r="O1" s="15" t="s">
        <v>1</v>
      </c>
      <c r="P1" s="17"/>
      <c r="Q1" s="3"/>
      <c r="R1" s="3"/>
      <c r="S1" s="3"/>
      <c r="T1" s="3"/>
      <c r="U1" s="3"/>
      <c r="V1" s="3"/>
      <c r="W1" s="3"/>
      <c r="X1" s="1"/>
      <c r="Y1" s="1"/>
      <c r="Z1" s="1"/>
    </row>
    <row r="2" spans="1:26" ht="64.5" customHeight="1" x14ac:dyDescent="0.2">
      <c r="A2" s="4" t="s">
        <v>78</v>
      </c>
      <c r="B2" s="4" t="s">
        <v>2</v>
      </c>
      <c r="C2" s="4" t="s">
        <v>3</v>
      </c>
      <c r="D2" s="4" t="s">
        <v>4</v>
      </c>
      <c r="E2" s="4" t="s">
        <v>79</v>
      </c>
      <c r="F2" s="1"/>
      <c r="G2" s="1"/>
      <c r="H2" s="1"/>
      <c r="I2" s="1"/>
      <c r="J2" s="1"/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77</v>
      </c>
      <c r="S2" s="5" t="s">
        <v>12</v>
      </c>
      <c r="T2" s="5" t="s">
        <v>13</v>
      </c>
      <c r="U2" s="5" t="s">
        <v>14</v>
      </c>
      <c r="V2" s="5" t="s">
        <v>15</v>
      </c>
      <c r="W2" s="5" t="s">
        <v>16</v>
      </c>
      <c r="X2" s="1"/>
      <c r="Y2" s="1"/>
      <c r="Z2" s="1"/>
    </row>
    <row r="3" spans="1:26" ht="12.75" x14ac:dyDescent="0.2">
      <c r="A3" s="2" t="s">
        <v>17</v>
      </c>
      <c r="B3" s="14">
        <f>R3</f>
        <v>0</v>
      </c>
      <c r="C3" s="2">
        <v>0</v>
      </c>
      <c r="D3" s="6">
        <f t="shared" ref="D3" si="0">SUM(K3:Q3)</f>
        <v>846450</v>
      </c>
      <c r="E3" s="18">
        <f t="shared" ref="E3:E21" si="1">C3-D3</f>
        <v>-846450</v>
      </c>
      <c r="F3" s="1"/>
      <c r="G3" s="1"/>
      <c r="H3" s="1"/>
      <c r="I3" s="1"/>
      <c r="J3" s="1"/>
      <c r="K3" s="7">
        <f t="shared" ref="K3:M3" si="2">5*30000</f>
        <v>150000</v>
      </c>
      <c r="L3" s="7">
        <f t="shared" si="2"/>
        <v>150000</v>
      </c>
      <c r="M3" s="7">
        <f t="shared" si="2"/>
        <v>150000</v>
      </c>
      <c r="N3" s="7">
        <f t="shared" ref="N3:N14" si="3">4*30000</f>
        <v>120000</v>
      </c>
      <c r="O3" s="7">
        <f>5000*5.29</f>
        <v>26450</v>
      </c>
      <c r="P3" s="7">
        <f t="shared" ref="P3:P14" si="4">250000</f>
        <v>250000</v>
      </c>
      <c r="Q3" s="7">
        <f>B3*50</f>
        <v>0</v>
      </c>
      <c r="R3" s="2">
        <v>0</v>
      </c>
      <c r="S3" s="2">
        <v>45000000</v>
      </c>
      <c r="T3" s="2">
        <v>63000000</v>
      </c>
      <c r="U3" s="2">
        <v>0</v>
      </c>
      <c r="V3" s="8">
        <v>12</v>
      </c>
      <c r="W3" s="1"/>
      <c r="X3" s="1"/>
      <c r="Y3" s="1"/>
      <c r="Z3" s="1"/>
    </row>
    <row r="4" spans="1:26" ht="12.75" x14ac:dyDescent="0.2">
      <c r="A4" s="2" t="s">
        <v>18</v>
      </c>
      <c r="B4" s="14">
        <f t="shared" ref="B4:B62" si="5">R4+B3</f>
        <v>10800</v>
      </c>
      <c r="C4" s="7">
        <f t="shared" ref="C4:C62" si="6">B4*V4*W4</f>
        <v>64800</v>
      </c>
      <c r="D4" s="6">
        <f>SUM(K4:Q4)*1</f>
        <v>1279243.5</v>
      </c>
      <c r="E4" s="18">
        <f t="shared" si="1"/>
        <v>-1214443.5</v>
      </c>
      <c r="F4" s="1"/>
      <c r="G4" s="1"/>
      <c r="H4" s="1"/>
      <c r="I4" s="1"/>
      <c r="J4" s="1"/>
      <c r="K4" s="7">
        <f t="shared" ref="K4:M4" si="7">5*30000</f>
        <v>150000</v>
      </c>
      <c r="L4" s="7">
        <f t="shared" si="7"/>
        <v>150000</v>
      </c>
      <c r="M4" s="7">
        <f t="shared" si="7"/>
        <v>150000</v>
      </c>
      <c r="N4" s="7">
        <f t="shared" si="3"/>
        <v>120000</v>
      </c>
      <c r="O4" s="7">
        <f t="shared" ref="O4:O62" si="8">O3*1.03</f>
        <v>27243.5</v>
      </c>
      <c r="P4" s="7">
        <f t="shared" si="4"/>
        <v>250000</v>
      </c>
      <c r="Q4" s="10">
        <f t="shared" ref="Q4:Q62" si="9">40*R4</f>
        <v>432000</v>
      </c>
      <c r="R4" s="9">
        <f t="shared" ref="R4:R14" si="10">S4*0.0001+T4*0.0001</f>
        <v>10800</v>
      </c>
      <c r="S4" s="2">
        <v>45000000</v>
      </c>
      <c r="T4" s="2">
        <v>63000000</v>
      </c>
      <c r="U4" s="2">
        <v>0</v>
      </c>
      <c r="V4" s="8">
        <v>12</v>
      </c>
      <c r="W4" s="2">
        <v>0.5</v>
      </c>
      <c r="X4" s="1"/>
      <c r="Y4" s="1"/>
      <c r="Z4" s="1"/>
    </row>
    <row r="5" spans="1:26" ht="12.75" x14ac:dyDescent="0.2">
      <c r="A5" s="2" t="s">
        <v>19</v>
      </c>
      <c r="B5" s="14">
        <f t="shared" si="5"/>
        <v>21598.92</v>
      </c>
      <c r="C5" s="7">
        <f t="shared" si="6"/>
        <v>129593.51999999999</v>
      </c>
      <c r="D5" s="6">
        <f t="shared" ref="D5:D14" si="11">SUM(K5:Q5)*1</f>
        <v>1280017.605</v>
      </c>
      <c r="E5" s="18">
        <f t="shared" si="1"/>
        <v>-1150424.085</v>
      </c>
      <c r="F5" s="1"/>
      <c r="G5" s="1"/>
      <c r="H5" s="1"/>
      <c r="I5" s="1"/>
      <c r="J5" s="1"/>
      <c r="K5" s="7">
        <f t="shared" ref="K5:M5" si="12">5*30000</f>
        <v>150000</v>
      </c>
      <c r="L5" s="7">
        <f t="shared" si="12"/>
        <v>150000</v>
      </c>
      <c r="M5" s="7">
        <f t="shared" si="12"/>
        <v>150000</v>
      </c>
      <c r="N5" s="7">
        <f t="shared" si="3"/>
        <v>120000</v>
      </c>
      <c r="O5" s="7">
        <f t="shared" si="8"/>
        <v>28060.805</v>
      </c>
      <c r="P5" s="7">
        <f t="shared" si="4"/>
        <v>250000</v>
      </c>
      <c r="Q5" s="7">
        <f t="shared" si="9"/>
        <v>431956.8</v>
      </c>
      <c r="R5" s="11">
        <f t="shared" si="10"/>
        <v>10798.92</v>
      </c>
      <c r="S5" s="9">
        <f t="shared" ref="S5:T5" si="13">S4-(S4*0.0001)</f>
        <v>44995500</v>
      </c>
      <c r="T5" s="9">
        <f t="shared" si="13"/>
        <v>62993700</v>
      </c>
      <c r="U5" s="12">
        <f t="shared" ref="U5:U62" si="14">B5/B4</f>
        <v>1.9998999999999998</v>
      </c>
      <c r="V5" s="8">
        <v>12</v>
      </c>
      <c r="W5" s="2">
        <v>0.5</v>
      </c>
      <c r="X5" s="1"/>
      <c r="Y5" s="1"/>
      <c r="Z5" s="1"/>
    </row>
    <row r="6" spans="1:26" ht="12.75" x14ac:dyDescent="0.2">
      <c r="A6" s="2" t="s">
        <v>20</v>
      </c>
      <c r="B6" s="14">
        <f t="shared" si="5"/>
        <v>32396.760107999999</v>
      </c>
      <c r="C6" s="7">
        <f t="shared" si="6"/>
        <v>194380.56064799998</v>
      </c>
      <c r="D6" s="6">
        <f t="shared" si="11"/>
        <v>1280816.2334700001</v>
      </c>
      <c r="E6" s="18">
        <f t="shared" si="1"/>
        <v>-1086435.672822</v>
      </c>
      <c r="F6" s="1"/>
      <c r="G6" s="1"/>
      <c r="H6" s="1"/>
      <c r="I6" s="1"/>
      <c r="J6" s="1"/>
      <c r="K6" s="7">
        <f t="shared" ref="K6:M6" si="15">5*30000</f>
        <v>150000</v>
      </c>
      <c r="L6" s="7">
        <f t="shared" si="15"/>
        <v>150000</v>
      </c>
      <c r="M6" s="7">
        <f t="shared" si="15"/>
        <v>150000</v>
      </c>
      <c r="N6" s="7">
        <f t="shared" si="3"/>
        <v>120000</v>
      </c>
      <c r="O6" s="7">
        <f t="shared" si="8"/>
        <v>28902.629150000001</v>
      </c>
      <c r="P6" s="7">
        <f t="shared" si="4"/>
        <v>250000</v>
      </c>
      <c r="Q6" s="7">
        <f t="shared" si="9"/>
        <v>431913.60432000004</v>
      </c>
      <c r="R6" s="11">
        <f t="shared" si="10"/>
        <v>10797.840108</v>
      </c>
      <c r="S6" s="11">
        <f t="shared" ref="S6:T6" si="16">S5-(S5*0.0001)</f>
        <v>44991000.450000003</v>
      </c>
      <c r="T6" s="11">
        <f t="shared" si="16"/>
        <v>62987400.630000003</v>
      </c>
      <c r="U6" s="12">
        <f t="shared" si="14"/>
        <v>1.4999250012500625</v>
      </c>
      <c r="V6" s="8">
        <v>12</v>
      </c>
      <c r="W6" s="2">
        <v>0.5</v>
      </c>
      <c r="X6" s="1"/>
      <c r="Y6" s="1"/>
      <c r="Z6" s="1"/>
    </row>
    <row r="7" spans="1:26" ht="12.75" x14ac:dyDescent="0.2">
      <c r="A7" s="2" t="s">
        <v>21</v>
      </c>
      <c r="B7" s="14">
        <f t="shared" si="5"/>
        <v>43193.5204319892</v>
      </c>
      <c r="C7" s="7">
        <f t="shared" si="6"/>
        <v>259161.12259193521</v>
      </c>
      <c r="D7" s="6">
        <f t="shared" si="11"/>
        <v>1281640.1209840681</v>
      </c>
      <c r="E7" s="18">
        <f t="shared" si="1"/>
        <v>-1022478.9983921329</v>
      </c>
      <c r="F7" s="1"/>
      <c r="G7" s="1"/>
      <c r="H7" s="1"/>
      <c r="I7" s="1"/>
      <c r="J7" s="1"/>
      <c r="K7" s="7">
        <f t="shared" ref="K7:M7" si="17">5*30000</f>
        <v>150000</v>
      </c>
      <c r="L7" s="7">
        <f t="shared" si="17"/>
        <v>150000</v>
      </c>
      <c r="M7" s="7">
        <f t="shared" si="17"/>
        <v>150000</v>
      </c>
      <c r="N7" s="7">
        <f t="shared" si="3"/>
        <v>120000</v>
      </c>
      <c r="O7" s="7">
        <f t="shared" si="8"/>
        <v>29769.7080245</v>
      </c>
      <c r="P7" s="7">
        <f t="shared" si="4"/>
        <v>250000</v>
      </c>
      <c r="Q7" s="7">
        <f t="shared" si="9"/>
        <v>431870.41295956809</v>
      </c>
      <c r="R7" s="11">
        <f t="shared" si="10"/>
        <v>10796.760323989201</v>
      </c>
      <c r="S7" s="11">
        <f t="shared" ref="S7:T7" si="18">S6-(S6*0.0001)</f>
        <v>44986501.349955</v>
      </c>
      <c r="T7" s="11">
        <f t="shared" si="18"/>
        <v>62981101.889937006</v>
      </c>
      <c r="U7" s="12">
        <f t="shared" si="14"/>
        <v>1.333266668889</v>
      </c>
      <c r="V7" s="8">
        <v>12</v>
      </c>
      <c r="W7" s="2">
        <v>0.5</v>
      </c>
      <c r="X7" s="1"/>
      <c r="Y7" s="1"/>
      <c r="Z7" s="1"/>
    </row>
    <row r="8" spans="1:26" ht="12.75" x14ac:dyDescent="0.2">
      <c r="A8" s="2" t="s">
        <v>22</v>
      </c>
      <c r="B8" s="14">
        <f t="shared" si="5"/>
        <v>53989.201079946004</v>
      </c>
      <c r="C8" s="7">
        <f t="shared" si="6"/>
        <v>323935.20647967601</v>
      </c>
      <c r="D8" s="6">
        <f t="shared" si="11"/>
        <v>1282490.025183507</v>
      </c>
      <c r="E8" s="18">
        <f t="shared" si="1"/>
        <v>-958554.81870383094</v>
      </c>
      <c r="F8" s="1"/>
      <c r="G8" s="1"/>
      <c r="H8" s="1"/>
      <c r="I8" s="1"/>
      <c r="J8" s="1"/>
      <c r="K8" s="7">
        <f t="shared" ref="K8:M8" si="19">5*30000</f>
        <v>150000</v>
      </c>
      <c r="L8" s="7">
        <f t="shared" si="19"/>
        <v>150000</v>
      </c>
      <c r="M8" s="7">
        <f t="shared" si="19"/>
        <v>150000</v>
      </c>
      <c r="N8" s="7">
        <f t="shared" si="3"/>
        <v>120000</v>
      </c>
      <c r="O8" s="7">
        <f t="shared" si="8"/>
        <v>30662.799265235</v>
      </c>
      <c r="P8" s="7">
        <f t="shared" si="4"/>
        <v>250000</v>
      </c>
      <c r="Q8" s="7">
        <f t="shared" si="9"/>
        <v>431827.2259182721</v>
      </c>
      <c r="R8" s="11">
        <f t="shared" si="10"/>
        <v>10795.680647956802</v>
      </c>
      <c r="S8" s="11">
        <f t="shared" ref="S8:T8" si="20">S7-(S7*0.0001)</f>
        <v>44982002.699820004</v>
      </c>
      <c r="T8" s="11">
        <f t="shared" si="20"/>
        <v>62974803.779748015</v>
      </c>
      <c r="U8" s="12">
        <f t="shared" si="14"/>
        <v>1.2499375031251563</v>
      </c>
      <c r="V8" s="8">
        <v>12</v>
      </c>
      <c r="W8" s="2">
        <v>0.5</v>
      </c>
      <c r="X8" s="1"/>
      <c r="Y8" s="1"/>
      <c r="Z8" s="1"/>
    </row>
    <row r="9" spans="1:26" ht="12.75" x14ac:dyDescent="0.2">
      <c r="A9" s="2" t="s">
        <v>23</v>
      </c>
      <c r="B9" s="14">
        <f t="shared" si="5"/>
        <v>64783.802159838015</v>
      </c>
      <c r="C9" s="7">
        <f t="shared" si="6"/>
        <v>388702.81295902806</v>
      </c>
      <c r="D9" s="6">
        <f t="shared" si="11"/>
        <v>1283366.7264388723</v>
      </c>
      <c r="E9" s="18">
        <f t="shared" si="1"/>
        <v>-894663.91347984422</v>
      </c>
      <c r="F9" s="1"/>
      <c r="G9" s="1"/>
      <c r="H9" s="1"/>
      <c r="I9" s="1"/>
      <c r="J9" s="1"/>
      <c r="K9" s="7">
        <f t="shared" ref="K9:M9" si="21">5*30000</f>
        <v>150000</v>
      </c>
      <c r="L9" s="7">
        <f t="shared" si="21"/>
        <v>150000</v>
      </c>
      <c r="M9" s="7">
        <f t="shared" si="21"/>
        <v>150000</v>
      </c>
      <c r="N9" s="7">
        <f t="shared" si="3"/>
        <v>120000</v>
      </c>
      <c r="O9" s="7">
        <f t="shared" si="8"/>
        <v>31582.683243192052</v>
      </c>
      <c r="P9" s="7">
        <f t="shared" si="4"/>
        <v>250000</v>
      </c>
      <c r="Q9" s="7">
        <f t="shared" si="9"/>
        <v>431784.04319568025</v>
      </c>
      <c r="R9" s="11">
        <f t="shared" si="10"/>
        <v>10794.601079892007</v>
      </c>
      <c r="S9" s="11">
        <f t="shared" ref="S9:T9" si="22">S8-(S8*0.0001)</f>
        <v>44977504.499550022</v>
      </c>
      <c r="T9" s="11">
        <f t="shared" si="22"/>
        <v>62968506.299370043</v>
      </c>
      <c r="U9" s="12">
        <f t="shared" si="14"/>
        <v>1.1999400040002002</v>
      </c>
      <c r="V9" s="8">
        <v>12</v>
      </c>
      <c r="W9" s="2">
        <v>0.5</v>
      </c>
      <c r="X9" s="1"/>
      <c r="Y9" s="1"/>
      <c r="Z9" s="1"/>
    </row>
    <row r="10" spans="1:26" ht="12.75" x14ac:dyDescent="0.2">
      <c r="A10" s="2" t="s">
        <v>24</v>
      </c>
      <c r="B10" s="14">
        <f t="shared" si="5"/>
        <v>75577.323779622035</v>
      </c>
      <c r="C10" s="7">
        <f t="shared" si="6"/>
        <v>453463.94267773221</v>
      </c>
      <c r="D10" s="6">
        <f t="shared" si="11"/>
        <v>1284271.0285318485</v>
      </c>
      <c r="E10" s="18">
        <f t="shared" si="1"/>
        <v>-830807.08585411625</v>
      </c>
      <c r="F10" s="1"/>
      <c r="G10" s="1"/>
      <c r="H10" s="1"/>
      <c r="I10" s="1"/>
      <c r="J10" s="1"/>
      <c r="K10" s="7">
        <f t="shared" ref="K10:M10" si="23">5*30000</f>
        <v>150000</v>
      </c>
      <c r="L10" s="7">
        <f t="shared" si="23"/>
        <v>150000</v>
      </c>
      <c r="M10" s="7">
        <f t="shared" si="23"/>
        <v>150000</v>
      </c>
      <c r="N10" s="7">
        <f t="shared" si="3"/>
        <v>120000</v>
      </c>
      <c r="O10" s="7">
        <f t="shared" si="8"/>
        <v>32530.163740487813</v>
      </c>
      <c r="P10" s="7">
        <f t="shared" si="4"/>
        <v>250000</v>
      </c>
      <c r="Q10" s="7">
        <f t="shared" si="9"/>
        <v>431740.86479136068</v>
      </c>
      <c r="R10" s="11">
        <f t="shared" si="10"/>
        <v>10793.521619784016</v>
      </c>
      <c r="S10" s="11">
        <f t="shared" ref="S10:T10" si="24">S9-(S9*0.0001)</f>
        <v>44973006.749100067</v>
      </c>
      <c r="T10" s="11">
        <f t="shared" si="24"/>
        <v>62962209.448740102</v>
      </c>
      <c r="U10" s="12">
        <f t="shared" si="14"/>
        <v>1.1666083381946875</v>
      </c>
      <c r="V10" s="8">
        <v>12</v>
      </c>
      <c r="W10" s="2">
        <v>0.5</v>
      </c>
      <c r="X10" s="1"/>
      <c r="Y10" s="1"/>
      <c r="Z10" s="1"/>
    </row>
    <row r="11" spans="1:26" ht="12.75" x14ac:dyDescent="0.2">
      <c r="A11" s="2" t="s">
        <v>25</v>
      </c>
      <c r="B11" s="14">
        <f t="shared" si="5"/>
        <v>86369.766047244077</v>
      </c>
      <c r="C11" s="7">
        <f t="shared" si="6"/>
        <v>518218.59628346446</v>
      </c>
      <c r="D11" s="6">
        <f t="shared" si="11"/>
        <v>1285203.7593575842</v>
      </c>
      <c r="E11" s="18">
        <f t="shared" si="1"/>
        <v>-766985.16307411972</v>
      </c>
      <c r="F11" s="1"/>
      <c r="G11" s="1"/>
      <c r="H11" s="1"/>
      <c r="I11" s="1"/>
      <c r="J11" s="1"/>
      <c r="K11" s="7">
        <f t="shared" ref="K11:M11" si="25">5*30000</f>
        <v>150000</v>
      </c>
      <c r="L11" s="7">
        <f t="shared" si="25"/>
        <v>150000</v>
      </c>
      <c r="M11" s="7">
        <f t="shared" si="25"/>
        <v>150000</v>
      </c>
      <c r="N11" s="7">
        <f t="shared" si="3"/>
        <v>120000</v>
      </c>
      <c r="O11" s="7">
        <f t="shared" si="8"/>
        <v>33506.068652702445</v>
      </c>
      <c r="P11" s="7">
        <f t="shared" si="4"/>
        <v>250000</v>
      </c>
      <c r="Q11" s="7">
        <f t="shared" si="9"/>
        <v>431697.69070488156</v>
      </c>
      <c r="R11" s="11">
        <f t="shared" si="10"/>
        <v>10792.442267622038</v>
      </c>
      <c r="S11" s="11">
        <f t="shared" ref="S11:T11" si="26">S10-(S10*0.0001)</f>
        <v>44968509.448425159</v>
      </c>
      <c r="T11" s="11">
        <f t="shared" si="26"/>
        <v>62955913.227795228</v>
      </c>
      <c r="U11" s="12">
        <f t="shared" si="14"/>
        <v>1.1428000057145715</v>
      </c>
      <c r="V11" s="8">
        <v>12</v>
      </c>
      <c r="W11" s="2">
        <v>0.5</v>
      </c>
      <c r="X11" s="1"/>
      <c r="Y11" s="1"/>
      <c r="Z11" s="1"/>
    </row>
    <row r="12" spans="1:26" ht="12.75" x14ac:dyDescent="0.2">
      <c r="A12" s="2" t="s">
        <v>26</v>
      </c>
      <c r="B12" s="14">
        <f t="shared" si="5"/>
        <v>97161.129070639348</v>
      </c>
      <c r="C12" s="7">
        <f t="shared" si="6"/>
        <v>582966.77442383603</v>
      </c>
      <c r="D12" s="6">
        <f t="shared" si="11"/>
        <v>1286165.7716480945</v>
      </c>
      <c r="E12" s="18">
        <f t="shared" si="1"/>
        <v>-703198.99722425849</v>
      </c>
      <c r="F12" s="1"/>
      <c r="G12" s="1"/>
      <c r="H12" s="1"/>
      <c r="I12" s="1"/>
      <c r="J12" s="1"/>
      <c r="K12" s="7">
        <f t="shared" ref="K12:M12" si="27">5*30000</f>
        <v>150000</v>
      </c>
      <c r="L12" s="7">
        <f t="shared" si="27"/>
        <v>150000</v>
      </c>
      <c r="M12" s="7">
        <f t="shared" si="27"/>
        <v>150000</v>
      </c>
      <c r="N12" s="7">
        <f t="shared" si="3"/>
        <v>120000</v>
      </c>
      <c r="O12" s="7">
        <f t="shared" si="8"/>
        <v>34511.250712283516</v>
      </c>
      <c r="P12" s="7">
        <f t="shared" si="4"/>
        <v>250000</v>
      </c>
      <c r="Q12" s="7">
        <f t="shared" si="9"/>
        <v>431654.5209358111</v>
      </c>
      <c r="R12" s="11">
        <f t="shared" si="10"/>
        <v>10791.363023395277</v>
      </c>
      <c r="S12" s="11">
        <f t="shared" ref="S12:T12" si="28">S11-(S11*0.0001)</f>
        <v>44964012.597480319</v>
      </c>
      <c r="T12" s="11">
        <f t="shared" si="28"/>
        <v>62949617.636472449</v>
      </c>
      <c r="U12" s="12">
        <f t="shared" si="14"/>
        <v>1.124943756562828</v>
      </c>
      <c r="V12" s="8">
        <v>12</v>
      </c>
      <c r="W12" s="2">
        <v>0.5</v>
      </c>
      <c r="X12" s="1"/>
      <c r="Y12" s="1"/>
      <c r="Z12" s="1"/>
    </row>
    <row r="13" spans="1:26" ht="12.75" x14ac:dyDescent="0.2">
      <c r="A13" s="2" t="s">
        <v>27</v>
      </c>
      <c r="B13" s="14">
        <f t="shared" si="5"/>
        <v>107951.41295773229</v>
      </c>
      <c r="C13" s="7">
        <f t="shared" si="6"/>
        <v>647708.47774639376</v>
      </c>
      <c r="D13" s="6">
        <f t="shared" si="11"/>
        <v>1287157.9437173696</v>
      </c>
      <c r="E13" s="18">
        <f t="shared" si="1"/>
        <v>-639449.46597097581</v>
      </c>
      <c r="F13" s="1"/>
      <c r="G13" s="1"/>
      <c r="H13" s="1"/>
      <c r="I13" s="1"/>
      <c r="J13" s="1"/>
      <c r="K13" s="7">
        <f t="shared" ref="K13:M13" si="29">5*30000</f>
        <v>150000</v>
      </c>
      <c r="L13" s="7">
        <f t="shared" si="29"/>
        <v>150000</v>
      </c>
      <c r="M13" s="7">
        <f t="shared" si="29"/>
        <v>150000</v>
      </c>
      <c r="N13" s="7">
        <f t="shared" si="3"/>
        <v>120000</v>
      </c>
      <c r="O13" s="7">
        <f t="shared" si="8"/>
        <v>35546.588233652023</v>
      </c>
      <c r="P13" s="7">
        <f t="shared" si="4"/>
        <v>250000</v>
      </c>
      <c r="Q13" s="7">
        <f t="shared" si="9"/>
        <v>431611.35548371752</v>
      </c>
      <c r="R13" s="11">
        <f t="shared" si="10"/>
        <v>10790.283887092937</v>
      </c>
      <c r="S13" s="11">
        <f t="shared" ref="S13:T13" si="30">S12-(S12*0.0001)</f>
        <v>44959516.196220569</v>
      </c>
      <c r="T13" s="11">
        <f t="shared" si="30"/>
        <v>62943322.674708799</v>
      </c>
      <c r="U13" s="12">
        <f t="shared" si="14"/>
        <v>1.1110555629633332</v>
      </c>
      <c r="V13" s="8">
        <v>12</v>
      </c>
      <c r="W13" s="2">
        <v>0.5</v>
      </c>
      <c r="X13" s="1"/>
      <c r="Y13" s="1"/>
      <c r="Z13" s="1"/>
    </row>
    <row r="14" spans="1:26" ht="12.75" x14ac:dyDescent="0.2">
      <c r="A14" s="2" t="s">
        <v>28</v>
      </c>
      <c r="B14" s="14">
        <f t="shared" si="5"/>
        <v>118740.61781643651</v>
      </c>
      <c r="C14" s="7">
        <f t="shared" si="6"/>
        <v>712443.70689861907</v>
      </c>
      <c r="D14" s="6">
        <f t="shared" si="11"/>
        <v>1288181.1802288305</v>
      </c>
      <c r="E14" s="18">
        <f t="shared" si="1"/>
        <v>-575737.47333021148</v>
      </c>
      <c r="F14" s="1"/>
      <c r="G14" s="1"/>
      <c r="H14" s="1"/>
      <c r="I14" s="1"/>
      <c r="J14" s="1"/>
      <c r="K14" s="7">
        <f t="shared" ref="K14:M14" si="31">5*30000</f>
        <v>150000</v>
      </c>
      <c r="L14" s="7">
        <f t="shared" si="31"/>
        <v>150000</v>
      </c>
      <c r="M14" s="7">
        <f t="shared" si="31"/>
        <v>150000</v>
      </c>
      <c r="N14" s="7">
        <f t="shared" si="3"/>
        <v>120000</v>
      </c>
      <c r="O14" s="7">
        <f t="shared" si="8"/>
        <v>36612.985880661581</v>
      </c>
      <c r="P14" s="7">
        <f t="shared" si="4"/>
        <v>250000</v>
      </c>
      <c r="Q14" s="7">
        <f t="shared" si="9"/>
        <v>431568.19434816903</v>
      </c>
      <c r="R14" s="11">
        <f t="shared" si="10"/>
        <v>10789.204858704226</v>
      </c>
      <c r="S14" s="11">
        <f t="shared" ref="S14:T14" si="32">S13-(S13*0.0001)</f>
        <v>44955020.244600944</v>
      </c>
      <c r="T14" s="11">
        <f t="shared" si="32"/>
        <v>62937028.342441328</v>
      </c>
      <c r="U14" s="12">
        <f t="shared" si="14"/>
        <v>1.0999450082504123</v>
      </c>
      <c r="V14" s="8">
        <v>12</v>
      </c>
      <c r="W14" s="2">
        <v>0.5</v>
      </c>
      <c r="X14" s="1"/>
      <c r="Y14" s="1"/>
      <c r="Z14" s="1"/>
    </row>
    <row r="15" spans="1:26" ht="12.75" x14ac:dyDescent="0.2">
      <c r="A15" s="2" t="s">
        <v>29</v>
      </c>
      <c r="B15" s="14">
        <f t="shared" si="5"/>
        <v>226524.77435489174</v>
      </c>
      <c r="C15" s="7">
        <f t="shared" si="6"/>
        <v>1359148.6461293504</v>
      </c>
      <c r="D15" s="6">
        <f>SUM(K15:Q15)*1.25</f>
        <v>6936347.0462441146</v>
      </c>
      <c r="E15" s="18">
        <f t="shared" si="1"/>
        <v>-5577198.4001147645</v>
      </c>
      <c r="F15" s="1"/>
      <c r="G15" s="1"/>
      <c r="H15" s="1"/>
      <c r="I15" s="1"/>
      <c r="J15" s="1"/>
      <c r="K15" s="7">
        <f t="shared" ref="K15:N15" si="33">K14*2</f>
        <v>300000</v>
      </c>
      <c r="L15" s="7">
        <f t="shared" si="33"/>
        <v>300000</v>
      </c>
      <c r="M15" s="7">
        <f t="shared" si="33"/>
        <v>300000</v>
      </c>
      <c r="N15" s="7">
        <f t="shared" si="33"/>
        <v>240000</v>
      </c>
      <c r="O15" s="7">
        <f t="shared" si="8"/>
        <v>37711.375457081427</v>
      </c>
      <c r="P15" s="8">
        <v>60000</v>
      </c>
      <c r="Q15" s="7">
        <f t="shared" si="9"/>
        <v>4311366.2615382094</v>
      </c>
      <c r="R15" s="11">
        <f t="shared" ref="R15:R62" si="34">S15*0.001+T15*0.001</f>
        <v>107784.15653845522</v>
      </c>
      <c r="S15" s="11">
        <f t="shared" ref="S15:T15" si="35">S14-(S14*0.001)</f>
        <v>44910065.224356346</v>
      </c>
      <c r="T15" s="11">
        <f t="shared" si="35"/>
        <v>62874091.314098887</v>
      </c>
      <c r="U15" s="12">
        <f t="shared" si="14"/>
        <v>1.9077277726908992</v>
      </c>
      <c r="V15" s="8">
        <v>12</v>
      </c>
      <c r="W15" s="2">
        <v>0.5</v>
      </c>
      <c r="X15" s="1"/>
      <c r="Y15" s="1"/>
      <c r="Z15" s="1"/>
    </row>
    <row r="16" spans="1:26" ht="12.75" x14ac:dyDescent="0.2">
      <c r="A16" s="2" t="s">
        <v>30</v>
      </c>
      <c r="B16" s="14">
        <f t="shared" si="5"/>
        <v>334201.14673680853</v>
      </c>
      <c r="C16" s="7">
        <f t="shared" si="6"/>
        <v>2005206.8804208511</v>
      </c>
      <c r="D16" s="6">
        <f t="shared" ref="D16:D26" si="36">SUM(K16:Q16)*1.25</f>
        <v>6932372.0149968304</v>
      </c>
      <c r="E16" s="18">
        <f t="shared" si="1"/>
        <v>-4927165.1345759798</v>
      </c>
      <c r="F16" s="1"/>
      <c r="G16" s="1"/>
      <c r="H16" s="1"/>
      <c r="I16" s="1"/>
      <c r="J16" s="1"/>
      <c r="K16" s="7">
        <f t="shared" ref="K16:N16" si="37">K15*1</f>
        <v>300000</v>
      </c>
      <c r="L16" s="7">
        <f t="shared" si="37"/>
        <v>300000</v>
      </c>
      <c r="M16" s="7">
        <f t="shared" si="37"/>
        <v>300000</v>
      </c>
      <c r="N16" s="7">
        <f t="shared" si="37"/>
        <v>240000</v>
      </c>
      <c r="O16" s="7">
        <f t="shared" si="8"/>
        <v>38842.716720793869</v>
      </c>
      <c r="P16" s="7">
        <f t="shared" ref="P16:P62" si="38">P15*1</f>
        <v>60000</v>
      </c>
      <c r="Q16" s="7">
        <f t="shared" si="9"/>
        <v>4307054.8952766713</v>
      </c>
      <c r="R16" s="11">
        <f t="shared" si="34"/>
        <v>107676.37238191678</v>
      </c>
      <c r="S16" s="11">
        <f t="shared" ref="S16:T16" si="39">S15-(S15*0.001)</f>
        <v>44865155.159131989</v>
      </c>
      <c r="T16" s="11">
        <f t="shared" si="39"/>
        <v>62811217.222784787</v>
      </c>
      <c r="U16" s="12">
        <f t="shared" si="14"/>
        <v>1.4753403802677336</v>
      </c>
      <c r="V16" s="8">
        <v>12</v>
      </c>
      <c r="W16" s="2">
        <v>0.5</v>
      </c>
      <c r="X16" s="1"/>
      <c r="Y16" s="1"/>
      <c r="Z16" s="1"/>
    </row>
    <row r="17" spans="1:26" ht="12.75" x14ac:dyDescent="0.2">
      <c r="A17" s="2" t="s">
        <v>31</v>
      </c>
      <c r="B17" s="14">
        <f t="shared" si="5"/>
        <v>441769.84274634335</v>
      </c>
      <c r="C17" s="7">
        <f t="shared" si="6"/>
        <v>2650619.0564780599</v>
      </c>
      <c r="D17" s="6">
        <f t="shared" si="36"/>
        <v>6928444.7982547637</v>
      </c>
      <c r="E17" s="18">
        <f t="shared" si="1"/>
        <v>-4277825.7417767039</v>
      </c>
      <c r="F17" s="1"/>
      <c r="G17" s="1"/>
      <c r="H17" s="1"/>
      <c r="I17" s="1"/>
      <c r="J17" s="1"/>
      <c r="K17" s="7">
        <f t="shared" ref="K17:N17" si="40">K16*1</f>
        <v>300000</v>
      </c>
      <c r="L17" s="7">
        <f t="shared" si="40"/>
        <v>300000</v>
      </c>
      <c r="M17" s="7">
        <f t="shared" si="40"/>
        <v>300000</v>
      </c>
      <c r="N17" s="7">
        <f t="shared" si="40"/>
        <v>240000</v>
      </c>
      <c r="O17" s="7">
        <f t="shared" si="8"/>
        <v>40007.998222417686</v>
      </c>
      <c r="P17" s="7">
        <f t="shared" si="38"/>
        <v>60000</v>
      </c>
      <c r="Q17" s="7">
        <f t="shared" si="9"/>
        <v>4302747.8403813941</v>
      </c>
      <c r="R17" s="11">
        <f t="shared" si="34"/>
        <v>107568.69600953485</v>
      </c>
      <c r="S17" s="11">
        <f t="shared" ref="S17:T17" si="41">S16-(S16*0.001)</f>
        <v>44820290.003972858</v>
      </c>
      <c r="T17" s="11">
        <f t="shared" si="41"/>
        <v>62748406.005562</v>
      </c>
      <c r="U17" s="12">
        <f t="shared" si="14"/>
        <v>1.3218681236131358</v>
      </c>
      <c r="V17" s="8">
        <v>12</v>
      </c>
      <c r="W17" s="2">
        <v>0.5</v>
      </c>
      <c r="X17" s="1"/>
      <c r="Y17" s="1"/>
      <c r="Z17" s="1"/>
    </row>
    <row r="18" spans="1:26" ht="12.75" x14ac:dyDescent="0.2">
      <c r="A18" s="2" t="s">
        <v>32</v>
      </c>
      <c r="B18" s="14">
        <f t="shared" si="5"/>
        <v>549230.97005986865</v>
      </c>
      <c r="C18" s="7">
        <f t="shared" si="6"/>
        <v>3295385.8203592119</v>
      </c>
      <c r="D18" s="6">
        <f t="shared" si="36"/>
        <v>6924566.6633876283</v>
      </c>
      <c r="E18" s="18">
        <f t="shared" si="1"/>
        <v>-3629180.8430284164</v>
      </c>
      <c r="F18" s="1"/>
      <c r="G18" s="1"/>
      <c r="H18" s="1"/>
      <c r="I18" s="1"/>
      <c r="J18" s="1"/>
      <c r="K18" s="7">
        <f t="shared" ref="K18:N18" si="42">K17*1</f>
        <v>300000</v>
      </c>
      <c r="L18" s="7">
        <f t="shared" si="42"/>
        <v>300000</v>
      </c>
      <c r="M18" s="7">
        <f t="shared" si="42"/>
        <v>300000</v>
      </c>
      <c r="N18" s="7">
        <f t="shared" si="42"/>
        <v>240000</v>
      </c>
      <c r="O18" s="7">
        <f t="shared" si="8"/>
        <v>41208.238169090218</v>
      </c>
      <c r="P18" s="7">
        <f t="shared" si="38"/>
        <v>60000</v>
      </c>
      <c r="Q18" s="7">
        <f t="shared" si="9"/>
        <v>4298445.0925410129</v>
      </c>
      <c r="R18" s="11">
        <f t="shared" si="34"/>
        <v>107461.12731352533</v>
      </c>
      <c r="S18" s="11">
        <f t="shared" ref="S18:T18" si="43">S17-(S17*0.001)</f>
        <v>44775469.713968888</v>
      </c>
      <c r="T18" s="11">
        <f t="shared" si="43"/>
        <v>62685657.599556439</v>
      </c>
      <c r="U18" s="12">
        <f t="shared" si="14"/>
        <v>1.243251387748592</v>
      </c>
      <c r="V18" s="8">
        <v>12</v>
      </c>
      <c r="W18" s="2">
        <v>0.5</v>
      </c>
      <c r="X18" s="1"/>
      <c r="Y18" s="1"/>
      <c r="Z18" s="1"/>
    </row>
    <row r="19" spans="1:26" ht="12.75" x14ac:dyDescent="0.2">
      <c r="A19" s="2" t="s">
        <v>33</v>
      </c>
      <c r="B19" s="14">
        <f t="shared" si="5"/>
        <v>656584.63624608051</v>
      </c>
      <c r="C19" s="7">
        <f t="shared" si="6"/>
        <v>3939507.8174764831</v>
      </c>
      <c r="D19" s="6">
        <f t="shared" si="36"/>
        <v>6920738.9159532934</v>
      </c>
      <c r="E19" s="18">
        <f t="shared" si="1"/>
        <v>-2981231.0984768104</v>
      </c>
      <c r="F19" s="1"/>
      <c r="G19" s="1"/>
      <c r="H19" s="1"/>
      <c r="I19" s="1"/>
      <c r="J19" s="1"/>
      <c r="K19" s="7">
        <f t="shared" ref="K19:N19" si="44">K18*1</f>
        <v>300000</v>
      </c>
      <c r="L19" s="7">
        <f t="shared" si="44"/>
        <v>300000</v>
      </c>
      <c r="M19" s="7">
        <f t="shared" si="44"/>
        <v>300000</v>
      </c>
      <c r="N19" s="7">
        <f t="shared" si="44"/>
        <v>240000</v>
      </c>
      <c r="O19" s="7">
        <f t="shared" si="8"/>
        <v>42444.485314162928</v>
      </c>
      <c r="P19" s="7">
        <f t="shared" si="38"/>
        <v>60000</v>
      </c>
      <c r="Q19" s="7">
        <f t="shared" si="9"/>
        <v>4294146.6474484727</v>
      </c>
      <c r="R19" s="11">
        <f t="shared" si="34"/>
        <v>107353.66618621181</v>
      </c>
      <c r="S19" s="11">
        <f t="shared" ref="S19:T19" si="45">S18-(S18*0.001)</f>
        <v>44730694.244254917</v>
      </c>
      <c r="T19" s="11">
        <f t="shared" si="45"/>
        <v>62622971.941956885</v>
      </c>
      <c r="U19" s="12">
        <f t="shared" si="14"/>
        <v>1.1954617857301635</v>
      </c>
      <c r="V19" s="8">
        <v>12</v>
      </c>
      <c r="W19" s="2">
        <v>0.5</v>
      </c>
      <c r="X19" s="1"/>
      <c r="Y19" s="1"/>
      <c r="Z19" s="1"/>
    </row>
    <row r="20" spans="1:26" ht="12.75" x14ac:dyDescent="0.2">
      <c r="A20" s="2" t="s">
        <v>34</v>
      </c>
      <c r="B20" s="14">
        <f t="shared" si="5"/>
        <v>763830.94876610604</v>
      </c>
      <c r="C20" s="7">
        <f t="shared" si="6"/>
        <v>4582985.6925966367</v>
      </c>
      <c r="D20" s="6">
        <f t="shared" si="36"/>
        <v>6916962.9008432645</v>
      </c>
      <c r="E20" s="18">
        <f t="shared" si="1"/>
        <v>-2333977.2082466278</v>
      </c>
      <c r="F20" s="1"/>
      <c r="G20" s="1"/>
      <c r="H20" s="1"/>
      <c r="I20" s="1"/>
      <c r="J20" s="1"/>
      <c r="K20" s="7">
        <f t="shared" ref="K20:N20" si="46">K19*1</f>
        <v>300000</v>
      </c>
      <c r="L20" s="7">
        <f t="shared" si="46"/>
        <v>300000</v>
      </c>
      <c r="M20" s="7">
        <f t="shared" si="46"/>
        <v>300000</v>
      </c>
      <c r="N20" s="7">
        <f t="shared" si="46"/>
        <v>240000</v>
      </c>
      <c r="O20" s="7">
        <f t="shared" si="8"/>
        <v>43717.819873587818</v>
      </c>
      <c r="P20" s="7">
        <f t="shared" si="38"/>
        <v>60000</v>
      </c>
      <c r="Q20" s="7">
        <f t="shared" si="9"/>
        <v>4289852.5008010231</v>
      </c>
      <c r="R20" s="11">
        <f t="shared" si="34"/>
        <v>107246.31252002559</v>
      </c>
      <c r="S20" s="11">
        <f t="shared" ref="S20:T20" si="47">S19-(S19*0.001)</f>
        <v>44685963.550010659</v>
      </c>
      <c r="T20" s="11">
        <f t="shared" si="47"/>
        <v>62560348.97001493</v>
      </c>
      <c r="U20" s="12">
        <f t="shared" si="14"/>
        <v>1.1633396619409029</v>
      </c>
      <c r="V20" s="8">
        <v>12</v>
      </c>
      <c r="W20" s="2">
        <v>0.5</v>
      </c>
      <c r="X20" s="1"/>
      <c r="Y20" s="1"/>
      <c r="Z20" s="1"/>
    </row>
    <row r="21" spans="1:26" ht="12.75" x14ac:dyDescent="0.2">
      <c r="A21" s="2" t="s">
        <v>35</v>
      </c>
      <c r="B21" s="14">
        <f t="shared" si="5"/>
        <v>870970.01497361157</v>
      </c>
      <c r="C21" s="7">
        <f t="shared" si="6"/>
        <v>5225820.0898416694</v>
      </c>
      <c r="D21" s="6">
        <f t="shared" si="36"/>
        <v>6913240.0034625223</v>
      </c>
      <c r="E21" s="18">
        <f t="shared" si="1"/>
        <v>-1687419.9136208529</v>
      </c>
      <c r="F21" s="1"/>
      <c r="G21" s="1"/>
      <c r="H21" s="1"/>
      <c r="I21" s="1"/>
      <c r="J21" s="1"/>
      <c r="K21" s="7">
        <f t="shared" ref="K21:N21" si="48">K20*1</f>
        <v>300000</v>
      </c>
      <c r="L21" s="7">
        <f t="shared" si="48"/>
        <v>300000</v>
      </c>
      <c r="M21" s="7">
        <f t="shared" si="48"/>
        <v>300000</v>
      </c>
      <c r="N21" s="7">
        <f t="shared" si="48"/>
        <v>240000</v>
      </c>
      <c r="O21" s="7">
        <f t="shared" si="8"/>
        <v>45029.354469795457</v>
      </c>
      <c r="P21" s="7">
        <f t="shared" si="38"/>
        <v>60000</v>
      </c>
      <c r="Q21" s="7">
        <f t="shared" si="9"/>
        <v>4285562.6483002221</v>
      </c>
      <c r="R21" s="11">
        <f t="shared" si="34"/>
        <v>107139.06620750556</v>
      </c>
      <c r="S21" s="11">
        <f t="shared" ref="S21:T21" si="49">S20-(S20*0.001)</f>
        <v>44641277.58646065</v>
      </c>
      <c r="T21" s="11">
        <f t="shared" si="49"/>
        <v>62497788.621044911</v>
      </c>
      <c r="U21" s="12">
        <f t="shared" si="14"/>
        <v>1.1402654165566062</v>
      </c>
      <c r="V21" s="8">
        <v>12</v>
      </c>
      <c r="W21" s="2">
        <v>0.5</v>
      </c>
      <c r="X21" s="1"/>
      <c r="Y21" s="1"/>
      <c r="Z21" s="1"/>
    </row>
    <row r="22" spans="1:26" ht="12.75" x14ac:dyDescent="0.2">
      <c r="A22" s="2" t="s">
        <v>36</v>
      </c>
      <c r="B22" s="14">
        <f t="shared" si="5"/>
        <v>978001.94211490965</v>
      </c>
      <c r="C22" s="7">
        <f t="shared" si="6"/>
        <v>5868011.6526894579</v>
      </c>
      <c r="D22" s="6">
        <f t="shared" si="36"/>
        <v>6909571.6509447638</v>
      </c>
      <c r="E22" s="18">
        <f>C22-D22</f>
        <v>-1041559.9982553059</v>
      </c>
      <c r="F22" s="1"/>
      <c r="G22" s="1"/>
      <c r="H22" s="1"/>
      <c r="I22" s="1"/>
      <c r="J22" s="1"/>
      <c r="K22" s="7">
        <f t="shared" ref="K22:N22" si="50">K21*1</f>
        <v>300000</v>
      </c>
      <c r="L22" s="7">
        <f t="shared" si="50"/>
        <v>300000</v>
      </c>
      <c r="M22" s="7">
        <f t="shared" si="50"/>
        <v>300000</v>
      </c>
      <c r="N22" s="7">
        <f t="shared" si="50"/>
        <v>240000</v>
      </c>
      <c r="O22" s="7">
        <f t="shared" si="8"/>
        <v>46380.235103889325</v>
      </c>
      <c r="P22" s="7">
        <f t="shared" si="38"/>
        <v>60000</v>
      </c>
      <c r="Q22" s="7">
        <f t="shared" si="9"/>
        <v>4281277.085651922</v>
      </c>
      <c r="R22" s="11">
        <f t="shared" si="34"/>
        <v>107031.92714129806</v>
      </c>
      <c r="S22" s="11">
        <f t="shared" ref="S22:T22" si="51">S21-(S21*0.001)</f>
        <v>44596636.30887419</v>
      </c>
      <c r="T22" s="11">
        <f t="shared" si="51"/>
        <v>62435290.832423866</v>
      </c>
      <c r="U22" s="12">
        <f t="shared" si="14"/>
        <v>1.1228881882283179</v>
      </c>
      <c r="V22" s="8">
        <v>12</v>
      </c>
      <c r="W22" s="2">
        <v>0.5</v>
      </c>
      <c r="X22" s="1"/>
      <c r="Y22" s="1"/>
      <c r="Z22" s="1"/>
    </row>
    <row r="23" spans="1:26" ht="12.75" x14ac:dyDescent="0.2">
      <c r="A23" s="2" t="s">
        <v>37</v>
      </c>
      <c r="B23" s="14">
        <f t="shared" si="5"/>
        <v>1084926.8373290664</v>
      </c>
      <c r="C23" s="7">
        <f t="shared" si="6"/>
        <v>6509561.0239743982</v>
      </c>
      <c r="D23" s="6">
        <f t="shared" si="36"/>
        <v>6905959.3134040954</v>
      </c>
      <c r="E23" s="18">
        <f>C23-D23</f>
        <v>-396398.28942969721</v>
      </c>
      <c r="F23" s="1"/>
      <c r="G23" s="1"/>
      <c r="H23" s="1"/>
      <c r="I23" s="1"/>
      <c r="J23" s="1"/>
      <c r="K23" s="7">
        <f t="shared" ref="K23:N23" si="52">K22*1</f>
        <v>300000</v>
      </c>
      <c r="L23" s="7">
        <f t="shared" si="52"/>
        <v>300000</v>
      </c>
      <c r="M23" s="7">
        <f t="shared" si="52"/>
        <v>300000</v>
      </c>
      <c r="N23" s="7">
        <f t="shared" si="52"/>
        <v>240000</v>
      </c>
      <c r="O23" s="7">
        <f t="shared" si="8"/>
        <v>47771.642157006005</v>
      </c>
      <c r="P23" s="7">
        <f t="shared" si="38"/>
        <v>60000</v>
      </c>
      <c r="Q23" s="7">
        <f t="shared" si="9"/>
        <v>4276995.8085662704</v>
      </c>
      <c r="R23" s="11">
        <f t="shared" si="34"/>
        <v>106924.89521415677</v>
      </c>
      <c r="S23" s="11">
        <f t="shared" ref="S23:T23" si="53">S22-(S22*0.001)</f>
        <v>44552039.672565319</v>
      </c>
      <c r="T23" s="11">
        <f t="shared" si="53"/>
        <v>62372855.541591443</v>
      </c>
      <c r="U23" s="12">
        <f t="shared" si="14"/>
        <v>1.1093299415980031</v>
      </c>
      <c r="V23" s="8">
        <v>12</v>
      </c>
      <c r="W23" s="2">
        <v>0.5</v>
      </c>
      <c r="X23" s="1"/>
      <c r="Y23" s="1"/>
      <c r="Z23" s="1"/>
    </row>
    <row r="24" spans="1:26" ht="12.75" x14ac:dyDescent="0.2">
      <c r="A24" s="2" t="s">
        <v>38</v>
      </c>
      <c r="B24" s="14">
        <f t="shared" si="5"/>
        <v>1191744.8076480089</v>
      </c>
      <c r="C24" s="7">
        <f t="shared" si="6"/>
        <v>7150468.845888054</v>
      </c>
      <c r="D24" s="6">
        <f t="shared" si="36"/>
        <v>6902404.5052242745</v>
      </c>
      <c r="E24" s="18">
        <f>C24-D24</f>
        <v>248064.34066377953</v>
      </c>
      <c r="F24" s="1" t="s">
        <v>80</v>
      </c>
      <c r="G24" s="18">
        <f>SUM(E3:E23)</f>
        <v>-37541585.801376641</v>
      </c>
      <c r="H24" s="1"/>
      <c r="I24" s="1"/>
      <c r="J24" s="1"/>
      <c r="K24" s="7">
        <f t="shared" ref="K24:N24" si="54">K23*1</f>
        <v>300000</v>
      </c>
      <c r="L24" s="7">
        <f t="shared" si="54"/>
        <v>300000</v>
      </c>
      <c r="M24" s="7">
        <f t="shared" si="54"/>
        <v>300000</v>
      </c>
      <c r="N24" s="7">
        <f t="shared" si="54"/>
        <v>240000</v>
      </c>
      <c r="O24" s="7">
        <f t="shared" si="8"/>
        <v>49204.791421716189</v>
      </c>
      <c r="P24" s="7">
        <f t="shared" si="38"/>
        <v>60000</v>
      </c>
      <c r="Q24" s="7">
        <f t="shared" si="9"/>
        <v>4272718.8127577035</v>
      </c>
      <c r="R24" s="11">
        <f t="shared" si="34"/>
        <v>106817.97031894259</v>
      </c>
      <c r="S24" s="11">
        <f t="shared" ref="S24:T24" si="55">S23-(S23*0.001)</f>
        <v>44507487.63289275</v>
      </c>
      <c r="T24" s="11">
        <f t="shared" si="55"/>
        <v>62310482.686049849</v>
      </c>
      <c r="U24" s="12">
        <f t="shared" si="14"/>
        <v>1.0984563812449446</v>
      </c>
      <c r="V24" s="8">
        <v>12</v>
      </c>
      <c r="W24" s="2">
        <v>0.5</v>
      </c>
      <c r="X24" s="1"/>
      <c r="Y24" s="1"/>
      <c r="Z24" s="1"/>
    </row>
    <row r="25" spans="1:26" ht="12.75" x14ac:dyDescent="0.2">
      <c r="A25" s="2" t="s">
        <v>39</v>
      </c>
      <c r="B25" s="14">
        <f t="shared" si="5"/>
        <v>1298455.9599966325</v>
      </c>
      <c r="C25" s="7">
        <f t="shared" si="6"/>
        <v>7790735.7599797957</v>
      </c>
      <c r="D25" s="6">
        <f t="shared" si="36"/>
        <v>6898908.7863866426</v>
      </c>
      <c r="E25" s="18">
        <f t="shared" ref="E25:E62" si="56">C25-D25</f>
        <v>891826.97359315306</v>
      </c>
      <c r="F25" s="1"/>
      <c r="G25" s="1"/>
      <c r="H25" s="1"/>
      <c r="I25" s="1"/>
      <c r="J25" s="1"/>
      <c r="K25" s="7">
        <f t="shared" ref="K25:N25" si="57">K24*1</f>
        <v>300000</v>
      </c>
      <c r="L25" s="7">
        <f t="shared" si="57"/>
        <v>300000</v>
      </c>
      <c r="M25" s="7">
        <f t="shared" si="57"/>
        <v>300000</v>
      </c>
      <c r="N25" s="7">
        <f t="shared" si="57"/>
        <v>240000</v>
      </c>
      <c r="O25" s="7">
        <f t="shared" si="8"/>
        <v>50680.935164367678</v>
      </c>
      <c r="P25" s="7">
        <f t="shared" si="38"/>
        <v>60000</v>
      </c>
      <c r="Q25" s="7">
        <f t="shared" si="9"/>
        <v>4268446.0939449463</v>
      </c>
      <c r="R25" s="11">
        <f t="shared" si="34"/>
        <v>106711.15234862365</v>
      </c>
      <c r="S25" s="11">
        <f t="shared" ref="S25:T25" si="58">S24-(S24*0.001)</f>
        <v>44462980.145259857</v>
      </c>
      <c r="T25" s="11">
        <f t="shared" si="58"/>
        <v>62248172.203363799</v>
      </c>
      <c r="U25" s="12">
        <f t="shared" si="14"/>
        <v>1.0895419486317925</v>
      </c>
      <c r="V25" s="8">
        <v>12</v>
      </c>
      <c r="W25" s="2">
        <v>0.5</v>
      </c>
      <c r="X25" s="1"/>
      <c r="Y25" s="1"/>
      <c r="Z25" s="1"/>
    </row>
    <row r="26" spans="1:26" ht="12.75" x14ac:dyDescent="0.2">
      <c r="A26" s="2" t="s">
        <v>40</v>
      </c>
      <c r="B26" s="14">
        <f t="shared" si="5"/>
        <v>1405060.4011929075</v>
      </c>
      <c r="C26" s="7">
        <f t="shared" si="6"/>
        <v>8430362.4071574453</v>
      </c>
      <c r="D26" s="6">
        <f t="shared" si="36"/>
        <v>6895473.7638378749</v>
      </c>
      <c r="E26" s="18">
        <f t="shared" si="56"/>
        <v>1534888.6433195705</v>
      </c>
      <c r="F26" s="1"/>
      <c r="G26" s="1"/>
      <c r="H26" s="1"/>
      <c r="I26" s="1"/>
      <c r="J26" s="1"/>
      <c r="K26" s="7">
        <f t="shared" ref="K26:N26" si="59">K25*1</f>
        <v>300000</v>
      </c>
      <c r="L26" s="7">
        <f t="shared" si="59"/>
        <v>300000</v>
      </c>
      <c r="M26" s="7">
        <f t="shared" si="59"/>
        <v>300000</v>
      </c>
      <c r="N26" s="7">
        <f t="shared" si="59"/>
        <v>240000</v>
      </c>
      <c r="O26" s="7">
        <f t="shared" si="8"/>
        <v>52201.363219298713</v>
      </c>
      <c r="P26" s="7">
        <f t="shared" si="38"/>
        <v>60000</v>
      </c>
      <c r="Q26" s="7">
        <f t="shared" si="9"/>
        <v>4264177.6478510015</v>
      </c>
      <c r="R26" s="11">
        <f t="shared" si="34"/>
        <v>106604.44119627503</v>
      </c>
      <c r="S26" s="11">
        <f t="shared" ref="S26:T26" si="60">S25-(S25*0.001)</f>
        <v>44418517.165114596</v>
      </c>
      <c r="T26" s="11">
        <f t="shared" si="60"/>
        <v>62185924.031160437</v>
      </c>
      <c r="U26" s="12">
        <f t="shared" si="14"/>
        <v>1.0821009294736121</v>
      </c>
      <c r="V26" s="8">
        <v>12</v>
      </c>
      <c r="W26" s="2">
        <v>0.5</v>
      </c>
      <c r="X26" s="1"/>
      <c r="Y26" s="1"/>
      <c r="Z26" s="1"/>
    </row>
    <row r="27" spans="1:26" ht="12.75" x14ac:dyDescent="0.2">
      <c r="A27" s="2" t="s">
        <v>41</v>
      </c>
      <c r="B27" s="14">
        <f t="shared" si="5"/>
        <v>1511558.2379479862</v>
      </c>
      <c r="C27" s="7">
        <f t="shared" si="6"/>
        <v>9069349.4276879169</v>
      </c>
      <c r="D27" s="6">
        <f>SUM(K27:Q27)*1.45</f>
        <v>7994837.2677625902</v>
      </c>
      <c r="E27" s="18">
        <f t="shared" si="56"/>
        <v>1074512.1599253267</v>
      </c>
      <c r="F27" s="1"/>
      <c r="G27" s="1"/>
      <c r="H27" s="1"/>
      <c r="I27" s="1"/>
      <c r="J27" s="1"/>
      <c r="K27" s="7">
        <f t="shared" ref="K27:N27" si="61">K26*1</f>
        <v>300000</v>
      </c>
      <c r="L27" s="7">
        <f t="shared" si="61"/>
        <v>300000</v>
      </c>
      <c r="M27" s="7">
        <f t="shared" si="61"/>
        <v>300000</v>
      </c>
      <c r="N27" s="7">
        <f t="shared" si="61"/>
        <v>240000</v>
      </c>
      <c r="O27" s="7">
        <f t="shared" si="8"/>
        <v>53767.404115877674</v>
      </c>
      <c r="P27" s="7">
        <f t="shared" si="38"/>
        <v>60000</v>
      </c>
      <c r="Q27" s="7">
        <f t="shared" si="9"/>
        <v>4259913.4702031501</v>
      </c>
      <c r="R27" s="11">
        <f t="shared" si="34"/>
        <v>106497.83675507875</v>
      </c>
      <c r="S27" s="11">
        <f t="shared" ref="S27:T27" si="62">S26-(S26*0.001)</f>
        <v>44374098.64794948</v>
      </c>
      <c r="T27" s="11">
        <f t="shared" si="62"/>
        <v>62123738.107129276</v>
      </c>
      <c r="U27" s="12">
        <f t="shared" si="14"/>
        <v>1.0757959135882424</v>
      </c>
      <c r="V27" s="8">
        <v>12</v>
      </c>
      <c r="W27" s="2">
        <v>0.5</v>
      </c>
      <c r="X27" s="1"/>
      <c r="Y27" s="1"/>
      <c r="Z27" s="1"/>
    </row>
    <row r="28" spans="1:26" ht="12.75" x14ac:dyDescent="0.2">
      <c r="A28" s="2" t="s">
        <v>42</v>
      </c>
      <c r="B28" s="14">
        <f t="shared" si="5"/>
        <v>1617949.5768663099</v>
      </c>
      <c r="C28" s="7">
        <f t="shared" si="6"/>
        <v>9707697.4611978587</v>
      </c>
      <c r="D28" s="6">
        <f t="shared" ref="D28:D38" si="63">SUM(K28:Q28)*1.45</f>
        <v>7990999.2753098374</v>
      </c>
      <c r="E28" s="18">
        <f t="shared" si="56"/>
        <v>1716698.1858880213</v>
      </c>
      <c r="F28" s="1"/>
      <c r="G28" s="1"/>
      <c r="H28" s="1"/>
      <c r="I28" s="1"/>
      <c r="J28" s="1"/>
      <c r="K28" s="7">
        <f t="shared" ref="K28:N28" si="64">K27*1</f>
        <v>300000</v>
      </c>
      <c r="L28" s="7">
        <f t="shared" si="64"/>
        <v>300000</v>
      </c>
      <c r="M28" s="7">
        <f t="shared" si="64"/>
        <v>300000</v>
      </c>
      <c r="N28" s="7">
        <f t="shared" si="64"/>
        <v>240000</v>
      </c>
      <c r="O28" s="7">
        <f t="shared" si="8"/>
        <v>55380.426239354005</v>
      </c>
      <c r="P28" s="7">
        <f t="shared" si="38"/>
        <v>60000</v>
      </c>
      <c r="Q28" s="7">
        <f t="shared" si="9"/>
        <v>4255653.556732947</v>
      </c>
      <c r="R28" s="11">
        <f t="shared" si="34"/>
        <v>106391.33891832369</v>
      </c>
      <c r="S28" s="11">
        <f t="shared" ref="S28:T28" si="65">S27-(S27*0.001)</f>
        <v>44329724.549301527</v>
      </c>
      <c r="T28" s="11">
        <f t="shared" si="65"/>
        <v>62061614.369022146</v>
      </c>
      <c r="U28" s="12">
        <f t="shared" si="14"/>
        <v>1.0703852066346813</v>
      </c>
      <c r="V28" s="8">
        <v>12</v>
      </c>
      <c r="W28" s="2">
        <v>0.5</v>
      </c>
      <c r="X28" s="1"/>
      <c r="Y28" s="1"/>
      <c r="Z28" s="1"/>
    </row>
    <row r="29" spans="1:26" ht="12.75" x14ac:dyDescent="0.2">
      <c r="A29" s="2" t="s">
        <v>43</v>
      </c>
      <c r="B29" s="14">
        <f t="shared" si="5"/>
        <v>1724234.5244457151</v>
      </c>
      <c r="C29" s="7">
        <f t="shared" si="6"/>
        <v>10345407.14667429</v>
      </c>
      <c r="D29" s="6">
        <f t="shared" si="63"/>
        <v>7987237.6261939863</v>
      </c>
      <c r="E29" s="18">
        <f t="shared" si="56"/>
        <v>2358169.520480304</v>
      </c>
      <c r="F29" s="1"/>
      <c r="G29" s="1"/>
      <c r="H29" s="1"/>
      <c r="I29" s="1"/>
      <c r="J29" s="1"/>
      <c r="K29" s="7">
        <f t="shared" ref="K29:N29" si="66">K28*1</f>
        <v>300000</v>
      </c>
      <c r="L29" s="7">
        <f t="shared" si="66"/>
        <v>300000</v>
      </c>
      <c r="M29" s="7">
        <f t="shared" si="66"/>
        <v>300000</v>
      </c>
      <c r="N29" s="7">
        <f t="shared" si="66"/>
        <v>240000</v>
      </c>
      <c r="O29" s="7">
        <f t="shared" si="8"/>
        <v>57041.839026534624</v>
      </c>
      <c r="P29" s="7">
        <f t="shared" si="38"/>
        <v>60000</v>
      </c>
      <c r="Q29" s="7">
        <f t="shared" si="9"/>
        <v>4251397.9031762145</v>
      </c>
      <c r="R29" s="11">
        <f t="shared" si="34"/>
        <v>106284.94757940536</v>
      </c>
      <c r="S29" s="11">
        <f t="shared" ref="S29:T29" si="67">S28-(S28*0.001)</f>
        <v>44285394.824752226</v>
      </c>
      <c r="T29" s="11">
        <f t="shared" si="67"/>
        <v>61999552.754653126</v>
      </c>
      <c r="U29" s="12">
        <f t="shared" si="14"/>
        <v>1.0656911371646458</v>
      </c>
      <c r="V29" s="8">
        <v>12</v>
      </c>
      <c r="W29" s="2">
        <v>0.5</v>
      </c>
      <c r="X29" s="1"/>
      <c r="Y29" s="1"/>
      <c r="Z29" s="1"/>
    </row>
    <row r="30" spans="1:26" ht="12.75" x14ac:dyDescent="0.2">
      <c r="A30" s="2" t="s">
        <v>44</v>
      </c>
      <c r="B30" s="14">
        <f t="shared" si="5"/>
        <v>1830413.1870775411</v>
      </c>
      <c r="C30" s="7">
        <f t="shared" si="6"/>
        <v>10982479.122465247</v>
      </c>
      <c r="D30" s="6">
        <f t="shared" si="63"/>
        <v>7983554.419232036</v>
      </c>
      <c r="E30" s="18">
        <f t="shared" si="56"/>
        <v>2998924.7032332113</v>
      </c>
      <c r="F30" s="1"/>
      <c r="G30" s="1"/>
      <c r="H30" s="1"/>
      <c r="I30" s="1"/>
      <c r="J30" s="1"/>
      <c r="K30" s="7">
        <f t="shared" ref="K30:N30" si="68">K29*1</f>
        <v>300000</v>
      </c>
      <c r="L30" s="7">
        <f t="shared" si="68"/>
        <v>300000</v>
      </c>
      <c r="M30" s="7">
        <f t="shared" si="68"/>
        <v>300000</v>
      </c>
      <c r="N30" s="7">
        <f t="shared" si="68"/>
        <v>240000</v>
      </c>
      <c r="O30" s="7">
        <f t="shared" si="8"/>
        <v>58753.094197330662</v>
      </c>
      <c r="P30" s="7">
        <f t="shared" si="38"/>
        <v>60000</v>
      </c>
      <c r="Q30" s="7">
        <f t="shared" si="9"/>
        <v>4247146.5052730385</v>
      </c>
      <c r="R30" s="11">
        <f t="shared" si="34"/>
        <v>106178.66263182595</v>
      </c>
      <c r="S30" s="11">
        <f t="shared" ref="S30:T30" si="69">S29-(S29*0.001)</f>
        <v>44241109.429927476</v>
      </c>
      <c r="T30" s="11">
        <f t="shared" si="69"/>
        <v>61937553.201898471</v>
      </c>
      <c r="U30" s="12">
        <f t="shared" si="14"/>
        <v>1.0615801743477784</v>
      </c>
      <c r="V30" s="8">
        <v>12</v>
      </c>
      <c r="W30" s="2">
        <v>0.5</v>
      </c>
      <c r="X30" s="1"/>
      <c r="Y30" s="1"/>
      <c r="Z30" s="1"/>
    </row>
    <row r="31" spans="1:26" ht="12.75" x14ac:dyDescent="0.2">
      <c r="A31" s="2" t="s">
        <v>45</v>
      </c>
      <c r="B31" s="14">
        <f t="shared" si="5"/>
        <v>1936485.6710467353</v>
      </c>
      <c r="C31" s="7">
        <f t="shared" si="6"/>
        <v>11618914.026280411</v>
      </c>
      <c r="D31" s="6">
        <f t="shared" si="63"/>
        <v>7979951.8163969712</v>
      </c>
      <c r="E31" s="18">
        <f t="shared" si="56"/>
        <v>3638962.2098834394</v>
      </c>
      <c r="F31" s="1"/>
      <c r="G31" s="1"/>
      <c r="H31" s="1"/>
      <c r="I31" s="1"/>
      <c r="J31" s="1"/>
      <c r="K31" s="7">
        <f t="shared" ref="K31:N31" si="70">K30*1</f>
        <v>300000</v>
      </c>
      <c r="L31" s="7">
        <f t="shared" si="70"/>
        <v>300000</v>
      </c>
      <c r="M31" s="7">
        <f t="shared" si="70"/>
        <v>300000</v>
      </c>
      <c r="N31" s="7">
        <f t="shared" si="70"/>
        <v>240000</v>
      </c>
      <c r="O31" s="7">
        <f t="shared" si="8"/>
        <v>60515.687023250583</v>
      </c>
      <c r="P31" s="7">
        <f t="shared" si="38"/>
        <v>60000</v>
      </c>
      <c r="Q31" s="7">
        <f t="shared" si="9"/>
        <v>4242899.3587677646</v>
      </c>
      <c r="R31" s="11">
        <f t="shared" si="34"/>
        <v>106072.48396919412</v>
      </c>
      <c r="S31" s="11">
        <f t="shared" ref="S31:T31" si="71">S30-(S30*0.001)</f>
        <v>44196868.32049755</v>
      </c>
      <c r="T31" s="11">
        <f t="shared" si="71"/>
        <v>61875615.648696572</v>
      </c>
      <c r="U31" s="12">
        <f t="shared" si="14"/>
        <v>1.057950021731733</v>
      </c>
      <c r="V31" s="8">
        <v>12</v>
      </c>
      <c r="W31" s="2">
        <v>0.5</v>
      </c>
      <c r="X31" s="1"/>
      <c r="Y31" s="1"/>
      <c r="Z31" s="1"/>
    </row>
    <row r="32" spans="1:26" ht="12.75" x14ac:dyDescent="0.2">
      <c r="A32" s="2" t="s">
        <v>46</v>
      </c>
      <c r="B32" s="14">
        <f t="shared" si="5"/>
        <v>2042452.0825319602</v>
      </c>
      <c r="C32" s="7">
        <f t="shared" si="6"/>
        <v>12254712.49519176</v>
      </c>
      <c r="D32" s="6">
        <f t="shared" si="63"/>
        <v>7976432.0447122706</v>
      </c>
      <c r="E32" s="18">
        <f t="shared" si="56"/>
        <v>4278280.4504794898</v>
      </c>
      <c r="F32" s="1"/>
      <c r="G32" s="1"/>
      <c r="H32" s="1"/>
      <c r="I32" s="1"/>
      <c r="J32" s="1"/>
      <c r="K32" s="7">
        <f t="shared" ref="K32:N32" si="72">K31*1</f>
        <v>300000</v>
      </c>
      <c r="L32" s="7">
        <f t="shared" si="72"/>
        <v>300000</v>
      </c>
      <c r="M32" s="7">
        <f t="shared" si="72"/>
        <v>300000</v>
      </c>
      <c r="N32" s="7">
        <f t="shared" si="72"/>
        <v>240000</v>
      </c>
      <c r="O32" s="7">
        <f t="shared" si="8"/>
        <v>62331.157633948103</v>
      </c>
      <c r="P32" s="7">
        <f t="shared" si="38"/>
        <v>60000</v>
      </c>
      <c r="Q32" s="7">
        <f t="shared" si="9"/>
        <v>4238656.4594089976</v>
      </c>
      <c r="R32" s="11">
        <f t="shared" si="34"/>
        <v>105966.41148522493</v>
      </c>
      <c r="S32" s="11">
        <f t="shared" ref="S32:T32" si="73">S31-(S31*0.001)</f>
        <v>44152671.452177055</v>
      </c>
      <c r="T32" s="11">
        <f t="shared" si="73"/>
        <v>61813740.033047877</v>
      </c>
      <c r="U32" s="12">
        <f t="shared" si="14"/>
        <v>1.0547209891968612</v>
      </c>
      <c r="V32" s="8">
        <v>12</v>
      </c>
      <c r="W32" s="2">
        <v>0.5</v>
      </c>
      <c r="X32" s="1"/>
      <c r="Y32" s="1"/>
      <c r="Z32" s="1"/>
    </row>
    <row r="33" spans="1:26" ht="12.75" x14ac:dyDescent="0.2">
      <c r="A33" s="2" t="s">
        <v>47</v>
      </c>
      <c r="B33" s="14">
        <f t="shared" si="5"/>
        <v>2148312.5276056998</v>
      </c>
      <c r="C33" s="7">
        <f t="shared" si="6"/>
        <v>12889875.1656342</v>
      </c>
      <c r="D33" s="6">
        <f t="shared" si="63"/>
        <v>7972997.3982032044</v>
      </c>
      <c r="E33" s="18">
        <f t="shared" si="56"/>
        <v>4916877.7674309956</v>
      </c>
      <c r="F33" s="1"/>
      <c r="G33" s="1"/>
      <c r="H33" s="1"/>
      <c r="I33" s="1"/>
      <c r="J33" s="1"/>
      <c r="K33" s="7">
        <f t="shared" ref="K33:N33" si="74">K32*1</f>
        <v>300000</v>
      </c>
      <c r="L33" s="7">
        <f t="shared" si="74"/>
        <v>300000</v>
      </c>
      <c r="M33" s="7">
        <f t="shared" si="74"/>
        <v>300000</v>
      </c>
      <c r="N33" s="7">
        <f t="shared" si="74"/>
        <v>240000</v>
      </c>
      <c r="O33" s="7">
        <f t="shared" si="8"/>
        <v>64201.092362966549</v>
      </c>
      <c r="P33" s="7">
        <f t="shared" si="38"/>
        <v>60000</v>
      </c>
      <c r="Q33" s="7">
        <f t="shared" si="9"/>
        <v>4234417.8029495887</v>
      </c>
      <c r="R33" s="11">
        <f t="shared" si="34"/>
        <v>105860.44507373971</v>
      </c>
      <c r="S33" s="11">
        <f t="shared" ref="S33:T33" si="75">S32-(S32*0.001)</f>
        <v>44108518.780724876</v>
      </c>
      <c r="T33" s="11">
        <f t="shared" si="75"/>
        <v>61751926.293014832</v>
      </c>
      <c r="U33" s="12">
        <f t="shared" si="14"/>
        <v>1.0518300752214016</v>
      </c>
      <c r="V33" s="8">
        <v>12</v>
      </c>
      <c r="W33" s="2">
        <v>0.5</v>
      </c>
      <c r="X33" s="1"/>
      <c r="Y33" s="1"/>
      <c r="Z33" s="1"/>
    </row>
    <row r="34" spans="1:26" ht="12.75" x14ac:dyDescent="0.2">
      <c r="A34" s="2" t="s">
        <v>48</v>
      </c>
      <c r="B34" s="14">
        <f t="shared" si="5"/>
        <v>2254067.1122343657</v>
      </c>
      <c r="C34" s="7">
        <f t="shared" si="6"/>
        <v>13524402.673406195</v>
      </c>
      <c r="D34" s="6">
        <f t="shared" si="63"/>
        <v>7969650.2399067152</v>
      </c>
      <c r="E34" s="18">
        <f t="shared" si="56"/>
        <v>5554752.4334994797</v>
      </c>
      <c r="F34" s="1"/>
      <c r="G34" s="1"/>
      <c r="H34" s="1"/>
      <c r="I34" s="1"/>
      <c r="J34" s="1"/>
      <c r="K34" s="7">
        <f t="shared" ref="K34:N34" si="76">K33*1</f>
        <v>300000</v>
      </c>
      <c r="L34" s="7">
        <f t="shared" si="76"/>
        <v>300000</v>
      </c>
      <c r="M34" s="7">
        <f t="shared" si="76"/>
        <v>300000</v>
      </c>
      <c r="N34" s="7">
        <f t="shared" si="76"/>
        <v>240000</v>
      </c>
      <c r="O34" s="7">
        <f t="shared" si="8"/>
        <v>66127.125133855545</v>
      </c>
      <c r="P34" s="7">
        <f t="shared" si="38"/>
        <v>60000</v>
      </c>
      <c r="Q34" s="7">
        <f t="shared" si="9"/>
        <v>4230183.3851466384</v>
      </c>
      <c r="R34" s="11">
        <f t="shared" si="34"/>
        <v>105754.58462866597</v>
      </c>
      <c r="S34" s="11">
        <f t="shared" ref="S34:T34" si="77">S33-(S33*0.001)</f>
        <v>44064410.261944152</v>
      </c>
      <c r="T34" s="11">
        <f t="shared" si="77"/>
        <v>61690174.366721816</v>
      </c>
      <c r="U34" s="12">
        <f t="shared" si="14"/>
        <v>1.0492268155911793</v>
      </c>
      <c r="V34" s="8">
        <v>12</v>
      </c>
      <c r="W34" s="2">
        <v>0.5</v>
      </c>
      <c r="X34" s="1"/>
      <c r="Y34" s="1"/>
      <c r="Z34" s="1"/>
    </row>
    <row r="35" spans="1:26" ht="12.75" x14ac:dyDescent="0.2">
      <c r="A35" s="2" t="s">
        <v>49</v>
      </c>
      <c r="B35" s="14">
        <f t="shared" si="5"/>
        <v>2359715.9422784029</v>
      </c>
      <c r="C35" s="7">
        <f t="shared" si="6"/>
        <v>14158295.653670417</v>
      </c>
      <c r="D35" s="6">
        <f t="shared" si="63"/>
        <v>7966393.0039415769</v>
      </c>
      <c r="E35" s="18">
        <f t="shared" si="56"/>
        <v>6191902.6497288402</v>
      </c>
      <c r="F35" s="1"/>
      <c r="G35" s="1"/>
      <c r="H35" s="1"/>
      <c r="I35" s="1"/>
      <c r="J35" s="1"/>
      <c r="K35" s="7">
        <f t="shared" ref="K35:N35" si="78">K34*1</f>
        <v>300000</v>
      </c>
      <c r="L35" s="7">
        <f t="shared" si="78"/>
        <v>300000</v>
      </c>
      <c r="M35" s="7">
        <f t="shared" si="78"/>
        <v>300000</v>
      </c>
      <c r="N35" s="7">
        <f t="shared" si="78"/>
        <v>240000</v>
      </c>
      <c r="O35" s="7">
        <f t="shared" si="8"/>
        <v>68110.93888787122</v>
      </c>
      <c r="P35" s="7">
        <f t="shared" si="38"/>
        <v>60000</v>
      </c>
      <c r="Q35" s="7">
        <f t="shared" si="9"/>
        <v>4225953.2017614925</v>
      </c>
      <c r="R35" s="11">
        <f t="shared" si="34"/>
        <v>105648.83004403731</v>
      </c>
      <c r="S35" s="11">
        <f t="shared" ref="S35:T35" si="79">S34-(S34*0.001)</f>
        <v>44020345.851682208</v>
      </c>
      <c r="T35" s="11">
        <f t="shared" si="79"/>
        <v>61628484.192355096</v>
      </c>
      <c r="U35" s="12">
        <f t="shared" si="14"/>
        <v>1.0468703125433172</v>
      </c>
      <c r="V35" s="8">
        <v>12</v>
      </c>
      <c r="W35" s="2">
        <v>0.5</v>
      </c>
      <c r="X35" s="1"/>
      <c r="Y35" s="1"/>
      <c r="Z35" s="1"/>
    </row>
    <row r="36" spans="1:26" ht="12.75" x14ac:dyDescent="0.2">
      <c r="A36" s="2" t="s">
        <v>50</v>
      </c>
      <c r="B36" s="14">
        <f t="shared" si="5"/>
        <v>2465259.123492396</v>
      </c>
      <c r="C36" s="7">
        <f t="shared" si="6"/>
        <v>14791554.740954377</v>
      </c>
      <c r="D36" s="6">
        <f t="shared" si="63"/>
        <v>7963228.1976406453</v>
      </c>
      <c r="E36" s="18">
        <f t="shared" si="56"/>
        <v>6828326.5433137314</v>
      </c>
      <c r="F36" s="1" t="s">
        <v>83</v>
      </c>
      <c r="G36" s="18">
        <f>SUM(E24:E36)</f>
        <v>42232186.581439346</v>
      </c>
      <c r="H36" s="1"/>
      <c r="I36" s="1"/>
      <c r="J36" s="1"/>
      <c r="K36" s="7">
        <f t="shared" ref="K36:N36" si="80">K35*1</f>
        <v>300000</v>
      </c>
      <c r="L36" s="7">
        <f t="shared" si="80"/>
        <v>300000</v>
      </c>
      <c r="M36" s="7">
        <f t="shared" si="80"/>
        <v>300000</v>
      </c>
      <c r="N36" s="7">
        <f t="shared" si="80"/>
        <v>240000</v>
      </c>
      <c r="O36" s="7">
        <f t="shared" si="8"/>
        <v>70154.267054507363</v>
      </c>
      <c r="P36" s="7">
        <f t="shared" si="38"/>
        <v>60000</v>
      </c>
      <c r="Q36" s="7">
        <f t="shared" si="9"/>
        <v>4221727.2485597311</v>
      </c>
      <c r="R36" s="11">
        <f t="shared" si="34"/>
        <v>105543.18121399327</v>
      </c>
      <c r="S36" s="11">
        <f t="shared" ref="S36:T36" si="81">S35-(S35*0.001)</f>
        <v>43976325.505830526</v>
      </c>
      <c r="T36" s="11">
        <f t="shared" si="81"/>
        <v>61566855.70816274</v>
      </c>
      <c r="U36" s="12">
        <f t="shared" si="14"/>
        <v>1.044727070459204</v>
      </c>
      <c r="V36" s="8">
        <v>12</v>
      </c>
      <c r="W36" s="2">
        <v>0.5</v>
      </c>
      <c r="X36" s="1"/>
      <c r="Y36" s="1"/>
      <c r="Z36" s="1"/>
    </row>
    <row r="37" spans="1:26" ht="12.75" x14ac:dyDescent="0.2">
      <c r="A37" s="2" t="s">
        <v>51</v>
      </c>
      <c r="B37" s="14">
        <f t="shared" si="5"/>
        <v>2570696.7615251751</v>
      </c>
      <c r="C37" s="7">
        <f t="shared" si="6"/>
        <v>15424180.569151051</v>
      </c>
      <c r="D37" s="6">
        <f t="shared" si="63"/>
        <v>7960158.4037471041</v>
      </c>
      <c r="E37" s="18">
        <f t="shared" si="56"/>
        <v>7464022.1654039472</v>
      </c>
      <c r="F37" s="1"/>
      <c r="G37" s="1"/>
      <c r="H37" s="1"/>
      <c r="I37" s="1"/>
      <c r="J37" s="1"/>
      <c r="K37" s="7">
        <f t="shared" ref="K37:N37" si="82">K36*1</f>
        <v>300000</v>
      </c>
      <c r="L37" s="7">
        <f t="shared" si="82"/>
        <v>300000</v>
      </c>
      <c r="M37" s="7">
        <f t="shared" si="82"/>
        <v>300000</v>
      </c>
      <c r="N37" s="7">
        <f t="shared" si="82"/>
        <v>240000</v>
      </c>
      <c r="O37" s="7">
        <f t="shared" si="8"/>
        <v>72258.895066142592</v>
      </c>
      <c r="P37" s="7">
        <f t="shared" si="38"/>
        <v>60000</v>
      </c>
      <c r="Q37" s="7">
        <f t="shared" si="9"/>
        <v>4217505.5213111714</v>
      </c>
      <c r="R37" s="11">
        <f t="shared" si="34"/>
        <v>105437.63803277927</v>
      </c>
      <c r="S37" s="11">
        <f t="shared" ref="S37:T37" si="83">S36-(S36*0.001)</f>
        <v>43932349.180324696</v>
      </c>
      <c r="T37" s="11">
        <f t="shared" si="83"/>
        <v>61505288.85245458</v>
      </c>
      <c r="U37" s="12">
        <f t="shared" si="14"/>
        <v>1.0427693937030893</v>
      </c>
      <c r="V37" s="8">
        <v>12</v>
      </c>
      <c r="W37" s="2">
        <v>0.5</v>
      </c>
      <c r="X37" s="1"/>
      <c r="Y37" s="1"/>
      <c r="Z37" s="1"/>
    </row>
    <row r="38" spans="1:26" ht="12.75" x14ac:dyDescent="0.2">
      <c r="A38" s="2" t="s">
        <v>52</v>
      </c>
      <c r="B38" s="14">
        <f t="shared" si="5"/>
        <v>2676028.9619199215</v>
      </c>
      <c r="C38" s="7">
        <f t="shared" si="6"/>
        <v>16056173.771519529</v>
      </c>
      <c r="D38" s="6">
        <f t="shared" si="63"/>
        <v>7957186.2826765804</v>
      </c>
      <c r="E38" s="18">
        <f t="shared" si="56"/>
        <v>8098987.4888429483</v>
      </c>
      <c r="F38" s="1"/>
      <c r="G38" s="1"/>
      <c r="H38" s="1"/>
      <c r="I38" s="1"/>
      <c r="J38" s="1"/>
      <c r="K38" s="7">
        <f t="shared" ref="K38:N38" si="84">K37*1</f>
        <v>300000</v>
      </c>
      <c r="L38" s="7">
        <f t="shared" si="84"/>
        <v>300000</v>
      </c>
      <c r="M38" s="7">
        <f t="shared" si="84"/>
        <v>300000</v>
      </c>
      <c r="N38" s="7">
        <f t="shared" si="84"/>
        <v>240000</v>
      </c>
      <c r="O38" s="7">
        <f t="shared" si="8"/>
        <v>74426.661918126876</v>
      </c>
      <c r="P38" s="7">
        <f t="shared" si="38"/>
        <v>60000</v>
      </c>
      <c r="Q38" s="7">
        <f t="shared" si="9"/>
        <v>4213288.0157898599</v>
      </c>
      <c r="R38" s="11">
        <f t="shared" si="34"/>
        <v>105332.2003947465</v>
      </c>
      <c r="S38" s="11">
        <f t="shared" ref="S38:T38" si="85">S37-(S37*0.001)</f>
        <v>43888416.83114437</v>
      </c>
      <c r="T38" s="11">
        <f t="shared" si="85"/>
        <v>61443783.563602127</v>
      </c>
      <c r="U38" s="12">
        <f t="shared" si="14"/>
        <v>1.0409741833308468</v>
      </c>
      <c r="V38" s="8">
        <v>12</v>
      </c>
      <c r="W38" s="2">
        <v>0.5</v>
      </c>
      <c r="X38" s="1"/>
      <c r="Y38" s="1"/>
      <c r="Z38" s="1"/>
    </row>
    <row r="39" spans="1:26" ht="12.75" x14ac:dyDescent="0.2">
      <c r="A39" s="2" t="s">
        <v>53</v>
      </c>
      <c r="B39" s="14">
        <f t="shared" si="5"/>
        <v>2781255.8301142734</v>
      </c>
      <c r="C39" s="7">
        <f t="shared" si="6"/>
        <v>16687534.98068564</v>
      </c>
      <c r="D39" s="6">
        <f>SUM(K39:Q39)*1.6</f>
        <v>8777174.7032795865</v>
      </c>
      <c r="E39" s="18">
        <f t="shared" si="56"/>
        <v>7910360.2774060536</v>
      </c>
      <c r="F39" s="1"/>
      <c r="G39" s="1"/>
      <c r="H39" s="1"/>
      <c r="I39" s="1"/>
      <c r="J39" s="1"/>
      <c r="K39" s="7">
        <f t="shared" ref="K39:N39" si="86">K38*1</f>
        <v>300000</v>
      </c>
      <c r="L39" s="7">
        <f t="shared" si="86"/>
        <v>300000</v>
      </c>
      <c r="M39" s="7">
        <f t="shared" si="86"/>
        <v>300000</v>
      </c>
      <c r="N39" s="7">
        <f t="shared" si="86"/>
        <v>240000</v>
      </c>
      <c r="O39" s="7">
        <f t="shared" si="8"/>
        <v>76659.461775670687</v>
      </c>
      <c r="P39" s="7">
        <f t="shared" si="38"/>
        <v>60000</v>
      </c>
      <c r="Q39" s="7">
        <f t="shared" si="9"/>
        <v>4209074.7277740706</v>
      </c>
      <c r="R39" s="11">
        <f t="shared" si="34"/>
        <v>105226.86819435176</v>
      </c>
      <c r="S39" s="11">
        <f t="shared" ref="S39:T39" si="87">S38-(S38*0.001)</f>
        <v>43844528.414313227</v>
      </c>
      <c r="T39" s="11">
        <f t="shared" si="87"/>
        <v>61382339.780038528</v>
      </c>
      <c r="U39" s="12">
        <f t="shared" si="14"/>
        <v>1.039322021432405</v>
      </c>
      <c r="V39" s="8">
        <v>12</v>
      </c>
      <c r="W39" s="2">
        <v>0.5</v>
      </c>
      <c r="X39" s="1"/>
      <c r="Y39" s="1"/>
      <c r="Z39" s="1"/>
    </row>
    <row r="40" spans="1:26" ht="12.75" x14ac:dyDescent="0.2">
      <c r="A40" s="2" t="s">
        <v>54</v>
      </c>
      <c r="B40" s="14">
        <f t="shared" si="5"/>
        <v>2886377.4714404307</v>
      </c>
      <c r="C40" s="7">
        <f t="shared" si="6"/>
        <v>17318264.828642584</v>
      </c>
      <c r="D40" s="6">
        <f t="shared" ref="D40:D51" si="88">SUM(K40:Q40)*1.6</f>
        <v>8774119.8378803786</v>
      </c>
      <c r="E40" s="18">
        <f t="shared" si="56"/>
        <v>8544144.9907622058</v>
      </c>
      <c r="F40" s="1"/>
      <c r="G40" s="1"/>
      <c r="H40" s="1"/>
      <c r="I40" s="1"/>
      <c r="J40" s="1"/>
      <c r="K40" s="7">
        <f t="shared" ref="K40:N40" si="89">K39*1</f>
        <v>300000</v>
      </c>
      <c r="L40" s="7">
        <f t="shared" si="89"/>
        <v>300000</v>
      </c>
      <c r="M40" s="7">
        <f t="shared" si="89"/>
        <v>300000</v>
      </c>
      <c r="N40" s="7">
        <f t="shared" si="89"/>
        <v>240000</v>
      </c>
      <c r="O40" s="7">
        <f t="shared" si="8"/>
        <v>78959.245628940815</v>
      </c>
      <c r="P40" s="7">
        <f t="shared" si="38"/>
        <v>60000</v>
      </c>
      <c r="Q40" s="7">
        <f t="shared" si="9"/>
        <v>4204865.653046296</v>
      </c>
      <c r="R40" s="11">
        <f t="shared" si="34"/>
        <v>105121.64132615741</v>
      </c>
      <c r="S40" s="11">
        <f t="shared" ref="S40:T40" si="90">S39-(S39*0.001)</f>
        <v>43800683.88589891</v>
      </c>
      <c r="T40" s="11">
        <f t="shared" si="90"/>
        <v>61320957.440258488</v>
      </c>
      <c r="U40" s="12">
        <f t="shared" si="14"/>
        <v>1.0377964659661814</v>
      </c>
      <c r="V40" s="8">
        <v>12</v>
      </c>
      <c r="W40" s="2">
        <v>0.5</v>
      </c>
      <c r="X40" s="1"/>
      <c r="Y40" s="1"/>
      <c r="Z40" s="1"/>
    </row>
    <row r="41" spans="1:26" ht="12.75" x14ac:dyDescent="0.2">
      <c r="A41" s="2" t="s">
        <v>55</v>
      </c>
      <c r="B41" s="14">
        <f t="shared" si="5"/>
        <v>2991393.9911252619</v>
      </c>
      <c r="C41" s="7">
        <f t="shared" si="6"/>
        <v>17948363.946751572</v>
      </c>
      <c r="D41" s="6">
        <f t="shared" si="88"/>
        <v>8771182.096625695</v>
      </c>
      <c r="E41" s="18">
        <f t="shared" si="56"/>
        <v>9177181.8501258772</v>
      </c>
      <c r="F41" s="1"/>
      <c r="G41" s="1"/>
      <c r="H41" s="1"/>
      <c r="I41" s="1"/>
      <c r="J41" s="1"/>
      <c r="K41" s="7">
        <f t="shared" ref="K41:N41" si="91">K40*1</f>
        <v>300000</v>
      </c>
      <c r="L41" s="7">
        <f t="shared" si="91"/>
        <v>300000</v>
      </c>
      <c r="M41" s="7">
        <f t="shared" si="91"/>
        <v>300000</v>
      </c>
      <c r="N41" s="7">
        <f t="shared" si="91"/>
        <v>240000</v>
      </c>
      <c r="O41" s="7">
        <f t="shared" si="8"/>
        <v>81328.022997809036</v>
      </c>
      <c r="P41" s="7">
        <f t="shared" si="38"/>
        <v>60000</v>
      </c>
      <c r="Q41" s="7">
        <f t="shared" si="9"/>
        <v>4200660.7873932496</v>
      </c>
      <c r="R41" s="11">
        <f t="shared" si="34"/>
        <v>105016.51968483123</v>
      </c>
      <c r="S41" s="11">
        <f t="shared" ref="S41:T41" si="92">S40-(S40*0.001)</f>
        <v>43756883.202013008</v>
      </c>
      <c r="T41" s="11">
        <f t="shared" si="92"/>
        <v>61259636.482818231</v>
      </c>
      <c r="U41" s="12">
        <f t="shared" si="14"/>
        <v>1.0363835017158802</v>
      </c>
      <c r="V41" s="8">
        <v>12</v>
      </c>
      <c r="W41" s="2">
        <v>0.5</v>
      </c>
      <c r="X41" s="1"/>
      <c r="Y41" s="1"/>
      <c r="Z41" s="1"/>
    </row>
    <row r="42" spans="1:26" ht="12.75" x14ac:dyDescent="0.2">
      <c r="A42" s="2" t="s">
        <v>56</v>
      </c>
      <c r="B42" s="14">
        <f t="shared" si="5"/>
        <v>3096305.4942904082</v>
      </c>
      <c r="C42" s="7">
        <f t="shared" si="6"/>
        <v>18577832.96574245</v>
      </c>
      <c r="D42" s="6">
        <f t="shared" si="88"/>
        <v>8768364.7844697591</v>
      </c>
      <c r="E42" s="18">
        <f t="shared" si="56"/>
        <v>9809468.1812726911</v>
      </c>
      <c r="F42" s="1"/>
      <c r="G42" s="1"/>
      <c r="H42" s="1"/>
      <c r="I42" s="1"/>
      <c r="J42" s="1"/>
      <c r="K42" s="7">
        <f t="shared" ref="K42:N42" si="93">K41*1</f>
        <v>300000</v>
      </c>
      <c r="L42" s="7">
        <f t="shared" si="93"/>
        <v>300000</v>
      </c>
      <c r="M42" s="7">
        <f t="shared" si="93"/>
        <v>300000</v>
      </c>
      <c r="N42" s="7">
        <f t="shared" si="93"/>
        <v>240000</v>
      </c>
      <c r="O42" s="7">
        <f t="shared" si="8"/>
        <v>83767.863687743302</v>
      </c>
      <c r="P42" s="7">
        <f t="shared" si="38"/>
        <v>60000</v>
      </c>
      <c r="Q42" s="7">
        <f t="shared" si="9"/>
        <v>4196460.1266058562</v>
      </c>
      <c r="R42" s="11">
        <f t="shared" si="34"/>
        <v>104911.50316514641</v>
      </c>
      <c r="S42" s="11">
        <f t="shared" ref="S42:T42" si="94">S41-(S41*0.001)</f>
        <v>43713126.318810992</v>
      </c>
      <c r="T42" s="11">
        <f t="shared" si="94"/>
        <v>61198376.846335411</v>
      </c>
      <c r="U42" s="12">
        <f t="shared" si="14"/>
        <v>1.0350711084786535</v>
      </c>
      <c r="V42" s="8">
        <v>12</v>
      </c>
      <c r="W42" s="2">
        <v>0.5</v>
      </c>
      <c r="X42" s="1"/>
      <c r="Y42" s="1"/>
      <c r="Z42" s="1"/>
    </row>
    <row r="43" spans="1:26" ht="12.75" x14ac:dyDescent="0.2">
      <c r="A43" s="2" t="s">
        <v>57</v>
      </c>
      <c r="B43" s="14">
        <f t="shared" si="5"/>
        <v>3201112.0859523895</v>
      </c>
      <c r="C43" s="7">
        <f t="shared" si="6"/>
        <v>19206672.515714336</v>
      </c>
      <c r="D43" s="6">
        <f t="shared" si="88"/>
        <v>8765671.3057242017</v>
      </c>
      <c r="E43" s="18">
        <f t="shared" si="56"/>
        <v>10441001.209990134</v>
      </c>
      <c r="F43" s="1"/>
      <c r="G43" s="1"/>
      <c r="H43" s="1"/>
      <c r="I43" s="1"/>
      <c r="J43" s="1"/>
      <c r="K43" s="7">
        <f t="shared" ref="K43:N43" si="95">K42*1</f>
        <v>300000</v>
      </c>
      <c r="L43" s="7">
        <f t="shared" si="95"/>
        <v>300000</v>
      </c>
      <c r="M43" s="7">
        <f t="shared" si="95"/>
        <v>300000</v>
      </c>
      <c r="N43" s="7">
        <f t="shared" si="95"/>
        <v>240000</v>
      </c>
      <c r="O43" s="7">
        <f t="shared" si="8"/>
        <v>86280.899598375603</v>
      </c>
      <c r="P43" s="7">
        <f t="shared" si="38"/>
        <v>60000</v>
      </c>
      <c r="Q43" s="7">
        <f t="shared" si="9"/>
        <v>4192263.66647925</v>
      </c>
      <c r="R43" s="11">
        <f t="shared" si="34"/>
        <v>104806.59166198125</v>
      </c>
      <c r="S43" s="11">
        <f t="shared" ref="S43:T43" si="96">S42-(S42*0.001)</f>
        <v>43669413.19249218</v>
      </c>
      <c r="T43" s="11">
        <f t="shared" si="96"/>
        <v>61137178.469489075</v>
      </c>
      <c r="U43" s="12">
        <f t="shared" si="14"/>
        <v>1.0338489182851127</v>
      </c>
      <c r="V43" s="8">
        <v>12</v>
      </c>
      <c r="W43" s="2">
        <v>0.5</v>
      </c>
      <c r="X43" s="1"/>
      <c r="Y43" s="1"/>
      <c r="Z43" s="1"/>
    </row>
    <row r="44" spans="1:26" ht="12.75" x14ac:dyDescent="0.2">
      <c r="A44" s="2" t="s">
        <v>58</v>
      </c>
      <c r="B44" s="14">
        <f t="shared" si="5"/>
        <v>3305813.8710227087</v>
      </c>
      <c r="C44" s="7">
        <f t="shared" si="6"/>
        <v>19834883.226136252</v>
      </c>
      <c r="D44" s="6">
        <f t="shared" si="88"/>
        <v>8763105.1670385581</v>
      </c>
      <c r="E44" s="18">
        <f t="shared" si="56"/>
        <v>11071778.059097694</v>
      </c>
      <c r="F44" s="1"/>
      <c r="G44" s="1"/>
      <c r="H44" s="1"/>
      <c r="I44" s="1"/>
      <c r="J44" s="1"/>
      <c r="K44" s="7">
        <f t="shared" ref="K44:N44" si="97">K43*1</f>
        <v>300000</v>
      </c>
      <c r="L44" s="7">
        <f t="shared" si="97"/>
        <v>300000</v>
      </c>
      <c r="M44" s="7">
        <f t="shared" si="97"/>
        <v>300000</v>
      </c>
      <c r="N44" s="7">
        <f t="shared" si="97"/>
        <v>240000</v>
      </c>
      <c r="O44" s="7">
        <f t="shared" si="8"/>
        <v>88869.326586326875</v>
      </c>
      <c r="P44" s="7">
        <f t="shared" si="38"/>
        <v>60000</v>
      </c>
      <c r="Q44" s="7">
        <f t="shared" si="9"/>
        <v>4188071.4028127715</v>
      </c>
      <c r="R44" s="11">
        <f t="shared" si="34"/>
        <v>104701.78507031928</v>
      </c>
      <c r="S44" s="11">
        <f t="shared" ref="S44:T44" si="98">S43-(S43*0.001)</f>
        <v>43625743.779299684</v>
      </c>
      <c r="T44" s="11">
        <f t="shared" si="98"/>
        <v>61076041.291019589</v>
      </c>
      <c r="U44" s="12">
        <f t="shared" si="14"/>
        <v>1.0327079409464566</v>
      </c>
      <c r="V44" s="8">
        <v>12</v>
      </c>
      <c r="W44" s="2">
        <v>0.5</v>
      </c>
      <c r="X44" s="1"/>
      <c r="Y44" s="1"/>
      <c r="Z44" s="1"/>
    </row>
    <row r="45" spans="1:26" ht="12.75" x14ac:dyDescent="0.2">
      <c r="A45" s="2" t="s">
        <v>59</v>
      </c>
      <c r="B45" s="14">
        <f t="shared" si="5"/>
        <v>3410410.9543079576</v>
      </c>
      <c r="C45" s="7">
        <f t="shared" si="6"/>
        <v>20462465.725847743</v>
      </c>
      <c r="D45" s="6">
        <f t="shared" si="88"/>
        <v>8760669.980470201</v>
      </c>
      <c r="E45" s="18">
        <f t="shared" si="56"/>
        <v>11701795.745377542</v>
      </c>
      <c r="F45" s="1"/>
      <c r="G45" s="1"/>
      <c r="H45" s="1"/>
      <c r="I45" s="1"/>
      <c r="J45" s="1"/>
      <c r="K45" s="7">
        <f t="shared" ref="K45:N45" si="99">K44*1</f>
        <v>300000</v>
      </c>
      <c r="L45" s="7">
        <f t="shared" si="99"/>
        <v>300000</v>
      </c>
      <c r="M45" s="7">
        <f t="shared" si="99"/>
        <v>300000</v>
      </c>
      <c r="N45" s="7">
        <f t="shared" si="99"/>
        <v>240000</v>
      </c>
      <c r="O45" s="7">
        <f t="shared" si="8"/>
        <v>91535.406383916677</v>
      </c>
      <c r="P45" s="7">
        <f t="shared" si="38"/>
        <v>60000</v>
      </c>
      <c r="Q45" s="7">
        <f t="shared" si="9"/>
        <v>4183883.3314099582</v>
      </c>
      <c r="R45" s="11">
        <f t="shared" si="34"/>
        <v>104597.08328524895</v>
      </c>
      <c r="S45" s="11">
        <f t="shared" ref="S45:T45" si="100">S44-(S44*0.001)</f>
        <v>43582118.035520382</v>
      </c>
      <c r="T45" s="11">
        <f t="shared" si="100"/>
        <v>61014965.249728568</v>
      </c>
      <c r="U45" s="12">
        <f t="shared" si="14"/>
        <v>1.0316403425498635</v>
      </c>
      <c r="V45" s="8">
        <v>12</v>
      </c>
      <c r="W45" s="2">
        <v>0.5</v>
      </c>
      <c r="X45" s="1"/>
      <c r="Y45" s="1"/>
      <c r="Z45" s="1"/>
    </row>
    <row r="46" spans="1:26" ht="12.75" x14ac:dyDescent="0.2">
      <c r="A46" s="2" t="s">
        <v>60</v>
      </c>
      <c r="B46" s="14">
        <f t="shared" si="5"/>
        <v>3514903.4405099214</v>
      </c>
      <c r="C46" s="7">
        <f t="shared" si="6"/>
        <v>21089420.643059529</v>
      </c>
      <c r="D46" s="6">
        <f t="shared" si="88"/>
        <v>8758369.4666463733</v>
      </c>
      <c r="E46" s="18">
        <f t="shared" si="56"/>
        <v>12331051.176413156</v>
      </c>
      <c r="F46" s="1"/>
      <c r="G46" s="1"/>
      <c r="H46" s="1"/>
      <c r="I46" s="1"/>
      <c r="J46" s="1"/>
      <c r="K46" s="7">
        <f t="shared" ref="K46:N46" si="101">K45*1</f>
        <v>300000</v>
      </c>
      <c r="L46" s="7">
        <f t="shared" si="101"/>
        <v>300000</v>
      </c>
      <c r="M46" s="7">
        <f t="shared" si="101"/>
        <v>300000</v>
      </c>
      <c r="N46" s="7">
        <f t="shared" si="101"/>
        <v>240000</v>
      </c>
      <c r="O46" s="7">
        <f t="shared" si="8"/>
        <v>94281.468575434177</v>
      </c>
      <c r="P46" s="7">
        <f t="shared" si="38"/>
        <v>60000</v>
      </c>
      <c r="Q46" s="7">
        <f t="shared" si="9"/>
        <v>4179699.4480785485</v>
      </c>
      <c r="R46" s="11">
        <f t="shared" si="34"/>
        <v>104492.48620196371</v>
      </c>
      <c r="S46" s="11">
        <f t="shared" ref="S46:T46" si="102">S45-(S45*0.001)</f>
        <v>43538535.917484865</v>
      </c>
      <c r="T46" s="11">
        <f t="shared" si="102"/>
        <v>60953950.284478836</v>
      </c>
      <c r="U46" s="12">
        <f t="shared" si="14"/>
        <v>1.0306392653559746</v>
      </c>
      <c r="V46" s="8">
        <v>12</v>
      </c>
      <c r="W46" s="2">
        <v>0.5</v>
      </c>
      <c r="X46" s="1"/>
      <c r="Y46" s="1"/>
      <c r="Z46" s="1"/>
    </row>
    <row r="47" spans="1:26" ht="12.75" x14ac:dyDescent="0.2">
      <c r="A47" s="2" t="s">
        <v>61</v>
      </c>
      <c r="B47" s="14">
        <f t="shared" si="5"/>
        <v>3619291.4342256831</v>
      </c>
      <c r="C47" s="7">
        <f t="shared" si="6"/>
        <v>21715748.6053541</v>
      </c>
      <c r="D47" s="6">
        <f t="shared" si="88"/>
        <v>8756207.4580210671</v>
      </c>
      <c r="E47" s="18">
        <f t="shared" si="56"/>
        <v>12959541.147333033</v>
      </c>
      <c r="F47" s="1"/>
      <c r="G47" s="1"/>
      <c r="H47" s="1"/>
      <c r="I47" s="1"/>
      <c r="J47" s="1"/>
      <c r="K47" s="7">
        <f t="shared" ref="K47:N47" si="103">K46*1</f>
        <v>300000</v>
      </c>
      <c r="L47" s="7">
        <f t="shared" si="103"/>
        <v>300000</v>
      </c>
      <c r="M47" s="7">
        <f t="shared" si="103"/>
        <v>300000</v>
      </c>
      <c r="N47" s="7">
        <f t="shared" si="103"/>
        <v>240000</v>
      </c>
      <c r="O47" s="7">
        <f t="shared" si="8"/>
        <v>97109.912632697204</v>
      </c>
      <c r="P47" s="7">
        <f t="shared" si="38"/>
        <v>60000</v>
      </c>
      <c r="Q47" s="7">
        <f t="shared" si="9"/>
        <v>4175519.7486304697</v>
      </c>
      <c r="R47" s="11">
        <f t="shared" si="34"/>
        <v>104387.99371576174</v>
      </c>
      <c r="S47" s="11">
        <f t="shared" ref="S47:T47" si="104">S46-(S46*0.001)</f>
        <v>43494997.381567381</v>
      </c>
      <c r="T47" s="11">
        <f t="shared" si="104"/>
        <v>60892996.334194355</v>
      </c>
      <c r="U47" s="12">
        <f t="shared" si="14"/>
        <v>1.0296986803428709</v>
      </c>
      <c r="V47" s="8">
        <v>12</v>
      </c>
      <c r="W47" s="2">
        <v>0.5</v>
      </c>
      <c r="X47" s="1"/>
      <c r="Y47" s="1"/>
      <c r="Z47" s="1"/>
    </row>
    <row r="48" spans="1:26" ht="12.75" x14ac:dyDescent="0.2">
      <c r="A48" s="2" t="s">
        <v>62</v>
      </c>
      <c r="B48" s="14">
        <f t="shared" si="5"/>
        <v>3723575.0399477291</v>
      </c>
      <c r="C48" s="7">
        <f t="shared" si="6"/>
        <v>22341450.239686374</v>
      </c>
      <c r="D48" s="6">
        <f t="shared" si="88"/>
        <v>8754187.9022296276</v>
      </c>
      <c r="E48" s="18">
        <f t="shared" si="56"/>
        <v>13587262.337456746</v>
      </c>
      <c r="F48" s="1"/>
      <c r="G48" s="1"/>
      <c r="H48" s="1"/>
      <c r="I48" s="1"/>
      <c r="J48" s="1"/>
      <c r="K48" s="7">
        <f t="shared" ref="K48:N48" si="105">K47*1</f>
        <v>300000</v>
      </c>
      <c r="L48" s="7">
        <f t="shared" si="105"/>
        <v>300000</v>
      </c>
      <c r="M48" s="7">
        <f t="shared" si="105"/>
        <v>300000</v>
      </c>
      <c r="N48" s="7">
        <f t="shared" si="105"/>
        <v>240000</v>
      </c>
      <c r="O48" s="7">
        <f t="shared" si="8"/>
        <v>100023.21001167812</v>
      </c>
      <c r="P48" s="7">
        <f t="shared" si="38"/>
        <v>60000</v>
      </c>
      <c r="Q48" s="7">
        <f t="shared" si="9"/>
        <v>4171344.2288818392</v>
      </c>
      <c r="R48" s="11">
        <f t="shared" si="34"/>
        <v>104283.60572204598</v>
      </c>
      <c r="S48" s="11">
        <f t="shared" ref="S48:T48" si="106">S47-(S47*0.001)</f>
        <v>43451502.384185813</v>
      </c>
      <c r="T48" s="11">
        <f t="shared" si="106"/>
        <v>60832103.33786016</v>
      </c>
      <c r="U48" s="12">
        <f t="shared" si="14"/>
        <v>1.0288132656950175</v>
      </c>
      <c r="V48" s="8">
        <v>12</v>
      </c>
      <c r="W48" s="2">
        <v>0.5</v>
      </c>
      <c r="X48" s="1"/>
      <c r="Y48" s="1"/>
      <c r="Z48" s="1"/>
    </row>
    <row r="49" spans="1:26" ht="12.75" x14ac:dyDescent="0.2">
      <c r="A49" s="2" t="s">
        <v>63</v>
      </c>
      <c r="B49" s="14">
        <f t="shared" si="5"/>
        <v>3827754.3620640528</v>
      </c>
      <c r="C49" s="7">
        <f t="shared" si="6"/>
        <v>22966526.172384318</v>
      </c>
      <c r="D49" s="6">
        <f t="shared" si="88"/>
        <v>8752314.8655439764</v>
      </c>
      <c r="E49" s="18">
        <f t="shared" si="56"/>
        <v>14214211.306840342</v>
      </c>
      <c r="F49" s="1"/>
      <c r="G49" s="1"/>
      <c r="H49" s="1"/>
      <c r="I49" s="1"/>
      <c r="J49" s="1"/>
      <c r="K49" s="7">
        <f t="shared" ref="K49:N49" si="107">K48*1</f>
        <v>300000</v>
      </c>
      <c r="L49" s="7">
        <f t="shared" si="107"/>
        <v>300000</v>
      </c>
      <c r="M49" s="7">
        <f t="shared" si="107"/>
        <v>300000</v>
      </c>
      <c r="N49" s="7">
        <f t="shared" si="107"/>
        <v>240000</v>
      </c>
      <c r="O49" s="7">
        <f t="shared" si="8"/>
        <v>103023.90631202847</v>
      </c>
      <c r="P49" s="7">
        <f t="shared" si="38"/>
        <v>60000</v>
      </c>
      <c r="Q49" s="7">
        <f t="shared" si="9"/>
        <v>4167172.8846529569</v>
      </c>
      <c r="R49" s="11">
        <f t="shared" si="34"/>
        <v>104179.32211632392</v>
      </c>
      <c r="S49" s="11">
        <f t="shared" ref="S49:T49" si="108">S48-(S48*0.001)</f>
        <v>43408050.881801628</v>
      </c>
      <c r="T49" s="11">
        <f t="shared" si="108"/>
        <v>60771271.234522298</v>
      </c>
      <c r="U49" s="12">
        <f t="shared" si="14"/>
        <v>1.0279783060630319</v>
      </c>
      <c r="V49" s="8">
        <v>12</v>
      </c>
      <c r="W49" s="2">
        <v>0.5</v>
      </c>
      <c r="X49" s="1"/>
      <c r="Y49" s="1"/>
      <c r="Z49" s="1"/>
    </row>
    <row r="50" spans="1:26" ht="12.75" x14ac:dyDescent="0.2">
      <c r="A50" s="2" t="s">
        <v>64</v>
      </c>
      <c r="B50" s="14">
        <f t="shared" si="5"/>
        <v>3931829.5048582605</v>
      </c>
      <c r="C50" s="7">
        <f t="shared" si="6"/>
        <v>23590977.029149562</v>
      </c>
      <c r="D50" s="6">
        <f t="shared" si="88"/>
        <v>8750592.53643151</v>
      </c>
      <c r="E50" s="18">
        <f t="shared" si="56"/>
        <v>14840384.492718052</v>
      </c>
      <c r="F50" s="1"/>
      <c r="G50" s="1"/>
      <c r="H50" s="1"/>
      <c r="I50" s="1"/>
      <c r="J50" s="1"/>
      <c r="K50" s="7">
        <f t="shared" ref="K50:N50" si="109">K49*1</f>
        <v>300000</v>
      </c>
      <c r="L50" s="7">
        <f t="shared" si="109"/>
        <v>300000</v>
      </c>
      <c r="M50" s="7">
        <f t="shared" si="109"/>
        <v>300000</v>
      </c>
      <c r="N50" s="7">
        <f t="shared" si="109"/>
        <v>240000</v>
      </c>
      <c r="O50" s="7">
        <f t="shared" si="8"/>
        <v>106114.62350138933</v>
      </c>
      <c r="P50" s="7">
        <f t="shared" si="38"/>
        <v>60000</v>
      </c>
      <c r="Q50" s="7">
        <f t="shared" si="9"/>
        <v>4163005.7117683045</v>
      </c>
      <c r="R50" s="11">
        <f t="shared" si="34"/>
        <v>104075.14279420761</v>
      </c>
      <c r="S50" s="11">
        <f t="shared" ref="S50:T50" si="110">S49-(S49*0.001)</f>
        <v>43364642.830919825</v>
      </c>
      <c r="T50" s="11">
        <f t="shared" si="110"/>
        <v>60710499.963287778</v>
      </c>
      <c r="U50" s="12">
        <f t="shared" si="14"/>
        <v>1.0271896085667542</v>
      </c>
      <c r="V50" s="8">
        <v>12</v>
      </c>
      <c r="W50" s="2">
        <v>0.5</v>
      </c>
      <c r="X50" s="1"/>
      <c r="Y50" s="1"/>
      <c r="Z50" s="1"/>
    </row>
    <row r="51" spans="1:26" ht="12.75" x14ac:dyDescent="0.2">
      <c r="A51" s="2" t="s">
        <v>65</v>
      </c>
      <c r="B51" s="14">
        <f t="shared" si="5"/>
        <v>4035800.5725096739</v>
      </c>
      <c r="C51" s="7">
        <f t="shared" si="6"/>
        <v>24214803.435058042</v>
      </c>
      <c r="D51" s="6">
        <f t="shared" si="88"/>
        <v>8749025.2292207461</v>
      </c>
      <c r="E51" s="18">
        <f t="shared" si="56"/>
        <v>15465778.205837296</v>
      </c>
      <c r="F51" s="1"/>
      <c r="G51" s="1"/>
      <c r="H51" s="1"/>
      <c r="I51" s="1"/>
      <c r="J51" s="1"/>
      <c r="K51" s="7">
        <f t="shared" ref="K51:N51" si="111">K50*1</f>
        <v>300000</v>
      </c>
      <c r="L51" s="7">
        <f t="shared" si="111"/>
        <v>300000</v>
      </c>
      <c r="M51" s="7">
        <f t="shared" si="111"/>
        <v>300000</v>
      </c>
      <c r="N51" s="7">
        <f t="shared" si="111"/>
        <v>240000</v>
      </c>
      <c r="O51" s="7">
        <f t="shared" si="8"/>
        <v>109298.06220643102</v>
      </c>
      <c r="P51" s="7">
        <f t="shared" si="38"/>
        <v>60000</v>
      </c>
      <c r="Q51" s="7">
        <f t="shared" si="9"/>
        <v>4158842.7060565352</v>
      </c>
      <c r="R51" s="11">
        <f t="shared" si="34"/>
        <v>103971.06765141338</v>
      </c>
      <c r="S51" s="11">
        <f t="shared" ref="S51:T51" si="112">S50-(S50*0.001)</f>
        <v>43321278.188088901</v>
      </c>
      <c r="T51" s="11">
        <f t="shared" si="112"/>
        <v>60649789.463324487</v>
      </c>
      <c r="U51" s="12">
        <f t="shared" si="14"/>
        <v>1.0264434323825447</v>
      </c>
      <c r="V51" s="8">
        <v>12</v>
      </c>
      <c r="W51" s="2">
        <v>0.5</v>
      </c>
      <c r="X51" s="1"/>
      <c r="Y51" s="1"/>
      <c r="Z51" s="1"/>
    </row>
    <row r="52" spans="1:26" ht="12.75" x14ac:dyDescent="0.2">
      <c r="A52" s="2" t="s">
        <v>66</v>
      </c>
      <c r="B52" s="14">
        <f t="shared" si="5"/>
        <v>4139667.6690934356</v>
      </c>
      <c r="C52" s="7">
        <f t="shared" si="6"/>
        <v>24838006.014560614</v>
      </c>
      <c r="D52" s="6">
        <f>SUM(K52:Q52)*1.8</f>
        <v>9841069.5613615867</v>
      </c>
      <c r="E52" s="18">
        <f t="shared" si="56"/>
        <v>14996936.453199027</v>
      </c>
      <c r="F52" s="1"/>
      <c r="G52" s="1"/>
      <c r="H52" s="1"/>
      <c r="I52" s="1"/>
      <c r="J52" s="1"/>
      <c r="K52" s="7">
        <f t="shared" ref="K52:N52" si="113">K51*1</f>
        <v>300000</v>
      </c>
      <c r="L52" s="7">
        <f t="shared" si="113"/>
        <v>300000</v>
      </c>
      <c r="M52" s="7">
        <f t="shared" si="113"/>
        <v>300000</v>
      </c>
      <c r="N52" s="7">
        <f t="shared" si="113"/>
        <v>240000</v>
      </c>
      <c r="O52" s="7">
        <f t="shared" si="8"/>
        <v>112577.00407262395</v>
      </c>
      <c r="P52" s="7">
        <f t="shared" si="38"/>
        <v>60000</v>
      </c>
      <c r="Q52" s="7">
        <f t="shared" si="9"/>
        <v>4154683.8633504789</v>
      </c>
      <c r="R52" s="11">
        <f t="shared" si="34"/>
        <v>103867.09658376197</v>
      </c>
      <c r="S52" s="11">
        <f t="shared" ref="S52:T52" si="114">S51-(S51*0.001)</f>
        <v>43277956.909900814</v>
      </c>
      <c r="T52" s="11">
        <f t="shared" si="114"/>
        <v>60589139.673861161</v>
      </c>
      <c r="U52" s="12">
        <f t="shared" si="14"/>
        <v>1.0257364294190512</v>
      </c>
      <c r="V52" s="8">
        <v>12</v>
      </c>
      <c r="W52" s="2">
        <v>0.5</v>
      </c>
      <c r="X52" s="1"/>
      <c r="Y52" s="1"/>
      <c r="Z52" s="1"/>
    </row>
    <row r="53" spans="1:26" ht="12.75" x14ac:dyDescent="0.2">
      <c r="A53" s="2" t="s">
        <v>67</v>
      </c>
      <c r="B53" s="14">
        <f t="shared" si="5"/>
        <v>4243430.8985806135</v>
      </c>
      <c r="C53" s="7">
        <f t="shared" si="6"/>
        <v>25460585.391483679</v>
      </c>
      <c r="D53" s="6">
        <f t="shared" ref="D53:D62" si="115">SUM(K53:Q53)*1.8</f>
        <v>9839670.2886274774</v>
      </c>
      <c r="E53" s="18">
        <f t="shared" si="56"/>
        <v>15620915.102856202</v>
      </c>
      <c r="F53" s="1"/>
      <c r="G53" s="1"/>
      <c r="H53" s="1"/>
      <c r="I53" s="1"/>
      <c r="J53" s="1"/>
      <c r="K53" s="7">
        <f t="shared" ref="K53:N53" si="116">K52*1</f>
        <v>300000</v>
      </c>
      <c r="L53" s="7">
        <f t="shared" si="116"/>
        <v>300000</v>
      </c>
      <c r="M53" s="7">
        <f t="shared" si="116"/>
        <v>300000</v>
      </c>
      <c r="N53" s="7">
        <f t="shared" si="116"/>
        <v>240000</v>
      </c>
      <c r="O53" s="7">
        <f t="shared" si="8"/>
        <v>115954.31419480268</v>
      </c>
      <c r="P53" s="7">
        <f t="shared" si="38"/>
        <v>60000</v>
      </c>
      <c r="Q53" s="7">
        <f t="shared" si="9"/>
        <v>4150529.1794871287</v>
      </c>
      <c r="R53" s="11">
        <f t="shared" si="34"/>
        <v>103763.22948717822</v>
      </c>
      <c r="S53" s="11">
        <f t="shared" ref="S53:T53" si="117">S52-(S52*0.001)</f>
        <v>43234678.952990912</v>
      </c>
      <c r="T53" s="11">
        <f t="shared" si="117"/>
        <v>60528550.534187302</v>
      </c>
      <c r="U53" s="12">
        <f t="shared" si="14"/>
        <v>1.0250655940963256</v>
      </c>
      <c r="V53" s="8">
        <v>12</v>
      </c>
      <c r="W53" s="2">
        <v>0.5</v>
      </c>
      <c r="X53" s="1"/>
      <c r="Y53" s="1"/>
      <c r="Z53" s="1"/>
    </row>
    <row r="54" spans="1:26" ht="12.75" x14ac:dyDescent="0.2">
      <c r="A54" s="2" t="s">
        <v>68</v>
      </c>
      <c r="B54" s="14">
        <f t="shared" si="5"/>
        <v>4347090.3648383049</v>
      </c>
      <c r="C54" s="7">
        <f t="shared" si="6"/>
        <v>26082542.189029828</v>
      </c>
      <c r="D54" s="6">
        <f t="shared" si="115"/>
        <v>9838460.8690709192</v>
      </c>
      <c r="E54" s="18">
        <f t="shared" si="56"/>
        <v>16244081.319958908</v>
      </c>
      <c r="F54" s="1"/>
      <c r="G54" s="1"/>
      <c r="H54" s="1"/>
      <c r="I54" s="1"/>
      <c r="J54" s="1"/>
      <c r="K54" s="7">
        <f t="shared" ref="K54:N54" si="118">K53*1</f>
        <v>300000</v>
      </c>
      <c r="L54" s="7">
        <f t="shared" si="118"/>
        <v>300000</v>
      </c>
      <c r="M54" s="7">
        <f t="shared" si="118"/>
        <v>300000</v>
      </c>
      <c r="N54" s="7">
        <f t="shared" si="118"/>
        <v>240000</v>
      </c>
      <c r="O54" s="7">
        <f t="shared" si="8"/>
        <v>119432.94362064677</v>
      </c>
      <c r="P54" s="7">
        <f t="shared" si="38"/>
        <v>60000</v>
      </c>
      <c r="Q54" s="7">
        <f t="shared" si="9"/>
        <v>4146378.6503076414</v>
      </c>
      <c r="R54" s="11">
        <f t="shared" si="34"/>
        <v>103659.46625769103</v>
      </c>
      <c r="S54" s="11">
        <f t="shared" ref="S54:T54" si="119">S53-(S53*0.001)</f>
        <v>43191444.27403792</v>
      </c>
      <c r="T54" s="11">
        <f t="shared" si="119"/>
        <v>60468021.983653113</v>
      </c>
      <c r="U54" s="12">
        <f t="shared" si="14"/>
        <v>1.0244282206391919</v>
      </c>
      <c r="V54" s="8">
        <v>12</v>
      </c>
      <c r="W54" s="2">
        <v>0.5</v>
      </c>
      <c r="X54" s="1"/>
      <c r="Y54" s="1"/>
      <c r="Z54" s="1"/>
    </row>
    <row r="55" spans="1:26" ht="12.75" x14ac:dyDescent="0.2">
      <c r="A55" s="2" t="s">
        <v>69</v>
      </c>
      <c r="B55" s="14">
        <f t="shared" si="5"/>
        <v>4450646.1716297381</v>
      </c>
      <c r="C55" s="7">
        <f t="shared" si="6"/>
        <v>26703877.029778428</v>
      </c>
      <c r="D55" s="6">
        <f t="shared" si="115"/>
        <v>9837446.7664558794</v>
      </c>
      <c r="E55" s="18">
        <f t="shared" si="56"/>
        <v>16866430.263322547</v>
      </c>
      <c r="F55" s="1"/>
      <c r="G55" s="1"/>
      <c r="H55" s="1"/>
      <c r="I55" s="1"/>
      <c r="J55" s="1"/>
      <c r="K55" s="7">
        <f t="shared" ref="K55:N55" si="120">K54*1</f>
        <v>300000</v>
      </c>
      <c r="L55" s="7">
        <f t="shared" si="120"/>
        <v>300000</v>
      </c>
      <c r="M55" s="7">
        <f t="shared" si="120"/>
        <v>300000</v>
      </c>
      <c r="N55" s="7">
        <f t="shared" si="120"/>
        <v>240000</v>
      </c>
      <c r="O55" s="7">
        <f t="shared" si="8"/>
        <v>123015.93192926617</v>
      </c>
      <c r="P55" s="7">
        <f t="shared" si="38"/>
        <v>60000</v>
      </c>
      <c r="Q55" s="7">
        <f t="shared" si="9"/>
        <v>4142232.2716573337</v>
      </c>
      <c r="R55" s="11">
        <f t="shared" si="34"/>
        <v>103555.80679143334</v>
      </c>
      <c r="S55" s="11">
        <f t="shared" ref="S55:T55" si="121">S54-(S54*0.001)</f>
        <v>43148252.829763882</v>
      </c>
      <c r="T55" s="11">
        <f t="shared" si="121"/>
        <v>60407553.96166946</v>
      </c>
      <c r="U55" s="12">
        <f t="shared" si="14"/>
        <v>1.023821866605086</v>
      </c>
      <c r="V55" s="8">
        <v>12</v>
      </c>
      <c r="W55" s="2">
        <v>0.5</v>
      </c>
      <c r="X55" s="1"/>
      <c r="Y55" s="1"/>
      <c r="Z55" s="1"/>
    </row>
    <row r="56" spans="1:26" ht="12.75" x14ac:dyDescent="0.2">
      <c r="A56" s="2" t="s">
        <v>70</v>
      </c>
      <c r="B56" s="14">
        <f t="shared" si="5"/>
        <v>4554098.4226143798</v>
      </c>
      <c r="C56" s="7">
        <f t="shared" si="6"/>
        <v>27324590.535686277</v>
      </c>
      <c r="D56" s="6">
        <f t="shared" si="115"/>
        <v>9836633.6086910777</v>
      </c>
      <c r="E56" s="18">
        <f t="shared" si="56"/>
        <v>17487956.926995199</v>
      </c>
      <c r="F56" s="1"/>
      <c r="G56" s="1"/>
      <c r="H56" s="1"/>
      <c r="I56" s="1"/>
      <c r="J56" s="1"/>
      <c r="K56" s="7">
        <f t="shared" ref="K56:N56" si="122">K55*1</f>
        <v>300000</v>
      </c>
      <c r="L56" s="7">
        <f t="shared" si="122"/>
        <v>300000</v>
      </c>
      <c r="M56" s="7">
        <f t="shared" si="122"/>
        <v>300000</v>
      </c>
      <c r="N56" s="7">
        <f t="shared" si="122"/>
        <v>240000</v>
      </c>
      <c r="O56" s="7">
        <f t="shared" si="8"/>
        <v>126706.40988714415</v>
      </c>
      <c r="P56" s="7">
        <f t="shared" si="38"/>
        <v>60000</v>
      </c>
      <c r="Q56" s="7">
        <f t="shared" si="9"/>
        <v>4138090.0393856764</v>
      </c>
      <c r="R56" s="11">
        <f t="shared" si="34"/>
        <v>103452.25098464191</v>
      </c>
      <c r="S56" s="11">
        <f t="shared" ref="S56:T56" si="123">S55-(S55*0.001)</f>
        <v>43105104.576934122</v>
      </c>
      <c r="T56" s="11">
        <f t="shared" si="123"/>
        <v>60347146.407707788</v>
      </c>
      <c r="U56" s="12">
        <f t="shared" si="14"/>
        <v>1.0232443216097673</v>
      </c>
      <c r="V56" s="8">
        <v>12</v>
      </c>
      <c r="W56" s="2">
        <v>0.5</v>
      </c>
      <c r="X56" s="1"/>
      <c r="Y56" s="1"/>
      <c r="Z56" s="1"/>
    </row>
    <row r="57" spans="1:26" ht="12.75" x14ac:dyDescent="0.2">
      <c r="A57" s="2" t="s">
        <v>71</v>
      </c>
      <c r="B57" s="14">
        <f t="shared" si="5"/>
        <v>4657447.221348037</v>
      </c>
      <c r="C57" s="7">
        <f t="shared" si="6"/>
        <v>27944683.328088224</v>
      </c>
      <c r="D57" s="6">
        <f t="shared" si="115"/>
        <v>9836027.1927540898</v>
      </c>
      <c r="E57" s="18">
        <f t="shared" si="56"/>
        <v>18108656.135334134</v>
      </c>
      <c r="F57" s="1"/>
      <c r="G57" s="1"/>
      <c r="H57" s="1"/>
      <c r="I57" s="1"/>
      <c r="J57" s="1"/>
      <c r="K57" s="7">
        <f t="shared" ref="K57:N57" si="124">K56*1</f>
        <v>300000</v>
      </c>
      <c r="L57" s="7">
        <f t="shared" si="124"/>
        <v>300000</v>
      </c>
      <c r="M57" s="7">
        <f t="shared" si="124"/>
        <v>300000</v>
      </c>
      <c r="N57" s="7">
        <f t="shared" si="124"/>
        <v>240000</v>
      </c>
      <c r="O57" s="7">
        <f t="shared" si="8"/>
        <v>130507.60218375848</v>
      </c>
      <c r="P57" s="7">
        <f t="shared" si="38"/>
        <v>60000</v>
      </c>
      <c r="Q57" s="7">
        <f t="shared" si="9"/>
        <v>4133951.9493462914</v>
      </c>
      <c r="R57" s="11">
        <f t="shared" si="34"/>
        <v>103348.79873365728</v>
      </c>
      <c r="S57" s="11">
        <f t="shared" ref="S57:T57" si="125">S56-(S56*0.001)</f>
        <v>43061999.472357191</v>
      </c>
      <c r="T57" s="11">
        <f t="shared" si="125"/>
        <v>60286799.26130008</v>
      </c>
      <c r="U57" s="12">
        <f t="shared" si="14"/>
        <v>1.022693580406707</v>
      </c>
      <c r="V57" s="8">
        <v>12</v>
      </c>
      <c r="W57" s="2">
        <v>0.5</v>
      </c>
      <c r="X57" s="1"/>
      <c r="Y57" s="1"/>
      <c r="Z57" s="1"/>
    </row>
    <row r="58" spans="1:26" ht="12.75" x14ac:dyDescent="0.2">
      <c r="A58" s="2" t="s">
        <v>72</v>
      </c>
      <c r="B58" s="14">
        <f t="shared" si="5"/>
        <v>4760692.671282961</v>
      </c>
      <c r="C58" s="7">
        <f t="shared" si="6"/>
        <v>28564156.027697764</v>
      </c>
      <c r="D58" s="6">
        <f t="shared" si="115"/>
        <v>9835633.4897631891</v>
      </c>
      <c r="E58" s="18">
        <f t="shared" si="56"/>
        <v>18728522.537934575</v>
      </c>
      <c r="F58" s="1"/>
      <c r="G58" s="1"/>
      <c r="H58" s="1"/>
      <c r="I58" s="1"/>
      <c r="J58" s="1"/>
      <c r="K58" s="7">
        <f t="shared" ref="K58:N58" si="126">K57*1</f>
        <v>300000</v>
      </c>
      <c r="L58" s="7">
        <f t="shared" si="126"/>
        <v>300000</v>
      </c>
      <c r="M58" s="7">
        <f t="shared" si="126"/>
        <v>300000</v>
      </c>
      <c r="N58" s="7">
        <f t="shared" si="126"/>
        <v>240000</v>
      </c>
      <c r="O58" s="7">
        <f t="shared" si="8"/>
        <v>134422.83024927124</v>
      </c>
      <c r="P58" s="7">
        <f t="shared" si="38"/>
        <v>60000</v>
      </c>
      <c r="Q58" s="7">
        <f t="shared" si="9"/>
        <v>4129817.9973969446</v>
      </c>
      <c r="R58" s="11">
        <f t="shared" si="34"/>
        <v>103245.44993492361</v>
      </c>
      <c r="S58" s="11">
        <f t="shared" ref="S58:T58" si="127">S57-(S57*0.001)</f>
        <v>43018937.472884834</v>
      </c>
      <c r="T58" s="11">
        <f t="shared" si="127"/>
        <v>60226512.462038778</v>
      </c>
      <c r="U58" s="12">
        <f t="shared" si="14"/>
        <v>1.022167819629106</v>
      </c>
      <c r="V58" s="8">
        <v>12</v>
      </c>
      <c r="W58" s="2">
        <v>0.5</v>
      </c>
      <c r="X58" s="1"/>
      <c r="Y58" s="1"/>
      <c r="Z58" s="1"/>
    </row>
    <row r="59" spans="1:26" ht="12.75" x14ac:dyDescent="0.2">
      <c r="A59" s="2" t="s">
        <v>73</v>
      </c>
      <c r="B59" s="14">
        <f t="shared" si="5"/>
        <v>4863834.87576795</v>
      </c>
      <c r="C59" s="7">
        <f t="shared" si="6"/>
        <v>29183009.2546077</v>
      </c>
      <c r="D59" s="6">
        <f t="shared" si="115"/>
        <v>9835458.6502013337</v>
      </c>
      <c r="E59" s="18">
        <f t="shared" si="56"/>
        <v>19347550.604406364</v>
      </c>
      <c r="F59" s="1"/>
      <c r="G59" s="1"/>
      <c r="H59" s="1"/>
      <c r="I59" s="1"/>
      <c r="J59" s="1"/>
      <c r="K59" s="7">
        <f t="shared" ref="K59:N59" si="128">K58*1</f>
        <v>300000</v>
      </c>
      <c r="L59" s="7">
        <f t="shared" si="128"/>
        <v>300000</v>
      </c>
      <c r="M59" s="7">
        <f t="shared" si="128"/>
        <v>300000</v>
      </c>
      <c r="N59" s="7">
        <f t="shared" si="128"/>
        <v>240000</v>
      </c>
      <c r="O59" s="7">
        <f t="shared" si="8"/>
        <v>138455.51515674937</v>
      </c>
      <c r="P59" s="7">
        <f t="shared" si="38"/>
        <v>60000</v>
      </c>
      <c r="Q59" s="7">
        <f t="shared" si="9"/>
        <v>4125688.1793995472</v>
      </c>
      <c r="R59" s="11">
        <f t="shared" si="34"/>
        <v>103142.20448498867</v>
      </c>
      <c r="S59" s="11">
        <f t="shared" ref="S59:T59" si="129">S58-(S58*0.001)</f>
        <v>42975918.535411946</v>
      </c>
      <c r="T59" s="11">
        <f t="shared" si="129"/>
        <v>60166285.949576735</v>
      </c>
      <c r="U59" s="12">
        <f t="shared" si="14"/>
        <v>1.0216653776260658</v>
      </c>
      <c r="V59" s="8">
        <v>12</v>
      </c>
      <c r="W59" s="2">
        <v>0.5</v>
      </c>
      <c r="X59" s="1"/>
      <c r="Y59" s="1"/>
      <c r="Z59" s="1"/>
    </row>
    <row r="60" spans="1:26" ht="12.75" x14ac:dyDescent="0.2">
      <c r="A60" s="2" t="s">
        <v>74</v>
      </c>
      <c r="B60" s="14">
        <f t="shared" si="5"/>
        <v>4966873.938048454</v>
      </c>
      <c r="C60" s="7">
        <f t="shared" si="6"/>
        <v>29801243.628290724</v>
      </c>
      <c r="D60" s="6">
        <f t="shared" si="115"/>
        <v>9835509.0092968792</v>
      </c>
      <c r="E60" s="18">
        <f t="shared" si="56"/>
        <v>19965734.618993845</v>
      </c>
      <c r="F60" s="1"/>
      <c r="G60" s="1"/>
      <c r="H60" s="1"/>
      <c r="I60" s="1"/>
      <c r="J60" s="1"/>
      <c r="K60" s="7">
        <f t="shared" ref="K60:N60" si="130">K59*1</f>
        <v>300000</v>
      </c>
      <c r="L60" s="7">
        <f t="shared" si="130"/>
        <v>300000</v>
      </c>
      <c r="M60" s="7">
        <f t="shared" si="130"/>
        <v>300000</v>
      </c>
      <c r="N60" s="7">
        <f t="shared" si="130"/>
        <v>240000</v>
      </c>
      <c r="O60" s="7">
        <f t="shared" si="8"/>
        <v>142609.18061145185</v>
      </c>
      <c r="P60" s="7">
        <f t="shared" si="38"/>
        <v>60000</v>
      </c>
      <c r="Q60" s="7">
        <f t="shared" si="9"/>
        <v>4121562.4912201473</v>
      </c>
      <c r="R60" s="11">
        <f t="shared" si="34"/>
        <v>103039.06228050368</v>
      </c>
      <c r="S60" s="11">
        <f t="shared" ref="S60:T60" si="131">S59-(S59*0.001)</f>
        <v>42932942.616876535</v>
      </c>
      <c r="T60" s="11">
        <f t="shared" si="131"/>
        <v>60106119.663627155</v>
      </c>
      <c r="U60" s="12">
        <f t="shared" si="14"/>
        <v>1.021184736923092</v>
      </c>
      <c r="V60" s="8">
        <v>12</v>
      </c>
      <c r="W60" s="2">
        <v>0.5</v>
      </c>
      <c r="X60" s="1"/>
      <c r="Y60" s="1"/>
      <c r="Z60" s="1"/>
    </row>
    <row r="61" spans="1:26" ht="12.75" x14ac:dyDescent="0.2">
      <c r="A61" s="2" t="s">
        <v>75</v>
      </c>
      <c r="B61" s="14">
        <f t="shared" si="5"/>
        <v>5069809.9612666769</v>
      </c>
      <c r="C61" s="7">
        <f t="shared" si="6"/>
        <v>30418859.76760006</v>
      </c>
      <c r="D61" s="6">
        <f t="shared" si="115"/>
        <v>9835791.0925657023</v>
      </c>
      <c r="E61" s="18">
        <f t="shared" si="56"/>
        <v>20583068.675034359</v>
      </c>
      <c r="F61" s="1"/>
      <c r="G61" s="1"/>
      <c r="H61" s="1"/>
      <c r="I61" s="1"/>
      <c r="J61" s="1"/>
      <c r="K61" s="7">
        <f t="shared" ref="K61:N61" si="132">K60*1</f>
        <v>300000</v>
      </c>
      <c r="L61" s="7">
        <f t="shared" si="132"/>
        <v>300000</v>
      </c>
      <c r="M61" s="7">
        <f t="shared" si="132"/>
        <v>300000</v>
      </c>
      <c r="N61" s="7">
        <f t="shared" si="132"/>
        <v>240000</v>
      </c>
      <c r="O61" s="7">
        <f t="shared" si="8"/>
        <v>146887.4560297954</v>
      </c>
      <c r="P61" s="7">
        <f t="shared" si="38"/>
        <v>60000</v>
      </c>
      <c r="Q61" s="7">
        <f t="shared" si="9"/>
        <v>4117440.9287289274</v>
      </c>
      <c r="R61" s="11">
        <f t="shared" si="34"/>
        <v>102936.02321822318</v>
      </c>
      <c r="S61" s="11">
        <f t="shared" ref="S61:T61" si="133">S60-(S60*0.001)</f>
        <v>42890009.674259655</v>
      </c>
      <c r="T61" s="11">
        <f t="shared" si="133"/>
        <v>60046013.543963529</v>
      </c>
      <c r="U61" s="12">
        <f t="shared" si="14"/>
        <v>1.0207245089169039</v>
      </c>
      <c r="V61" s="8">
        <v>12</v>
      </c>
      <c r="W61" s="2">
        <v>0.5</v>
      </c>
      <c r="X61" s="1"/>
      <c r="Y61" s="1"/>
      <c r="Z61" s="1"/>
    </row>
    <row r="62" spans="1:26" ht="12.75" x14ac:dyDescent="0.2">
      <c r="A62" s="2" t="s">
        <v>76</v>
      </c>
      <c r="B62" s="14">
        <f t="shared" si="5"/>
        <v>5172643.0484616822</v>
      </c>
      <c r="C62" s="7">
        <f t="shared" si="6"/>
        <v>31035858.290770091</v>
      </c>
      <c r="D62" s="6">
        <f t="shared" si="115"/>
        <v>9836311.6215195991</v>
      </c>
      <c r="E62" s="18">
        <f t="shared" si="56"/>
        <v>21199546.669250492</v>
      </c>
      <c r="F62" s="1"/>
      <c r="G62" s="1"/>
      <c r="H62" s="1"/>
      <c r="I62" s="1"/>
      <c r="J62" s="1"/>
      <c r="K62" s="7">
        <f t="shared" ref="K62:N62" si="134">K61*1</f>
        <v>300000</v>
      </c>
      <c r="L62" s="7">
        <f t="shared" si="134"/>
        <v>300000</v>
      </c>
      <c r="M62" s="7">
        <f t="shared" si="134"/>
        <v>300000</v>
      </c>
      <c r="N62" s="7">
        <f t="shared" si="134"/>
        <v>240000</v>
      </c>
      <c r="O62" s="7">
        <f t="shared" si="8"/>
        <v>151294.07971068926</v>
      </c>
      <c r="P62" s="7">
        <f t="shared" si="38"/>
        <v>60000</v>
      </c>
      <c r="Q62" s="7">
        <f t="shared" si="9"/>
        <v>4113323.4878001991</v>
      </c>
      <c r="R62" s="11">
        <f t="shared" si="34"/>
        <v>102833.08719500498</v>
      </c>
      <c r="S62" s="11">
        <f t="shared" ref="S62:T62" si="135">S61-(S61*0.001)</f>
        <v>42847119.664585397</v>
      </c>
      <c r="T62" s="11">
        <f t="shared" si="135"/>
        <v>59985967.530419566</v>
      </c>
      <c r="U62" s="12">
        <f t="shared" si="14"/>
        <v>1.0202834204793965</v>
      </c>
      <c r="V62" s="8">
        <v>12</v>
      </c>
      <c r="W62" s="2">
        <v>0.5</v>
      </c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3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1">
        <f>SUM(R3:R62)</f>
        <v>5172643.0484616822</v>
      </c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K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 Financeira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ltaborda</dc:creator>
  <cp:lastModifiedBy>Lourenco Taborda</cp:lastModifiedBy>
  <dcterms:created xsi:type="dcterms:W3CDTF">2021-03-18T19:08:26Z</dcterms:created>
  <dcterms:modified xsi:type="dcterms:W3CDTF">2021-03-19T00:08:49Z</dcterms:modified>
</cp:coreProperties>
</file>