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tacaro/Documents/GitHub/Oman-2023/data/gc_data/"/>
    </mc:Choice>
  </mc:AlternateContent>
  <xr:revisionPtr revIDLastSave="0" documentId="13_ncr:1_{18DDA0F0-88DE-914B-A0F8-7A4F5B8D62FB}" xr6:coauthVersionLast="47" xr6:coauthVersionMax="47" xr10:uidLastSave="{00000000-0000-0000-0000-000000000000}"/>
  <bookViews>
    <workbookView xWindow="0" yWindow="760" windowWidth="15120" windowHeight="18880" tabRatio="500" firstSheet="1" activeTab="2" xr2:uid="{00000000-000D-0000-FFFF-FFFF00000000}"/>
  </bookViews>
  <sheets>
    <sheet name="sample conc. Calcs." sheetId="10" r:id="rId1"/>
    <sheet name="Henry's constants" sheetId="38" r:id="rId2"/>
    <sheet name="std. conc. calcs" sheetId="1" r:id="rId3"/>
    <sheet name="CO calib (FID)" sheetId="14" r:id="rId4"/>
    <sheet name="CH4 calib (FID)" sheetId="4" r:id="rId5"/>
    <sheet name="CO2 calib (FID)" sheetId="5" r:id="rId6"/>
    <sheet name="H2 calib (TCD)" sheetId="2" r:id="rId7"/>
    <sheet name="20181011" sheetId="39" r:id="rId8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0" i="1" l="1"/>
  <c r="C16" i="1"/>
  <c r="C17" i="1"/>
  <c r="C2" i="1"/>
  <c r="I2" i="1"/>
  <c r="D2" i="1"/>
  <c r="D18" i="1"/>
  <c r="E25" i="38"/>
  <c r="C19" i="38"/>
  <c r="C16" i="38"/>
  <c r="D21" i="1"/>
  <c r="C21" i="1"/>
  <c r="F13" i="38"/>
  <c r="E13" i="38"/>
  <c r="I18" i="1" l="1"/>
  <c r="C7" i="1"/>
  <c r="D7" i="1"/>
  <c r="D16" i="38"/>
  <c r="K2" i="1"/>
  <c r="E11" i="38"/>
  <c r="E10" i="38"/>
  <c r="C22" i="38"/>
  <c r="R9" i="38"/>
  <c r="D4" i="10"/>
  <c r="D3" i="10"/>
  <c r="B4" i="10"/>
  <c r="B5" i="10"/>
  <c r="A7" i="2" l="1"/>
  <c r="A6" i="2"/>
  <c r="A4" i="2"/>
  <c r="A7" i="5" l="1"/>
  <c r="A6" i="5"/>
  <c r="A3" i="5"/>
  <c r="A8" i="4"/>
  <c r="A9" i="4"/>
  <c r="A6" i="4"/>
  <c r="R10" i="38" l="1"/>
  <c r="B7" i="2" l="1"/>
  <c r="B14" i="1" l="1"/>
  <c r="C14" i="1" s="1"/>
  <c r="D14" i="1" s="1"/>
  <c r="F14" i="1"/>
  <c r="F7" i="1"/>
  <c r="B7" i="1"/>
  <c r="J7" i="4"/>
  <c r="J7" i="14"/>
  <c r="K7" i="14"/>
  <c r="A16" i="38"/>
  <c r="C17" i="38" s="1"/>
  <c r="D17" i="38" s="1"/>
  <c r="E17" i="38" s="1"/>
  <c r="M5" i="2"/>
  <c r="I5" i="5"/>
  <c r="J5" i="5"/>
  <c r="A22" i="38"/>
  <c r="C23" i="38" s="1"/>
  <c r="D23" i="38" s="1"/>
  <c r="E23" i="38" s="1"/>
  <c r="F11" i="38"/>
  <c r="E12" i="38"/>
  <c r="F12" i="38" s="1"/>
  <c r="F10" i="38"/>
  <c r="B13" i="1"/>
  <c r="C13" i="1" s="1"/>
  <c r="D13" i="1" s="1"/>
  <c r="F13" i="1"/>
  <c r="B24" i="1"/>
  <c r="C24" i="1" s="1"/>
  <c r="D24" i="1" s="1"/>
  <c r="F24" i="1"/>
  <c r="B21" i="1"/>
  <c r="F21" i="1"/>
  <c r="F10" i="1"/>
  <c r="B10" i="1"/>
  <c r="C10" i="1" s="1"/>
  <c r="D10" i="1" s="1"/>
  <c r="B18" i="1"/>
  <c r="C18" i="1" s="1"/>
  <c r="F18" i="1"/>
  <c r="B19" i="1"/>
  <c r="C19" i="1" s="1"/>
  <c r="D19" i="1" s="1"/>
  <c r="F19" i="1"/>
  <c r="B20" i="1"/>
  <c r="C20" i="1" s="1"/>
  <c r="D20" i="1" s="1"/>
  <c r="F20" i="1"/>
  <c r="B9" i="1"/>
  <c r="C9" i="1" s="1"/>
  <c r="F9" i="1"/>
  <c r="F8" i="1"/>
  <c r="N5" i="2"/>
  <c r="B6" i="5"/>
  <c r="B5" i="5"/>
  <c r="B3" i="5"/>
  <c r="B6" i="2"/>
  <c r="B5" i="2"/>
  <c r="B4" i="2"/>
  <c r="B3" i="2"/>
  <c r="B2" i="2"/>
  <c r="B16" i="1"/>
  <c r="D16" i="1" s="1"/>
  <c r="F16" i="1"/>
  <c r="B17" i="1"/>
  <c r="D17" i="1" s="1"/>
  <c r="F17" i="1"/>
  <c r="K7" i="4"/>
  <c r="B11" i="1"/>
  <c r="C11" i="1" s="1"/>
  <c r="D11" i="1" s="1"/>
  <c r="F11" i="1"/>
  <c r="B2" i="1"/>
  <c r="F2" i="1"/>
  <c r="B12" i="1"/>
  <c r="C12" i="1" s="1"/>
  <c r="D12" i="1" s="1"/>
  <c r="F12" i="1"/>
  <c r="F5" i="1"/>
  <c r="F6" i="1"/>
  <c r="B4" i="1"/>
  <c r="C4" i="1" s="1"/>
  <c r="D4" i="1" s="1"/>
  <c r="F4" i="1"/>
  <c r="B5" i="1"/>
  <c r="B6" i="1"/>
  <c r="B22" i="1"/>
  <c r="C22" i="1" s="1"/>
  <c r="D22" i="1" s="1"/>
  <c r="F22" i="1"/>
  <c r="B23" i="1"/>
  <c r="C23" i="1" s="1"/>
  <c r="D23" i="1" s="1"/>
  <c r="F23" i="1"/>
  <c r="B25" i="1"/>
  <c r="C25" i="1" s="1"/>
  <c r="D25" i="1" s="1"/>
  <c r="F25" i="1"/>
  <c r="B15" i="1"/>
  <c r="C15" i="1" s="1"/>
  <c r="D15" i="1" s="1"/>
  <c r="F15" i="1"/>
  <c r="B3" i="1"/>
  <c r="C3" i="1" s="1"/>
  <c r="D3" i="1" s="1"/>
  <c r="F3" i="1"/>
  <c r="B8" i="1"/>
  <c r="D22" i="38" l="1"/>
  <c r="E22" i="38" s="1"/>
  <c r="D19" i="38"/>
  <c r="E19" i="38" s="1"/>
  <c r="F4" i="10"/>
  <c r="J4" i="10" s="1"/>
  <c r="F6" i="10"/>
  <c r="F10" i="10"/>
  <c r="J10" i="10" s="1"/>
  <c r="F5" i="10"/>
  <c r="J5" i="10" s="1"/>
  <c r="F7" i="10"/>
  <c r="J7" i="10" s="1"/>
  <c r="F9" i="10"/>
  <c r="J9" i="10" s="1"/>
  <c r="F8" i="10"/>
  <c r="J8" i="10" s="1"/>
  <c r="G5" i="10"/>
  <c r="K5" i="10" s="1"/>
  <c r="G9" i="10"/>
  <c r="K9" i="10" s="1"/>
  <c r="G6" i="10"/>
  <c r="K6" i="10" s="1"/>
  <c r="G10" i="10"/>
  <c r="K10" i="10" s="1"/>
  <c r="G4" i="10"/>
  <c r="G7" i="10"/>
  <c r="K7" i="10" s="1"/>
  <c r="G8" i="10"/>
  <c r="K8" i="10" s="1"/>
  <c r="E5" i="10"/>
  <c r="I5" i="10" s="1"/>
  <c r="E7" i="10"/>
  <c r="I7" i="10" s="1"/>
  <c r="E9" i="10"/>
  <c r="I9" i="10" s="1"/>
  <c r="E6" i="10"/>
  <c r="I6" i="10" s="1"/>
  <c r="E8" i="10"/>
  <c r="I8" i="10" s="1"/>
  <c r="E4" i="10"/>
  <c r="I4" i="10" s="1"/>
  <c r="E10" i="10"/>
  <c r="I10" i="10" s="1"/>
  <c r="I13" i="1"/>
  <c r="J13" i="1" s="1"/>
  <c r="C25" i="38"/>
  <c r="D25" i="38" s="1"/>
  <c r="D6" i="10"/>
  <c r="H6" i="10" s="1"/>
  <c r="D5" i="10"/>
  <c r="H5" i="10" s="1"/>
  <c r="D9" i="10"/>
  <c r="H9" i="10" s="1"/>
  <c r="H4" i="10"/>
  <c r="D8" i="10"/>
  <c r="H8" i="10" s="1"/>
  <c r="D10" i="10"/>
  <c r="H10" i="10" s="1"/>
  <c r="D7" i="10"/>
  <c r="H7" i="10" s="1"/>
  <c r="C18" i="38"/>
  <c r="D18" i="38" s="1"/>
  <c r="E18" i="38" s="1"/>
  <c r="C24" i="38"/>
  <c r="D24" i="38" s="1"/>
  <c r="E24" i="38" s="1"/>
  <c r="E16" i="38"/>
  <c r="K4" i="10"/>
  <c r="J6" i="10"/>
  <c r="I12" i="1"/>
  <c r="K12" i="1" s="1"/>
  <c r="L12" i="1" s="1"/>
  <c r="M12" i="1" s="1"/>
  <c r="I21" i="1"/>
  <c r="J21" i="1" s="1"/>
  <c r="I3" i="1"/>
  <c r="K3" i="1" s="1"/>
  <c r="L3" i="1" s="1"/>
  <c r="M3" i="1" s="1"/>
  <c r="I22" i="1"/>
  <c r="J22" i="1" s="1"/>
  <c r="I4" i="1"/>
  <c r="K4" i="1" s="1"/>
  <c r="L4" i="1" s="1"/>
  <c r="M4" i="1" s="1"/>
  <c r="I17" i="1"/>
  <c r="K17" i="1" s="1"/>
  <c r="I11" i="1"/>
  <c r="K11" i="1" s="1"/>
  <c r="L11" i="1" s="1"/>
  <c r="M11" i="1" s="1"/>
  <c r="I15" i="1"/>
  <c r="K15" i="1" s="1"/>
  <c r="L15" i="1" s="1"/>
  <c r="M15" i="1" s="1"/>
  <c r="I16" i="1"/>
  <c r="K16" i="1" s="1"/>
  <c r="I23" i="1"/>
  <c r="K23" i="1" s="1"/>
  <c r="L23" i="1" s="1"/>
  <c r="M23" i="1" s="1"/>
  <c r="I14" i="1"/>
  <c r="I24" i="1"/>
  <c r="I10" i="1"/>
  <c r="I19" i="1"/>
  <c r="I25" i="1"/>
  <c r="I7" i="1"/>
  <c r="C6" i="1"/>
  <c r="D6" i="1" s="1"/>
  <c r="I6" i="1" s="1"/>
  <c r="D9" i="1"/>
  <c r="I9" i="1" s="1"/>
  <c r="C5" i="1"/>
  <c r="D5" i="1" s="1"/>
  <c r="I5" i="1" s="1"/>
  <c r="C8" i="1"/>
  <c r="C5" i="14" l="1"/>
  <c r="C4" i="5"/>
  <c r="C7" i="5"/>
  <c r="C8" i="14"/>
  <c r="C9" i="4"/>
  <c r="C7" i="2"/>
  <c r="K13" i="1"/>
  <c r="L13" i="1" s="1"/>
  <c r="M13" i="1" s="1"/>
  <c r="J12" i="1"/>
  <c r="K21" i="1"/>
  <c r="L21" i="1" s="1"/>
  <c r="M21" i="1" s="1"/>
  <c r="J15" i="1"/>
  <c r="K22" i="1"/>
  <c r="L22" i="1" s="1"/>
  <c r="M22" i="1" s="1"/>
  <c r="J3" i="1"/>
  <c r="J4" i="1"/>
  <c r="J11" i="1"/>
  <c r="J23" i="1"/>
  <c r="J17" i="1"/>
  <c r="L16" i="1"/>
  <c r="M16" i="1" s="1"/>
  <c r="J16" i="1"/>
  <c r="C2" i="14" s="1"/>
  <c r="K25" i="1"/>
  <c r="L25" i="1" s="1"/>
  <c r="M25" i="1" s="1"/>
  <c r="J25" i="1"/>
  <c r="K9" i="1"/>
  <c r="J9" i="1"/>
  <c r="K20" i="1"/>
  <c r="J20" i="1"/>
  <c r="K6" i="1"/>
  <c r="L6" i="1" s="1"/>
  <c r="M6" i="1" s="1"/>
  <c r="J6" i="1"/>
  <c r="K19" i="1"/>
  <c r="J19" i="1"/>
  <c r="K14" i="1"/>
  <c r="J14" i="1"/>
  <c r="K5" i="1"/>
  <c r="L5" i="1" s="1"/>
  <c r="M5" i="1" s="1"/>
  <c r="J5" i="1"/>
  <c r="K18" i="1"/>
  <c r="J18" i="1"/>
  <c r="K7" i="1"/>
  <c r="L7" i="1" s="1"/>
  <c r="M7" i="1" s="1"/>
  <c r="J7" i="1"/>
  <c r="J10" i="1"/>
  <c r="K10" i="1"/>
  <c r="K24" i="1"/>
  <c r="J24" i="1"/>
  <c r="C8" i="2" s="1"/>
  <c r="L2" i="1"/>
  <c r="M2" i="1" s="1"/>
  <c r="J2" i="1"/>
  <c r="L17" i="1"/>
  <c r="M17" i="1" s="1"/>
  <c r="D8" i="1"/>
  <c r="I8" i="1" s="1"/>
  <c r="G3" i="10" l="1"/>
  <c r="K3" i="10" s="1"/>
  <c r="C5" i="4"/>
  <c r="C3" i="2"/>
  <c r="F3" i="10"/>
  <c r="J3" i="10" s="1"/>
  <c r="C2" i="5"/>
  <c r="E3" i="10"/>
  <c r="I3" i="10" s="1"/>
  <c r="H3" i="10"/>
  <c r="C3" i="4"/>
  <c r="C6" i="5"/>
  <c r="C7" i="14"/>
  <c r="C8" i="4"/>
  <c r="C6" i="2"/>
  <c r="C5" i="5"/>
  <c r="C6" i="14"/>
  <c r="C5" i="2"/>
  <c r="C7" i="4"/>
  <c r="C4" i="14"/>
  <c r="C3" i="5"/>
  <c r="C4" i="2"/>
  <c r="C6" i="4"/>
  <c r="L9" i="1"/>
  <c r="M9" i="1" s="1"/>
  <c r="L19" i="1"/>
  <c r="M19" i="1" s="1"/>
  <c r="K8" i="1"/>
  <c r="L8" i="1" s="1"/>
  <c r="M8" i="1" s="1"/>
  <c r="J8" i="1"/>
  <c r="L14" i="1"/>
  <c r="M14" i="1" s="1"/>
  <c r="L24" i="1"/>
  <c r="M24" i="1" s="1"/>
  <c r="L18" i="1"/>
  <c r="M18" i="1" s="1"/>
  <c r="L10" i="1"/>
  <c r="M10" i="1" s="1"/>
  <c r="L20" i="1"/>
  <c r="M20" i="1" s="1"/>
  <c r="C2" i="2" l="1"/>
  <c r="C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I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moles injected into GC n= (PV)/(RT)</t>
        </r>
      </text>
    </comment>
    <comment ref="K1" authorId="0" shapeId="0" xr:uid="{00000000-0006-0000-02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When calculating concentration, we assume 1 mL of gas was injected.
</t>
        </r>
      </text>
    </comment>
  </commentList>
</comments>
</file>

<file path=xl/sharedStrings.xml><?xml version="1.0" encoding="utf-8"?>
<sst xmlns="http://schemas.openxmlformats.org/spreadsheetml/2006/main" count="191" uniqueCount="126">
  <si>
    <t>volume (mL)</t>
  </si>
  <si>
    <t>volume (L)</t>
  </si>
  <si>
    <t>T (K)</t>
  </si>
  <si>
    <t>mol</t>
  </si>
  <si>
    <t>R (L atm / (mol K) )</t>
  </si>
  <si>
    <t>area</t>
  </si>
  <si>
    <t>run ID</t>
  </si>
  <si>
    <t>ID</t>
  </si>
  <si>
    <t>sample</t>
  </si>
  <si>
    <t>H2</t>
  </si>
  <si>
    <t>CO</t>
  </si>
  <si>
    <t>CO2</t>
  </si>
  <si>
    <t>1 ml 1% gas</t>
  </si>
  <si>
    <t>1 ml 100 ppm (0.01%)</t>
  </si>
  <si>
    <t>0.5mL 5%</t>
  </si>
  <si>
    <t>1 ml 5%</t>
  </si>
  <si>
    <t>0.5mL 4%</t>
  </si>
  <si>
    <t>1 ml 4%</t>
  </si>
  <si>
    <t xml:space="preserve">0.5ml 1% gas </t>
  </si>
  <si>
    <t>notes</t>
  </si>
  <si>
    <t>x=</t>
  </si>
  <si>
    <t>y=</t>
  </si>
  <si>
    <t>Notes</t>
  </si>
  <si>
    <t>partial pressure of gas of interest (PSI)</t>
  </si>
  <si>
    <t>partial pressure of gas of interest (atm)</t>
  </si>
  <si>
    <t>coeff</t>
  </si>
  <si>
    <t>b</t>
  </si>
  <si>
    <t xml:space="preserve">"5% gas mix" is 5% CO2, CO, N2 and 4% of O2, CH4, H2, and balance helium </t>
  </si>
  <si>
    <t>.5 ml 5% mmix ruins calib curve. Point calib curve fails</t>
  </si>
  <si>
    <t>"5% H2 mix" is 5% H2, 0.5% CO2, 0.5% CO, 0.5% O2</t>
  </si>
  <si>
    <t>0.5mL 0.5%</t>
  </si>
  <si>
    <t>1 ml 0.5%</t>
  </si>
  <si>
    <t>0.5 ml 100 ppm (0.01%)</t>
  </si>
  <si>
    <t>in hannah's paper it says detection limit is 10ppm for the gc, but concentrations are reported in mmol</t>
  </si>
  <si>
    <t>total pressure of gas mix (PSIA)</t>
  </si>
  <si>
    <t>if by 10 ppm she means 10 ppm in 1ml at boulder atmospheric pressure and 25˚C, then that would be 0.3 µmol</t>
  </si>
  <si>
    <t>SRI website says detection limit is 0.1 ppm for FID for hydrocarbons</t>
  </si>
  <si>
    <t>1 ml 10 ppm (possible detection limit)</t>
  </si>
  <si>
    <t xml:space="preserve">0.1 ml 100 ppm </t>
  </si>
  <si>
    <t>0.05 ml 100 ppm</t>
  </si>
  <si>
    <t>no peak</t>
  </si>
  <si>
    <t>10 µL 100 ppm</t>
  </si>
  <si>
    <t>10 µL 1000 ppm</t>
  </si>
  <si>
    <t>measurable</t>
  </si>
  <si>
    <t>5 µL 1000 ppm</t>
  </si>
  <si>
    <t>according to SGE 10µL syringe manual, "To ensure accuracy, the smallest inejcted volume from any syringe should be no less than 10% of its total capacity</t>
  </si>
  <si>
    <t>was able to measure with 1 ml syringe, but not 10µL syringe. According to 10µL syringe manual, any injections &lt;10% of total capacity of syringe is not accurate, so I don't think I can trust this data point.</t>
  </si>
  <si>
    <t>1 ml 2 ppm ([CH4]atm)</t>
  </si>
  <si>
    <t>tiny peak visible, but does not show up on Peak Simple program. I would call this limit of detection</t>
  </si>
  <si>
    <t>note: concentrations refer to the gas phase, i.e. nM = 1*10^-9 mol of analyte gas / 1 L sample gas. Ignoring any solubility effects (which are not relevant for gaseous standards), these concentrations are independent of T &amp; P. However, it may make more sense to think of the detection limit in moles</t>
  </si>
  <si>
    <t>can compare to Neubeck max concentration of 0.083 µM  [83 nM] (they injected 2 mL gas into a Shimadzu GC-FID). My DL appears to be 5X higher</t>
  </si>
  <si>
    <t>0.2 ml 1% mix 12.2PSIA</t>
  </si>
  <si>
    <t>0.2 ml 1% gas</t>
  </si>
  <si>
    <t>0.2 ml 1% mix</t>
  </si>
  <si>
    <t>10 ul 1% mix</t>
  </si>
  <si>
    <t>10ul 1% mix</t>
  </si>
  <si>
    <t>5ul 1% mix</t>
  </si>
  <si>
    <t>blank no inject</t>
  </si>
  <si>
    <t>0.5 ml 1% mix</t>
  </si>
  <si>
    <t>1 ml 1% mix</t>
  </si>
  <si>
    <t>0.5 ml 100ppm CH4 12.2 PSIA</t>
  </si>
  <si>
    <t>1 ml 100ppm CH4 12.2 PSIA</t>
  </si>
  <si>
    <t>1.0 ml 1% mix</t>
  </si>
  <si>
    <t>2 ml 1% mix</t>
  </si>
  <si>
    <t>limit of quantification (LOQ CH4)</t>
  </si>
  <si>
    <t>LOQ for H2 (STDEV of concentration / mean of 3 injections = 13%)</t>
  </si>
  <si>
    <t>calib curve intercept set to 0 b/c blanks are 0</t>
  </si>
  <si>
    <t>2 ml 1% gas</t>
  </si>
  <si>
    <t>0.1 ml 400 ppm</t>
  </si>
  <si>
    <t>0.1 ml 400 ppm (air)</t>
  </si>
  <si>
    <t>0.5 ml 5%</t>
  </si>
  <si>
    <t>CH4</t>
  </si>
  <si>
    <t>FID</t>
  </si>
  <si>
    <t>TCD</t>
  </si>
  <si>
    <t>0.5 ml 0.5%</t>
  </si>
  <si>
    <t xml:space="preserve">H2 </t>
  </si>
  <si>
    <t>Hcp (sander) mol m^-3 Pa^-1</t>
  </si>
  <si>
    <t>dlnHcp/d(1/T)</t>
  </si>
  <si>
    <t>Hcp mol L^-1 bar^-1</t>
  </si>
  <si>
    <t>Hcc</t>
  </si>
  <si>
    <t>temp K</t>
  </si>
  <si>
    <t>compound</t>
  </si>
  <si>
    <t>pressure boulder (bar)</t>
  </si>
  <si>
    <t>R (L bar K−1 mol−1)</t>
  </si>
  <si>
    <t>STP</t>
  </si>
  <si>
    <t>pressure STP (bar)</t>
  </si>
  <si>
    <t>Pa/bar</t>
  </si>
  <si>
    <t>L/m^3</t>
  </si>
  <si>
    <t>Boulder</t>
  </si>
  <si>
    <t>volume sample (ml)</t>
  </si>
  <si>
    <t xml:space="preserve">0.2 ml 100 ppm </t>
  </si>
  <si>
    <t>µM for 1ml gas inject</t>
  </si>
  <si>
    <t>µmol/mL (mM) for 1ml gas inject</t>
  </si>
  <si>
    <t>nM for 1ml gas inject</t>
  </si>
  <si>
    <t>0.1 mL 0.5%</t>
  </si>
  <si>
    <t>LOQ for CO2</t>
  </si>
  <si>
    <t>LOQ CO</t>
  </si>
  <si>
    <t>STD quantity (nmol)</t>
  </si>
  <si>
    <t>0.2 ml 100ppm CH4 12.2 PSIA</t>
  </si>
  <si>
    <t>nmol</t>
  </si>
  <si>
    <t>vol (ml)</t>
  </si>
  <si>
    <t>gas amount (nmol)</t>
  </si>
  <si>
    <t>LOQ</t>
  </si>
  <si>
    <t>amount (nmol)</t>
  </si>
  <si>
    <t>analyte amount (nmol)</t>
  </si>
  <si>
    <t>chose 0 as y int b/c it was peak area for CO on 100ppm CH4 injection (which was first injection at 13PSI carrier)</t>
  </si>
  <si>
    <t>chose 60 as y int b/c it was peak area for CO2 on 100ppm CH4 injection (which was first injection at 13PSI carrier)</t>
  </si>
  <si>
    <t>ml stp</t>
  </si>
  <si>
    <t>µmol</t>
  </si>
  <si>
    <t>lab</t>
  </si>
  <si>
    <t>target (µmol)</t>
  </si>
  <si>
    <t>minimum (µmol)</t>
  </si>
  <si>
    <t>NOSAMS</t>
  </si>
  <si>
    <t>Young</t>
  </si>
  <si>
    <t>Ono</t>
  </si>
  <si>
    <t>gas concentration µmol/mL (aka ppt)</t>
  </si>
  <si>
    <t>20181011_EKH03</t>
  </si>
  <si>
    <t>20191011_EKH04</t>
  </si>
  <si>
    <t>B5</t>
  </si>
  <si>
    <t>B6</t>
  </si>
  <si>
    <t>20181018_EKH02</t>
  </si>
  <si>
    <t>0.05 mL 1% mix</t>
  </si>
  <si>
    <t>.05 mL 1%</t>
  </si>
  <si>
    <t>k°H = Henry's law constant for solubility in water at 298.15 K (mol/(kg*bar))</t>
  </si>
  <si>
    <r>
      <t>kH(T) = k°H exp(</t>
    </r>
    <r>
      <rPr>
        <i/>
        <sz val="14"/>
        <color rgb="FF000000"/>
        <rFont val="Calibri"/>
        <family val="2"/>
      </rPr>
      <t>d</t>
    </r>
    <r>
      <rPr>
        <sz val="14"/>
        <color rgb="FF000000"/>
        <rFont val="Calibri"/>
        <family val="2"/>
      </rPr>
      <t>(ln(kH))/</t>
    </r>
    <r>
      <rPr>
        <i/>
        <sz val="14"/>
        <color rgb="FF000000"/>
        <rFont val="Calibri"/>
        <family val="2"/>
      </rPr>
      <t>d</t>
    </r>
    <r>
      <rPr>
        <sz val="14"/>
        <color rgb="FF000000"/>
        <rFont val="Calibri"/>
        <family val="2"/>
      </rPr>
      <t>(1/T) ((1/T) - 1/(298.15 K)))</t>
    </r>
  </si>
  <si>
    <r>
      <t>d</t>
    </r>
    <r>
      <rPr>
        <sz val="14"/>
        <color rgb="FF000000"/>
        <rFont val="Calibri"/>
        <family val="2"/>
      </rPr>
      <t>(ln(kH))/</t>
    </r>
    <r>
      <rPr>
        <i/>
        <sz val="14"/>
        <color rgb="FF000000"/>
        <rFont val="Calibri"/>
        <family val="2"/>
      </rPr>
      <t>d</t>
    </r>
    <r>
      <rPr>
        <sz val="14"/>
        <color rgb="FF000000"/>
        <rFont val="Calibri"/>
        <family val="2"/>
      </rPr>
      <t>(1/T) = Temperature dependence constant (K)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</si>
</sst>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E+00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 (Body)_x0000_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i/>
      <sz val="14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4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2" borderId="0" xfId="0" applyFill="1"/>
    <xf numFmtId="164" fontId="0" fillId="0" borderId="0" xfId="0" applyNumberFormat="1"/>
    <xf numFmtId="0" fontId="0" fillId="0" borderId="5" xfId="0" applyBorder="1"/>
    <xf numFmtId="11" fontId="0" fillId="0" borderId="0" xfId="0" applyNumberFormat="1"/>
    <xf numFmtId="2" fontId="0" fillId="0" borderId="0" xfId="0" applyNumberFormat="1"/>
    <xf numFmtId="0" fontId="4" fillId="0" borderId="0" xfId="0" applyFont="1"/>
    <xf numFmtId="0" fontId="8" fillId="0" borderId="0" xfId="23"/>
    <xf numFmtId="164" fontId="4" fillId="0" borderId="0" xfId="0" applyNumberFormat="1" applyFont="1"/>
    <xf numFmtId="0" fontId="0" fillId="0" borderId="6" xfId="0" applyBorder="1"/>
    <xf numFmtId="11" fontId="0" fillId="0" borderId="7" xfId="0" applyNumberFormat="1" applyBorder="1"/>
    <xf numFmtId="0" fontId="0" fillId="0" borderId="4" xfId="0" applyBorder="1"/>
    <xf numFmtId="165" fontId="0" fillId="0" borderId="2" xfId="0" applyNumberFormat="1" applyBorder="1"/>
    <xf numFmtId="0" fontId="0" fillId="3" borderId="5" xfId="0" applyFill="1" applyBorder="1"/>
    <xf numFmtId="11" fontId="0" fillId="0" borderId="5" xfId="0" applyNumberFormat="1" applyBorder="1"/>
    <xf numFmtId="11" fontId="4" fillId="0" borderId="0" xfId="0" applyNumberFormat="1" applyFont="1"/>
    <xf numFmtId="11" fontId="5" fillId="0" borderId="0" xfId="0" applyNumberFormat="1" applyFont="1"/>
    <xf numFmtId="2" fontId="0" fillId="2" borderId="0" xfId="0" applyNumberFormat="1" applyFill="1"/>
    <xf numFmtId="11" fontId="0" fillId="2" borderId="0" xfId="0" applyNumberFormat="1" applyFill="1"/>
    <xf numFmtId="0" fontId="9" fillId="0" borderId="0" xfId="0" applyFont="1"/>
    <xf numFmtId="0" fontId="9" fillId="2" borderId="0" xfId="0" applyFont="1" applyFill="1"/>
    <xf numFmtId="2" fontId="1" fillId="0" borderId="0" xfId="0" applyNumberFormat="1" applyFont="1"/>
    <xf numFmtId="165" fontId="4" fillId="0" borderId="2" xfId="0" applyNumberFormat="1" applyFont="1" applyBorder="1"/>
    <xf numFmtId="165" fontId="0" fillId="0" borderId="3" xfId="0" applyNumberFormat="1" applyBorder="1"/>
    <xf numFmtId="165" fontId="4" fillId="0" borderId="3" xfId="0" applyNumberFormat="1" applyFont="1" applyBorder="1"/>
    <xf numFmtId="11" fontId="0" fillId="0" borderId="6" xfId="0" applyNumberFormat="1" applyBorder="1"/>
    <xf numFmtId="0" fontId="0" fillId="0" borderId="10" xfId="0" applyBorder="1"/>
    <xf numFmtId="11" fontId="0" fillId="0" borderId="10" xfId="0" applyNumberFormat="1" applyBorder="1"/>
    <xf numFmtId="11" fontId="0" fillId="0" borderId="1" xfId="0" applyNumberFormat="1" applyBorder="1"/>
    <xf numFmtId="11" fontId="4" fillId="0" borderId="1" xfId="0" applyNumberFormat="1" applyFont="1" applyBorder="1"/>
    <xf numFmtId="11" fontId="5" fillId="0" borderId="1" xfId="0" applyNumberFormat="1" applyFont="1" applyBorder="1"/>
    <xf numFmtId="165" fontId="0" fillId="0" borderId="0" xfId="0" applyNumberFormat="1"/>
    <xf numFmtId="0" fontId="0" fillId="4" borderId="2" xfId="0" applyFill="1" applyBorder="1"/>
    <xf numFmtId="0" fontId="0" fillId="0" borderId="8" xfId="0" applyBorder="1"/>
    <xf numFmtId="0" fontId="0" fillId="0" borderId="9" xfId="0" applyBorder="1"/>
    <xf numFmtId="0" fontId="12" fillId="0" borderId="0" xfId="0" applyFont="1"/>
    <xf numFmtId="0" fontId="13" fillId="0" borderId="0" xfId="0" applyFont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Normal 2" xfId="23" xr:uid="{00000000-0005-0000-0000-000017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 FID Calibration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4.1772638330307638E-3"/>
                  <c:y val="-3.70130495683990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('CO calib (FID)'!$C$2,'CO calib (FID)'!$C$4,'CO calib (FID)'!$C$6,'CO calib (FID)'!$C$7)</c:f>
              <c:numCache>
                <c:formatCode>0.00</c:formatCode>
                <c:ptCount val="4"/>
                <c:pt idx="0">
                  <c:v>1.6966019923906381</c:v>
                </c:pt>
                <c:pt idx="1">
                  <c:v>67.86407969562552</c:v>
                </c:pt>
                <c:pt idx="2">
                  <c:v>169.66019923906384</c:v>
                </c:pt>
                <c:pt idx="3">
                  <c:v>339.32039847812769</c:v>
                </c:pt>
              </c:numCache>
            </c:numRef>
          </c:xVal>
          <c:yVal>
            <c:numRef>
              <c:f>('CO calib (FID)'!$D$2,'CO calib (FID)'!$D$4,'CO calib (FID)'!$D$6,'CO calib (FID)'!$D$7)</c:f>
              <c:numCache>
                <c:formatCode>General</c:formatCode>
                <c:ptCount val="4"/>
                <c:pt idx="0">
                  <c:v>1558.0050000000001</c:v>
                </c:pt>
                <c:pt idx="1">
                  <c:v>8956.3680000000004</c:v>
                </c:pt>
                <c:pt idx="2">
                  <c:v>21007.144</c:v>
                </c:pt>
                <c:pt idx="3">
                  <c:v>43612.141000000003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5F-3446-B09D-0FA078B2F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869328"/>
        <c:axId val="1411272160"/>
      </c:scatterChart>
      <c:valAx>
        <c:axId val="14108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Analyte</a:t>
                </a:r>
                <a:r>
                  <a:rPr lang="en-US" baseline="0"/>
                  <a:t> amount (nmol)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272160"/>
        <c:crosses val="autoZero"/>
        <c:crossBetween val="midCat"/>
      </c:valAx>
      <c:valAx>
        <c:axId val="14112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Siignal</a:t>
                </a:r>
                <a:r>
                  <a:rPr lang="en-US" baseline="0"/>
                  <a:t> (</a:t>
                </a:r>
                <a:r>
                  <a:rPr lang="en-US"/>
                  <a:t>Peak Volume)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 FID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7931286862073498E-2"/>
                  <c:y val="3.831828583289710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 calib (FID)'!$C$3:$C$9</c:f>
              <c:numCache>
                <c:formatCode>0.00</c:formatCode>
                <c:ptCount val="7"/>
                <c:pt idx="0">
                  <c:v>0.67864079695625523</c:v>
                </c:pt>
                <c:pt idx="1">
                  <c:v>1.6966019923906381</c:v>
                </c:pt>
                <c:pt idx="2">
                  <c:v>3.3932039847812763</c:v>
                </c:pt>
                <c:pt idx="3">
                  <c:v>67.86407969562552</c:v>
                </c:pt>
                <c:pt idx="4">
                  <c:v>169.66019923906384</c:v>
                </c:pt>
                <c:pt idx="5">
                  <c:v>339.32039847812769</c:v>
                </c:pt>
                <c:pt idx="6">
                  <c:v>678.64079695625537</c:v>
                </c:pt>
              </c:numCache>
            </c:numRef>
          </c:xVal>
          <c:yVal>
            <c:numRef>
              <c:f>'CH4 calib (FID)'!$D$3:$D$9</c:f>
              <c:numCache>
                <c:formatCode>General</c:formatCode>
                <c:ptCount val="7"/>
                <c:pt idx="1">
                  <c:v>1507</c:v>
                </c:pt>
                <c:pt idx="3">
                  <c:v>8073</c:v>
                </c:pt>
                <c:pt idx="4">
                  <c:v>19729</c:v>
                </c:pt>
                <c:pt idx="5">
                  <c:v>42722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83-8441-B3A6-2E17B50FA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270864"/>
        <c:axId val="1417258400"/>
      </c:scatterChart>
      <c:valAx>
        <c:axId val="141727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Analyte</a:t>
                </a:r>
                <a:r>
                  <a:rPr lang="en-US" baseline="0"/>
                  <a:t> quantitiy (nmol)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58400"/>
        <c:crosses val="autoZero"/>
        <c:crossBetween val="midCat"/>
      </c:valAx>
      <c:valAx>
        <c:axId val="14172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Siignal</a:t>
                </a:r>
                <a:r>
                  <a:rPr lang="en-US" baseline="0"/>
                  <a:t> (</a:t>
                </a:r>
                <a:r>
                  <a:rPr lang="en-US"/>
                  <a:t>Peak Volume)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7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</a:t>
            </a:r>
            <a:r>
              <a:rPr lang="en-US"/>
              <a:t>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60"/>
            <c:dispRSqr val="1"/>
            <c:dispEq val="1"/>
            <c:trendlineLbl>
              <c:layout>
                <c:manualLayout>
                  <c:x val="-1.4283050261665299E-2"/>
                  <c:y val="-1.12548537595182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'CO2 calib (FID)'!$C$2:$C$8</c:f>
              <c:numCache>
                <c:formatCode>0.00</c:formatCode>
                <c:ptCount val="7"/>
                <c:pt idx="0">
                  <c:v>1.3572815939125105</c:v>
                </c:pt>
                <c:pt idx="1">
                  <c:v>67.86407969562552</c:v>
                </c:pt>
                <c:pt idx="2">
                  <c:v>84.830099619531921</c:v>
                </c:pt>
                <c:pt idx="3">
                  <c:v>169.66019923906384</c:v>
                </c:pt>
                <c:pt idx="4">
                  <c:v>339.32039847812769</c:v>
                </c:pt>
                <c:pt idx="5">
                  <c:v>678.64079695625537</c:v>
                </c:pt>
                <c:pt idx="6" formatCode="General">
                  <c:v>17</c:v>
                </c:pt>
              </c:numCache>
            </c:numRef>
          </c:xVal>
          <c:yVal>
            <c:numRef>
              <c:f>'CO2 calib (FID)'!$D$2:$D$8</c:f>
              <c:numCache>
                <c:formatCode>General</c:formatCode>
                <c:ptCount val="7"/>
                <c:pt idx="1">
                  <c:v>4156.6360000000004</c:v>
                </c:pt>
                <c:pt idx="3">
                  <c:v>14915.909</c:v>
                </c:pt>
                <c:pt idx="4">
                  <c:v>30606.743999999999</c:v>
                </c:pt>
                <c:pt idx="6">
                  <c:v>1518.566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ED-F347-B033-91BBFAFA5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775232"/>
        <c:axId val="1416655584"/>
      </c:scatterChart>
      <c:valAx>
        <c:axId val="141677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Analyte</a:t>
                </a:r>
                <a:r>
                  <a:rPr lang="en-US" baseline="0"/>
                  <a:t> amount (nmol)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655584"/>
        <c:crosses val="autoZero"/>
        <c:crossBetween val="midCat"/>
      </c:valAx>
      <c:valAx>
        <c:axId val="141665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Siignal</a:t>
                </a:r>
                <a:r>
                  <a:rPr lang="en-US" baseline="0"/>
                  <a:t> (</a:t>
                </a:r>
                <a:r>
                  <a:rPr lang="en-US"/>
                  <a:t>Peak Volume)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77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'H2 calib (TCD)'!$C$3:$C$8</c:f>
              <c:numCache>
                <c:formatCode>0.00</c:formatCode>
                <c:ptCount val="6"/>
                <c:pt idx="0">
                  <c:v>3.3932039847812763</c:v>
                </c:pt>
                <c:pt idx="1">
                  <c:v>67.86407969562552</c:v>
                </c:pt>
                <c:pt idx="2">
                  <c:v>169.66019923906384</c:v>
                </c:pt>
                <c:pt idx="3">
                  <c:v>339.32039847812769</c:v>
                </c:pt>
                <c:pt idx="4">
                  <c:v>678.64079695625537</c:v>
                </c:pt>
                <c:pt idx="5">
                  <c:v>848.30099619531904</c:v>
                </c:pt>
              </c:numCache>
            </c:numRef>
          </c:xVal>
          <c:yVal>
            <c:numRef>
              <c:f>'H2 calib (TCD)'!$D$3:$D$8</c:f>
              <c:numCache>
                <c:formatCode>General</c:formatCode>
                <c:ptCount val="6"/>
                <c:pt idx="1">
                  <c:v>139.02099999999999</c:v>
                </c:pt>
                <c:pt idx="2">
                  <c:v>1483.6759999999999</c:v>
                </c:pt>
                <c:pt idx="3">
                  <c:v>3116.5410000000002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75-0949-8B4B-0D1CE5B07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160800"/>
        <c:axId val="1409964368"/>
      </c:scatterChart>
      <c:valAx>
        <c:axId val="141316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Analyte</a:t>
                </a:r>
                <a:r>
                  <a:rPr lang="en-US" baseline="0"/>
                  <a:t> amount (nmol)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964368"/>
        <c:crosses val="autoZero"/>
        <c:crossBetween val="midCat"/>
      </c:valAx>
      <c:valAx>
        <c:axId val="14099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Siignal</a:t>
                </a:r>
                <a:r>
                  <a:rPr lang="en-US" baseline="0"/>
                  <a:t> (</a:t>
                </a:r>
                <a:r>
                  <a:rPr lang="en-US"/>
                  <a:t>Peak Volume)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16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1853121</xdr:colOff>
      <xdr:row>2</xdr:row>
      <xdr:rowOff>88900</xdr:rowOff>
    </xdr:from>
    <xdr:to>
      <xdr:col>4</xdr:col>
      <xdr:colOff>596900</xdr:colOff>
      <xdr:row>4</xdr:row>
      <xdr:rowOff>75329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99321" y="495300"/>
          <a:ext cx="2934779" cy="469029"/>
        </a:xfrm>
        <a:prstGeom prst="rect">
          <a:avLst/>
        </a:prstGeom>
      </xdr:spPr>
    </xdr:pic>
    <xdr:clientData/>
  </xdr:twoCellAnchor>
  <xdr:twoCellAnchor editAs="oneCell">
    <xdr:from>
      <xdr:col>0</xdr:col>
      <xdr:colOff>520700</xdr:colOff>
      <xdr:row>1</xdr:row>
      <xdr:rowOff>57518</xdr:rowOff>
    </xdr:from>
    <xdr:to>
      <xdr:col>2</xdr:col>
      <xdr:colOff>1854200</xdr:colOff>
      <xdr:row>5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0700" y="260718"/>
          <a:ext cx="2679700" cy="9584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210637</xdr:colOff>
      <xdr:row>13</xdr:row>
      <xdr:rowOff>38299</xdr:rowOff>
    </xdr:from>
    <xdr:to>
      <xdr:col>4</xdr:col>
      <xdr:colOff>635000</xdr:colOff>
      <xdr:row>31</xdr:row>
      <xdr:rowOff>183444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700</xdr:colOff>
      <xdr:row>10</xdr:row>
      <xdr:rowOff>188934</xdr:rowOff>
    </xdr:from>
    <xdr:to>
      <xdr:col>9</xdr:col>
      <xdr:colOff>965200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237383</xdr:colOff>
      <xdr:row>11</xdr:row>
      <xdr:rowOff>192399</xdr:rowOff>
    </xdr:from>
    <xdr:to>
      <xdr:col>5</xdr:col>
      <xdr:colOff>101600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239059</xdr:colOff>
      <xdr:row>10</xdr:row>
      <xdr:rowOff>127814</xdr:rowOff>
    </xdr:from>
    <xdr:to>
      <xdr:col>8</xdr:col>
      <xdr:colOff>358588</xdr:colOff>
      <xdr:row>33</xdr:row>
      <xdr:rowOff>59764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"/>
  <sheetViews>
    <sheetView zoomScale="110" zoomScaleNormal="110" zoomScalePageLayoutView="11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G3" sqref="G3"/>
    </sheetView>
  </sheetViews>
  <sheetFormatPr baseColWidth="10" defaultColWidth="11" defaultRowHeight="16"/>
  <cols>
    <col min="1" max="1" width="10.5" customWidth="1"/>
    <col min="2" max="2" width="20.6640625" customWidth="1"/>
    <col min="3" max="3" width="5.1640625" style="2" customWidth="1"/>
    <col min="4" max="7" width="13.83203125" customWidth="1"/>
    <col min="8" max="8" width="13" customWidth="1"/>
    <col min="9" max="15" width="13.83203125" customWidth="1"/>
    <col min="16" max="16" width="3.33203125" customWidth="1"/>
    <col min="19" max="19" width="3.33203125" customWidth="1"/>
  </cols>
  <sheetData>
    <row r="1" spans="1:22">
      <c r="D1" s="40" t="s">
        <v>101</v>
      </c>
      <c r="E1" s="40"/>
      <c r="F1" s="40"/>
      <c r="G1" s="40"/>
      <c r="H1" s="41" t="s">
        <v>115</v>
      </c>
      <c r="I1" s="41"/>
      <c r="J1" s="41"/>
      <c r="K1" s="42"/>
      <c r="L1" s="14"/>
      <c r="M1" s="14"/>
      <c r="N1" s="14"/>
      <c r="O1" s="14"/>
      <c r="P1" s="36"/>
      <c r="Q1" s="14"/>
      <c r="R1" s="14"/>
      <c r="S1" s="37"/>
    </row>
    <row r="2" spans="1:22" s="6" customFormat="1">
      <c r="A2" s="6" t="s">
        <v>7</v>
      </c>
      <c r="B2" s="6" t="s">
        <v>8</v>
      </c>
      <c r="C2" s="29" t="s">
        <v>100</v>
      </c>
      <c r="D2" s="6" t="s">
        <v>10</v>
      </c>
      <c r="E2" s="6" t="s">
        <v>71</v>
      </c>
      <c r="F2" s="6" t="s">
        <v>11</v>
      </c>
      <c r="G2" s="6" t="s">
        <v>9</v>
      </c>
      <c r="H2" s="3" t="s">
        <v>10</v>
      </c>
      <c r="I2" s="3" t="s">
        <v>71</v>
      </c>
      <c r="J2" s="3" t="s">
        <v>11</v>
      </c>
      <c r="K2" s="3" t="s">
        <v>75</v>
      </c>
      <c r="L2" s="3"/>
      <c r="M2" s="3"/>
      <c r="N2" s="3"/>
      <c r="O2" s="12"/>
      <c r="P2" s="3"/>
      <c r="Q2" s="3"/>
      <c r="R2" s="3"/>
      <c r="S2" s="3"/>
    </row>
    <row r="3" spans="1:22" s="6" customFormat="1">
      <c r="B3" s="16" t="s">
        <v>102</v>
      </c>
      <c r="C3" s="29"/>
      <c r="D3" s="17">
        <f>'std. conc. calcs'!J7</f>
        <v>0.67864079695625523</v>
      </c>
      <c r="E3" s="17">
        <f>'std. conc. calcs'!J7</f>
        <v>0.67864079695625523</v>
      </c>
      <c r="F3" s="17">
        <f>'std. conc. calcs'!J10</f>
        <v>1.3572815939125105</v>
      </c>
      <c r="G3" s="17">
        <f>'std. conc. calcs'!J9</f>
        <v>3.3932039847812763</v>
      </c>
      <c r="H3" s="15">
        <f>D3/1000</f>
        <v>6.7864079695625521E-4</v>
      </c>
      <c r="I3" s="15">
        <f t="shared" ref="I3:K3" si="0">E3/1000</f>
        <v>6.7864079695625521E-4</v>
      </c>
      <c r="J3" s="15">
        <f t="shared" si="0"/>
        <v>1.3572815939125104E-3</v>
      </c>
      <c r="K3" s="15">
        <f t="shared" si="0"/>
        <v>3.3932039847812761E-3</v>
      </c>
      <c r="L3" s="28"/>
      <c r="M3" s="17"/>
      <c r="N3" s="17"/>
      <c r="O3" s="17"/>
      <c r="P3" s="28"/>
      <c r="Q3" s="17"/>
      <c r="R3" s="17"/>
      <c r="S3" s="30"/>
    </row>
    <row r="4" spans="1:22">
      <c r="A4" s="9" t="s">
        <v>118</v>
      </c>
      <c r="B4">
        <f>'20181011'!B8</f>
        <v>0</v>
      </c>
      <c r="C4">
        <v>1</v>
      </c>
      <c r="D4" s="7">
        <f>'20181011'!D4*'CO calib (FID)'!J$7</f>
        <v>6.9850634100516675</v>
      </c>
      <c r="E4" s="7">
        <f>'20181011'!E4*'CH4 calib (FID)'!J$7</f>
        <v>0</v>
      </c>
      <c r="F4" s="7">
        <f>'20181011'!F4*'CO2 calib (FID)'!I$5+'CO2 calib (FID)'!J$5</f>
        <v>-0.6770404305977139</v>
      </c>
      <c r="G4" s="7">
        <f>'20181011'!G4*'H2 calib (TCD)'!M$5</f>
        <v>0</v>
      </c>
      <c r="H4" s="26">
        <f>D4/1000/$C4</f>
        <v>6.9850634100516677E-3</v>
      </c>
      <c r="I4" s="27">
        <f t="shared" ref="I4:K4" si="1">E4/1000/$C4</f>
        <v>0</v>
      </c>
      <c r="J4" s="26">
        <f t="shared" si="1"/>
        <v>-6.7704043059771391E-4</v>
      </c>
      <c r="K4" s="26">
        <f t="shared" si="1"/>
        <v>0</v>
      </c>
      <c r="L4" s="13"/>
      <c r="M4" s="18"/>
      <c r="N4" s="18"/>
      <c r="O4" s="7"/>
      <c r="P4" s="13"/>
      <c r="Q4" s="7"/>
      <c r="R4" s="7"/>
      <c r="S4" s="31"/>
      <c r="U4" s="34"/>
      <c r="V4" s="34"/>
    </row>
    <row r="5" spans="1:22">
      <c r="A5" t="s">
        <v>119</v>
      </c>
      <c r="B5">
        <f>'20181011'!B9</f>
        <v>0</v>
      </c>
      <c r="C5">
        <v>1</v>
      </c>
      <c r="D5" s="7">
        <f>'20181011'!D5*'CO calib (FID)'!J$7</f>
        <v>4.1096915609832472</v>
      </c>
      <c r="E5" s="7">
        <f>'20181011'!E5*'CH4 calib (FID)'!J$7</f>
        <v>0</v>
      </c>
      <c r="F5" s="7">
        <f>'20181011'!F5*'CO2 calib (FID)'!I$5+'CO2 calib (FID)'!J$5</f>
        <v>-0.6770404305977139</v>
      </c>
      <c r="G5" s="7">
        <f>'20181011'!G5*'H2 calib (TCD)'!M$5</f>
        <v>28.921290351647858</v>
      </c>
      <c r="H5" s="15">
        <f t="shared" ref="H5:H6" si="2">D5/1000/$C5</f>
        <v>4.1096915609832472E-3</v>
      </c>
      <c r="I5" s="15">
        <f t="shared" ref="I5:I6" si="3">E5/1000/$C5</f>
        <v>0</v>
      </c>
      <c r="J5" s="15">
        <f t="shared" ref="J5:J6" si="4">F5/1000/$C5</f>
        <v>-6.7704043059771391E-4</v>
      </c>
      <c r="K5" s="15">
        <f t="shared" ref="K5:K6" si="5">G5/1000/$C5</f>
        <v>2.8921290351647859E-2</v>
      </c>
      <c r="L5" s="13"/>
      <c r="M5" s="18"/>
      <c r="N5" s="18"/>
      <c r="O5" s="7"/>
      <c r="P5" s="13"/>
      <c r="Q5" s="18"/>
      <c r="R5" s="18"/>
      <c r="S5" s="32"/>
      <c r="U5" s="34"/>
      <c r="V5" s="34"/>
    </row>
    <row r="6" spans="1:22">
      <c r="C6"/>
      <c r="D6" s="7">
        <f>'20181011'!D6*'CO calib (FID)'!J$7</f>
        <v>0</v>
      </c>
      <c r="E6" s="7">
        <f>'20181011'!E6*'CH4 calib (FID)'!J$7</f>
        <v>0</v>
      </c>
      <c r="F6" s="7">
        <f>'20181011'!F6*'CO2 calib (FID)'!I$5+'CO2 calib (FID)'!J$5</f>
        <v>-0.6770404305977139</v>
      </c>
      <c r="G6" s="7">
        <f>'20181011'!G6*'H2 calib (TCD)'!M$5</f>
        <v>0</v>
      </c>
      <c r="H6" s="15" t="e">
        <f t="shared" si="2"/>
        <v>#DIV/0!</v>
      </c>
      <c r="I6" s="25" t="e">
        <f t="shared" si="3"/>
        <v>#DIV/0!</v>
      </c>
      <c r="J6" s="15" t="e">
        <f t="shared" si="4"/>
        <v>#DIV/0!</v>
      </c>
      <c r="K6" s="15" t="e">
        <f t="shared" si="5"/>
        <v>#DIV/0!</v>
      </c>
      <c r="L6" s="13"/>
      <c r="M6" s="18"/>
      <c r="N6" s="18"/>
      <c r="O6" s="7"/>
      <c r="P6" s="13"/>
      <c r="Q6" s="18"/>
      <c r="R6" s="18"/>
      <c r="S6" s="31"/>
      <c r="U6" s="34"/>
      <c r="V6" s="34"/>
    </row>
    <row r="7" spans="1:22">
      <c r="C7"/>
      <c r="D7" s="7">
        <f>'20181011'!D7*'CO calib (FID)'!J$7</f>
        <v>0</v>
      </c>
      <c r="E7" s="7">
        <f>'20181011'!E7*'CH4 calib (FID)'!J$7</f>
        <v>0</v>
      </c>
      <c r="F7" s="7">
        <f>'20181011'!F7*'CO2 calib (FID)'!I$5+'CO2 calib (FID)'!J$5</f>
        <v>-0.6770404305977139</v>
      </c>
      <c r="G7" s="7">
        <f>'20181011'!G7*'H2 calib (TCD)'!M$5</f>
        <v>0</v>
      </c>
      <c r="H7" s="15" t="e">
        <f>D7/1000/$C7</f>
        <v>#DIV/0!</v>
      </c>
      <c r="I7" s="25" t="e">
        <f t="shared" ref="I7:I10" si="6">E7/1000/$C7</f>
        <v>#DIV/0!</v>
      </c>
      <c r="J7" s="15" t="e">
        <f t="shared" ref="J7:J10" si="7">F7/1000/$C7</f>
        <v>#DIV/0!</v>
      </c>
      <c r="K7" s="15" t="e">
        <f t="shared" ref="K7:K10" si="8">G7/1000/$C7</f>
        <v>#DIV/0!</v>
      </c>
      <c r="L7" s="13"/>
      <c r="M7" s="18"/>
      <c r="N7" s="7"/>
      <c r="O7" s="7"/>
      <c r="P7" s="13"/>
      <c r="Q7" s="19"/>
      <c r="R7" s="7"/>
      <c r="S7" s="33"/>
      <c r="U7" s="34"/>
      <c r="V7" s="34"/>
    </row>
    <row r="8" spans="1:22">
      <c r="C8"/>
      <c r="D8" s="7">
        <f>'20181011'!D8*'CO calib (FID)'!J$7</f>
        <v>0</v>
      </c>
      <c r="E8" s="7">
        <f>'20181011'!E8*'CH4 calib (FID)'!J$7</f>
        <v>0</v>
      </c>
      <c r="F8" s="7">
        <f>'20181011'!F8*'CO2 calib (FID)'!I$5+'CO2 calib (FID)'!J$5</f>
        <v>-0.6770404305977139</v>
      </c>
      <c r="G8" s="7">
        <f>'20181011'!G8*'H2 calib (TCD)'!M$5</f>
        <v>0</v>
      </c>
      <c r="H8" s="15" t="e">
        <f t="shared" ref="H8:H10" si="9">D8/1000/$C8</f>
        <v>#DIV/0!</v>
      </c>
      <c r="I8" s="25" t="e">
        <f t="shared" si="6"/>
        <v>#DIV/0!</v>
      </c>
      <c r="J8" s="15" t="e">
        <f t="shared" si="7"/>
        <v>#DIV/0!</v>
      </c>
      <c r="K8" s="15" t="e">
        <f t="shared" si="8"/>
        <v>#DIV/0!</v>
      </c>
      <c r="L8" s="13"/>
      <c r="M8" s="18"/>
      <c r="N8" s="18"/>
      <c r="O8" s="7"/>
      <c r="P8" s="7"/>
      <c r="Q8" s="18"/>
      <c r="R8" s="18"/>
      <c r="S8" s="7"/>
    </row>
    <row r="9" spans="1:22">
      <c r="C9"/>
      <c r="D9" s="7">
        <f>'20181011'!D9*'CO calib (FID)'!J$7</f>
        <v>0</v>
      </c>
      <c r="E9" s="7">
        <f>'20181011'!E9*'CH4 calib (FID)'!J$7</f>
        <v>0</v>
      </c>
      <c r="F9" s="7">
        <f>'20181011'!F9*'CO2 calib (FID)'!I$5+'CO2 calib (FID)'!J$5</f>
        <v>-0.6770404305977139</v>
      </c>
      <c r="G9" s="7">
        <f>'20181011'!G9*'H2 calib (TCD)'!M$5</f>
        <v>0</v>
      </c>
      <c r="H9" s="15" t="e">
        <f t="shared" si="9"/>
        <v>#DIV/0!</v>
      </c>
      <c r="I9" s="25" t="e">
        <f t="shared" si="6"/>
        <v>#DIV/0!</v>
      </c>
      <c r="J9" s="15" t="e">
        <f t="shared" si="7"/>
        <v>#DIV/0!</v>
      </c>
      <c r="K9" s="15" t="e">
        <f t="shared" si="8"/>
        <v>#DIV/0!</v>
      </c>
    </row>
    <row r="10" spans="1:22">
      <c r="C10"/>
      <c r="D10" s="7">
        <f>'20181011'!D10*'CO calib (FID)'!J$7</f>
        <v>0</v>
      </c>
      <c r="E10" s="7">
        <f>'20181011'!E10*'CH4 calib (FID)'!J$7</f>
        <v>0</v>
      </c>
      <c r="F10" s="7">
        <f>'20181011'!F10*'CO2 calib (FID)'!I$5+'CO2 calib (FID)'!J$5</f>
        <v>-0.6770404305977139</v>
      </c>
      <c r="G10" s="7">
        <f>'20181011'!G10*'H2 calib (TCD)'!M$5</f>
        <v>0</v>
      </c>
      <c r="H10" s="15" t="e">
        <f t="shared" si="9"/>
        <v>#DIV/0!</v>
      </c>
      <c r="I10" s="25" t="e">
        <f t="shared" si="6"/>
        <v>#DIV/0!</v>
      </c>
      <c r="J10" s="15" t="e">
        <f t="shared" si="7"/>
        <v>#DIV/0!</v>
      </c>
      <c r="K10" s="15" t="e">
        <f t="shared" si="8"/>
        <v>#DIV/0!</v>
      </c>
    </row>
    <row r="11" spans="1:22">
      <c r="D11" s="7"/>
      <c r="E11" s="7"/>
      <c r="F11" s="7"/>
      <c r="G11" s="7"/>
    </row>
    <row r="12" spans="1:22">
      <c r="D12" s="7"/>
      <c r="E12" s="7"/>
      <c r="F12" s="7"/>
      <c r="G12" s="7"/>
    </row>
    <row r="13" spans="1:22">
      <c r="D13" s="7"/>
      <c r="E13" s="7"/>
      <c r="F13" s="7"/>
      <c r="G13" s="7"/>
    </row>
    <row r="14" spans="1:22">
      <c r="D14" s="7"/>
      <c r="E14" s="7"/>
      <c r="F14" s="7"/>
      <c r="G14" s="7"/>
    </row>
    <row r="15" spans="1:22">
      <c r="D15" s="7"/>
      <c r="E15" s="7"/>
      <c r="F15" s="7"/>
      <c r="G15" s="7"/>
    </row>
  </sheetData>
  <mergeCells count="2">
    <mergeCell ref="D1:G1"/>
    <mergeCell ref="H1:K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2"/>
  <sheetViews>
    <sheetView workbookViewId="0">
      <selection activeCell="R9" sqref="R9"/>
    </sheetView>
  </sheetViews>
  <sheetFormatPr baseColWidth="10" defaultColWidth="11" defaultRowHeight="16"/>
  <cols>
    <col min="1" max="1" width="7.1640625" customWidth="1"/>
    <col min="2" max="2" width="10.5" customWidth="1"/>
    <col min="3" max="3" width="32.33203125" customWidth="1"/>
    <col min="4" max="4" width="22.6640625" customWidth="1"/>
    <col min="5" max="5" width="21.1640625" customWidth="1"/>
    <col min="12" max="12" width="14" customWidth="1"/>
    <col min="21" max="21" width="14" customWidth="1"/>
    <col min="22" max="22" width="15.6640625" customWidth="1"/>
  </cols>
  <sheetData>
    <row r="1" spans="1:22">
      <c r="A1" s="8"/>
      <c r="B1" s="8"/>
      <c r="I1" s="9"/>
      <c r="J1" s="9"/>
    </row>
    <row r="2" spans="1:22">
      <c r="I2" s="9"/>
      <c r="J2" s="9"/>
    </row>
    <row r="3" spans="1:22" ht="19">
      <c r="F3" s="38" t="s">
        <v>124</v>
      </c>
    </row>
    <row r="4" spans="1:22" ht="19">
      <c r="F4" s="38" t="s">
        <v>123</v>
      </c>
    </row>
    <row r="5" spans="1:22" ht="19">
      <c r="F5" s="39" t="s">
        <v>125</v>
      </c>
      <c r="G5" s="10"/>
      <c r="H5" s="10"/>
    </row>
    <row r="6" spans="1:22">
      <c r="F6" s="10"/>
      <c r="G6" s="10"/>
      <c r="H6" s="10"/>
    </row>
    <row r="8" spans="1:22">
      <c r="L8" t="s">
        <v>88</v>
      </c>
      <c r="Q8" t="s">
        <v>107</v>
      </c>
      <c r="R8" t="s">
        <v>108</v>
      </c>
      <c r="T8" s="35" t="s">
        <v>109</v>
      </c>
      <c r="U8" s="35" t="s">
        <v>110</v>
      </c>
      <c r="V8" s="35" t="s">
        <v>111</v>
      </c>
    </row>
    <row r="9" spans="1:22">
      <c r="A9" t="s">
        <v>80</v>
      </c>
      <c r="B9" t="s">
        <v>81</v>
      </c>
      <c r="C9" t="s">
        <v>76</v>
      </c>
      <c r="D9" t="s">
        <v>77</v>
      </c>
      <c r="E9" t="s">
        <v>78</v>
      </c>
      <c r="F9" t="s">
        <v>79</v>
      </c>
      <c r="L9" t="s">
        <v>82</v>
      </c>
      <c r="M9">
        <v>0.84116040000000003</v>
      </c>
      <c r="Q9">
        <v>1</v>
      </c>
      <c r="R9">
        <f>Q9*M$17/M$19/M$18*1000</f>
        <v>44.615048527559303</v>
      </c>
      <c r="T9" s="3" t="s">
        <v>112</v>
      </c>
      <c r="U9" s="3">
        <v>80</v>
      </c>
      <c r="V9" s="3">
        <v>2</v>
      </c>
    </row>
    <row r="10" spans="1:22">
      <c r="A10">
        <v>298.14999999999998</v>
      </c>
      <c r="B10" t="s">
        <v>10</v>
      </c>
      <c r="C10" s="7">
        <v>9.7000000000000003E-6</v>
      </c>
      <c r="D10">
        <v>1300</v>
      </c>
      <c r="E10" s="7">
        <f>C10*$M$22/$M$23</f>
        <v>9.7000000000000005E-4</v>
      </c>
      <c r="F10" s="7">
        <f>E10*M$19*A$10</f>
        <v>2.4045875036889E-2</v>
      </c>
      <c r="L10" t="s">
        <v>2</v>
      </c>
      <c r="M10">
        <v>295.14999999999998</v>
      </c>
      <c r="Q10">
        <v>5</v>
      </c>
      <c r="R10">
        <f>Q10*M$17/M$19/M$18*1000</f>
        <v>223.07524263779649</v>
      </c>
      <c r="T10" s="3" t="s">
        <v>113</v>
      </c>
      <c r="U10" s="3">
        <v>100</v>
      </c>
      <c r="V10" s="3">
        <v>60</v>
      </c>
    </row>
    <row r="11" spans="1:22">
      <c r="B11" t="s">
        <v>71</v>
      </c>
      <c r="C11" s="7">
        <v>1.4E-5</v>
      </c>
      <c r="D11">
        <v>1900</v>
      </c>
      <c r="E11" s="7">
        <f>C11*$M$22/$M$23</f>
        <v>1.4E-3</v>
      </c>
      <c r="F11" s="7">
        <f>E11*M$19*A$10</f>
        <v>3.4705386651179997E-2</v>
      </c>
      <c r="T11" s="3" t="s">
        <v>114</v>
      </c>
      <c r="U11" s="3">
        <v>223</v>
      </c>
      <c r="V11" s="3">
        <v>45</v>
      </c>
    </row>
    <row r="12" spans="1:22">
      <c r="B12" t="s">
        <v>11</v>
      </c>
      <c r="C12" s="7">
        <v>3.3E-4</v>
      </c>
      <c r="D12">
        <v>2400</v>
      </c>
      <c r="E12" s="7">
        <f>C12*$M$22/$M$23</f>
        <v>3.3000000000000002E-2</v>
      </c>
      <c r="F12" s="7">
        <f>E12*M$19*A$10</f>
        <v>0.81805554249209989</v>
      </c>
    </row>
    <row r="13" spans="1:22">
      <c r="B13" t="s">
        <v>9</v>
      </c>
      <c r="C13" s="7">
        <v>7.7999999999999999E-6</v>
      </c>
      <c r="D13">
        <v>530</v>
      </c>
      <c r="E13" s="7">
        <f>C13*$M$22/$M$23</f>
        <v>7.7999999999999999E-4</v>
      </c>
      <c r="F13" s="7">
        <f>E13*M$19*A$10</f>
        <v>1.9335858277086001E-2</v>
      </c>
    </row>
    <row r="15" spans="1:22">
      <c r="A15" t="s">
        <v>80</v>
      </c>
      <c r="B15" t="s">
        <v>81</v>
      </c>
      <c r="C15" t="s">
        <v>76</v>
      </c>
      <c r="D15" t="s">
        <v>78</v>
      </c>
      <c r="E15" t="s">
        <v>79</v>
      </c>
    </row>
    <row r="16" spans="1:22">
      <c r="A16">
        <f>M18+33</f>
        <v>306.14999999999998</v>
      </c>
      <c r="B16" t="s">
        <v>10</v>
      </c>
      <c r="C16" s="7">
        <f>C10*EXP(D10*(1/A$16-1/A$10))</f>
        <v>8.6554486250130535E-6</v>
      </c>
      <c r="D16" s="7">
        <f>C16*M$22/M$23</f>
        <v>8.6554486250130539E-4</v>
      </c>
      <c r="E16" s="7">
        <f>D16*M$19*A$16</f>
        <v>2.2032200977899256E-2</v>
      </c>
      <c r="L16" t="s">
        <v>84</v>
      </c>
    </row>
    <row r="17" spans="1:13">
      <c r="B17" t="s">
        <v>71</v>
      </c>
      <c r="C17" s="7">
        <f>C11*EXP(D11*(1/A$16-1/A$10))</f>
        <v>1.1852445536278749E-5</v>
      </c>
      <c r="D17" s="7">
        <f>C17*M$22/M$23</f>
        <v>1.1852445536278749E-3</v>
      </c>
      <c r="E17" s="7">
        <f>D17*M$19*A$16</f>
        <v>3.0170066676873664E-2</v>
      </c>
      <c r="L17" t="s">
        <v>85</v>
      </c>
      <c r="M17">
        <v>1.01325</v>
      </c>
    </row>
    <row r="18" spans="1:13">
      <c r="B18" t="s">
        <v>11</v>
      </c>
      <c r="C18" s="7">
        <f>C12*EXP(D12*(1/A$16-1/A$10))</f>
        <v>2.6740053748996822E-4</v>
      </c>
      <c r="D18" s="7">
        <f>C18*M$22/M$23</f>
        <v>2.6740053748996823E-2</v>
      </c>
      <c r="E18" s="7">
        <f>D18*M$19*A$16</f>
        <v>0.68066054560729128</v>
      </c>
      <c r="L18" t="s">
        <v>2</v>
      </c>
      <c r="M18">
        <v>273.14999999999998</v>
      </c>
    </row>
    <row r="19" spans="1:13">
      <c r="B19" t="s">
        <v>9</v>
      </c>
      <c r="C19" s="7">
        <f>C13*EXP(D13*(1/A$16-1/A$10))</f>
        <v>7.4459670531625848E-6</v>
      </c>
      <c r="D19" s="7">
        <f>C19*M$22/M$23</f>
        <v>7.4459670531625845E-4</v>
      </c>
      <c r="E19" s="7">
        <f>D19*M$19*A$16</f>
        <v>1.8953499662167646E-2</v>
      </c>
      <c r="L19" t="s">
        <v>83</v>
      </c>
      <c r="M19">
        <v>8.3144598E-2</v>
      </c>
    </row>
    <row r="21" spans="1:13">
      <c r="A21" t="s">
        <v>80</v>
      </c>
      <c r="B21" t="s">
        <v>81</v>
      </c>
      <c r="C21" t="s">
        <v>76</v>
      </c>
      <c r="D21" t="s">
        <v>78</v>
      </c>
      <c r="E21" t="s">
        <v>79</v>
      </c>
    </row>
    <row r="22" spans="1:13">
      <c r="A22">
        <f>M18+22</f>
        <v>295.14999999999998</v>
      </c>
      <c r="B22" t="s">
        <v>10</v>
      </c>
      <c r="C22" s="7">
        <f>C10*EXP(D10*(1/A$22-1/A$10))</f>
        <v>1.0139559798040966E-5</v>
      </c>
      <c r="D22" s="7">
        <f>C22*M$22/M$23</f>
        <v>1.0139559798040968E-3</v>
      </c>
      <c r="E22" s="7">
        <f>D22*M$19*A$22</f>
        <v>2.4882609631849361E-2</v>
      </c>
      <c r="L22" t="s">
        <v>86</v>
      </c>
      <c r="M22">
        <v>100000</v>
      </c>
    </row>
    <row r="23" spans="1:13">
      <c r="B23" t="s">
        <v>71</v>
      </c>
      <c r="C23" s="7">
        <f>C11*EXP(D11*(1/A$22-1/A$10))</f>
        <v>1.4936842518005615E-5</v>
      </c>
      <c r="D23" s="7">
        <f>C23*M$22/M$23</f>
        <v>1.4936842518005614E-3</v>
      </c>
      <c r="E23" s="7">
        <f>D23*M$19*A$22</f>
        <v>3.6655202879690325E-2</v>
      </c>
      <c r="L23" t="s">
        <v>87</v>
      </c>
      <c r="M23">
        <v>1000</v>
      </c>
    </row>
    <row r="24" spans="1:13">
      <c r="B24" t="s">
        <v>11</v>
      </c>
      <c r="C24" s="7">
        <f>C12*EXP(D12*(1/A$22-1/A$10))</f>
        <v>3.5813563795352837E-4</v>
      </c>
      <c r="D24" s="7">
        <f>C24*M$22/M$23</f>
        <v>3.5813563795352832E-2</v>
      </c>
      <c r="E24" s="7">
        <f>D24*M$19*A$22</f>
        <v>0.87886944324473648</v>
      </c>
    </row>
    <row r="25" spans="1:13">
      <c r="B25" t="s">
        <v>9</v>
      </c>
      <c r="C25" s="7">
        <f>C13*EXP(D13*(1/A$22-1/A$10))</f>
        <v>7.9422143874441643E-6</v>
      </c>
      <c r="D25" s="7">
        <f>C25*M$22/M$23</f>
        <v>7.9422143874441646E-4</v>
      </c>
      <c r="E25" s="7">
        <f>D25*M$19*A$22</f>
        <v>1.9490295846316015E-2</v>
      </c>
    </row>
    <row r="26" spans="1:13">
      <c r="B26" s="9"/>
      <c r="C26" s="11"/>
      <c r="D26" s="11"/>
      <c r="E26" s="8"/>
    </row>
    <row r="27" spans="1:13">
      <c r="B27" s="9"/>
      <c r="C27" s="11"/>
      <c r="D27" s="11"/>
      <c r="E27" s="8"/>
    </row>
    <row r="28" spans="1:13">
      <c r="B28" s="9"/>
      <c r="E28" s="8"/>
    </row>
    <row r="29" spans="1:13">
      <c r="C29" s="11"/>
      <c r="D29" s="11"/>
      <c r="E29" s="8"/>
    </row>
    <row r="30" spans="1:13">
      <c r="C30" s="5"/>
      <c r="D30" s="8"/>
      <c r="E30" s="8"/>
    </row>
    <row r="31" spans="1:13">
      <c r="C31" s="5"/>
      <c r="D31" s="8"/>
      <c r="E31" s="8"/>
    </row>
    <row r="32" spans="1:13">
      <c r="C32" s="5"/>
      <c r="D32" s="8"/>
      <c r="E32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9"/>
  <sheetViews>
    <sheetView tabSelected="1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A18" sqref="A18:XFD20"/>
    </sheetView>
  </sheetViews>
  <sheetFormatPr baseColWidth="10" defaultColWidth="11" defaultRowHeight="16"/>
  <cols>
    <col min="1" max="1" width="21.33203125" customWidth="1"/>
    <col min="2" max="2" width="27.83203125" customWidth="1"/>
    <col min="3" max="3" width="19" customWidth="1"/>
    <col min="4" max="4" width="32.83203125" customWidth="1"/>
    <col min="5" max="5" width="11.5" customWidth="1"/>
    <col min="6" max="6" width="10.33203125" customWidth="1"/>
    <col min="7" max="7" width="16.5" customWidth="1"/>
    <col min="8" max="8" width="7" customWidth="1"/>
    <col min="9" max="9" width="13.6640625" customWidth="1"/>
    <col min="10" max="10" width="8.6640625" customWidth="1"/>
    <col min="11" max="12" width="26.83203125" customWidth="1"/>
    <col min="13" max="13" width="26.83203125" style="22" customWidth="1"/>
  </cols>
  <sheetData>
    <row r="1" spans="1:19">
      <c r="B1" t="s">
        <v>34</v>
      </c>
      <c r="C1" t="s">
        <v>23</v>
      </c>
      <c r="D1" t="s">
        <v>24</v>
      </c>
      <c r="E1" t="s">
        <v>0</v>
      </c>
      <c r="F1" t="s">
        <v>1</v>
      </c>
      <c r="G1" t="s">
        <v>4</v>
      </c>
      <c r="H1" t="s">
        <v>2</v>
      </c>
      <c r="I1" t="s">
        <v>3</v>
      </c>
      <c r="J1" s="4" t="s">
        <v>99</v>
      </c>
      <c r="K1" t="s">
        <v>92</v>
      </c>
      <c r="L1" t="s">
        <v>91</v>
      </c>
      <c r="M1" s="22" t="s">
        <v>93</v>
      </c>
      <c r="N1" t="s">
        <v>49</v>
      </c>
    </row>
    <row r="2" spans="1:19">
      <c r="A2" t="s">
        <v>47</v>
      </c>
      <c r="B2">
        <f t="shared" ref="B2:B25" si="0">12.2</f>
        <v>12.2</v>
      </c>
      <c r="C2">
        <f>B2*2*(10^-6)</f>
        <v>2.4399999999999997E-5</v>
      </c>
      <c r="D2">
        <f>C2/14.69594861</f>
        <v>1.6603215381004247E-6</v>
      </c>
      <c r="E2">
        <v>1</v>
      </c>
      <c r="F2">
        <f>E2/1000</f>
        <v>1E-3</v>
      </c>
      <c r="G2">
        <v>8.2057337999999994E-2</v>
      </c>
      <c r="H2">
        <v>298.14999999999998</v>
      </c>
      <c r="I2">
        <f>D2*F2/G2/H2</f>
        <v>6.7864079695625531E-11</v>
      </c>
      <c r="J2" s="8">
        <f t="shared" ref="J2:J8" si="1">I2*1000000000</f>
        <v>6.7864079695625537E-2</v>
      </c>
      <c r="K2">
        <f>I2*10^6</f>
        <v>6.7864079695625532E-5</v>
      </c>
      <c r="L2">
        <f t="shared" ref="L2:M6" si="2">K2*1000</f>
        <v>6.7864079695625537E-2</v>
      </c>
      <c r="M2" s="22">
        <f t="shared" si="2"/>
        <v>67.864079695625534</v>
      </c>
    </row>
    <row r="3" spans="1:19">
      <c r="A3" t="s">
        <v>37</v>
      </c>
      <c r="B3">
        <f t="shared" si="0"/>
        <v>12.2</v>
      </c>
      <c r="C3">
        <f>B3*(10^-5)</f>
        <v>1.22E-4</v>
      </c>
      <c r="D3">
        <f t="shared" ref="D3:D7" si="3">C3/14.69594861</f>
        <v>8.3016076905021237E-6</v>
      </c>
      <c r="E3">
        <v>1</v>
      </c>
      <c r="F3">
        <f>E3/1000</f>
        <v>1E-3</v>
      </c>
      <c r="G3">
        <v>8.2057337999999994E-2</v>
      </c>
      <c r="H3">
        <v>298.14999999999998</v>
      </c>
      <c r="I3">
        <f>D3*F3/G3/H3</f>
        <v>3.3932039847812762E-10</v>
      </c>
      <c r="J3" s="8">
        <f t="shared" si="1"/>
        <v>0.33932039847812762</v>
      </c>
      <c r="K3">
        <f>I3*10^6</f>
        <v>3.3932039847812761E-4</v>
      </c>
      <c r="L3">
        <f t="shared" si="2"/>
        <v>0.33932039847812762</v>
      </c>
      <c r="M3" s="22">
        <f t="shared" si="2"/>
        <v>339.32039847812763</v>
      </c>
    </row>
    <row r="4" spans="1:19">
      <c r="A4" t="s">
        <v>41</v>
      </c>
      <c r="B4">
        <f t="shared" si="0"/>
        <v>12.2</v>
      </c>
      <c r="C4">
        <f>B4*(10^-5)</f>
        <v>1.22E-4</v>
      </c>
      <c r="D4">
        <f t="shared" si="3"/>
        <v>8.3016076905021237E-6</v>
      </c>
      <c r="E4">
        <v>0.01</v>
      </c>
      <c r="F4">
        <f>E4/1000</f>
        <v>1.0000000000000001E-5</v>
      </c>
      <c r="G4">
        <v>8.2057337999999994E-2</v>
      </c>
      <c r="H4">
        <v>298.14999999999998</v>
      </c>
      <c r="I4">
        <f>D4*F4/G4/H4</f>
        <v>3.3932039847812762E-12</v>
      </c>
      <c r="J4" s="8">
        <f t="shared" si="1"/>
        <v>3.3932039847812761E-3</v>
      </c>
      <c r="K4">
        <f>I4*10^6</f>
        <v>3.3932039847812761E-6</v>
      </c>
      <c r="L4">
        <f t="shared" si="2"/>
        <v>3.3932039847812761E-3</v>
      </c>
      <c r="M4" s="22">
        <f t="shared" si="2"/>
        <v>3.3932039847812763</v>
      </c>
      <c r="N4" t="s">
        <v>40</v>
      </c>
    </row>
    <row r="5" spans="1:19">
      <c r="A5" t="s">
        <v>39</v>
      </c>
      <c r="B5">
        <f t="shared" si="0"/>
        <v>12.2</v>
      </c>
      <c r="C5">
        <f>C9</f>
        <v>1.2199999999999999E-3</v>
      </c>
      <c r="D5">
        <f t="shared" si="3"/>
        <v>8.301607690502123E-5</v>
      </c>
      <c r="E5">
        <v>0.05</v>
      </c>
      <c r="F5">
        <f>E5/1000</f>
        <v>5.0000000000000002E-5</v>
      </c>
      <c r="G5">
        <v>8.2057337999999994E-2</v>
      </c>
      <c r="H5">
        <v>298.14999999999998</v>
      </c>
      <c r="I5">
        <f>D5*F5/G5/H5</f>
        <v>1.6966019923906381E-10</v>
      </c>
      <c r="J5" s="8">
        <f t="shared" si="1"/>
        <v>0.16966019923906381</v>
      </c>
      <c r="K5">
        <f>I5*10^6</f>
        <v>1.696601992390638E-4</v>
      </c>
      <c r="L5">
        <f t="shared" si="2"/>
        <v>0.16966019923906381</v>
      </c>
      <c r="M5" s="22">
        <f t="shared" si="2"/>
        <v>169.66019923906381</v>
      </c>
      <c r="O5" t="s">
        <v>46</v>
      </c>
    </row>
    <row r="6" spans="1:19">
      <c r="A6" t="s">
        <v>38</v>
      </c>
      <c r="B6">
        <f t="shared" si="0"/>
        <v>12.2</v>
      </c>
      <c r="C6">
        <f>C9</f>
        <v>1.2199999999999999E-3</v>
      </c>
      <c r="D6">
        <f t="shared" si="3"/>
        <v>8.301607690502123E-5</v>
      </c>
      <c r="E6">
        <v>0.1</v>
      </c>
      <c r="F6">
        <f>E6/1000</f>
        <v>1E-4</v>
      </c>
      <c r="G6">
        <v>8.2057337999999994E-2</v>
      </c>
      <c r="H6">
        <v>298.14999999999998</v>
      </c>
      <c r="I6">
        <f>D6*F6/G6/H6</f>
        <v>3.3932039847812762E-10</v>
      </c>
      <c r="J6" s="8">
        <f t="shared" si="1"/>
        <v>0.33932039847812762</v>
      </c>
      <c r="K6">
        <f>I6*10^6</f>
        <v>3.3932039847812761E-4</v>
      </c>
      <c r="L6">
        <f t="shared" si="2"/>
        <v>0.33932039847812762</v>
      </c>
      <c r="M6" s="22">
        <f t="shared" si="2"/>
        <v>339.32039847812763</v>
      </c>
    </row>
    <row r="7" spans="1:19" s="4" customFormat="1">
      <c r="A7" s="4" t="s">
        <v>90</v>
      </c>
      <c r="B7" s="4">
        <f t="shared" si="0"/>
        <v>12.2</v>
      </c>
      <c r="C7" s="4">
        <f>C9</f>
        <v>1.2199999999999999E-3</v>
      </c>
      <c r="D7" s="21">
        <f t="shared" si="3"/>
        <v>8.301607690502123E-5</v>
      </c>
      <c r="E7" s="4">
        <v>0.2</v>
      </c>
      <c r="F7" s="4">
        <f t="shared" ref="F7" si="4">E7/1000</f>
        <v>2.0000000000000001E-4</v>
      </c>
      <c r="G7" s="4">
        <v>8.2057337999999994E-2</v>
      </c>
      <c r="H7" s="4">
        <v>298.14999999999998</v>
      </c>
      <c r="I7" s="4">
        <f t="shared" ref="I7" si="5">D7*F7/G7/H7</f>
        <v>6.7864079695625523E-10</v>
      </c>
      <c r="J7" s="20">
        <f t="shared" si="1"/>
        <v>0.67864079695625523</v>
      </c>
      <c r="K7" s="4">
        <f t="shared" ref="K7" si="6">I7*10^6</f>
        <v>6.7864079695625521E-4</v>
      </c>
      <c r="L7" s="4">
        <f t="shared" ref="L7" si="7">K7*1000</f>
        <v>0.67864079695625523</v>
      </c>
      <c r="M7" s="23">
        <f t="shared" ref="M7" si="8">L7*1000</f>
        <v>678.64079695625526</v>
      </c>
      <c r="N7" s="4" t="s">
        <v>64</v>
      </c>
    </row>
    <row r="8" spans="1:19">
      <c r="A8" t="s">
        <v>32</v>
      </c>
      <c r="B8">
        <f>12.2</f>
        <v>12.2</v>
      </c>
      <c r="C8">
        <f>C9</f>
        <v>1.2199999999999999E-3</v>
      </c>
      <c r="D8">
        <f t="shared" ref="D8:D25" si="9">C8/14.69594861</f>
        <v>8.301607690502123E-5</v>
      </c>
      <c r="E8">
        <v>0.5</v>
      </c>
      <c r="F8">
        <f t="shared" ref="F8:F25" si="10">E8/1000</f>
        <v>5.0000000000000001E-4</v>
      </c>
      <c r="G8">
        <v>8.2057337999999994E-2</v>
      </c>
      <c r="H8">
        <v>298.14999999999998</v>
      </c>
      <c r="I8">
        <f t="shared" ref="I8:I25" si="11">D8*F8/G8/H8</f>
        <v>1.6966019923906381E-9</v>
      </c>
      <c r="J8" s="8">
        <f t="shared" si="1"/>
        <v>1.6966019923906381</v>
      </c>
      <c r="K8">
        <f>I8*10^6</f>
        <v>1.696601992390638E-3</v>
      </c>
      <c r="L8">
        <f>K8*1000</f>
        <v>1.6966019923906381</v>
      </c>
      <c r="M8" s="22">
        <f>L8*1000</f>
        <v>1696.6019923906381</v>
      </c>
    </row>
    <row r="9" spans="1:19" s="4" customFormat="1">
      <c r="A9" s="4" t="s">
        <v>13</v>
      </c>
      <c r="B9" s="4">
        <f>12.2</f>
        <v>12.2</v>
      </c>
      <c r="C9" s="4">
        <f>0.0001*B9</f>
        <v>1.2199999999999999E-3</v>
      </c>
      <c r="D9" s="4">
        <f t="shared" si="9"/>
        <v>8.301607690502123E-5</v>
      </c>
      <c r="E9" s="4">
        <v>1</v>
      </c>
      <c r="F9" s="4">
        <f t="shared" si="10"/>
        <v>1E-3</v>
      </c>
      <c r="G9" s="4">
        <v>8.2057337999999994E-2</v>
      </c>
      <c r="H9" s="4">
        <v>298.14999999999998</v>
      </c>
      <c r="I9" s="4">
        <f t="shared" si="11"/>
        <v>3.3932039847812762E-9</v>
      </c>
      <c r="J9" s="20">
        <f t="shared" ref="J9:J25" si="12">I9*1000000000</f>
        <v>3.3932039847812763</v>
      </c>
      <c r="K9" s="4">
        <f>I9*10^6</f>
        <v>3.3932039847812761E-3</v>
      </c>
      <c r="L9" s="4">
        <f t="shared" ref="L9:M25" si="13">K9*1000</f>
        <v>3.3932039847812763</v>
      </c>
      <c r="M9" s="23">
        <f t="shared" si="13"/>
        <v>3393.2039847812762</v>
      </c>
      <c r="N9" s="4" t="s">
        <v>65</v>
      </c>
      <c r="S9" s="4" t="s">
        <v>33</v>
      </c>
    </row>
    <row r="10" spans="1:19" s="4" customFormat="1">
      <c r="A10" s="4" t="s">
        <v>68</v>
      </c>
      <c r="B10" s="4">
        <f>12.2</f>
        <v>12.2</v>
      </c>
      <c r="C10" s="4">
        <f>0.0004*B10</f>
        <v>4.8799999999999998E-3</v>
      </c>
      <c r="D10" s="4">
        <f>C10/14.69594861</f>
        <v>3.3206430762008492E-4</v>
      </c>
      <c r="E10" s="4">
        <v>0.1</v>
      </c>
      <c r="F10" s="4">
        <f>E10/1000</f>
        <v>1E-4</v>
      </c>
      <c r="G10" s="4">
        <v>8.2057337999999994E-2</v>
      </c>
      <c r="H10" s="4">
        <v>298.14999999999998</v>
      </c>
      <c r="I10" s="4">
        <f>D10*F10/G10/H10</f>
        <v>1.3572815939125105E-9</v>
      </c>
      <c r="J10" s="20">
        <f t="shared" ref="J10:J15" si="14">I10*1000000000</f>
        <v>1.3572815939125105</v>
      </c>
      <c r="K10" s="4">
        <f>I10*10^6</f>
        <v>1.3572815939125104E-3</v>
      </c>
      <c r="L10" s="4">
        <f t="shared" ref="L10:M13" si="15">K10*1000</f>
        <v>1.3572815939125105</v>
      </c>
      <c r="M10" s="23">
        <f t="shared" si="15"/>
        <v>1357.2815939125105</v>
      </c>
      <c r="N10" s="4" t="s">
        <v>95</v>
      </c>
    </row>
    <row r="11" spans="1:19">
      <c r="A11" t="s">
        <v>42</v>
      </c>
      <c r="B11">
        <f t="shared" si="0"/>
        <v>12.2</v>
      </c>
      <c r="C11">
        <f>B11*(10^-3)</f>
        <v>1.2199999999999999E-2</v>
      </c>
      <c r="D11">
        <f>C11/14.69594861</f>
        <v>8.3016076905021233E-4</v>
      </c>
      <c r="E11">
        <v>0.01</v>
      </c>
      <c r="F11">
        <f>E11/1000</f>
        <v>1.0000000000000001E-5</v>
      </c>
      <c r="G11">
        <v>8.2057337999999994E-2</v>
      </c>
      <c r="H11">
        <v>298.14999999999998</v>
      </c>
      <c r="I11">
        <f>D11*F11/G11/H11</f>
        <v>3.3932039847812767E-10</v>
      </c>
      <c r="J11" s="8">
        <f t="shared" si="14"/>
        <v>0.33932039847812767</v>
      </c>
      <c r="K11">
        <f>I11*10^6</f>
        <v>3.3932039847812766E-4</v>
      </c>
      <c r="L11">
        <f t="shared" si="15"/>
        <v>0.33932039847812767</v>
      </c>
      <c r="M11" s="22">
        <f t="shared" si="15"/>
        <v>339.32039847812769</v>
      </c>
      <c r="N11" t="s">
        <v>43</v>
      </c>
    </row>
    <row r="12" spans="1:19">
      <c r="A12" t="s">
        <v>44</v>
      </c>
      <c r="B12">
        <f t="shared" si="0"/>
        <v>12.2</v>
      </c>
      <c r="C12">
        <f>B12*(10^-3)</f>
        <v>1.2199999999999999E-2</v>
      </c>
      <c r="D12">
        <f>C12/14.69594861</f>
        <v>8.3016076905021233E-4</v>
      </c>
      <c r="E12">
        <v>5.0000000000000001E-3</v>
      </c>
      <c r="F12">
        <f>E12/1000</f>
        <v>5.0000000000000004E-6</v>
      </c>
      <c r="G12">
        <v>8.2057337999999994E-2</v>
      </c>
      <c r="H12">
        <v>298.14999999999998</v>
      </c>
      <c r="I12">
        <f>D12*F12/G12/H12</f>
        <v>1.6966019923906383E-10</v>
      </c>
      <c r="J12" s="8">
        <f t="shared" si="14"/>
        <v>0.16966019923906384</v>
      </c>
      <c r="K12">
        <f>I12*10^6</f>
        <v>1.6966019923906383E-4</v>
      </c>
      <c r="L12">
        <f t="shared" si="15"/>
        <v>0.16966019923906384</v>
      </c>
      <c r="M12" s="22">
        <f t="shared" si="15"/>
        <v>169.66019923906384</v>
      </c>
      <c r="N12" t="s">
        <v>48</v>
      </c>
    </row>
    <row r="13" spans="1:19">
      <c r="A13" t="s">
        <v>30</v>
      </c>
      <c r="B13">
        <f t="shared" si="0"/>
        <v>12.2</v>
      </c>
      <c r="C13">
        <f>0.005*B13</f>
        <v>6.0999999999999999E-2</v>
      </c>
      <c r="D13">
        <f>C13/14.69594861</f>
        <v>4.1508038452510616E-3</v>
      </c>
      <c r="E13">
        <v>0.5</v>
      </c>
      <c r="F13">
        <f>E13/1000</f>
        <v>5.0000000000000001E-4</v>
      </c>
      <c r="G13">
        <v>8.2057337999999994E-2</v>
      </c>
      <c r="H13">
        <v>298.14999999999998</v>
      </c>
      <c r="I13">
        <f>D13*F13/G13/H13</f>
        <v>8.4830099619531916E-8</v>
      </c>
      <c r="J13" s="8">
        <f t="shared" si="14"/>
        <v>84.830099619531921</v>
      </c>
      <c r="K13">
        <f t="shared" ref="K13:K15" si="16">I13*10^6</f>
        <v>8.4830099619531918E-2</v>
      </c>
      <c r="L13">
        <f t="shared" si="15"/>
        <v>84.830099619531921</v>
      </c>
      <c r="M13" s="22">
        <f t="shared" si="15"/>
        <v>84830.099619531917</v>
      </c>
    </row>
    <row r="14" spans="1:19" s="4" customFormat="1">
      <c r="A14" s="4" t="s">
        <v>94</v>
      </c>
      <c r="B14" s="4">
        <f t="shared" si="0"/>
        <v>12.2</v>
      </c>
      <c r="C14" s="4">
        <f>0.005*B14</f>
        <v>6.0999999999999999E-2</v>
      </c>
      <c r="D14" s="4">
        <f t="shared" ref="D14" si="17">C14/14.69594861</f>
        <v>4.1508038452510616E-3</v>
      </c>
      <c r="E14" s="4">
        <v>0.1</v>
      </c>
      <c r="F14" s="4">
        <f t="shared" ref="F14" si="18">E14/1000</f>
        <v>1E-4</v>
      </c>
      <c r="G14" s="4">
        <v>8.2057337999999994E-2</v>
      </c>
      <c r="H14" s="4">
        <v>298.14999999999998</v>
      </c>
      <c r="I14" s="4">
        <f t="shared" ref="I14" si="19">D14*F14/G14/H14</f>
        <v>1.6966019923906379E-8</v>
      </c>
      <c r="J14" s="20">
        <f t="shared" si="14"/>
        <v>16.96601992390638</v>
      </c>
      <c r="K14" s="4">
        <f t="shared" ref="K14" si="20">I14*10^6</f>
        <v>1.6966019923906381E-2</v>
      </c>
      <c r="L14" s="4">
        <f t="shared" ref="L14" si="21">K14*1000</f>
        <v>16.96601992390638</v>
      </c>
      <c r="M14" s="23">
        <f t="shared" ref="M14" si="22">L14*1000</f>
        <v>16966.01992390638</v>
      </c>
      <c r="N14" s="4" t="s">
        <v>96</v>
      </c>
    </row>
    <row r="15" spans="1:19">
      <c r="A15" t="s">
        <v>31</v>
      </c>
      <c r="B15">
        <f t="shared" si="0"/>
        <v>12.2</v>
      </c>
      <c r="C15">
        <f>0.005*B15</f>
        <v>6.0999999999999999E-2</v>
      </c>
      <c r="D15">
        <f>C15/14.69594861</f>
        <v>4.1508038452510616E-3</v>
      </c>
      <c r="E15">
        <v>1</v>
      </c>
      <c r="F15">
        <f>E15/1000</f>
        <v>1E-3</v>
      </c>
      <c r="G15">
        <v>8.2057337999999994E-2</v>
      </c>
      <c r="H15">
        <v>298.14999999999998</v>
      </c>
      <c r="I15">
        <f>D15*F15/G15/H15</f>
        <v>1.6966019923906383E-7</v>
      </c>
      <c r="J15" s="8">
        <f t="shared" si="14"/>
        <v>169.66019923906384</v>
      </c>
      <c r="K15">
        <f t="shared" si="16"/>
        <v>0.16966019923906384</v>
      </c>
      <c r="L15">
        <f>K15*1000</f>
        <v>169.66019923906384</v>
      </c>
      <c r="M15" s="22">
        <f>L15*1000</f>
        <v>169660.19923906383</v>
      </c>
    </row>
    <row r="16" spans="1:19">
      <c r="A16" t="s">
        <v>56</v>
      </c>
      <c r="B16">
        <f t="shared" si="0"/>
        <v>12.2</v>
      </c>
      <c r="C16">
        <f>0.01*B16</f>
        <v>0.122</v>
      </c>
      <c r="D16">
        <f>C16/14.69594861</f>
        <v>8.3016076905021233E-3</v>
      </c>
      <c r="E16">
        <v>5.0000000000000001E-3</v>
      </c>
      <c r="F16">
        <f>E16/1000</f>
        <v>5.0000000000000004E-6</v>
      </c>
      <c r="G16">
        <v>8.2057337999999994E-2</v>
      </c>
      <c r="H16">
        <v>298.14999999999998</v>
      </c>
      <c r="I16">
        <f>D16*F16/G16/H16</f>
        <v>1.6966019923906381E-9</v>
      </c>
      <c r="J16" s="8">
        <f t="shared" si="12"/>
        <v>1.6966019923906381</v>
      </c>
      <c r="K16">
        <f>I16*10^6</f>
        <v>1.696601992390638E-3</v>
      </c>
      <c r="L16">
        <f>K16*1000</f>
        <v>1.6966019923906381</v>
      </c>
      <c r="M16" s="22">
        <f>L16*1000</f>
        <v>1696.6019923906381</v>
      </c>
    </row>
    <row r="17" spans="1:14">
      <c r="A17" t="s">
        <v>55</v>
      </c>
      <c r="B17">
        <f t="shared" si="0"/>
        <v>12.2</v>
      </c>
      <c r="C17">
        <f>0.01*B17</f>
        <v>0.122</v>
      </c>
      <c r="D17">
        <f t="shared" si="9"/>
        <v>8.3016076905021233E-3</v>
      </c>
      <c r="E17">
        <v>0.01</v>
      </c>
      <c r="F17">
        <f t="shared" si="10"/>
        <v>1.0000000000000001E-5</v>
      </c>
      <c r="G17">
        <v>8.2057337999999994E-2</v>
      </c>
      <c r="H17">
        <v>298.14999999999998</v>
      </c>
      <c r="I17">
        <f t="shared" si="11"/>
        <v>3.3932039847812762E-9</v>
      </c>
      <c r="J17" s="8">
        <f t="shared" si="12"/>
        <v>3.3932039847812763</v>
      </c>
      <c r="K17">
        <f>I17*10^6</f>
        <v>3.3932039847812761E-3</v>
      </c>
      <c r="L17">
        <f t="shared" si="13"/>
        <v>3.3932039847812763</v>
      </c>
      <c r="M17" s="22">
        <f t="shared" si="13"/>
        <v>3393.2039847812762</v>
      </c>
    </row>
    <row r="18" spans="1:14">
      <c r="A18" t="s">
        <v>52</v>
      </c>
      <c r="B18">
        <f t="shared" si="0"/>
        <v>12.2</v>
      </c>
      <c r="C18">
        <f t="shared" ref="C18:C20" si="23">0.01*B18</f>
        <v>0.122</v>
      </c>
      <c r="D18">
        <f>C18/14.69594861</f>
        <v>8.3016076905021233E-3</v>
      </c>
      <c r="E18">
        <v>0.2</v>
      </c>
      <c r="F18">
        <f>E18/1000</f>
        <v>2.0000000000000001E-4</v>
      </c>
      <c r="G18">
        <v>8.2057337999999994E-2</v>
      </c>
      <c r="H18">
        <v>298.14999999999998</v>
      </c>
      <c r="I18">
        <f>D18*F18/G18/H18</f>
        <v>6.7864079695625517E-8</v>
      </c>
      <c r="J18" s="8">
        <f t="shared" si="12"/>
        <v>67.86407969562552</v>
      </c>
      <c r="K18">
        <f>I18*10^6</f>
        <v>6.7864079695625523E-2</v>
      </c>
      <c r="L18">
        <f>K18*1000</f>
        <v>67.86407969562552</v>
      </c>
      <c r="M18" s="22">
        <f>L18*1000</f>
        <v>67864.079695625522</v>
      </c>
    </row>
    <row r="19" spans="1:14">
      <c r="A19" t="s">
        <v>18</v>
      </c>
      <c r="B19">
        <f t="shared" si="0"/>
        <v>12.2</v>
      </c>
      <c r="C19">
        <f t="shared" si="23"/>
        <v>0.122</v>
      </c>
      <c r="D19">
        <f t="shared" si="9"/>
        <v>8.3016076905021233E-3</v>
      </c>
      <c r="E19">
        <v>0.5</v>
      </c>
      <c r="F19">
        <f t="shared" si="10"/>
        <v>5.0000000000000001E-4</v>
      </c>
      <c r="G19">
        <v>8.2057337999999994E-2</v>
      </c>
      <c r="H19">
        <v>298.14999999999998</v>
      </c>
      <c r="I19">
        <f t="shared" si="11"/>
        <v>1.6966019923906383E-7</v>
      </c>
      <c r="J19" s="8">
        <f t="shared" si="12"/>
        <v>169.66019923906384</v>
      </c>
      <c r="K19">
        <f t="shared" ref="K19:K25" si="24">I19*10^6</f>
        <v>0.16966019923906384</v>
      </c>
      <c r="L19">
        <f t="shared" si="13"/>
        <v>169.66019923906384</v>
      </c>
      <c r="M19" s="22">
        <f t="shared" si="13"/>
        <v>169660.19923906383</v>
      </c>
      <c r="N19" t="s">
        <v>35</v>
      </c>
    </row>
    <row r="20" spans="1:14">
      <c r="A20" t="s">
        <v>12</v>
      </c>
      <c r="B20">
        <f t="shared" si="0"/>
        <v>12.2</v>
      </c>
      <c r="C20">
        <f t="shared" si="23"/>
        <v>0.122</v>
      </c>
      <c r="D20">
        <f t="shared" si="9"/>
        <v>8.3016076905021233E-3</v>
      </c>
      <c r="E20">
        <v>1</v>
      </c>
      <c r="F20">
        <f t="shared" si="10"/>
        <v>1E-3</v>
      </c>
      <c r="G20">
        <v>8.2057337999999994E-2</v>
      </c>
      <c r="H20">
        <v>298.14999999999998</v>
      </c>
      <c r="I20">
        <f t="shared" si="11"/>
        <v>3.3932039847812766E-7</v>
      </c>
      <c r="J20" s="8">
        <f t="shared" si="12"/>
        <v>339.32039847812769</v>
      </c>
      <c r="K20">
        <f t="shared" si="24"/>
        <v>0.33932039847812767</v>
      </c>
      <c r="L20">
        <f t="shared" si="13"/>
        <v>339.32039847812769</v>
      </c>
      <c r="M20" s="22">
        <f t="shared" si="13"/>
        <v>339320.39847812767</v>
      </c>
    </row>
    <row r="21" spans="1:14">
      <c r="A21" t="s">
        <v>67</v>
      </c>
      <c r="B21">
        <f t="shared" si="0"/>
        <v>12.2</v>
      </c>
      <c r="C21">
        <f>0.01*B21</f>
        <v>0.122</v>
      </c>
      <c r="D21">
        <f>C21/14.69594861</f>
        <v>8.3016076905021233E-3</v>
      </c>
      <c r="E21">
        <v>2</v>
      </c>
      <c r="F21">
        <f t="shared" ref="F21" si="25">E21/1000</f>
        <v>2E-3</v>
      </c>
      <c r="G21">
        <v>8.2057337999999994E-2</v>
      </c>
      <c r="H21">
        <v>298.14999999999998</v>
      </c>
      <c r="I21">
        <f t="shared" ref="I21" si="26">D21*F21/G21/H21</f>
        <v>6.7864079695625533E-7</v>
      </c>
      <c r="J21" s="8">
        <f>I21*1000000000</f>
        <v>678.64079695625537</v>
      </c>
      <c r="K21">
        <f>I21*10^6</f>
        <v>0.67864079695625534</v>
      </c>
      <c r="L21">
        <f>K21*1000</f>
        <v>678.64079695625537</v>
      </c>
      <c r="M21" s="22">
        <f>L21*1000</f>
        <v>678640.79695625533</v>
      </c>
    </row>
    <row r="22" spans="1:14">
      <c r="A22" t="s">
        <v>16</v>
      </c>
      <c r="B22">
        <f t="shared" si="0"/>
        <v>12.2</v>
      </c>
      <c r="C22">
        <f>0.04*B22</f>
        <v>0.48799999999999999</v>
      </c>
      <c r="D22">
        <f t="shared" si="9"/>
        <v>3.3206430762008493E-2</v>
      </c>
      <c r="E22">
        <v>0.5</v>
      </c>
      <c r="F22">
        <f t="shared" si="10"/>
        <v>5.0000000000000001E-4</v>
      </c>
      <c r="G22">
        <v>8.2057337999999994E-2</v>
      </c>
      <c r="H22">
        <v>298.14999999999998</v>
      </c>
      <c r="I22">
        <f t="shared" si="11"/>
        <v>6.7864079695625533E-7</v>
      </c>
      <c r="J22" s="8">
        <f t="shared" si="12"/>
        <v>678.64079695625537</v>
      </c>
      <c r="K22">
        <f t="shared" si="24"/>
        <v>0.67864079695625534</v>
      </c>
      <c r="L22">
        <f t="shared" si="13"/>
        <v>678.64079695625537</v>
      </c>
      <c r="M22" s="22">
        <f t="shared" si="13"/>
        <v>678640.79695625533</v>
      </c>
      <c r="N22" t="s">
        <v>36</v>
      </c>
    </row>
    <row r="23" spans="1:14">
      <c r="A23" t="s">
        <v>17</v>
      </c>
      <c r="B23">
        <f t="shared" si="0"/>
        <v>12.2</v>
      </c>
      <c r="C23">
        <f>0.04*B23</f>
        <v>0.48799999999999999</v>
      </c>
      <c r="D23">
        <f t="shared" si="9"/>
        <v>3.3206430762008493E-2</v>
      </c>
      <c r="E23">
        <v>1</v>
      </c>
      <c r="F23">
        <f t="shared" si="10"/>
        <v>1E-3</v>
      </c>
      <c r="G23">
        <v>8.2057337999999994E-2</v>
      </c>
      <c r="H23">
        <v>298.14999999999998</v>
      </c>
      <c r="I23">
        <f t="shared" si="11"/>
        <v>1.3572815939125107E-6</v>
      </c>
      <c r="J23" s="8">
        <f t="shared" si="12"/>
        <v>1357.2815939125107</v>
      </c>
      <c r="K23">
        <f t="shared" si="24"/>
        <v>1.3572815939125107</v>
      </c>
      <c r="L23">
        <f t="shared" si="13"/>
        <v>1357.2815939125107</v>
      </c>
      <c r="M23" s="22">
        <f t="shared" si="13"/>
        <v>1357281.5939125107</v>
      </c>
    </row>
    <row r="24" spans="1:14">
      <c r="A24" t="s">
        <v>14</v>
      </c>
      <c r="B24">
        <f t="shared" si="0"/>
        <v>12.2</v>
      </c>
      <c r="C24">
        <f>0.05*B24</f>
        <v>0.61</v>
      </c>
      <c r="D24">
        <f t="shared" si="9"/>
        <v>4.1508038452510616E-2</v>
      </c>
      <c r="E24">
        <v>0.5</v>
      </c>
      <c r="F24">
        <f t="shared" si="10"/>
        <v>5.0000000000000001E-4</v>
      </c>
      <c r="G24">
        <v>8.2057337999999994E-2</v>
      </c>
      <c r="H24">
        <v>298.14999999999998</v>
      </c>
      <c r="I24">
        <f t="shared" si="11"/>
        <v>8.4830099619531903E-7</v>
      </c>
      <c r="J24" s="8">
        <f t="shared" si="12"/>
        <v>848.30099619531904</v>
      </c>
      <c r="K24">
        <f t="shared" si="24"/>
        <v>0.84830099619531907</v>
      </c>
      <c r="L24">
        <f t="shared" si="13"/>
        <v>848.30099619531904</v>
      </c>
      <c r="M24" s="22">
        <f t="shared" si="13"/>
        <v>848300.99619531899</v>
      </c>
    </row>
    <row r="25" spans="1:14">
      <c r="A25" t="s">
        <v>15</v>
      </c>
      <c r="B25">
        <f t="shared" si="0"/>
        <v>12.2</v>
      </c>
      <c r="C25">
        <f>0.05*B25</f>
        <v>0.61</v>
      </c>
      <c r="D25">
        <f t="shared" si="9"/>
        <v>4.1508038452510616E-2</v>
      </c>
      <c r="E25">
        <v>1</v>
      </c>
      <c r="F25">
        <f t="shared" si="10"/>
        <v>1E-3</v>
      </c>
      <c r="G25">
        <v>8.2057337999999994E-2</v>
      </c>
      <c r="H25">
        <v>298.14999999999998</v>
      </c>
      <c r="I25">
        <f t="shared" si="11"/>
        <v>1.6966019923906381E-6</v>
      </c>
      <c r="J25" s="8">
        <f t="shared" si="12"/>
        <v>1696.6019923906381</v>
      </c>
      <c r="K25">
        <f t="shared" si="24"/>
        <v>1.6966019923906381</v>
      </c>
      <c r="L25">
        <f t="shared" si="13"/>
        <v>1696.6019923906381</v>
      </c>
      <c r="M25" s="22">
        <f t="shared" si="13"/>
        <v>1696601.992390638</v>
      </c>
    </row>
    <row r="32" spans="1:14">
      <c r="A32" t="s">
        <v>22</v>
      </c>
    </row>
    <row r="34" spans="1:1">
      <c r="A34" t="s">
        <v>27</v>
      </c>
    </row>
    <row r="35" spans="1:1">
      <c r="A35" t="s">
        <v>29</v>
      </c>
    </row>
    <row r="37" spans="1:1">
      <c r="A37" t="s">
        <v>45</v>
      </c>
    </row>
    <row r="39" spans="1:1">
      <c r="A39" t="s">
        <v>50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0"/>
  <sheetViews>
    <sheetView zoomScale="110" zoomScaleNormal="110" zoomScalePageLayoutView="110" workbookViewId="0">
      <selection activeCell="C7" activeCellId="2" sqref="C4 C6 C7"/>
    </sheetView>
  </sheetViews>
  <sheetFormatPr baseColWidth="10" defaultColWidth="11" defaultRowHeight="16"/>
  <cols>
    <col min="1" max="1" width="17.5" customWidth="1"/>
    <col min="2" max="2" width="21.83203125" customWidth="1"/>
    <col min="3" max="3" width="22.83203125" customWidth="1"/>
  </cols>
  <sheetData>
    <row r="1" spans="1:13">
      <c r="A1" t="s">
        <v>6</v>
      </c>
      <c r="B1" t="s">
        <v>8</v>
      </c>
      <c r="C1" s="1" t="s">
        <v>103</v>
      </c>
      <c r="D1" s="1" t="s">
        <v>5</v>
      </c>
      <c r="J1" t="s">
        <v>25</v>
      </c>
      <c r="K1" t="s">
        <v>26</v>
      </c>
    </row>
    <row r="2" spans="1:13">
      <c r="B2" t="s">
        <v>56</v>
      </c>
      <c r="C2" s="24">
        <f>'std. conc. calcs'!J16</f>
        <v>1.6966019923906381</v>
      </c>
      <c r="D2" s="1">
        <v>1558.0050000000001</v>
      </c>
    </row>
    <row r="3" spans="1:13">
      <c r="B3" t="s">
        <v>54</v>
      </c>
      <c r="C3" s="24">
        <v>3.39</v>
      </c>
      <c r="D3" s="1"/>
    </row>
    <row r="4" spans="1:13">
      <c r="A4" t="s">
        <v>120</v>
      </c>
      <c r="B4" t="s">
        <v>53</v>
      </c>
      <c r="C4" s="24">
        <f>'std. conc. calcs'!J18</f>
        <v>67.86407969562552</v>
      </c>
      <c r="D4" s="1">
        <v>8956.3680000000004</v>
      </c>
    </row>
    <row r="5" spans="1:13">
      <c r="B5" t="s">
        <v>74</v>
      </c>
      <c r="C5" s="24">
        <f>'std. conc. calcs'!J13</f>
        <v>84.830099619531921</v>
      </c>
      <c r="D5" s="1"/>
    </row>
    <row r="6" spans="1:13">
      <c r="B6" t="s">
        <v>58</v>
      </c>
      <c r="C6" s="24">
        <f>'std. conc. calcs'!J19</f>
        <v>169.66019923906384</v>
      </c>
      <c r="D6">
        <v>21007.144</v>
      </c>
      <c r="I6" t="s">
        <v>21</v>
      </c>
      <c r="J6">
        <v>127.74</v>
      </c>
      <c r="K6">
        <v>0</v>
      </c>
      <c r="M6" t="s">
        <v>105</v>
      </c>
    </row>
    <row r="7" spans="1:13">
      <c r="A7" t="s">
        <v>116</v>
      </c>
      <c r="B7" t="s">
        <v>62</v>
      </c>
      <c r="C7" s="24">
        <f>'std. conc. calcs'!J20</f>
        <v>339.32039847812769</v>
      </c>
      <c r="D7">
        <v>43612.141000000003</v>
      </c>
      <c r="I7" t="s">
        <v>20</v>
      </c>
      <c r="J7">
        <f>1/J6</f>
        <v>7.8284014404258646E-3</v>
      </c>
      <c r="K7">
        <f>-K6/J6</f>
        <v>0</v>
      </c>
    </row>
    <row r="8" spans="1:13">
      <c r="A8" t="s">
        <v>117</v>
      </c>
      <c r="B8" t="s">
        <v>63</v>
      </c>
      <c r="C8" s="24">
        <f>'std. conc. calcs'!J21</f>
        <v>678.64079695625537</v>
      </c>
    </row>
    <row r="9" spans="1:13">
      <c r="B9" t="s">
        <v>121</v>
      </c>
      <c r="C9">
        <v>16.966000000000001</v>
      </c>
    </row>
    <row r="40" spans="1:1">
      <c r="A40" t="s">
        <v>28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"/>
  <sheetViews>
    <sheetView workbookViewId="0">
      <selection activeCell="J6" sqref="J6"/>
    </sheetView>
  </sheetViews>
  <sheetFormatPr baseColWidth="10" defaultColWidth="11" defaultRowHeight="16"/>
  <cols>
    <col min="1" max="1" width="12.6640625" customWidth="1"/>
    <col min="2" max="2" width="26.5" customWidth="1"/>
    <col min="3" max="3" width="21.33203125" customWidth="1"/>
    <col min="9" max="9" width="3.83203125" customWidth="1"/>
    <col min="10" max="10" width="25" customWidth="1"/>
  </cols>
  <sheetData>
    <row r="1" spans="1:13">
      <c r="A1" t="s">
        <v>6</v>
      </c>
      <c r="B1" t="s">
        <v>8</v>
      </c>
      <c r="C1" s="1" t="s">
        <v>97</v>
      </c>
      <c r="D1" t="s">
        <v>5</v>
      </c>
      <c r="E1" t="s">
        <v>19</v>
      </c>
      <c r="J1" t="s">
        <v>25</v>
      </c>
      <c r="K1" t="s">
        <v>26</v>
      </c>
    </row>
    <row r="2" spans="1:13">
      <c r="C2" s="1"/>
    </row>
    <row r="3" spans="1:13">
      <c r="B3" t="s">
        <v>98</v>
      </c>
      <c r="C3" s="24">
        <f>'std. conc. calcs'!J7</f>
        <v>0.67864079695625523</v>
      </c>
    </row>
    <row r="4" spans="1:13">
      <c r="B4" t="s">
        <v>60</v>
      </c>
      <c r="C4" s="24">
        <f>'std. conc. calcs'!J8</f>
        <v>1.6966019923906381</v>
      </c>
      <c r="D4">
        <v>1507</v>
      </c>
    </row>
    <row r="5" spans="1:13">
      <c r="B5" t="s">
        <v>61</v>
      </c>
      <c r="C5" s="24">
        <f>'std. conc. calcs'!J9</f>
        <v>3.3932039847812763</v>
      </c>
      <c r="I5" t="s">
        <v>21</v>
      </c>
      <c r="J5">
        <v>123.84</v>
      </c>
      <c r="M5" t="s">
        <v>66</v>
      </c>
    </row>
    <row r="6" spans="1:13">
      <c r="A6" t="str">
        <f>'20181011'!A4</f>
        <v>B5</v>
      </c>
      <c r="B6" t="s">
        <v>51</v>
      </c>
      <c r="C6" s="24">
        <f>'std. conc. calcs'!J18</f>
        <v>67.86407969562552</v>
      </c>
      <c r="D6">
        <v>8073</v>
      </c>
    </row>
    <row r="7" spans="1:13">
      <c r="B7" t="s">
        <v>58</v>
      </c>
      <c r="C7" s="24">
        <f>'std. conc. calcs'!J19</f>
        <v>169.66019923906384</v>
      </c>
      <c r="D7">
        <v>19729</v>
      </c>
      <c r="I7" t="s">
        <v>20</v>
      </c>
      <c r="J7">
        <f>1/J5</f>
        <v>8.0749354005167952E-3</v>
      </c>
      <c r="K7">
        <f>-K5/J5</f>
        <v>0</v>
      </c>
    </row>
    <row r="8" spans="1:13">
      <c r="A8">
        <f>'20181011'!A7</f>
        <v>0</v>
      </c>
      <c r="B8" t="s">
        <v>59</v>
      </c>
      <c r="C8" s="24">
        <f>'std. conc. calcs'!J20</f>
        <v>339.32039847812769</v>
      </c>
      <c r="D8">
        <v>42722</v>
      </c>
    </row>
    <row r="9" spans="1:13">
      <c r="A9">
        <f>'20181011'!A6</f>
        <v>0</v>
      </c>
      <c r="B9" t="s">
        <v>63</v>
      </c>
      <c r="C9" s="24">
        <f>'std. conc. calcs'!J21</f>
        <v>678.64079695625537</v>
      </c>
    </row>
    <row r="10" spans="1:13">
      <c r="C10" s="1"/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8"/>
  <sheetViews>
    <sheetView zoomScale="114" zoomScaleNormal="114" workbookViewId="0">
      <selection activeCell="I17" sqref="I17"/>
    </sheetView>
  </sheetViews>
  <sheetFormatPr baseColWidth="10" defaultColWidth="11" defaultRowHeight="16"/>
  <cols>
    <col min="1" max="1" width="15.33203125" customWidth="1"/>
    <col min="2" max="2" width="17.83203125" customWidth="1"/>
    <col min="3" max="3" width="21.33203125" customWidth="1"/>
    <col min="8" max="8" width="3.33203125" customWidth="1"/>
    <col min="9" max="9" width="24.6640625" customWidth="1"/>
  </cols>
  <sheetData>
    <row r="1" spans="1:12">
      <c r="A1" t="s">
        <v>6</v>
      </c>
      <c r="B1" t="s">
        <v>8</v>
      </c>
      <c r="C1" s="1" t="s">
        <v>103</v>
      </c>
      <c r="D1" t="s">
        <v>5</v>
      </c>
      <c r="E1" t="s">
        <v>19</v>
      </c>
    </row>
    <row r="2" spans="1:12">
      <c r="B2" t="s">
        <v>69</v>
      </c>
      <c r="C2" s="24">
        <f>'std. conc. calcs'!J10</f>
        <v>1.3572815939125105</v>
      </c>
    </row>
    <row r="3" spans="1:12">
      <c r="A3" t="str">
        <f>'20181011'!A5</f>
        <v>B6</v>
      </c>
      <c r="B3" t="str">
        <f>'std. conc. calcs'!A18</f>
        <v>0.2 ml 1% gas</v>
      </c>
      <c r="C3" s="8">
        <f>'std. conc. calcs'!J18</f>
        <v>67.86407969562552</v>
      </c>
      <c r="D3">
        <v>4156.6360000000004</v>
      </c>
      <c r="H3" t="s">
        <v>21</v>
      </c>
      <c r="I3">
        <v>88.620999999999995</v>
      </c>
      <c r="J3">
        <v>60</v>
      </c>
      <c r="L3" t="s">
        <v>106</v>
      </c>
    </row>
    <row r="4" spans="1:12">
      <c r="B4" t="s">
        <v>74</v>
      </c>
      <c r="C4" s="8">
        <f>'std. conc. calcs'!J13</f>
        <v>84.830099619531921</v>
      </c>
    </row>
    <row r="5" spans="1:12">
      <c r="B5" t="str">
        <f>'std. conc. calcs'!A19</f>
        <v xml:space="preserve">0.5ml 1% gas </v>
      </c>
      <c r="C5" s="24">
        <f>'std. conc. calcs'!J19</f>
        <v>169.66019923906384</v>
      </c>
      <c r="D5">
        <v>14915.909</v>
      </c>
      <c r="H5" t="s">
        <v>20</v>
      </c>
      <c r="I5">
        <f>1/I3</f>
        <v>1.1284007176628565E-2</v>
      </c>
      <c r="J5">
        <f>-J3/I3</f>
        <v>-0.6770404305977139</v>
      </c>
    </row>
    <row r="6" spans="1:12">
      <c r="A6">
        <f>'20181011'!A7</f>
        <v>0</v>
      </c>
      <c r="B6" t="str">
        <f>'std. conc. calcs'!A20</f>
        <v>1 ml 1% gas</v>
      </c>
      <c r="C6" s="24">
        <f>'std. conc. calcs'!J20</f>
        <v>339.32039847812769</v>
      </c>
      <c r="D6">
        <v>30606.743999999999</v>
      </c>
    </row>
    <row r="7" spans="1:12">
      <c r="A7">
        <f>'20181011'!A6</f>
        <v>0</v>
      </c>
      <c r="B7" t="s">
        <v>63</v>
      </c>
      <c r="C7" s="24">
        <f>'std. conc. calcs'!J21</f>
        <v>678.64079695625537</v>
      </c>
    </row>
    <row r="8" spans="1:12">
      <c r="B8" t="s">
        <v>122</v>
      </c>
      <c r="C8">
        <v>17</v>
      </c>
      <c r="D8">
        <v>1518.566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8"/>
  <sheetViews>
    <sheetView workbookViewId="0">
      <selection activeCell="C6" activeCellId="2" sqref="C4 C5 C6"/>
    </sheetView>
  </sheetViews>
  <sheetFormatPr baseColWidth="10" defaultColWidth="11" defaultRowHeight="16"/>
  <cols>
    <col min="1" max="1" width="14.83203125" customWidth="1"/>
    <col min="2" max="2" width="20.6640625" customWidth="1"/>
    <col min="3" max="3" width="21.33203125" customWidth="1"/>
    <col min="12" max="12" width="3.5" customWidth="1"/>
    <col min="13" max="13" width="23.5" customWidth="1"/>
    <col min="14" max="14" width="11.83203125" customWidth="1"/>
  </cols>
  <sheetData>
    <row r="1" spans="1:16">
      <c r="A1" t="s">
        <v>6</v>
      </c>
      <c r="B1" t="s">
        <v>8</v>
      </c>
      <c r="C1" s="1" t="s">
        <v>104</v>
      </c>
      <c r="D1" t="s">
        <v>5</v>
      </c>
      <c r="E1" t="s">
        <v>19</v>
      </c>
      <c r="M1" t="s">
        <v>25</v>
      </c>
      <c r="N1" t="s">
        <v>26</v>
      </c>
    </row>
    <row r="2" spans="1:16">
      <c r="B2" t="str">
        <f>'std. conc. calcs'!A8</f>
        <v>0.5 ml 100 ppm (0.01%)</v>
      </c>
      <c r="C2" s="24">
        <f>'std. conc. calcs'!J8</f>
        <v>1.6966019923906381</v>
      </c>
    </row>
    <row r="3" spans="1:16">
      <c r="B3" t="str">
        <f>'std. conc. calcs'!A9</f>
        <v>1 ml 100 ppm (0.01%)</v>
      </c>
      <c r="C3" s="24">
        <f>'std. conc. calcs'!J9</f>
        <v>3.3932039847812763</v>
      </c>
      <c r="L3" t="s">
        <v>21</v>
      </c>
      <c r="M3">
        <v>8.8781999999999996</v>
      </c>
      <c r="P3" t="s">
        <v>66</v>
      </c>
    </row>
    <row r="4" spans="1:16">
      <c r="A4" t="str">
        <f>'20181011'!A5</f>
        <v>B6</v>
      </c>
      <c r="B4" t="str">
        <f>'std. conc. calcs'!A18</f>
        <v>0.2 ml 1% gas</v>
      </c>
      <c r="C4" s="24">
        <f>'std. conc. calcs'!J18</f>
        <v>67.86407969562552</v>
      </c>
      <c r="D4">
        <v>139.02099999999999</v>
      </c>
    </row>
    <row r="5" spans="1:16">
      <c r="B5" t="str">
        <f>'std. conc. calcs'!A19</f>
        <v xml:space="preserve">0.5ml 1% gas </v>
      </c>
      <c r="C5" s="24">
        <f>'std. conc. calcs'!J19</f>
        <v>169.66019923906384</v>
      </c>
      <c r="D5">
        <v>1483.6759999999999</v>
      </c>
      <c r="L5" t="s">
        <v>20</v>
      </c>
      <c r="M5">
        <f>1/M3</f>
        <v>0.11263544412155617</v>
      </c>
      <c r="N5">
        <f>-N3/M3</f>
        <v>0</v>
      </c>
    </row>
    <row r="6" spans="1:16">
      <c r="A6">
        <f>'20181011'!A7</f>
        <v>0</v>
      </c>
      <c r="B6" t="str">
        <f>'std. conc. calcs'!A20</f>
        <v>1 ml 1% gas</v>
      </c>
      <c r="C6" s="24">
        <f>'std. conc. calcs'!J20</f>
        <v>339.32039847812769</v>
      </c>
      <c r="D6">
        <v>3116.5410000000002</v>
      </c>
    </row>
    <row r="7" spans="1:16">
      <c r="A7">
        <f>'20181011'!A6</f>
        <v>0</v>
      </c>
      <c r="B7" t="str">
        <f>'std. conc. calcs'!A21</f>
        <v>2 ml 1% gas</v>
      </c>
      <c r="C7" s="24">
        <f>'std. conc. calcs'!J21</f>
        <v>678.64079695625537</v>
      </c>
    </row>
    <row r="8" spans="1:16">
      <c r="B8" t="s">
        <v>70</v>
      </c>
      <c r="C8" s="8">
        <f>'std. conc. calcs'!J24</f>
        <v>848.30099619531904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1368C-7F1E-7243-B7AA-B1E9EB38035D}">
  <dimension ref="A1:H5"/>
  <sheetViews>
    <sheetView zoomScale="120" zoomScaleNormal="120" workbookViewId="0">
      <selection activeCell="A26" sqref="A26"/>
    </sheetView>
  </sheetViews>
  <sheetFormatPr baseColWidth="10" defaultColWidth="11" defaultRowHeight="16"/>
  <cols>
    <col min="1" max="1" width="12.83203125" customWidth="1"/>
    <col min="2" max="2" width="31.6640625" customWidth="1"/>
    <col min="3" max="3" width="17.5" customWidth="1"/>
  </cols>
  <sheetData>
    <row r="1" spans="1:8">
      <c r="D1" s="43" t="s">
        <v>72</v>
      </c>
      <c r="E1" s="43"/>
      <c r="F1" s="43"/>
      <c r="G1" t="s">
        <v>73</v>
      </c>
    </row>
    <row r="2" spans="1:8">
      <c r="A2" t="s">
        <v>7</v>
      </c>
      <c r="B2" t="s">
        <v>8</v>
      </c>
      <c r="C2" t="s">
        <v>89</v>
      </c>
      <c r="D2" t="s">
        <v>10</v>
      </c>
      <c r="E2" t="s">
        <v>71</v>
      </c>
      <c r="F2" t="s">
        <v>11</v>
      </c>
      <c r="G2" t="s">
        <v>9</v>
      </c>
      <c r="H2" t="s">
        <v>19</v>
      </c>
    </row>
    <row r="3" spans="1:8">
      <c r="B3" t="s">
        <v>57</v>
      </c>
      <c r="C3">
        <v>0</v>
      </c>
      <c r="D3">
        <v>0</v>
      </c>
      <c r="E3">
        <v>0</v>
      </c>
    </row>
    <row r="4" spans="1:8">
      <c r="A4" t="s">
        <v>118</v>
      </c>
      <c r="C4">
        <v>0.5</v>
      </c>
      <c r="D4">
        <v>892.27200000000005</v>
      </c>
      <c r="E4">
        <v>0</v>
      </c>
      <c r="F4">
        <v>0</v>
      </c>
      <c r="G4">
        <v>0</v>
      </c>
    </row>
    <row r="5" spans="1:8">
      <c r="A5" t="s">
        <v>119</v>
      </c>
      <c r="C5">
        <v>0.5</v>
      </c>
      <c r="D5">
        <v>524.97199999999998</v>
      </c>
      <c r="E5">
        <v>0</v>
      </c>
      <c r="F5">
        <v>0</v>
      </c>
      <c r="G5">
        <v>256.76900000000001</v>
      </c>
    </row>
  </sheetData>
  <mergeCells count="1">
    <mergeCell ref="D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sample conc. Calcs.</vt:lpstr>
      <vt:lpstr>Henry's constants</vt:lpstr>
      <vt:lpstr>std. conc. calcs</vt:lpstr>
      <vt:lpstr>CO calib (FID)</vt:lpstr>
      <vt:lpstr>CH4 calib (FID)</vt:lpstr>
      <vt:lpstr>CO2 calib (FID)</vt:lpstr>
      <vt:lpstr>H2 calib (TCD)</vt:lpstr>
      <vt:lpstr>20181011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Tristan Caro</cp:lastModifiedBy>
  <dcterms:created xsi:type="dcterms:W3CDTF">2016-06-03T20:36:10Z</dcterms:created>
  <dcterms:modified xsi:type="dcterms:W3CDTF">2024-02-15T22:59:58Z</dcterms:modified>
</cp:coreProperties>
</file>