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dev\Ingress\ramen\"/>
    </mc:Choice>
  </mc:AlternateContent>
  <xr:revisionPtr revIDLastSave="0" documentId="13_ncr:1_{0C94278A-3A44-4A83-B8EB-5E0771063627}" xr6:coauthVersionLast="47" xr6:coauthVersionMax="47" xr10:uidLastSave="{00000000-0000-0000-0000-000000000000}"/>
  <bookViews>
    <workbookView xWindow="-110" yWindow="-110" windowWidth="25820" windowHeight="13900" xr2:uid="{00000000-000D-0000-FFFF-FFFF00000000}"/>
  </bookViews>
  <sheets>
    <sheet name="手順書" sheetId="8" r:id="rId1"/>
    <sheet name="概要 " sheetId="1" r:id="rId2"/>
    <sheet name="1.参加者" sheetId="2" r:id="rId3"/>
    <sheet name="2.ポータル" sheetId="3" r:id="rId4"/>
    <sheet name="3.手順" sheetId="4" r:id="rId5"/>
    <sheet name="4．ポータルキー配布一覧" sheetId="5" r:id="rId6"/>
    <sheet name="98.難読ポータル" sheetId="6" r:id="rId7"/>
    <sheet name="99.手順Draw" sheetId="7" r:id="rId8"/>
  </sheets>
  <definedNames>
    <definedName name="_xlnm._FilterDatabase" localSheetId="3" hidden="1">'2.ポータル'!$A$2:$U$159</definedName>
    <definedName name="_xlnm._FilterDatabase" localSheetId="5" hidden="1">'4．ポータルキー配布一覧'!$B$2:$Q$134</definedName>
    <definedName name="_xlnm.Print_Area" localSheetId="0">手順書!$A$1:$G$360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37" i="8" l="1"/>
  <c r="B321" i="8"/>
  <c r="B307" i="8"/>
  <c r="B273" i="8"/>
  <c r="B261" i="8"/>
  <c r="B232" i="8"/>
  <c r="B206" i="8"/>
  <c r="B154" i="8"/>
  <c r="B120" i="8"/>
  <c r="B86" i="8"/>
  <c r="B55" i="8"/>
  <c r="B25" i="8"/>
  <c r="B1" i="8"/>
  <c r="BK355" i="7"/>
  <c r="W355" i="7"/>
  <c r="V355" i="7"/>
  <c r="AJ355" i="7" s="1"/>
  <c r="U355" i="7"/>
  <c r="AH355" i="7" s="1"/>
  <c r="T355" i="7"/>
  <c r="S355" i="7"/>
  <c r="AV355" i="7" s="1"/>
  <c r="R355" i="7"/>
  <c r="AT355" i="7" s="1"/>
  <c r="Q355" i="7"/>
  <c r="P355" i="7"/>
  <c r="AR355" i="7" s="1"/>
  <c r="O355" i="7"/>
  <c r="AP355" i="7" s="1"/>
  <c r="N355" i="7"/>
  <c r="M355" i="7"/>
  <c r="BK354" i="7"/>
  <c r="W354" i="7"/>
  <c r="V354" i="7"/>
  <c r="AJ354" i="7" s="1"/>
  <c r="U354" i="7"/>
  <c r="AH354" i="7" s="1"/>
  <c r="T354" i="7"/>
  <c r="S354" i="7"/>
  <c r="AV354" i="7" s="1"/>
  <c r="R354" i="7"/>
  <c r="AT354" i="7" s="1"/>
  <c r="Q354" i="7"/>
  <c r="P354" i="7"/>
  <c r="BD354" i="7" s="1"/>
  <c r="O354" i="7"/>
  <c r="AP354" i="7" s="1"/>
  <c r="N354" i="7"/>
  <c r="M354" i="7"/>
  <c r="BF354" i="7" s="1"/>
  <c r="BK353" i="7"/>
  <c r="BF353" i="7"/>
  <c r="W353" i="7"/>
  <c r="V353" i="7"/>
  <c r="AJ353" i="7" s="1"/>
  <c r="U353" i="7"/>
  <c r="AH353" i="7" s="1"/>
  <c r="T353" i="7"/>
  <c r="S353" i="7"/>
  <c r="AV353" i="7" s="1"/>
  <c r="R353" i="7"/>
  <c r="AT353" i="7" s="1"/>
  <c r="Q353" i="7"/>
  <c r="P353" i="7"/>
  <c r="AB353" i="7" s="1"/>
  <c r="O353" i="7"/>
  <c r="BB353" i="7" s="1"/>
  <c r="N353" i="7"/>
  <c r="M353" i="7"/>
  <c r="AL353" i="7" s="1"/>
  <c r="BK352" i="7"/>
  <c r="AL352" i="7"/>
  <c r="W352" i="7"/>
  <c r="V352" i="7"/>
  <c r="AJ352" i="7" s="1"/>
  <c r="U352" i="7"/>
  <c r="AH352" i="7" s="1"/>
  <c r="T352" i="7"/>
  <c r="S352" i="7"/>
  <c r="AV352" i="7" s="1"/>
  <c r="R352" i="7"/>
  <c r="AT352" i="7" s="1"/>
  <c r="Q352" i="7"/>
  <c r="P352" i="7"/>
  <c r="AR352" i="7" s="1"/>
  <c r="O352" i="7"/>
  <c r="BB352" i="7" s="1"/>
  <c r="N352" i="7"/>
  <c r="M352" i="7"/>
  <c r="BK351" i="7"/>
  <c r="W351" i="7"/>
  <c r="V351" i="7"/>
  <c r="AJ351" i="7" s="1"/>
  <c r="U351" i="7"/>
  <c r="AH351" i="7" s="1"/>
  <c r="T351" i="7"/>
  <c r="S351" i="7"/>
  <c r="AV351" i="7" s="1"/>
  <c r="R351" i="7"/>
  <c r="AT351" i="7" s="1"/>
  <c r="Q351" i="7"/>
  <c r="P351" i="7"/>
  <c r="BD351" i="7" s="1"/>
  <c r="O351" i="7"/>
  <c r="N351" i="7"/>
  <c r="M351" i="7"/>
  <c r="BK350" i="7"/>
  <c r="W350" i="7"/>
  <c r="V350" i="7"/>
  <c r="AJ350" i="7" s="1"/>
  <c r="U350" i="7"/>
  <c r="AH350" i="7" s="1"/>
  <c r="T350" i="7"/>
  <c r="S350" i="7"/>
  <c r="AF350" i="7" s="1"/>
  <c r="R350" i="7"/>
  <c r="Q350" i="7"/>
  <c r="P350" i="7"/>
  <c r="BD350" i="7" s="1"/>
  <c r="O350" i="7"/>
  <c r="N350" i="7"/>
  <c r="M350" i="7"/>
  <c r="BK349" i="7"/>
  <c r="W349" i="7"/>
  <c r="V349" i="7"/>
  <c r="AJ349" i="7" s="1"/>
  <c r="U349" i="7"/>
  <c r="AH349" i="7" s="1"/>
  <c r="T349" i="7"/>
  <c r="S349" i="7"/>
  <c r="AF349" i="7" s="1"/>
  <c r="R349" i="7"/>
  <c r="AT349" i="7" s="1"/>
  <c r="Q349" i="7"/>
  <c r="P349" i="7"/>
  <c r="AB349" i="7" s="1"/>
  <c r="O349" i="7"/>
  <c r="BB349" i="7" s="1"/>
  <c r="N349" i="7"/>
  <c r="M349" i="7"/>
  <c r="BF349" i="7" s="1"/>
  <c r="BK348" i="7"/>
  <c r="W348" i="7"/>
  <c r="V348" i="7"/>
  <c r="AJ348" i="7" s="1"/>
  <c r="U348" i="7"/>
  <c r="AH348" i="7" s="1"/>
  <c r="T348" i="7"/>
  <c r="S348" i="7"/>
  <c r="AV348" i="7" s="1"/>
  <c r="R348" i="7"/>
  <c r="AT348" i="7" s="1"/>
  <c r="Q348" i="7"/>
  <c r="P348" i="7"/>
  <c r="AR348" i="7" s="1"/>
  <c r="O348" i="7"/>
  <c r="BB348" i="7" s="1"/>
  <c r="N348" i="7"/>
  <c r="M348" i="7"/>
  <c r="BK347" i="7"/>
  <c r="W347" i="7"/>
  <c r="V347" i="7"/>
  <c r="AJ347" i="7" s="1"/>
  <c r="U347" i="7"/>
  <c r="AH347" i="7" s="1"/>
  <c r="T347" i="7"/>
  <c r="S347" i="7"/>
  <c r="AF347" i="7" s="1"/>
  <c r="R347" i="7"/>
  <c r="AT347" i="7" s="1"/>
  <c r="Q347" i="7"/>
  <c r="P347" i="7"/>
  <c r="BD347" i="7" s="1"/>
  <c r="O347" i="7"/>
  <c r="N347" i="7"/>
  <c r="M347" i="7"/>
  <c r="BK346" i="7"/>
  <c r="W346" i="7"/>
  <c r="V346" i="7"/>
  <c r="AJ346" i="7" s="1"/>
  <c r="U346" i="7"/>
  <c r="AH346" i="7" s="1"/>
  <c r="T346" i="7"/>
  <c r="S346" i="7"/>
  <c r="AF346" i="7" s="1"/>
  <c r="R346" i="7"/>
  <c r="AD346" i="7" s="1"/>
  <c r="Q346" i="7"/>
  <c r="P346" i="7"/>
  <c r="BD346" i="7" s="1"/>
  <c r="O346" i="7"/>
  <c r="N346" i="7"/>
  <c r="M346" i="7"/>
  <c r="BK345" i="7"/>
  <c r="BF345" i="7"/>
  <c r="W345" i="7"/>
  <c r="V345" i="7"/>
  <c r="AJ345" i="7" s="1"/>
  <c r="U345" i="7"/>
  <c r="AH345" i="7" s="1"/>
  <c r="T345" i="7"/>
  <c r="S345" i="7"/>
  <c r="AF345" i="7" s="1"/>
  <c r="R345" i="7"/>
  <c r="AT345" i="7" s="1"/>
  <c r="Q345" i="7"/>
  <c r="P345" i="7"/>
  <c r="BD345" i="7" s="1"/>
  <c r="O345" i="7"/>
  <c r="BB345" i="7" s="1"/>
  <c r="N345" i="7"/>
  <c r="M345" i="7"/>
  <c r="BK344" i="7"/>
  <c r="W344" i="7"/>
  <c r="V344" i="7"/>
  <c r="AJ344" i="7" s="1"/>
  <c r="U344" i="7"/>
  <c r="AH344" i="7" s="1"/>
  <c r="T344" i="7"/>
  <c r="S344" i="7"/>
  <c r="AV344" i="7" s="1"/>
  <c r="R344" i="7"/>
  <c r="AT344" i="7" s="1"/>
  <c r="Q344" i="7"/>
  <c r="P344" i="7"/>
  <c r="AR344" i="7" s="1"/>
  <c r="O344" i="7"/>
  <c r="N344" i="7"/>
  <c r="M344" i="7"/>
  <c r="AL344" i="7" s="1"/>
  <c r="BK343" i="7"/>
  <c r="W343" i="7"/>
  <c r="V343" i="7"/>
  <c r="AJ343" i="7" s="1"/>
  <c r="U343" i="7"/>
  <c r="AH343" i="7" s="1"/>
  <c r="T343" i="7"/>
  <c r="S343" i="7"/>
  <c r="AV343" i="7" s="1"/>
  <c r="R343" i="7"/>
  <c r="AT343" i="7" s="1"/>
  <c r="Q343" i="7"/>
  <c r="P343" i="7"/>
  <c r="BD343" i="7" s="1"/>
  <c r="O343" i="7"/>
  <c r="N343" i="7"/>
  <c r="M343" i="7"/>
  <c r="BK342" i="7"/>
  <c r="W342" i="7"/>
  <c r="V342" i="7"/>
  <c r="AJ342" i="7" s="1"/>
  <c r="U342" i="7"/>
  <c r="AH342" i="7" s="1"/>
  <c r="T342" i="7"/>
  <c r="S342" i="7"/>
  <c r="R342" i="7"/>
  <c r="AT342" i="7" s="1"/>
  <c r="Q342" i="7"/>
  <c r="P342" i="7"/>
  <c r="AB342" i="7" s="1"/>
  <c r="O342" i="7"/>
  <c r="N342" i="7"/>
  <c r="M342" i="7"/>
  <c r="BK341" i="7"/>
  <c r="W341" i="7"/>
  <c r="V341" i="7"/>
  <c r="AJ341" i="7" s="1"/>
  <c r="U341" i="7"/>
  <c r="AH341" i="7" s="1"/>
  <c r="T341" i="7"/>
  <c r="S341" i="7"/>
  <c r="AF341" i="7" s="1"/>
  <c r="R341" i="7"/>
  <c r="AT341" i="7" s="1"/>
  <c r="Q341" i="7"/>
  <c r="P341" i="7"/>
  <c r="AR341" i="7" s="1"/>
  <c r="O341" i="7"/>
  <c r="BB341" i="7" s="1"/>
  <c r="N341" i="7"/>
  <c r="M341" i="7"/>
  <c r="BF341" i="7" s="1"/>
  <c r="BK340" i="7"/>
  <c r="AL340" i="7"/>
  <c r="W340" i="7"/>
  <c r="V340" i="7"/>
  <c r="AJ340" i="7" s="1"/>
  <c r="U340" i="7"/>
  <c r="AH340" i="7" s="1"/>
  <c r="T340" i="7"/>
  <c r="S340" i="7"/>
  <c r="AF340" i="7" s="1"/>
  <c r="R340" i="7"/>
  <c r="AT340" i="7" s="1"/>
  <c r="Q340" i="7"/>
  <c r="P340" i="7"/>
  <c r="AB340" i="7" s="1"/>
  <c r="O340" i="7"/>
  <c r="N340" i="7"/>
  <c r="M340" i="7"/>
  <c r="BK339" i="7"/>
  <c r="W339" i="7"/>
  <c r="V339" i="7"/>
  <c r="AJ339" i="7" s="1"/>
  <c r="U339" i="7"/>
  <c r="AH339" i="7" s="1"/>
  <c r="T339" i="7"/>
  <c r="S339" i="7"/>
  <c r="AF339" i="7" s="1"/>
  <c r="R339" i="7"/>
  <c r="AT339" i="7" s="1"/>
  <c r="Q339" i="7"/>
  <c r="P339" i="7"/>
  <c r="AB339" i="7" s="1"/>
  <c r="O339" i="7"/>
  <c r="N339" i="7"/>
  <c r="M339" i="7"/>
  <c r="AX339" i="7" s="1"/>
  <c r="BK338" i="7"/>
  <c r="W338" i="7"/>
  <c r="V338" i="7"/>
  <c r="AJ338" i="7" s="1"/>
  <c r="U338" i="7"/>
  <c r="AH338" i="7" s="1"/>
  <c r="T338" i="7"/>
  <c r="S338" i="7"/>
  <c r="AV338" i="7" s="1"/>
  <c r="R338" i="7"/>
  <c r="AD338" i="7" s="1"/>
  <c r="Q338" i="7"/>
  <c r="P338" i="7"/>
  <c r="AR338" i="7" s="1"/>
  <c r="O338" i="7"/>
  <c r="N338" i="7"/>
  <c r="M338" i="7"/>
  <c r="BK337" i="7"/>
  <c r="W337" i="7"/>
  <c r="V337" i="7"/>
  <c r="AJ337" i="7" s="1"/>
  <c r="U337" i="7"/>
  <c r="AH337" i="7" s="1"/>
  <c r="T337" i="7"/>
  <c r="S337" i="7"/>
  <c r="AV337" i="7" s="1"/>
  <c r="R337" i="7"/>
  <c r="AT337" i="7" s="1"/>
  <c r="Q337" i="7"/>
  <c r="P337" i="7"/>
  <c r="BD337" i="7" s="1"/>
  <c r="O337" i="7"/>
  <c r="N337" i="7"/>
  <c r="M337" i="7"/>
  <c r="BK336" i="7"/>
  <c r="AL336" i="7"/>
  <c r="W336" i="7"/>
  <c r="V336" i="7"/>
  <c r="AJ336" i="7" s="1"/>
  <c r="U336" i="7"/>
  <c r="AH336" i="7" s="1"/>
  <c r="T336" i="7"/>
  <c r="S336" i="7"/>
  <c r="AF336" i="7" s="1"/>
  <c r="R336" i="7"/>
  <c r="AT336" i="7" s="1"/>
  <c r="Q336" i="7"/>
  <c r="P336" i="7"/>
  <c r="AB336" i="7" s="1"/>
  <c r="O336" i="7"/>
  <c r="N336" i="7"/>
  <c r="M336" i="7"/>
  <c r="BK335" i="7"/>
  <c r="AX335" i="7"/>
  <c r="W335" i="7"/>
  <c r="V335" i="7"/>
  <c r="AJ335" i="7" s="1"/>
  <c r="U335" i="7"/>
  <c r="AH335" i="7" s="1"/>
  <c r="T335" i="7"/>
  <c r="S335" i="7"/>
  <c r="AF335" i="7" s="1"/>
  <c r="R335" i="7"/>
  <c r="AT335" i="7" s="1"/>
  <c r="Q335" i="7"/>
  <c r="P335" i="7"/>
  <c r="AR335" i="7" s="1"/>
  <c r="O335" i="7"/>
  <c r="N335" i="7"/>
  <c r="M335" i="7"/>
  <c r="BK334" i="7"/>
  <c r="W334" i="7"/>
  <c r="V334" i="7"/>
  <c r="AJ334" i="7" s="1"/>
  <c r="U334" i="7"/>
  <c r="AH334" i="7" s="1"/>
  <c r="T334" i="7"/>
  <c r="S334" i="7"/>
  <c r="R334" i="7"/>
  <c r="AD334" i="7" s="1"/>
  <c r="Q334" i="7"/>
  <c r="P334" i="7"/>
  <c r="AB334" i="7" s="1"/>
  <c r="O334" i="7"/>
  <c r="N334" i="7"/>
  <c r="M334" i="7"/>
  <c r="BK333" i="7"/>
  <c r="BF333" i="7"/>
  <c r="W333" i="7"/>
  <c r="V333" i="7"/>
  <c r="AJ333" i="7" s="1"/>
  <c r="U333" i="7"/>
  <c r="AH333" i="7" s="1"/>
  <c r="T333" i="7"/>
  <c r="S333" i="7"/>
  <c r="AV333" i="7" s="1"/>
  <c r="R333" i="7"/>
  <c r="AT333" i="7" s="1"/>
  <c r="Q333" i="7"/>
  <c r="P333" i="7"/>
  <c r="AR333" i="7" s="1"/>
  <c r="O333" i="7"/>
  <c r="BB333" i="7" s="1"/>
  <c r="N333" i="7"/>
  <c r="M333" i="7"/>
  <c r="BK332" i="7"/>
  <c r="W332" i="7"/>
  <c r="V332" i="7"/>
  <c r="AJ332" i="7" s="1"/>
  <c r="U332" i="7"/>
  <c r="AH332" i="7" s="1"/>
  <c r="T332" i="7"/>
  <c r="S332" i="7"/>
  <c r="AV332" i="7" s="1"/>
  <c r="R332" i="7"/>
  <c r="AT332" i="7" s="1"/>
  <c r="Q332" i="7"/>
  <c r="P332" i="7"/>
  <c r="O332" i="7"/>
  <c r="BB332" i="7" s="1"/>
  <c r="N332" i="7"/>
  <c r="M332" i="7"/>
  <c r="AL332" i="7" s="1"/>
  <c r="BK331" i="7"/>
  <c r="AX331" i="7"/>
  <c r="W331" i="7"/>
  <c r="V331" i="7"/>
  <c r="AJ331" i="7" s="1"/>
  <c r="U331" i="7"/>
  <c r="AH331" i="7" s="1"/>
  <c r="T331" i="7"/>
  <c r="S331" i="7"/>
  <c r="AV331" i="7" s="1"/>
  <c r="R331" i="7"/>
  <c r="AD331" i="7" s="1"/>
  <c r="Q331" i="7"/>
  <c r="P331" i="7"/>
  <c r="BD331" i="7" s="1"/>
  <c r="O331" i="7"/>
  <c r="N331" i="7"/>
  <c r="M331" i="7"/>
  <c r="BK330" i="7"/>
  <c r="BF330" i="7"/>
  <c r="W330" i="7"/>
  <c r="V330" i="7"/>
  <c r="AJ330" i="7" s="1"/>
  <c r="U330" i="7"/>
  <c r="AH330" i="7" s="1"/>
  <c r="T330" i="7"/>
  <c r="S330" i="7"/>
  <c r="AF330" i="7" s="1"/>
  <c r="R330" i="7"/>
  <c r="AD330" i="7" s="1"/>
  <c r="Q330" i="7"/>
  <c r="P330" i="7"/>
  <c r="AB330" i="7" s="1"/>
  <c r="O330" i="7"/>
  <c r="BB330" i="7" s="1"/>
  <c r="N330" i="7"/>
  <c r="M330" i="7"/>
  <c r="BK329" i="7"/>
  <c r="W329" i="7"/>
  <c r="V329" i="7"/>
  <c r="AJ329" i="7" s="1"/>
  <c r="U329" i="7"/>
  <c r="AH329" i="7" s="1"/>
  <c r="T329" i="7"/>
  <c r="S329" i="7"/>
  <c r="AF329" i="7" s="1"/>
  <c r="R329" i="7"/>
  <c r="AT329" i="7" s="1"/>
  <c r="Q329" i="7"/>
  <c r="P329" i="7"/>
  <c r="AB329" i="7" s="1"/>
  <c r="O329" i="7"/>
  <c r="BB329" i="7" s="1"/>
  <c r="N329" i="7"/>
  <c r="M329" i="7"/>
  <c r="AX329" i="7" s="1"/>
  <c r="BK328" i="7"/>
  <c r="AX328" i="7"/>
  <c r="AL328" i="7"/>
  <c r="W328" i="7"/>
  <c r="V328" i="7"/>
  <c r="AJ328" i="7" s="1"/>
  <c r="U328" i="7"/>
  <c r="AH328" i="7" s="1"/>
  <c r="T328" i="7"/>
  <c r="S328" i="7"/>
  <c r="AF328" i="7" s="1"/>
  <c r="R328" i="7"/>
  <c r="AT328" i="7" s="1"/>
  <c r="Q328" i="7"/>
  <c r="P328" i="7"/>
  <c r="AB328" i="7" s="1"/>
  <c r="O328" i="7"/>
  <c r="N328" i="7"/>
  <c r="M328" i="7"/>
  <c r="BF328" i="7" s="1"/>
  <c r="BK327" i="7"/>
  <c r="W327" i="7"/>
  <c r="V327" i="7"/>
  <c r="AJ327" i="7" s="1"/>
  <c r="U327" i="7"/>
  <c r="AH327" i="7" s="1"/>
  <c r="T327" i="7"/>
  <c r="S327" i="7"/>
  <c r="R327" i="7"/>
  <c r="AT327" i="7" s="1"/>
  <c r="Q327" i="7"/>
  <c r="P327" i="7"/>
  <c r="AB327" i="7" s="1"/>
  <c r="O327" i="7"/>
  <c r="N327" i="7"/>
  <c r="M327" i="7"/>
  <c r="AX327" i="7" s="1"/>
  <c r="BK326" i="7"/>
  <c r="W326" i="7"/>
  <c r="V326" i="7"/>
  <c r="AJ326" i="7" s="1"/>
  <c r="U326" i="7"/>
  <c r="AH326" i="7" s="1"/>
  <c r="T326" i="7"/>
  <c r="S326" i="7"/>
  <c r="AF326" i="7" s="1"/>
  <c r="R326" i="7"/>
  <c r="AT326" i="7" s="1"/>
  <c r="Q326" i="7"/>
  <c r="P326" i="7"/>
  <c r="AB326" i="7" s="1"/>
  <c r="O326" i="7"/>
  <c r="BB326" i="7" s="1"/>
  <c r="N326" i="7"/>
  <c r="M326" i="7"/>
  <c r="BF326" i="7" s="1"/>
  <c r="BK325" i="7"/>
  <c r="BF325" i="7"/>
  <c r="AL325" i="7"/>
  <c r="W325" i="7"/>
  <c r="V325" i="7"/>
  <c r="AJ325" i="7" s="1"/>
  <c r="U325" i="7"/>
  <c r="AH325" i="7" s="1"/>
  <c r="T325" i="7"/>
  <c r="S325" i="7"/>
  <c r="R325" i="7"/>
  <c r="AT325" i="7" s="1"/>
  <c r="Q325" i="7"/>
  <c r="P325" i="7"/>
  <c r="AB325" i="7" s="1"/>
  <c r="O325" i="7"/>
  <c r="BB325" i="7" s="1"/>
  <c r="N325" i="7"/>
  <c r="M325" i="7"/>
  <c r="AX325" i="7" s="1"/>
  <c r="BK324" i="7"/>
  <c r="AL324" i="7"/>
  <c r="W324" i="7"/>
  <c r="V324" i="7"/>
  <c r="AJ324" i="7" s="1"/>
  <c r="U324" i="7"/>
  <c r="AH324" i="7" s="1"/>
  <c r="T324" i="7"/>
  <c r="S324" i="7"/>
  <c r="AV324" i="7" s="1"/>
  <c r="R324" i="7"/>
  <c r="AT324" i="7" s="1"/>
  <c r="Q324" i="7"/>
  <c r="P324" i="7"/>
  <c r="BD324" i="7" s="1"/>
  <c r="O324" i="7"/>
  <c r="BB324" i="7" s="1"/>
  <c r="N324" i="7"/>
  <c r="M324" i="7"/>
  <c r="BF324" i="7" s="1"/>
  <c r="BK323" i="7"/>
  <c r="W323" i="7"/>
  <c r="V323" i="7"/>
  <c r="AJ323" i="7" s="1"/>
  <c r="U323" i="7"/>
  <c r="AH323" i="7" s="1"/>
  <c r="T323" i="7"/>
  <c r="S323" i="7"/>
  <c r="AF323" i="7" s="1"/>
  <c r="R323" i="7"/>
  <c r="AD323" i="7" s="1"/>
  <c r="Q323" i="7"/>
  <c r="P323" i="7"/>
  <c r="AB323" i="7" s="1"/>
  <c r="O323" i="7"/>
  <c r="N323" i="7"/>
  <c r="M323" i="7"/>
  <c r="BK322" i="7"/>
  <c r="W322" i="7"/>
  <c r="V322" i="7"/>
  <c r="AJ322" i="7" s="1"/>
  <c r="U322" i="7"/>
  <c r="AH322" i="7" s="1"/>
  <c r="T322" i="7"/>
  <c r="S322" i="7"/>
  <c r="AF322" i="7" s="1"/>
  <c r="R322" i="7"/>
  <c r="AD322" i="7" s="1"/>
  <c r="Q322" i="7"/>
  <c r="P322" i="7"/>
  <c r="O322" i="7"/>
  <c r="Z322" i="7" s="1"/>
  <c r="N322" i="7"/>
  <c r="M322" i="7"/>
  <c r="BF322" i="7" s="1"/>
  <c r="BK321" i="7"/>
  <c r="W321" i="7"/>
  <c r="V321" i="7"/>
  <c r="AJ321" i="7" s="1"/>
  <c r="U321" i="7"/>
  <c r="AH321" i="7" s="1"/>
  <c r="T321" i="7"/>
  <c r="S321" i="7"/>
  <c r="AV321" i="7" s="1"/>
  <c r="R321" i="7"/>
  <c r="AT321" i="7" s="1"/>
  <c r="Q321" i="7"/>
  <c r="P321" i="7"/>
  <c r="AB321" i="7" s="1"/>
  <c r="O321" i="7"/>
  <c r="BB321" i="7" s="1"/>
  <c r="N321" i="7"/>
  <c r="M321" i="7"/>
  <c r="AX321" i="7" s="1"/>
  <c r="BK320" i="7"/>
  <c r="AL320" i="7"/>
  <c r="W320" i="7"/>
  <c r="V320" i="7"/>
  <c r="AJ320" i="7" s="1"/>
  <c r="U320" i="7"/>
  <c r="AH320" i="7" s="1"/>
  <c r="T320" i="7"/>
  <c r="S320" i="7"/>
  <c r="AV320" i="7" s="1"/>
  <c r="R320" i="7"/>
  <c r="AD320" i="7" s="1"/>
  <c r="Q320" i="7"/>
  <c r="P320" i="7"/>
  <c r="AB320" i="7" s="1"/>
  <c r="O320" i="7"/>
  <c r="BB320" i="7" s="1"/>
  <c r="N320" i="7"/>
  <c r="M320" i="7"/>
  <c r="BF320" i="7" s="1"/>
  <c r="BK319" i="7"/>
  <c r="BF319" i="7"/>
  <c r="W319" i="7"/>
  <c r="V319" i="7"/>
  <c r="AJ319" i="7" s="1"/>
  <c r="U319" i="7"/>
  <c r="AH319" i="7" s="1"/>
  <c r="T319" i="7"/>
  <c r="S319" i="7"/>
  <c r="AF319" i="7" s="1"/>
  <c r="R319" i="7"/>
  <c r="AD319" i="7" s="1"/>
  <c r="Q319" i="7"/>
  <c r="P319" i="7"/>
  <c r="BD319" i="7" s="1"/>
  <c r="O319" i="7"/>
  <c r="BB319" i="7" s="1"/>
  <c r="N319" i="7"/>
  <c r="M319" i="7"/>
  <c r="AL319" i="7" s="1"/>
  <c r="BK318" i="7"/>
  <c r="AL318" i="7"/>
  <c r="W318" i="7"/>
  <c r="V318" i="7"/>
  <c r="AJ318" i="7" s="1"/>
  <c r="U318" i="7"/>
  <c r="AH318" i="7" s="1"/>
  <c r="T318" i="7"/>
  <c r="S318" i="7"/>
  <c r="AF318" i="7" s="1"/>
  <c r="R318" i="7"/>
  <c r="AT318" i="7" s="1"/>
  <c r="Q318" i="7"/>
  <c r="P318" i="7"/>
  <c r="AB318" i="7" s="1"/>
  <c r="O318" i="7"/>
  <c r="N318" i="7"/>
  <c r="M318" i="7"/>
  <c r="BK317" i="7"/>
  <c r="BF317" i="7"/>
  <c r="W317" i="7"/>
  <c r="V317" i="7"/>
  <c r="AJ317" i="7" s="1"/>
  <c r="U317" i="7"/>
  <c r="AH317" i="7" s="1"/>
  <c r="T317" i="7"/>
  <c r="S317" i="7"/>
  <c r="AF317" i="7" s="1"/>
  <c r="R317" i="7"/>
  <c r="AT317" i="7" s="1"/>
  <c r="Q317" i="7"/>
  <c r="P317" i="7"/>
  <c r="AR317" i="7" s="1"/>
  <c r="O317" i="7"/>
  <c r="BB317" i="7" s="1"/>
  <c r="N317" i="7"/>
  <c r="M317" i="7"/>
  <c r="BK316" i="7"/>
  <c r="BF316" i="7"/>
  <c r="AX316" i="7"/>
  <c r="W316" i="7"/>
  <c r="V316" i="7"/>
  <c r="AJ316" i="7" s="1"/>
  <c r="U316" i="7"/>
  <c r="AH316" i="7" s="1"/>
  <c r="T316" i="7"/>
  <c r="S316" i="7"/>
  <c r="R316" i="7"/>
  <c r="AT316" i="7" s="1"/>
  <c r="Q316" i="7"/>
  <c r="P316" i="7"/>
  <c r="BD316" i="7" s="1"/>
  <c r="O316" i="7"/>
  <c r="BB316" i="7" s="1"/>
  <c r="N316" i="7"/>
  <c r="M316" i="7"/>
  <c r="AL316" i="7" s="1"/>
  <c r="BK315" i="7"/>
  <c r="W315" i="7"/>
  <c r="V315" i="7"/>
  <c r="AJ315" i="7" s="1"/>
  <c r="U315" i="7"/>
  <c r="AH315" i="7" s="1"/>
  <c r="T315" i="7"/>
  <c r="S315" i="7"/>
  <c r="AF315" i="7" s="1"/>
  <c r="R315" i="7"/>
  <c r="AD315" i="7" s="1"/>
  <c r="Q315" i="7"/>
  <c r="P315" i="7"/>
  <c r="AB315" i="7" s="1"/>
  <c r="O315" i="7"/>
  <c r="BB315" i="7" s="1"/>
  <c r="N315" i="7"/>
  <c r="M315" i="7"/>
  <c r="AL315" i="7" s="1"/>
  <c r="BK314" i="7"/>
  <c r="BF314" i="7"/>
  <c r="W314" i="7"/>
  <c r="V314" i="7"/>
  <c r="AJ314" i="7" s="1"/>
  <c r="U314" i="7"/>
  <c r="AH314" i="7" s="1"/>
  <c r="T314" i="7"/>
  <c r="S314" i="7"/>
  <c r="AV314" i="7" s="1"/>
  <c r="R314" i="7"/>
  <c r="AT314" i="7" s="1"/>
  <c r="Q314" i="7"/>
  <c r="P314" i="7"/>
  <c r="AB314" i="7" s="1"/>
  <c r="O314" i="7"/>
  <c r="BB314" i="7" s="1"/>
  <c r="N314" i="7"/>
  <c r="M314" i="7"/>
  <c r="AL314" i="7" s="1"/>
  <c r="BK313" i="7"/>
  <c r="W313" i="7"/>
  <c r="V313" i="7"/>
  <c r="AJ313" i="7" s="1"/>
  <c r="U313" i="7"/>
  <c r="AH313" i="7" s="1"/>
  <c r="T313" i="7"/>
  <c r="S313" i="7"/>
  <c r="AF313" i="7" s="1"/>
  <c r="R313" i="7"/>
  <c r="Q313" i="7"/>
  <c r="P313" i="7"/>
  <c r="BD313" i="7" s="1"/>
  <c r="O313" i="7"/>
  <c r="N313" i="7"/>
  <c r="M313" i="7"/>
  <c r="AL313" i="7" s="1"/>
  <c r="BK312" i="7"/>
  <c r="W312" i="7"/>
  <c r="V312" i="7"/>
  <c r="AJ312" i="7" s="1"/>
  <c r="U312" i="7"/>
  <c r="AH312" i="7" s="1"/>
  <c r="T312" i="7"/>
  <c r="S312" i="7"/>
  <c r="AV312" i="7" s="1"/>
  <c r="R312" i="7"/>
  <c r="AT312" i="7" s="1"/>
  <c r="Q312" i="7"/>
  <c r="P312" i="7"/>
  <c r="BD312" i="7" s="1"/>
  <c r="O312" i="7"/>
  <c r="BB312" i="7" s="1"/>
  <c r="N312" i="7"/>
  <c r="M312" i="7"/>
  <c r="AL312" i="7" s="1"/>
  <c r="BK311" i="7"/>
  <c r="W311" i="7"/>
  <c r="V311" i="7"/>
  <c r="AJ311" i="7" s="1"/>
  <c r="U311" i="7"/>
  <c r="AH311" i="7" s="1"/>
  <c r="T311" i="7"/>
  <c r="S311" i="7"/>
  <c r="AF311" i="7" s="1"/>
  <c r="R311" i="7"/>
  <c r="AD311" i="7" s="1"/>
  <c r="Q311" i="7"/>
  <c r="P311" i="7"/>
  <c r="AB311" i="7" s="1"/>
  <c r="O311" i="7"/>
  <c r="BB311" i="7" s="1"/>
  <c r="N311" i="7"/>
  <c r="M311" i="7"/>
  <c r="AL311" i="7" s="1"/>
  <c r="BK310" i="7"/>
  <c r="W310" i="7"/>
  <c r="V310" i="7"/>
  <c r="AJ310" i="7" s="1"/>
  <c r="U310" i="7"/>
  <c r="AH310" i="7" s="1"/>
  <c r="T310" i="7"/>
  <c r="S310" i="7"/>
  <c r="AV310" i="7" s="1"/>
  <c r="R310" i="7"/>
  <c r="AT310" i="7" s="1"/>
  <c r="Q310" i="7"/>
  <c r="P310" i="7"/>
  <c r="AB310" i="7" s="1"/>
  <c r="O310" i="7"/>
  <c r="BB310" i="7" s="1"/>
  <c r="N310" i="7"/>
  <c r="M310" i="7"/>
  <c r="AL310" i="7" s="1"/>
  <c r="BK309" i="7"/>
  <c r="W309" i="7"/>
  <c r="V309" i="7"/>
  <c r="AJ309" i="7" s="1"/>
  <c r="U309" i="7"/>
  <c r="AH309" i="7" s="1"/>
  <c r="T309" i="7"/>
  <c r="S309" i="7"/>
  <c r="AF309" i="7" s="1"/>
  <c r="R309" i="7"/>
  <c r="AT309" i="7" s="1"/>
  <c r="Q309" i="7"/>
  <c r="P309" i="7"/>
  <c r="AB309" i="7" s="1"/>
  <c r="O309" i="7"/>
  <c r="BB309" i="7" s="1"/>
  <c r="N309" i="7"/>
  <c r="M309" i="7"/>
  <c r="AL309" i="7" s="1"/>
  <c r="BK308" i="7"/>
  <c r="W308" i="7"/>
  <c r="V308" i="7"/>
  <c r="AJ308" i="7" s="1"/>
  <c r="U308" i="7"/>
  <c r="AH308" i="7" s="1"/>
  <c r="T308" i="7"/>
  <c r="S308" i="7"/>
  <c r="AF308" i="7" s="1"/>
  <c r="R308" i="7"/>
  <c r="AT308" i="7" s="1"/>
  <c r="Q308" i="7"/>
  <c r="P308" i="7"/>
  <c r="AB308" i="7" s="1"/>
  <c r="O308" i="7"/>
  <c r="BB308" i="7" s="1"/>
  <c r="N308" i="7"/>
  <c r="M308" i="7"/>
  <c r="AL308" i="7" s="1"/>
  <c r="BK307" i="7"/>
  <c r="AL307" i="7"/>
  <c r="W307" i="7"/>
  <c r="V307" i="7"/>
  <c r="AJ307" i="7" s="1"/>
  <c r="U307" i="7"/>
  <c r="AH307" i="7" s="1"/>
  <c r="T307" i="7"/>
  <c r="S307" i="7"/>
  <c r="AF307" i="7" s="1"/>
  <c r="R307" i="7"/>
  <c r="AD307" i="7" s="1"/>
  <c r="Q307" i="7"/>
  <c r="P307" i="7"/>
  <c r="O307" i="7"/>
  <c r="N307" i="7"/>
  <c r="M307" i="7"/>
  <c r="BK306" i="7"/>
  <c r="AX306" i="7"/>
  <c r="W306" i="7"/>
  <c r="V306" i="7"/>
  <c r="AJ306" i="7" s="1"/>
  <c r="U306" i="7"/>
  <c r="AH306" i="7" s="1"/>
  <c r="T306" i="7"/>
  <c r="S306" i="7"/>
  <c r="AV306" i="7" s="1"/>
  <c r="R306" i="7"/>
  <c r="AT306" i="7" s="1"/>
  <c r="Q306" i="7"/>
  <c r="P306" i="7"/>
  <c r="AB306" i="7" s="1"/>
  <c r="O306" i="7"/>
  <c r="AP306" i="7" s="1"/>
  <c r="N306" i="7"/>
  <c r="M306" i="7"/>
  <c r="BF306" i="7" s="1"/>
  <c r="BK305" i="7"/>
  <c r="W305" i="7"/>
  <c r="V305" i="7"/>
  <c r="AJ305" i="7" s="1"/>
  <c r="U305" i="7"/>
  <c r="AH305" i="7" s="1"/>
  <c r="T305" i="7"/>
  <c r="S305" i="7"/>
  <c r="AF305" i="7" s="1"/>
  <c r="R305" i="7"/>
  <c r="AD305" i="7" s="1"/>
  <c r="Q305" i="7"/>
  <c r="P305" i="7"/>
  <c r="AB305" i="7" s="1"/>
  <c r="O305" i="7"/>
  <c r="BB305" i="7" s="1"/>
  <c r="N305" i="7"/>
  <c r="M305" i="7"/>
  <c r="BF305" i="7" s="1"/>
  <c r="BK304" i="7"/>
  <c r="BF304" i="7"/>
  <c r="AX304" i="7"/>
  <c r="W304" i="7"/>
  <c r="V304" i="7"/>
  <c r="AJ304" i="7" s="1"/>
  <c r="U304" i="7"/>
  <c r="AH304" i="7" s="1"/>
  <c r="T304" i="7"/>
  <c r="S304" i="7"/>
  <c r="AF304" i="7" s="1"/>
  <c r="R304" i="7"/>
  <c r="AD304" i="7" s="1"/>
  <c r="Q304" i="7"/>
  <c r="P304" i="7"/>
  <c r="AR304" i="7" s="1"/>
  <c r="O304" i="7"/>
  <c r="BB304" i="7" s="1"/>
  <c r="N304" i="7"/>
  <c r="M304" i="7"/>
  <c r="AL304" i="7" s="1"/>
  <c r="BK303" i="7"/>
  <c r="W303" i="7"/>
  <c r="V303" i="7"/>
  <c r="AJ303" i="7" s="1"/>
  <c r="U303" i="7"/>
  <c r="AH303" i="7" s="1"/>
  <c r="T303" i="7"/>
  <c r="S303" i="7"/>
  <c r="AF303" i="7" s="1"/>
  <c r="R303" i="7"/>
  <c r="AD303" i="7" s="1"/>
  <c r="Q303" i="7"/>
  <c r="P303" i="7"/>
  <c r="AB303" i="7" s="1"/>
  <c r="O303" i="7"/>
  <c r="AP303" i="7" s="1"/>
  <c r="N303" i="7"/>
  <c r="M303" i="7"/>
  <c r="AX303" i="7" s="1"/>
  <c r="BK302" i="7"/>
  <c r="BF302" i="7"/>
  <c r="AX302" i="7"/>
  <c r="W302" i="7"/>
  <c r="V302" i="7"/>
  <c r="AJ302" i="7" s="1"/>
  <c r="U302" i="7"/>
  <c r="AH302" i="7" s="1"/>
  <c r="T302" i="7"/>
  <c r="S302" i="7"/>
  <c r="AF302" i="7" s="1"/>
  <c r="R302" i="7"/>
  <c r="AT302" i="7" s="1"/>
  <c r="Q302" i="7"/>
  <c r="P302" i="7"/>
  <c r="AR302" i="7" s="1"/>
  <c r="O302" i="7"/>
  <c r="Z302" i="7" s="1"/>
  <c r="N302" i="7"/>
  <c r="M302" i="7"/>
  <c r="AL302" i="7" s="1"/>
  <c r="W301" i="7"/>
  <c r="V301" i="7"/>
  <c r="AJ301" i="7" s="1"/>
  <c r="U301" i="7"/>
  <c r="AH301" i="7" s="1"/>
  <c r="T301" i="7"/>
  <c r="S301" i="7"/>
  <c r="AF301" i="7" s="1"/>
  <c r="R301" i="7"/>
  <c r="AD301" i="7" s="1"/>
  <c r="Q301" i="7"/>
  <c r="P301" i="7"/>
  <c r="AB301" i="7" s="1"/>
  <c r="O301" i="7"/>
  <c r="AP301" i="7" s="1"/>
  <c r="N301" i="7"/>
  <c r="K301" i="7"/>
  <c r="J301" i="7"/>
  <c r="I301" i="7"/>
  <c r="M301" i="7" s="1"/>
  <c r="BF301" i="7" s="1"/>
  <c r="W300" i="7"/>
  <c r="V300" i="7"/>
  <c r="AJ300" i="7" s="1"/>
  <c r="U300" i="7"/>
  <c r="AH300" i="7" s="1"/>
  <c r="T300" i="7"/>
  <c r="S300" i="7"/>
  <c r="AV300" i="7" s="1"/>
  <c r="R300" i="7"/>
  <c r="AT300" i="7" s="1"/>
  <c r="Q300" i="7"/>
  <c r="P300" i="7"/>
  <c r="BD300" i="7" s="1"/>
  <c r="O300" i="7"/>
  <c r="BB300" i="7" s="1"/>
  <c r="N300" i="7"/>
  <c r="K300" i="7"/>
  <c r="J300" i="7"/>
  <c r="I300" i="7"/>
  <c r="M300" i="7" s="1"/>
  <c r="W299" i="7"/>
  <c r="V299" i="7"/>
  <c r="AJ299" i="7" s="1"/>
  <c r="U299" i="7"/>
  <c r="AH299" i="7" s="1"/>
  <c r="T299" i="7"/>
  <c r="S299" i="7"/>
  <c r="AV299" i="7" s="1"/>
  <c r="R299" i="7"/>
  <c r="AT299" i="7" s="1"/>
  <c r="Q299" i="7"/>
  <c r="P299" i="7"/>
  <c r="AB299" i="7" s="1"/>
  <c r="O299" i="7"/>
  <c r="N299" i="7"/>
  <c r="K299" i="7"/>
  <c r="J299" i="7"/>
  <c r="I299" i="7"/>
  <c r="M299" i="7" s="1"/>
  <c r="W298" i="7"/>
  <c r="V298" i="7"/>
  <c r="AJ298" i="7" s="1"/>
  <c r="U298" i="7"/>
  <c r="AH298" i="7" s="1"/>
  <c r="T298" i="7"/>
  <c r="S298" i="7"/>
  <c r="AV298" i="7" s="1"/>
  <c r="R298" i="7"/>
  <c r="AT298" i="7" s="1"/>
  <c r="Q298" i="7"/>
  <c r="P298" i="7"/>
  <c r="O298" i="7"/>
  <c r="N298" i="7"/>
  <c r="K298" i="7"/>
  <c r="J298" i="7"/>
  <c r="I298" i="7"/>
  <c r="M298" i="7" s="1"/>
  <c r="AX298" i="7" s="1"/>
  <c r="W297" i="7"/>
  <c r="V297" i="7"/>
  <c r="AJ297" i="7" s="1"/>
  <c r="U297" i="7"/>
  <c r="AH297" i="7" s="1"/>
  <c r="T297" i="7"/>
  <c r="S297" i="7"/>
  <c r="AV297" i="7" s="1"/>
  <c r="R297" i="7"/>
  <c r="AT297" i="7" s="1"/>
  <c r="Q297" i="7"/>
  <c r="P297" i="7"/>
  <c r="O297" i="7"/>
  <c r="N297" i="7"/>
  <c r="K297" i="7"/>
  <c r="J297" i="7"/>
  <c r="I297" i="7"/>
  <c r="M297" i="7" s="1"/>
  <c r="W296" i="7"/>
  <c r="V296" i="7"/>
  <c r="AJ296" i="7" s="1"/>
  <c r="U296" i="7"/>
  <c r="AH296" i="7" s="1"/>
  <c r="T296" i="7"/>
  <c r="S296" i="7"/>
  <c r="AV296" i="7" s="1"/>
  <c r="R296" i="7"/>
  <c r="AT296" i="7" s="1"/>
  <c r="Q296" i="7"/>
  <c r="P296" i="7"/>
  <c r="O296" i="7"/>
  <c r="BB296" i="7" s="1"/>
  <c r="N296" i="7"/>
  <c r="K296" i="7"/>
  <c r="J296" i="7"/>
  <c r="I296" i="7"/>
  <c r="M296" i="7" s="1"/>
  <c r="W295" i="7"/>
  <c r="V295" i="7"/>
  <c r="AJ295" i="7" s="1"/>
  <c r="U295" i="7"/>
  <c r="AH295" i="7" s="1"/>
  <c r="T295" i="7"/>
  <c r="S295" i="7"/>
  <c r="AF295" i="7" s="1"/>
  <c r="R295" i="7"/>
  <c r="AT295" i="7" s="1"/>
  <c r="Q295" i="7"/>
  <c r="P295" i="7"/>
  <c r="BD295" i="7" s="1"/>
  <c r="O295" i="7"/>
  <c r="BB295" i="7" s="1"/>
  <c r="N295" i="7"/>
  <c r="K295" i="7"/>
  <c r="J295" i="7"/>
  <c r="I295" i="7"/>
  <c r="M295" i="7" s="1"/>
  <c r="W294" i="7"/>
  <c r="V294" i="7"/>
  <c r="AJ294" i="7" s="1"/>
  <c r="U294" i="7"/>
  <c r="AH294" i="7" s="1"/>
  <c r="T294" i="7"/>
  <c r="S294" i="7"/>
  <c r="AV294" i="7" s="1"/>
  <c r="R294" i="7"/>
  <c r="AD294" i="7" s="1"/>
  <c r="Q294" i="7"/>
  <c r="P294" i="7"/>
  <c r="AB294" i="7" s="1"/>
  <c r="O294" i="7"/>
  <c r="AP294" i="7" s="1"/>
  <c r="N294" i="7"/>
  <c r="K294" i="7"/>
  <c r="J294" i="7"/>
  <c r="I294" i="7"/>
  <c r="M294" i="7" s="1"/>
  <c r="AX294" i="7" s="1"/>
  <c r="W293" i="7"/>
  <c r="V293" i="7"/>
  <c r="AJ293" i="7" s="1"/>
  <c r="U293" i="7"/>
  <c r="AH293" i="7" s="1"/>
  <c r="T293" i="7"/>
  <c r="S293" i="7"/>
  <c r="AV293" i="7" s="1"/>
  <c r="R293" i="7"/>
  <c r="AT293" i="7" s="1"/>
  <c r="Q293" i="7"/>
  <c r="P293" i="7"/>
  <c r="O293" i="7"/>
  <c r="AP293" i="7" s="1"/>
  <c r="N293" i="7"/>
  <c r="K293" i="7"/>
  <c r="J293" i="7"/>
  <c r="I293" i="7"/>
  <c r="M293" i="7" s="1"/>
  <c r="W292" i="7"/>
  <c r="V292" i="7"/>
  <c r="AJ292" i="7" s="1"/>
  <c r="U292" i="7"/>
  <c r="AH292" i="7" s="1"/>
  <c r="T292" i="7"/>
  <c r="S292" i="7"/>
  <c r="AV292" i="7" s="1"/>
  <c r="R292" i="7"/>
  <c r="AT292" i="7" s="1"/>
  <c r="Q292" i="7"/>
  <c r="P292" i="7"/>
  <c r="AR292" i="7" s="1"/>
  <c r="O292" i="7"/>
  <c r="BB292" i="7" s="1"/>
  <c r="N292" i="7"/>
  <c r="K292" i="7"/>
  <c r="J292" i="7"/>
  <c r="I292" i="7"/>
  <c r="M292" i="7" s="1"/>
  <c r="AX292" i="7" s="1"/>
  <c r="W291" i="7"/>
  <c r="V291" i="7"/>
  <c r="AJ291" i="7" s="1"/>
  <c r="U291" i="7"/>
  <c r="AH291" i="7" s="1"/>
  <c r="T291" i="7"/>
  <c r="S291" i="7"/>
  <c r="AV291" i="7" s="1"/>
  <c r="R291" i="7"/>
  <c r="AT291" i="7" s="1"/>
  <c r="Q291" i="7"/>
  <c r="P291" i="7"/>
  <c r="BD291" i="7" s="1"/>
  <c r="O291" i="7"/>
  <c r="N291" i="7"/>
  <c r="K291" i="7"/>
  <c r="J291" i="7"/>
  <c r="I291" i="7"/>
  <c r="M291" i="7" s="1"/>
  <c r="W290" i="7"/>
  <c r="V290" i="7"/>
  <c r="AJ290" i="7" s="1"/>
  <c r="U290" i="7"/>
  <c r="AH290" i="7" s="1"/>
  <c r="T290" i="7"/>
  <c r="S290" i="7"/>
  <c r="AV290" i="7" s="1"/>
  <c r="R290" i="7"/>
  <c r="AT290" i="7" s="1"/>
  <c r="Q290" i="7"/>
  <c r="P290" i="7"/>
  <c r="O290" i="7"/>
  <c r="BB290" i="7" s="1"/>
  <c r="N290" i="7"/>
  <c r="K290" i="7"/>
  <c r="J290" i="7"/>
  <c r="I290" i="7"/>
  <c r="M290" i="7" s="1"/>
  <c r="AX290" i="7" s="1"/>
  <c r="W289" i="7"/>
  <c r="V289" i="7"/>
  <c r="AJ289" i="7" s="1"/>
  <c r="U289" i="7"/>
  <c r="AH289" i="7" s="1"/>
  <c r="T289" i="7"/>
  <c r="S289" i="7"/>
  <c r="AV289" i="7" s="1"/>
  <c r="R289" i="7"/>
  <c r="AT289" i="7" s="1"/>
  <c r="Q289" i="7"/>
  <c r="P289" i="7"/>
  <c r="BD289" i="7" s="1"/>
  <c r="O289" i="7"/>
  <c r="N289" i="7"/>
  <c r="K289" i="7"/>
  <c r="J289" i="7"/>
  <c r="I289" i="7"/>
  <c r="M289" i="7" s="1"/>
  <c r="W288" i="7"/>
  <c r="V288" i="7"/>
  <c r="AJ288" i="7" s="1"/>
  <c r="U288" i="7"/>
  <c r="AH288" i="7" s="1"/>
  <c r="T288" i="7"/>
  <c r="S288" i="7"/>
  <c r="AV288" i="7" s="1"/>
  <c r="R288" i="7"/>
  <c r="AT288" i="7" s="1"/>
  <c r="Q288" i="7"/>
  <c r="P288" i="7"/>
  <c r="O288" i="7"/>
  <c r="BB288" i="7" s="1"/>
  <c r="N288" i="7"/>
  <c r="K288" i="7"/>
  <c r="J288" i="7"/>
  <c r="I288" i="7"/>
  <c r="M288" i="7" s="1"/>
  <c r="W287" i="7"/>
  <c r="V287" i="7"/>
  <c r="AJ287" i="7" s="1"/>
  <c r="U287" i="7"/>
  <c r="AH287" i="7" s="1"/>
  <c r="T287" i="7"/>
  <c r="S287" i="7"/>
  <c r="AV287" i="7" s="1"/>
  <c r="R287" i="7"/>
  <c r="AD287" i="7" s="1"/>
  <c r="Q287" i="7"/>
  <c r="P287" i="7"/>
  <c r="BD287" i="7" s="1"/>
  <c r="O287" i="7"/>
  <c r="N287" i="7"/>
  <c r="K287" i="7"/>
  <c r="J287" i="7"/>
  <c r="I287" i="7"/>
  <c r="M287" i="7" s="1"/>
  <c r="W286" i="7"/>
  <c r="V286" i="7"/>
  <c r="AJ286" i="7" s="1"/>
  <c r="U286" i="7"/>
  <c r="AH286" i="7" s="1"/>
  <c r="T286" i="7"/>
  <c r="S286" i="7"/>
  <c r="AF286" i="7" s="1"/>
  <c r="R286" i="7"/>
  <c r="AT286" i="7" s="1"/>
  <c r="Q286" i="7"/>
  <c r="P286" i="7"/>
  <c r="AB286" i="7" s="1"/>
  <c r="O286" i="7"/>
  <c r="AP286" i="7" s="1"/>
  <c r="N286" i="7"/>
  <c r="K286" i="7"/>
  <c r="J286" i="7"/>
  <c r="I286" i="7"/>
  <c r="M286" i="7" s="1"/>
  <c r="W285" i="7"/>
  <c r="V285" i="7"/>
  <c r="AJ285" i="7" s="1"/>
  <c r="U285" i="7"/>
  <c r="AH285" i="7" s="1"/>
  <c r="T285" i="7"/>
  <c r="S285" i="7"/>
  <c r="R285" i="7"/>
  <c r="AT285" i="7" s="1"/>
  <c r="Q285" i="7"/>
  <c r="P285" i="7"/>
  <c r="AR285" i="7" s="1"/>
  <c r="O285" i="7"/>
  <c r="AP285" i="7" s="1"/>
  <c r="N285" i="7"/>
  <c r="K285" i="7"/>
  <c r="J285" i="7"/>
  <c r="I285" i="7"/>
  <c r="M285" i="7" s="1"/>
  <c r="AX285" i="7" s="1"/>
  <c r="W284" i="7"/>
  <c r="V284" i="7"/>
  <c r="AJ284" i="7" s="1"/>
  <c r="U284" i="7"/>
  <c r="AH284" i="7" s="1"/>
  <c r="T284" i="7"/>
  <c r="S284" i="7"/>
  <c r="AV284" i="7" s="1"/>
  <c r="R284" i="7"/>
  <c r="AT284" i="7" s="1"/>
  <c r="Q284" i="7"/>
  <c r="P284" i="7"/>
  <c r="AR284" i="7" s="1"/>
  <c r="O284" i="7"/>
  <c r="BB284" i="7" s="1"/>
  <c r="N284" i="7"/>
  <c r="K284" i="7"/>
  <c r="J284" i="7"/>
  <c r="I284" i="7"/>
  <c r="M284" i="7" s="1"/>
  <c r="BF284" i="7" s="1"/>
  <c r="W283" i="7"/>
  <c r="V283" i="7"/>
  <c r="AJ283" i="7" s="1"/>
  <c r="U283" i="7"/>
  <c r="AH283" i="7" s="1"/>
  <c r="T283" i="7"/>
  <c r="S283" i="7"/>
  <c r="AV283" i="7" s="1"/>
  <c r="R283" i="7"/>
  <c r="AT283" i="7" s="1"/>
  <c r="Q283" i="7"/>
  <c r="P283" i="7"/>
  <c r="AB283" i="7" s="1"/>
  <c r="O283" i="7"/>
  <c r="N283" i="7"/>
  <c r="K283" i="7"/>
  <c r="J283" i="7"/>
  <c r="I283" i="7"/>
  <c r="M283" i="7" s="1"/>
  <c r="BF283" i="7" s="1"/>
  <c r="W282" i="7"/>
  <c r="V282" i="7"/>
  <c r="AJ282" i="7" s="1"/>
  <c r="U282" i="7"/>
  <c r="AH282" i="7" s="1"/>
  <c r="T282" i="7"/>
  <c r="S282" i="7"/>
  <c r="AV282" i="7" s="1"/>
  <c r="R282" i="7"/>
  <c r="AT282" i="7" s="1"/>
  <c r="Q282" i="7"/>
  <c r="P282" i="7"/>
  <c r="BD282" i="7" s="1"/>
  <c r="O282" i="7"/>
  <c r="BB282" i="7" s="1"/>
  <c r="N282" i="7"/>
  <c r="K282" i="7"/>
  <c r="J282" i="7"/>
  <c r="I282" i="7"/>
  <c r="M282" i="7" s="1"/>
  <c r="W281" i="7"/>
  <c r="V281" i="7"/>
  <c r="AJ281" i="7" s="1"/>
  <c r="U281" i="7"/>
  <c r="AH281" i="7" s="1"/>
  <c r="T281" i="7"/>
  <c r="S281" i="7"/>
  <c r="AV281" i="7" s="1"/>
  <c r="R281" i="7"/>
  <c r="AT281" i="7" s="1"/>
  <c r="Q281" i="7"/>
  <c r="P281" i="7"/>
  <c r="AR281" i="7" s="1"/>
  <c r="O281" i="7"/>
  <c r="BB281" i="7" s="1"/>
  <c r="N281" i="7"/>
  <c r="K281" i="7"/>
  <c r="J281" i="7"/>
  <c r="I281" i="7"/>
  <c r="M281" i="7" s="1"/>
  <c r="AX281" i="7" s="1"/>
  <c r="W280" i="7"/>
  <c r="V280" i="7"/>
  <c r="AJ280" i="7" s="1"/>
  <c r="U280" i="7"/>
  <c r="AH280" i="7" s="1"/>
  <c r="T280" i="7"/>
  <c r="S280" i="7"/>
  <c r="AV280" i="7" s="1"/>
  <c r="R280" i="7"/>
  <c r="AD280" i="7" s="1"/>
  <c r="Q280" i="7"/>
  <c r="P280" i="7"/>
  <c r="AR280" i="7" s="1"/>
  <c r="O280" i="7"/>
  <c r="BB280" i="7" s="1"/>
  <c r="N280" i="7"/>
  <c r="K280" i="7"/>
  <c r="J280" i="7"/>
  <c r="I280" i="7"/>
  <c r="M280" i="7" s="1"/>
  <c r="W279" i="7"/>
  <c r="V279" i="7"/>
  <c r="AJ279" i="7" s="1"/>
  <c r="U279" i="7"/>
  <c r="AH279" i="7" s="1"/>
  <c r="T279" i="7"/>
  <c r="S279" i="7"/>
  <c r="AF279" i="7" s="1"/>
  <c r="R279" i="7"/>
  <c r="AD279" i="7" s="1"/>
  <c r="Q279" i="7"/>
  <c r="P279" i="7"/>
  <c r="BD279" i="7" s="1"/>
  <c r="O279" i="7"/>
  <c r="N279" i="7"/>
  <c r="K279" i="7"/>
  <c r="J279" i="7"/>
  <c r="I279" i="7"/>
  <c r="M279" i="7" s="1"/>
  <c r="AX279" i="7" s="1"/>
  <c r="W278" i="7"/>
  <c r="V278" i="7"/>
  <c r="AJ278" i="7" s="1"/>
  <c r="U278" i="7"/>
  <c r="AH278" i="7" s="1"/>
  <c r="T278" i="7"/>
  <c r="S278" i="7"/>
  <c r="AF278" i="7" s="1"/>
  <c r="R278" i="7"/>
  <c r="AD278" i="7" s="1"/>
  <c r="Q278" i="7"/>
  <c r="P278" i="7"/>
  <c r="BD278" i="7" s="1"/>
  <c r="O278" i="7"/>
  <c r="BB278" i="7" s="1"/>
  <c r="N278" i="7"/>
  <c r="K278" i="7"/>
  <c r="J278" i="7"/>
  <c r="I278" i="7"/>
  <c r="M278" i="7" s="1"/>
  <c r="BF278" i="7" s="1"/>
  <c r="W277" i="7"/>
  <c r="V277" i="7"/>
  <c r="AJ277" i="7" s="1"/>
  <c r="U277" i="7"/>
  <c r="AH277" i="7" s="1"/>
  <c r="T277" i="7"/>
  <c r="S277" i="7"/>
  <c r="AV277" i="7" s="1"/>
  <c r="R277" i="7"/>
  <c r="AD277" i="7" s="1"/>
  <c r="Q277" i="7"/>
  <c r="P277" i="7"/>
  <c r="BD277" i="7" s="1"/>
  <c r="O277" i="7"/>
  <c r="BB277" i="7" s="1"/>
  <c r="N277" i="7"/>
  <c r="K277" i="7"/>
  <c r="J277" i="7"/>
  <c r="I277" i="7"/>
  <c r="M277" i="7" s="1"/>
  <c r="W276" i="7"/>
  <c r="V276" i="7"/>
  <c r="AJ276" i="7" s="1"/>
  <c r="U276" i="7"/>
  <c r="AH276" i="7" s="1"/>
  <c r="T276" i="7"/>
  <c r="S276" i="7"/>
  <c r="AF276" i="7" s="1"/>
  <c r="R276" i="7"/>
  <c r="AT276" i="7" s="1"/>
  <c r="Q276" i="7"/>
  <c r="P276" i="7"/>
  <c r="BD276" i="7" s="1"/>
  <c r="O276" i="7"/>
  <c r="Z276" i="7" s="1"/>
  <c r="N276" i="7"/>
  <c r="K276" i="7"/>
  <c r="J276" i="7"/>
  <c r="I276" i="7"/>
  <c r="M276" i="7" s="1"/>
  <c r="AL276" i="7" s="1"/>
  <c r="W275" i="7"/>
  <c r="V275" i="7"/>
  <c r="AJ275" i="7" s="1"/>
  <c r="U275" i="7"/>
  <c r="AH275" i="7" s="1"/>
  <c r="T275" i="7"/>
  <c r="S275" i="7"/>
  <c r="AV275" i="7" s="1"/>
  <c r="R275" i="7"/>
  <c r="AD275" i="7" s="1"/>
  <c r="Q275" i="7"/>
  <c r="P275" i="7"/>
  <c r="BD275" i="7" s="1"/>
  <c r="O275" i="7"/>
  <c r="AP275" i="7" s="1"/>
  <c r="N275" i="7"/>
  <c r="K275" i="7"/>
  <c r="J275" i="7"/>
  <c r="I275" i="7"/>
  <c r="M275" i="7" s="1"/>
  <c r="BF275" i="7" s="1"/>
  <c r="W274" i="7"/>
  <c r="V274" i="7"/>
  <c r="AJ274" i="7" s="1"/>
  <c r="U274" i="7"/>
  <c r="AH274" i="7" s="1"/>
  <c r="T274" i="7"/>
  <c r="S274" i="7"/>
  <c r="AF274" i="7" s="1"/>
  <c r="R274" i="7"/>
  <c r="AD274" i="7" s="1"/>
  <c r="Q274" i="7"/>
  <c r="P274" i="7"/>
  <c r="AR274" i="7" s="1"/>
  <c r="O274" i="7"/>
  <c r="Z274" i="7" s="1"/>
  <c r="N274" i="7"/>
  <c r="K274" i="7"/>
  <c r="J274" i="7"/>
  <c r="I274" i="7"/>
  <c r="M274" i="7" s="1"/>
  <c r="AX274" i="7" s="1"/>
  <c r="W273" i="7"/>
  <c r="V273" i="7"/>
  <c r="AJ273" i="7" s="1"/>
  <c r="U273" i="7"/>
  <c r="AH273" i="7" s="1"/>
  <c r="T273" i="7"/>
  <c r="S273" i="7"/>
  <c r="AF273" i="7" s="1"/>
  <c r="R273" i="7"/>
  <c r="AD273" i="7" s="1"/>
  <c r="Q273" i="7"/>
  <c r="P273" i="7"/>
  <c r="AR273" i="7" s="1"/>
  <c r="O273" i="7"/>
  <c r="AP273" i="7" s="1"/>
  <c r="N273" i="7"/>
  <c r="K273" i="7"/>
  <c r="J273" i="7"/>
  <c r="I273" i="7"/>
  <c r="M273" i="7" s="1"/>
  <c r="AX273" i="7" s="1"/>
  <c r="W272" i="7"/>
  <c r="V272" i="7"/>
  <c r="AJ272" i="7" s="1"/>
  <c r="U272" i="7"/>
  <c r="AH272" i="7" s="1"/>
  <c r="T272" i="7"/>
  <c r="S272" i="7"/>
  <c r="AF272" i="7" s="1"/>
  <c r="R272" i="7"/>
  <c r="AT272" i="7" s="1"/>
  <c r="Q272" i="7"/>
  <c r="P272" i="7"/>
  <c r="AB272" i="7" s="1"/>
  <c r="O272" i="7"/>
  <c r="BB272" i="7" s="1"/>
  <c r="N272" i="7"/>
  <c r="K272" i="7"/>
  <c r="J272" i="7"/>
  <c r="I272" i="7"/>
  <c r="M272" i="7" s="1"/>
  <c r="W271" i="7"/>
  <c r="V271" i="7"/>
  <c r="AJ271" i="7" s="1"/>
  <c r="U271" i="7"/>
  <c r="AH271" i="7" s="1"/>
  <c r="T271" i="7"/>
  <c r="S271" i="7"/>
  <c r="AF271" i="7" s="1"/>
  <c r="R271" i="7"/>
  <c r="AD271" i="7" s="1"/>
  <c r="Q271" i="7"/>
  <c r="P271" i="7"/>
  <c r="BD271" i="7" s="1"/>
  <c r="O271" i="7"/>
  <c r="AP271" i="7" s="1"/>
  <c r="N271" i="7"/>
  <c r="K271" i="7"/>
  <c r="J271" i="7"/>
  <c r="I271" i="7"/>
  <c r="M271" i="7" s="1"/>
  <c r="W270" i="7"/>
  <c r="V270" i="7"/>
  <c r="AJ270" i="7" s="1"/>
  <c r="U270" i="7"/>
  <c r="AH270" i="7" s="1"/>
  <c r="T270" i="7"/>
  <c r="S270" i="7"/>
  <c r="AF270" i="7" s="1"/>
  <c r="R270" i="7"/>
  <c r="AD270" i="7" s="1"/>
  <c r="Q270" i="7"/>
  <c r="P270" i="7"/>
  <c r="AB270" i="7" s="1"/>
  <c r="O270" i="7"/>
  <c r="AP270" i="7" s="1"/>
  <c r="N270" i="7"/>
  <c r="K270" i="7"/>
  <c r="J270" i="7"/>
  <c r="I270" i="7"/>
  <c r="M270" i="7" s="1"/>
  <c r="W269" i="7"/>
  <c r="V269" i="7"/>
  <c r="AJ269" i="7" s="1"/>
  <c r="U269" i="7"/>
  <c r="AH269" i="7" s="1"/>
  <c r="T269" i="7"/>
  <c r="S269" i="7"/>
  <c r="AV269" i="7" s="1"/>
  <c r="R269" i="7"/>
  <c r="AT269" i="7" s="1"/>
  <c r="Q269" i="7"/>
  <c r="P269" i="7"/>
  <c r="AB269" i="7" s="1"/>
  <c r="O269" i="7"/>
  <c r="N269" i="7"/>
  <c r="K269" i="7"/>
  <c r="J269" i="7"/>
  <c r="I269" i="7"/>
  <c r="M269" i="7" s="1"/>
  <c r="W268" i="7"/>
  <c r="V268" i="7"/>
  <c r="AJ268" i="7" s="1"/>
  <c r="U268" i="7"/>
  <c r="AH268" i="7" s="1"/>
  <c r="T268" i="7"/>
  <c r="S268" i="7"/>
  <c r="AV268" i="7" s="1"/>
  <c r="R268" i="7"/>
  <c r="AT268" i="7" s="1"/>
  <c r="Q268" i="7"/>
  <c r="P268" i="7"/>
  <c r="O268" i="7"/>
  <c r="BB268" i="7" s="1"/>
  <c r="N268" i="7"/>
  <c r="K268" i="7"/>
  <c r="J268" i="7"/>
  <c r="I268" i="7"/>
  <c r="M268" i="7" s="1"/>
  <c r="W267" i="7"/>
  <c r="V267" i="7"/>
  <c r="AJ267" i="7" s="1"/>
  <c r="U267" i="7"/>
  <c r="AH267" i="7" s="1"/>
  <c r="T267" i="7"/>
  <c r="S267" i="7"/>
  <c r="AV267" i="7" s="1"/>
  <c r="R267" i="7"/>
  <c r="AT267" i="7" s="1"/>
  <c r="Q267" i="7"/>
  <c r="P267" i="7"/>
  <c r="BD267" i="7" s="1"/>
  <c r="O267" i="7"/>
  <c r="N267" i="7"/>
  <c r="K267" i="7"/>
  <c r="J267" i="7"/>
  <c r="I267" i="7"/>
  <c r="M267" i="7" s="1"/>
  <c r="W266" i="7"/>
  <c r="V266" i="7"/>
  <c r="AJ266" i="7" s="1"/>
  <c r="U266" i="7"/>
  <c r="AH266" i="7" s="1"/>
  <c r="T266" i="7"/>
  <c r="S266" i="7"/>
  <c r="AV266" i="7" s="1"/>
  <c r="R266" i="7"/>
  <c r="AD266" i="7" s="1"/>
  <c r="Q266" i="7"/>
  <c r="P266" i="7"/>
  <c r="BD266" i="7" s="1"/>
  <c r="O266" i="7"/>
  <c r="Z266" i="7" s="1"/>
  <c r="N266" i="7"/>
  <c r="K266" i="7"/>
  <c r="J266" i="7"/>
  <c r="I266" i="7"/>
  <c r="M266" i="7" s="1"/>
  <c r="W265" i="7"/>
  <c r="V265" i="7"/>
  <c r="AJ265" i="7" s="1"/>
  <c r="U265" i="7"/>
  <c r="AH265" i="7" s="1"/>
  <c r="T265" i="7"/>
  <c r="S265" i="7"/>
  <c r="AF265" i="7" s="1"/>
  <c r="R265" i="7"/>
  <c r="AT265" i="7" s="1"/>
  <c r="Q265" i="7"/>
  <c r="P265" i="7"/>
  <c r="AR265" i="7" s="1"/>
  <c r="O265" i="7"/>
  <c r="AP265" i="7" s="1"/>
  <c r="N265" i="7"/>
  <c r="K265" i="7"/>
  <c r="J265" i="7"/>
  <c r="I265" i="7"/>
  <c r="M265" i="7" s="1"/>
  <c r="AX265" i="7" s="1"/>
  <c r="W264" i="7"/>
  <c r="V264" i="7"/>
  <c r="AJ264" i="7" s="1"/>
  <c r="U264" i="7"/>
  <c r="AH264" i="7" s="1"/>
  <c r="T264" i="7"/>
  <c r="S264" i="7"/>
  <c r="AV264" i="7" s="1"/>
  <c r="R264" i="7"/>
  <c r="AT264" i="7" s="1"/>
  <c r="Q264" i="7"/>
  <c r="P264" i="7"/>
  <c r="AR264" i="7" s="1"/>
  <c r="O264" i="7"/>
  <c r="AP264" i="7" s="1"/>
  <c r="N264" i="7"/>
  <c r="K264" i="7"/>
  <c r="J264" i="7"/>
  <c r="I264" i="7"/>
  <c r="M264" i="7" s="1"/>
  <c r="W263" i="7"/>
  <c r="V263" i="7"/>
  <c r="AJ263" i="7" s="1"/>
  <c r="U263" i="7"/>
  <c r="AH263" i="7" s="1"/>
  <c r="T263" i="7"/>
  <c r="S263" i="7"/>
  <c r="AV263" i="7" s="1"/>
  <c r="R263" i="7"/>
  <c r="AT263" i="7" s="1"/>
  <c r="Q263" i="7"/>
  <c r="P263" i="7"/>
  <c r="AR263" i="7" s="1"/>
  <c r="O263" i="7"/>
  <c r="N263" i="7"/>
  <c r="K263" i="7"/>
  <c r="J263" i="7"/>
  <c r="I263" i="7"/>
  <c r="M263" i="7" s="1"/>
  <c r="AL263" i="7" s="1"/>
  <c r="W262" i="7"/>
  <c r="V262" i="7"/>
  <c r="AJ262" i="7" s="1"/>
  <c r="U262" i="7"/>
  <c r="AH262" i="7" s="1"/>
  <c r="T262" i="7"/>
  <c r="S262" i="7"/>
  <c r="AV262" i="7" s="1"/>
  <c r="R262" i="7"/>
  <c r="AT262" i="7" s="1"/>
  <c r="Q262" i="7"/>
  <c r="P262" i="7"/>
  <c r="BD262" i="7" s="1"/>
  <c r="O262" i="7"/>
  <c r="Z262" i="7" s="1"/>
  <c r="N262" i="7"/>
  <c r="K262" i="7"/>
  <c r="J262" i="7"/>
  <c r="I262" i="7"/>
  <c r="M262" i="7" s="1"/>
  <c r="AL262" i="7" s="1"/>
  <c r="W261" i="7"/>
  <c r="V261" i="7"/>
  <c r="AJ261" i="7" s="1"/>
  <c r="U261" i="7"/>
  <c r="AH261" i="7" s="1"/>
  <c r="T261" i="7"/>
  <c r="S261" i="7"/>
  <c r="AV261" i="7" s="1"/>
  <c r="R261" i="7"/>
  <c r="AT261" i="7" s="1"/>
  <c r="Q261" i="7"/>
  <c r="P261" i="7"/>
  <c r="BD261" i="7" s="1"/>
  <c r="O261" i="7"/>
  <c r="BB261" i="7" s="1"/>
  <c r="N261" i="7"/>
  <c r="K261" i="7"/>
  <c r="J261" i="7"/>
  <c r="I261" i="7"/>
  <c r="M261" i="7" s="1"/>
  <c r="W260" i="7"/>
  <c r="V260" i="7"/>
  <c r="AJ260" i="7" s="1"/>
  <c r="U260" i="7"/>
  <c r="AH260" i="7" s="1"/>
  <c r="T260" i="7"/>
  <c r="S260" i="7"/>
  <c r="AV260" i="7" s="1"/>
  <c r="R260" i="7"/>
  <c r="AT260" i="7" s="1"/>
  <c r="Q260" i="7"/>
  <c r="P260" i="7"/>
  <c r="O260" i="7"/>
  <c r="BB260" i="7" s="1"/>
  <c r="N260" i="7"/>
  <c r="K260" i="7"/>
  <c r="J260" i="7"/>
  <c r="I260" i="7"/>
  <c r="M260" i="7" s="1"/>
  <c r="W259" i="7"/>
  <c r="V259" i="7"/>
  <c r="AJ259" i="7" s="1"/>
  <c r="U259" i="7"/>
  <c r="AH259" i="7" s="1"/>
  <c r="T259" i="7"/>
  <c r="S259" i="7"/>
  <c r="AF259" i="7" s="1"/>
  <c r="R259" i="7"/>
  <c r="AT259" i="7" s="1"/>
  <c r="Q259" i="7"/>
  <c r="P259" i="7"/>
  <c r="BD259" i="7" s="1"/>
  <c r="O259" i="7"/>
  <c r="BB259" i="7" s="1"/>
  <c r="N259" i="7"/>
  <c r="K259" i="7"/>
  <c r="J259" i="7"/>
  <c r="I259" i="7"/>
  <c r="M259" i="7" s="1"/>
  <c r="W258" i="7"/>
  <c r="V258" i="7"/>
  <c r="AJ258" i="7" s="1"/>
  <c r="U258" i="7"/>
  <c r="AH258" i="7" s="1"/>
  <c r="T258" i="7"/>
  <c r="S258" i="7"/>
  <c r="AF258" i="7" s="1"/>
  <c r="R258" i="7"/>
  <c r="AD258" i="7" s="1"/>
  <c r="Q258" i="7"/>
  <c r="P258" i="7"/>
  <c r="BD258" i="7" s="1"/>
  <c r="O258" i="7"/>
  <c r="AP258" i="7" s="1"/>
  <c r="N258" i="7"/>
  <c r="K258" i="7"/>
  <c r="J258" i="7"/>
  <c r="I258" i="7"/>
  <c r="M258" i="7" s="1"/>
  <c r="AX258" i="7" s="1"/>
  <c r="W257" i="7"/>
  <c r="V257" i="7"/>
  <c r="AJ257" i="7" s="1"/>
  <c r="U257" i="7"/>
  <c r="AH257" i="7" s="1"/>
  <c r="T257" i="7"/>
  <c r="S257" i="7"/>
  <c r="AV257" i="7" s="1"/>
  <c r="R257" i="7"/>
  <c r="AD257" i="7" s="1"/>
  <c r="Q257" i="7"/>
  <c r="P257" i="7"/>
  <c r="AB257" i="7" s="1"/>
  <c r="O257" i="7"/>
  <c r="AP257" i="7" s="1"/>
  <c r="N257" i="7"/>
  <c r="K257" i="7"/>
  <c r="J257" i="7"/>
  <c r="I257" i="7"/>
  <c r="M257" i="7" s="1"/>
  <c r="W256" i="7"/>
  <c r="V256" i="7"/>
  <c r="AJ256" i="7" s="1"/>
  <c r="U256" i="7"/>
  <c r="AH256" i="7" s="1"/>
  <c r="T256" i="7"/>
  <c r="S256" i="7"/>
  <c r="AV256" i="7" s="1"/>
  <c r="R256" i="7"/>
  <c r="AT256" i="7" s="1"/>
  <c r="Q256" i="7"/>
  <c r="P256" i="7"/>
  <c r="AR256" i="7" s="1"/>
  <c r="O256" i="7"/>
  <c r="N256" i="7"/>
  <c r="K256" i="7"/>
  <c r="J256" i="7"/>
  <c r="I256" i="7"/>
  <c r="M256" i="7" s="1"/>
  <c r="AX256" i="7" s="1"/>
  <c r="W255" i="7"/>
  <c r="V255" i="7"/>
  <c r="AJ255" i="7" s="1"/>
  <c r="U255" i="7"/>
  <c r="AH255" i="7" s="1"/>
  <c r="T255" i="7"/>
  <c r="S255" i="7"/>
  <c r="AV255" i="7" s="1"/>
  <c r="R255" i="7"/>
  <c r="AT255" i="7" s="1"/>
  <c r="Q255" i="7"/>
  <c r="P255" i="7"/>
  <c r="O255" i="7"/>
  <c r="AP255" i="7" s="1"/>
  <c r="N255" i="7"/>
  <c r="K255" i="7"/>
  <c r="J255" i="7"/>
  <c r="I255" i="7"/>
  <c r="M255" i="7" s="1"/>
  <c r="AL255" i="7" s="1"/>
  <c r="W254" i="7"/>
  <c r="V254" i="7"/>
  <c r="AJ254" i="7" s="1"/>
  <c r="U254" i="7"/>
  <c r="AH254" i="7" s="1"/>
  <c r="T254" i="7"/>
  <c r="S254" i="7"/>
  <c r="AV254" i="7" s="1"/>
  <c r="R254" i="7"/>
  <c r="AT254" i="7" s="1"/>
  <c r="Q254" i="7"/>
  <c r="P254" i="7"/>
  <c r="O254" i="7"/>
  <c r="AP254" i="7" s="1"/>
  <c r="N254" i="7"/>
  <c r="K254" i="7"/>
  <c r="J254" i="7"/>
  <c r="I254" i="7"/>
  <c r="M254" i="7" s="1"/>
  <c r="AX254" i="7" s="1"/>
  <c r="W253" i="7"/>
  <c r="V253" i="7"/>
  <c r="AJ253" i="7" s="1"/>
  <c r="U253" i="7"/>
  <c r="AH253" i="7" s="1"/>
  <c r="T253" i="7"/>
  <c r="S253" i="7"/>
  <c r="AV253" i="7" s="1"/>
  <c r="R253" i="7"/>
  <c r="AD253" i="7" s="1"/>
  <c r="Q253" i="7"/>
  <c r="P253" i="7"/>
  <c r="BD253" i="7" s="1"/>
  <c r="O253" i="7"/>
  <c r="Z253" i="7" s="1"/>
  <c r="N253" i="7"/>
  <c r="K253" i="7"/>
  <c r="J253" i="7"/>
  <c r="I253" i="7"/>
  <c r="M253" i="7" s="1"/>
  <c r="AX253" i="7" s="1"/>
  <c r="W252" i="7"/>
  <c r="V252" i="7"/>
  <c r="AJ252" i="7" s="1"/>
  <c r="U252" i="7"/>
  <c r="AH252" i="7" s="1"/>
  <c r="T252" i="7"/>
  <c r="S252" i="7"/>
  <c r="AF252" i="7" s="1"/>
  <c r="R252" i="7"/>
  <c r="AD252" i="7" s="1"/>
  <c r="Q252" i="7"/>
  <c r="P252" i="7"/>
  <c r="O252" i="7"/>
  <c r="BB252" i="7" s="1"/>
  <c r="N252" i="7"/>
  <c r="K252" i="7"/>
  <c r="J252" i="7"/>
  <c r="I252" i="7"/>
  <c r="M252" i="7" s="1"/>
  <c r="AL252" i="7" s="1"/>
  <c r="W251" i="7"/>
  <c r="V251" i="7"/>
  <c r="AJ251" i="7" s="1"/>
  <c r="U251" i="7"/>
  <c r="AH251" i="7" s="1"/>
  <c r="T251" i="7"/>
  <c r="S251" i="7"/>
  <c r="AF251" i="7" s="1"/>
  <c r="R251" i="7"/>
  <c r="AD251" i="7" s="1"/>
  <c r="Q251" i="7"/>
  <c r="P251" i="7"/>
  <c r="BD251" i="7" s="1"/>
  <c r="O251" i="7"/>
  <c r="BB251" i="7" s="1"/>
  <c r="N251" i="7"/>
  <c r="K251" i="7"/>
  <c r="J251" i="7"/>
  <c r="I251" i="7"/>
  <c r="M251" i="7" s="1"/>
  <c r="W250" i="7"/>
  <c r="V250" i="7"/>
  <c r="AJ250" i="7" s="1"/>
  <c r="U250" i="7"/>
  <c r="AH250" i="7" s="1"/>
  <c r="T250" i="7"/>
  <c r="S250" i="7"/>
  <c r="R250" i="7"/>
  <c r="AT250" i="7" s="1"/>
  <c r="Q250" i="7"/>
  <c r="P250" i="7"/>
  <c r="BD250" i="7" s="1"/>
  <c r="O250" i="7"/>
  <c r="Z250" i="7" s="1"/>
  <c r="N250" i="7"/>
  <c r="K250" i="7"/>
  <c r="J250" i="7"/>
  <c r="I250" i="7"/>
  <c r="M250" i="7" s="1"/>
  <c r="W249" i="7"/>
  <c r="V249" i="7"/>
  <c r="AJ249" i="7" s="1"/>
  <c r="U249" i="7"/>
  <c r="AH249" i="7" s="1"/>
  <c r="T249" i="7"/>
  <c r="S249" i="7"/>
  <c r="AV249" i="7" s="1"/>
  <c r="R249" i="7"/>
  <c r="AT249" i="7" s="1"/>
  <c r="Q249" i="7"/>
  <c r="P249" i="7"/>
  <c r="O249" i="7"/>
  <c r="N249" i="7"/>
  <c r="K249" i="7"/>
  <c r="J249" i="7"/>
  <c r="I249" i="7"/>
  <c r="M249" i="7" s="1"/>
  <c r="W248" i="7"/>
  <c r="V248" i="7"/>
  <c r="AJ248" i="7" s="1"/>
  <c r="U248" i="7"/>
  <c r="AH248" i="7" s="1"/>
  <c r="T248" i="7"/>
  <c r="S248" i="7"/>
  <c r="AV248" i="7" s="1"/>
  <c r="R248" i="7"/>
  <c r="AT248" i="7" s="1"/>
  <c r="Q248" i="7"/>
  <c r="P248" i="7"/>
  <c r="BD248" i="7" s="1"/>
  <c r="O248" i="7"/>
  <c r="Z248" i="7" s="1"/>
  <c r="N248" i="7"/>
  <c r="K248" i="7"/>
  <c r="J248" i="7"/>
  <c r="I248" i="7"/>
  <c r="M248" i="7" s="1"/>
  <c r="AX248" i="7" s="1"/>
  <c r="W247" i="7"/>
  <c r="V247" i="7"/>
  <c r="AJ247" i="7" s="1"/>
  <c r="U247" i="7"/>
  <c r="AH247" i="7" s="1"/>
  <c r="T247" i="7"/>
  <c r="S247" i="7"/>
  <c r="AV247" i="7" s="1"/>
  <c r="R247" i="7"/>
  <c r="AT247" i="7" s="1"/>
  <c r="Q247" i="7"/>
  <c r="P247" i="7"/>
  <c r="AB247" i="7" s="1"/>
  <c r="O247" i="7"/>
  <c r="BB247" i="7" s="1"/>
  <c r="N247" i="7"/>
  <c r="K247" i="7"/>
  <c r="J247" i="7"/>
  <c r="I247" i="7"/>
  <c r="M247" i="7" s="1"/>
  <c r="BF247" i="7" s="1"/>
  <c r="W246" i="7"/>
  <c r="V246" i="7"/>
  <c r="AJ246" i="7" s="1"/>
  <c r="U246" i="7"/>
  <c r="AH246" i="7" s="1"/>
  <c r="T246" i="7"/>
  <c r="S246" i="7"/>
  <c r="AV246" i="7" s="1"/>
  <c r="R246" i="7"/>
  <c r="AD246" i="7" s="1"/>
  <c r="Q246" i="7"/>
  <c r="P246" i="7"/>
  <c r="AB246" i="7" s="1"/>
  <c r="O246" i="7"/>
  <c r="N246" i="7"/>
  <c r="K246" i="7"/>
  <c r="J246" i="7"/>
  <c r="I246" i="7"/>
  <c r="M246" i="7" s="1"/>
  <c r="W245" i="7"/>
  <c r="V245" i="7"/>
  <c r="AJ245" i="7" s="1"/>
  <c r="U245" i="7"/>
  <c r="AH245" i="7" s="1"/>
  <c r="T245" i="7"/>
  <c r="S245" i="7"/>
  <c r="AF245" i="7" s="1"/>
  <c r="R245" i="7"/>
  <c r="AD245" i="7" s="1"/>
  <c r="Q245" i="7"/>
  <c r="P245" i="7"/>
  <c r="O245" i="7"/>
  <c r="N245" i="7"/>
  <c r="K245" i="7"/>
  <c r="J245" i="7"/>
  <c r="I245" i="7"/>
  <c r="M245" i="7" s="1"/>
  <c r="AX245" i="7" s="1"/>
  <c r="W244" i="7"/>
  <c r="V244" i="7"/>
  <c r="AJ244" i="7" s="1"/>
  <c r="U244" i="7"/>
  <c r="AH244" i="7" s="1"/>
  <c r="T244" i="7"/>
  <c r="S244" i="7"/>
  <c r="AF244" i="7" s="1"/>
  <c r="R244" i="7"/>
  <c r="AD244" i="7" s="1"/>
  <c r="Q244" i="7"/>
  <c r="P244" i="7"/>
  <c r="BD244" i="7" s="1"/>
  <c r="O244" i="7"/>
  <c r="N244" i="7"/>
  <c r="K244" i="7"/>
  <c r="J244" i="7"/>
  <c r="I244" i="7"/>
  <c r="M244" i="7" s="1"/>
  <c r="AL244" i="7" s="1"/>
  <c r="W243" i="7"/>
  <c r="V243" i="7"/>
  <c r="AJ243" i="7" s="1"/>
  <c r="U243" i="7"/>
  <c r="AH243" i="7" s="1"/>
  <c r="T243" i="7"/>
  <c r="S243" i="7"/>
  <c r="AF243" i="7" s="1"/>
  <c r="R243" i="7"/>
  <c r="AD243" i="7" s="1"/>
  <c r="Q243" i="7"/>
  <c r="P243" i="7"/>
  <c r="O243" i="7"/>
  <c r="BB243" i="7" s="1"/>
  <c r="N243" i="7"/>
  <c r="K243" i="7"/>
  <c r="J243" i="7"/>
  <c r="I243" i="7"/>
  <c r="M243" i="7" s="1"/>
  <c r="W242" i="7"/>
  <c r="V242" i="7"/>
  <c r="AJ242" i="7" s="1"/>
  <c r="U242" i="7"/>
  <c r="AH242" i="7" s="1"/>
  <c r="T242" i="7"/>
  <c r="S242" i="7"/>
  <c r="AF242" i="7" s="1"/>
  <c r="R242" i="7"/>
  <c r="AD242" i="7" s="1"/>
  <c r="Q242" i="7"/>
  <c r="P242" i="7"/>
  <c r="O242" i="7"/>
  <c r="BB242" i="7" s="1"/>
  <c r="N242" i="7"/>
  <c r="K242" i="7"/>
  <c r="J242" i="7"/>
  <c r="I242" i="7"/>
  <c r="M242" i="7" s="1"/>
  <c r="BF242" i="7" s="1"/>
  <c r="W241" i="7"/>
  <c r="V241" i="7"/>
  <c r="AJ241" i="7" s="1"/>
  <c r="U241" i="7"/>
  <c r="AH241" i="7" s="1"/>
  <c r="T241" i="7"/>
  <c r="S241" i="7"/>
  <c r="AV241" i="7" s="1"/>
  <c r="R241" i="7"/>
  <c r="AT241" i="7" s="1"/>
  <c r="Q241" i="7"/>
  <c r="P241" i="7"/>
  <c r="BD241" i="7" s="1"/>
  <c r="O241" i="7"/>
  <c r="AP241" i="7" s="1"/>
  <c r="N241" i="7"/>
  <c r="K241" i="7"/>
  <c r="J241" i="7"/>
  <c r="I241" i="7"/>
  <c r="M241" i="7" s="1"/>
  <c r="W240" i="7"/>
  <c r="V240" i="7"/>
  <c r="AJ240" i="7" s="1"/>
  <c r="U240" i="7"/>
  <c r="AH240" i="7" s="1"/>
  <c r="T240" i="7"/>
  <c r="S240" i="7"/>
  <c r="AV240" i="7" s="1"/>
  <c r="R240" i="7"/>
  <c r="AT240" i="7" s="1"/>
  <c r="Q240" i="7"/>
  <c r="P240" i="7"/>
  <c r="AR240" i="7" s="1"/>
  <c r="O240" i="7"/>
  <c r="AP240" i="7" s="1"/>
  <c r="N240" i="7"/>
  <c r="K240" i="7"/>
  <c r="J240" i="7"/>
  <c r="I240" i="7"/>
  <c r="M240" i="7" s="1"/>
  <c r="AX240" i="7" s="1"/>
  <c r="W239" i="7"/>
  <c r="V239" i="7"/>
  <c r="AJ239" i="7" s="1"/>
  <c r="U239" i="7"/>
  <c r="AH239" i="7" s="1"/>
  <c r="T239" i="7"/>
  <c r="S239" i="7"/>
  <c r="AV239" i="7" s="1"/>
  <c r="R239" i="7"/>
  <c r="AT239" i="7" s="1"/>
  <c r="Q239" i="7"/>
  <c r="P239" i="7"/>
  <c r="AR239" i="7" s="1"/>
  <c r="O239" i="7"/>
  <c r="N239" i="7"/>
  <c r="K239" i="7"/>
  <c r="J239" i="7"/>
  <c r="I239" i="7"/>
  <c r="M239" i="7" s="1"/>
  <c r="W238" i="7"/>
  <c r="V238" i="7"/>
  <c r="AJ238" i="7" s="1"/>
  <c r="U238" i="7"/>
  <c r="AH238" i="7" s="1"/>
  <c r="T238" i="7"/>
  <c r="S238" i="7"/>
  <c r="AV238" i="7" s="1"/>
  <c r="R238" i="7"/>
  <c r="AT238" i="7" s="1"/>
  <c r="Q238" i="7"/>
  <c r="P238" i="7"/>
  <c r="O238" i="7"/>
  <c r="BB238" i="7" s="1"/>
  <c r="N238" i="7"/>
  <c r="K238" i="7"/>
  <c r="J238" i="7"/>
  <c r="I238" i="7"/>
  <c r="M238" i="7" s="1"/>
  <c r="W237" i="7"/>
  <c r="V237" i="7"/>
  <c r="AJ237" i="7" s="1"/>
  <c r="U237" i="7"/>
  <c r="AH237" i="7" s="1"/>
  <c r="T237" i="7"/>
  <c r="S237" i="7"/>
  <c r="AV237" i="7" s="1"/>
  <c r="R237" i="7"/>
  <c r="AT237" i="7" s="1"/>
  <c r="Q237" i="7"/>
  <c r="P237" i="7"/>
  <c r="O237" i="7"/>
  <c r="AP237" i="7" s="1"/>
  <c r="N237" i="7"/>
  <c r="K237" i="7"/>
  <c r="J237" i="7"/>
  <c r="I237" i="7"/>
  <c r="M237" i="7" s="1"/>
  <c r="E237" i="7"/>
  <c r="D237" i="7"/>
  <c r="C237" i="7"/>
  <c r="W236" i="7"/>
  <c r="V236" i="7"/>
  <c r="AJ236" i="7" s="1"/>
  <c r="U236" i="7"/>
  <c r="AH236" i="7" s="1"/>
  <c r="T236" i="7"/>
  <c r="S236" i="7"/>
  <c r="AV236" i="7" s="1"/>
  <c r="R236" i="7"/>
  <c r="AT236" i="7" s="1"/>
  <c r="Q236" i="7"/>
  <c r="P236" i="7"/>
  <c r="BD236" i="7" s="1"/>
  <c r="O236" i="7"/>
  <c r="AP236" i="7" s="1"/>
  <c r="N236" i="7"/>
  <c r="K236" i="7"/>
  <c r="J236" i="7"/>
  <c r="I236" i="7"/>
  <c r="M236" i="7" s="1"/>
  <c r="E236" i="7"/>
  <c r="D236" i="7"/>
  <c r="C236" i="7"/>
  <c r="W235" i="7"/>
  <c r="V235" i="7"/>
  <c r="AJ235" i="7" s="1"/>
  <c r="U235" i="7"/>
  <c r="AH235" i="7" s="1"/>
  <c r="T235" i="7"/>
  <c r="S235" i="7"/>
  <c r="AV235" i="7" s="1"/>
  <c r="R235" i="7"/>
  <c r="AT235" i="7" s="1"/>
  <c r="Q235" i="7"/>
  <c r="P235" i="7"/>
  <c r="BD235" i="7" s="1"/>
  <c r="O235" i="7"/>
  <c r="AP235" i="7" s="1"/>
  <c r="N235" i="7"/>
  <c r="K235" i="7"/>
  <c r="J235" i="7"/>
  <c r="I235" i="7"/>
  <c r="M235" i="7" s="1"/>
  <c r="E235" i="7"/>
  <c r="D235" i="7"/>
  <c r="C235" i="7"/>
  <c r="W234" i="7"/>
  <c r="V234" i="7"/>
  <c r="AJ234" i="7" s="1"/>
  <c r="U234" i="7"/>
  <c r="AH234" i="7" s="1"/>
  <c r="T234" i="7"/>
  <c r="S234" i="7"/>
  <c r="AV234" i="7" s="1"/>
  <c r="R234" i="7"/>
  <c r="AT234" i="7" s="1"/>
  <c r="Q234" i="7"/>
  <c r="P234" i="7"/>
  <c r="BD234" i="7" s="1"/>
  <c r="O234" i="7"/>
  <c r="AP234" i="7" s="1"/>
  <c r="N234" i="7"/>
  <c r="K234" i="7"/>
  <c r="J234" i="7"/>
  <c r="I234" i="7"/>
  <c r="M234" i="7" s="1"/>
  <c r="W233" i="7"/>
  <c r="V233" i="7"/>
  <c r="AJ233" i="7" s="1"/>
  <c r="U233" i="7"/>
  <c r="AH233" i="7" s="1"/>
  <c r="T233" i="7"/>
  <c r="S233" i="7"/>
  <c r="AV233" i="7" s="1"/>
  <c r="R233" i="7"/>
  <c r="AD233" i="7" s="1"/>
  <c r="Q233" i="7"/>
  <c r="P233" i="7"/>
  <c r="O233" i="7"/>
  <c r="AP233" i="7" s="1"/>
  <c r="N233" i="7"/>
  <c r="K233" i="7"/>
  <c r="J233" i="7"/>
  <c r="I233" i="7"/>
  <c r="M233" i="7" s="1"/>
  <c r="W232" i="7"/>
  <c r="V232" i="7"/>
  <c r="AJ232" i="7" s="1"/>
  <c r="U232" i="7"/>
  <c r="AH232" i="7" s="1"/>
  <c r="T232" i="7"/>
  <c r="S232" i="7"/>
  <c r="AV232" i="7" s="1"/>
  <c r="R232" i="7"/>
  <c r="AT232" i="7" s="1"/>
  <c r="Q232" i="7"/>
  <c r="P232" i="7"/>
  <c r="AR232" i="7" s="1"/>
  <c r="O232" i="7"/>
  <c r="N232" i="7"/>
  <c r="K232" i="7"/>
  <c r="J232" i="7"/>
  <c r="I232" i="7"/>
  <c r="M232" i="7" s="1"/>
  <c r="BF232" i="7" s="1"/>
  <c r="W231" i="7"/>
  <c r="V231" i="7"/>
  <c r="AJ231" i="7" s="1"/>
  <c r="U231" i="7"/>
  <c r="AH231" i="7" s="1"/>
  <c r="T231" i="7"/>
  <c r="S231" i="7"/>
  <c r="AV231" i="7" s="1"/>
  <c r="R231" i="7"/>
  <c r="AT231" i="7" s="1"/>
  <c r="Q231" i="7"/>
  <c r="P231" i="7"/>
  <c r="BD231" i="7" s="1"/>
  <c r="O231" i="7"/>
  <c r="BB231" i="7" s="1"/>
  <c r="N231" i="7"/>
  <c r="K231" i="7"/>
  <c r="J231" i="7"/>
  <c r="I231" i="7"/>
  <c r="M231" i="7" s="1"/>
  <c r="AX231" i="7" s="1"/>
  <c r="E231" i="7"/>
  <c r="D231" i="7"/>
  <c r="C231" i="7"/>
  <c r="W230" i="7"/>
  <c r="V230" i="7"/>
  <c r="AJ230" i="7" s="1"/>
  <c r="U230" i="7"/>
  <c r="AH230" i="7" s="1"/>
  <c r="T230" i="7"/>
  <c r="S230" i="7"/>
  <c r="AV230" i="7" s="1"/>
  <c r="R230" i="7"/>
  <c r="AT230" i="7" s="1"/>
  <c r="Q230" i="7"/>
  <c r="P230" i="7"/>
  <c r="O230" i="7"/>
  <c r="BB230" i="7" s="1"/>
  <c r="N230" i="7"/>
  <c r="K230" i="7"/>
  <c r="J230" i="7"/>
  <c r="I230" i="7"/>
  <c r="M230" i="7" s="1"/>
  <c r="AL230" i="7" s="1"/>
  <c r="E230" i="7"/>
  <c r="D230" i="7"/>
  <c r="C230" i="7"/>
  <c r="W229" i="7"/>
  <c r="V229" i="7"/>
  <c r="AJ229" i="7" s="1"/>
  <c r="U229" i="7"/>
  <c r="AH229" i="7" s="1"/>
  <c r="T229" i="7"/>
  <c r="S229" i="7"/>
  <c r="AV229" i="7" s="1"/>
  <c r="R229" i="7"/>
  <c r="AT229" i="7" s="1"/>
  <c r="Q229" i="7"/>
  <c r="P229" i="7"/>
  <c r="BD229" i="7" s="1"/>
  <c r="O229" i="7"/>
  <c r="BB229" i="7" s="1"/>
  <c r="N229" i="7"/>
  <c r="K229" i="7"/>
  <c r="J229" i="7"/>
  <c r="I229" i="7"/>
  <c r="M229" i="7" s="1"/>
  <c r="BF229" i="7" s="1"/>
  <c r="E229" i="7"/>
  <c r="D229" i="7"/>
  <c r="C229" i="7"/>
  <c r="W228" i="7"/>
  <c r="V228" i="7"/>
  <c r="AJ228" i="7" s="1"/>
  <c r="U228" i="7"/>
  <c r="AH228" i="7" s="1"/>
  <c r="T228" i="7"/>
  <c r="S228" i="7"/>
  <c r="R228" i="7"/>
  <c r="AT228" i="7" s="1"/>
  <c r="Q228" i="7"/>
  <c r="P228" i="7"/>
  <c r="BD228" i="7" s="1"/>
  <c r="O228" i="7"/>
  <c r="AP228" i="7" s="1"/>
  <c r="N228" i="7"/>
  <c r="K228" i="7"/>
  <c r="J228" i="7"/>
  <c r="I228" i="7"/>
  <c r="M228" i="7" s="1"/>
  <c r="AL228" i="7" s="1"/>
  <c r="W227" i="7"/>
  <c r="V227" i="7"/>
  <c r="AJ227" i="7" s="1"/>
  <c r="U227" i="7"/>
  <c r="AH227" i="7" s="1"/>
  <c r="T227" i="7"/>
  <c r="S227" i="7"/>
  <c r="AV227" i="7" s="1"/>
  <c r="R227" i="7"/>
  <c r="AT227" i="7" s="1"/>
  <c r="Q227" i="7"/>
  <c r="P227" i="7"/>
  <c r="BD227" i="7" s="1"/>
  <c r="O227" i="7"/>
  <c r="AP227" i="7" s="1"/>
  <c r="N227" i="7"/>
  <c r="K227" i="7"/>
  <c r="J227" i="7"/>
  <c r="I227" i="7"/>
  <c r="M227" i="7" s="1"/>
  <c r="W226" i="7"/>
  <c r="V226" i="7"/>
  <c r="AJ226" i="7" s="1"/>
  <c r="U226" i="7"/>
  <c r="AH226" i="7" s="1"/>
  <c r="T226" i="7"/>
  <c r="S226" i="7"/>
  <c r="AF226" i="7" s="1"/>
  <c r="R226" i="7"/>
  <c r="AT226" i="7" s="1"/>
  <c r="Q226" i="7"/>
  <c r="P226" i="7"/>
  <c r="AR226" i="7" s="1"/>
  <c r="O226" i="7"/>
  <c r="N226" i="7"/>
  <c r="K226" i="7"/>
  <c r="J226" i="7"/>
  <c r="I226" i="7"/>
  <c r="M226" i="7" s="1"/>
  <c r="W225" i="7"/>
  <c r="V225" i="7"/>
  <c r="AJ225" i="7" s="1"/>
  <c r="U225" i="7"/>
  <c r="AH225" i="7" s="1"/>
  <c r="T225" i="7"/>
  <c r="S225" i="7"/>
  <c r="AV225" i="7" s="1"/>
  <c r="R225" i="7"/>
  <c r="AT225" i="7" s="1"/>
  <c r="Q225" i="7"/>
  <c r="P225" i="7"/>
  <c r="O225" i="7"/>
  <c r="N225" i="7"/>
  <c r="K225" i="7"/>
  <c r="J225" i="7"/>
  <c r="I225" i="7"/>
  <c r="M225" i="7" s="1"/>
  <c r="BF225" i="7" s="1"/>
  <c r="E225" i="7"/>
  <c r="D225" i="7"/>
  <c r="C225" i="7"/>
  <c r="W224" i="7"/>
  <c r="V224" i="7"/>
  <c r="AJ224" i="7" s="1"/>
  <c r="U224" i="7"/>
  <c r="AH224" i="7" s="1"/>
  <c r="T224" i="7"/>
  <c r="S224" i="7"/>
  <c r="AF224" i="7" s="1"/>
  <c r="R224" i="7"/>
  <c r="AD224" i="7" s="1"/>
  <c r="Q224" i="7"/>
  <c r="P224" i="7"/>
  <c r="BD224" i="7" s="1"/>
  <c r="O224" i="7"/>
  <c r="N224" i="7"/>
  <c r="K224" i="7"/>
  <c r="J224" i="7"/>
  <c r="I224" i="7"/>
  <c r="M224" i="7" s="1"/>
  <c r="AL224" i="7" s="1"/>
  <c r="E224" i="7"/>
  <c r="D224" i="7"/>
  <c r="C224" i="7"/>
  <c r="W223" i="7"/>
  <c r="V223" i="7"/>
  <c r="AJ223" i="7" s="1"/>
  <c r="U223" i="7"/>
  <c r="AH223" i="7" s="1"/>
  <c r="T223" i="7"/>
  <c r="S223" i="7"/>
  <c r="AF223" i="7" s="1"/>
  <c r="R223" i="7"/>
  <c r="Q223" i="7"/>
  <c r="P223" i="7"/>
  <c r="O223" i="7"/>
  <c r="BB223" i="7" s="1"/>
  <c r="N223" i="7"/>
  <c r="K223" i="7"/>
  <c r="J223" i="7"/>
  <c r="I223" i="7"/>
  <c r="M223" i="7" s="1"/>
  <c r="AX223" i="7" s="1"/>
  <c r="E223" i="7"/>
  <c r="D223" i="7"/>
  <c r="C223" i="7"/>
  <c r="W222" i="7"/>
  <c r="V222" i="7"/>
  <c r="AJ222" i="7" s="1"/>
  <c r="U222" i="7"/>
  <c r="AH222" i="7" s="1"/>
  <c r="T222" i="7"/>
  <c r="S222" i="7"/>
  <c r="AF222" i="7" s="1"/>
  <c r="R222" i="7"/>
  <c r="AD222" i="7" s="1"/>
  <c r="Q222" i="7"/>
  <c r="P222" i="7"/>
  <c r="BD222" i="7" s="1"/>
  <c r="O222" i="7"/>
  <c r="BB222" i="7" s="1"/>
  <c r="N222" i="7"/>
  <c r="K222" i="7"/>
  <c r="J222" i="7"/>
  <c r="I222" i="7"/>
  <c r="M222" i="7" s="1"/>
  <c r="BF222" i="7" s="1"/>
  <c r="W221" i="7"/>
  <c r="V221" i="7"/>
  <c r="AJ221" i="7" s="1"/>
  <c r="U221" i="7"/>
  <c r="AH221" i="7" s="1"/>
  <c r="T221" i="7"/>
  <c r="S221" i="7"/>
  <c r="AV221" i="7" s="1"/>
  <c r="R221" i="7"/>
  <c r="AT221" i="7" s="1"/>
  <c r="Q221" i="7"/>
  <c r="P221" i="7"/>
  <c r="AR221" i="7" s="1"/>
  <c r="O221" i="7"/>
  <c r="N221" i="7"/>
  <c r="K221" i="7"/>
  <c r="J221" i="7"/>
  <c r="I221" i="7"/>
  <c r="M221" i="7" s="1"/>
  <c r="W220" i="7"/>
  <c r="V220" i="7"/>
  <c r="AJ220" i="7" s="1"/>
  <c r="U220" i="7"/>
  <c r="AH220" i="7" s="1"/>
  <c r="T220" i="7"/>
  <c r="S220" i="7"/>
  <c r="AV220" i="7" s="1"/>
  <c r="R220" i="7"/>
  <c r="AT220" i="7" s="1"/>
  <c r="Q220" i="7"/>
  <c r="P220" i="7"/>
  <c r="O220" i="7"/>
  <c r="BB220" i="7" s="1"/>
  <c r="N220" i="7"/>
  <c r="K220" i="7"/>
  <c r="J220" i="7"/>
  <c r="I220" i="7"/>
  <c r="M220" i="7" s="1"/>
  <c r="W219" i="7"/>
  <c r="V219" i="7"/>
  <c r="AJ219" i="7" s="1"/>
  <c r="U219" i="7"/>
  <c r="AH219" i="7" s="1"/>
  <c r="T219" i="7"/>
  <c r="S219" i="7"/>
  <c r="AV219" i="7" s="1"/>
  <c r="R219" i="7"/>
  <c r="AT219" i="7" s="1"/>
  <c r="Q219" i="7"/>
  <c r="P219" i="7"/>
  <c r="O219" i="7"/>
  <c r="BB219" i="7" s="1"/>
  <c r="N219" i="7"/>
  <c r="K219" i="7"/>
  <c r="J219" i="7"/>
  <c r="I219" i="7"/>
  <c r="M219" i="7" s="1"/>
  <c r="E219" i="7"/>
  <c r="D219" i="7"/>
  <c r="C219" i="7"/>
  <c r="W218" i="7"/>
  <c r="V218" i="7"/>
  <c r="AJ218" i="7" s="1"/>
  <c r="U218" i="7"/>
  <c r="AH218" i="7" s="1"/>
  <c r="T218" i="7"/>
  <c r="S218" i="7"/>
  <c r="AV218" i="7" s="1"/>
  <c r="R218" i="7"/>
  <c r="AT218" i="7" s="1"/>
  <c r="Q218" i="7"/>
  <c r="P218" i="7"/>
  <c r="BD218" i="7" s="1"/>
  <c r="O218" i="7"/>
  <c r="AP218" i="7" s="1"/>
  <c r="N218" i="7"/>
  <c r="K218" i="7"/>
  <c r="J218" i="7"/>
  <c r="I218" i="7"/>
  <c r="M218" i="7" s="1"/>
  <c r="E218" i="7"/>
  <c r="D218" i="7"/>
  <c r="C218" i="7"/>
  <c r="W217" i="7"/>
  <c r="V217" i="7"/>
  <c r="AJ217" i="7" s="1"/>
  <c r="U217" i="7"/>
  <c r="AH217" i="7" s="1"/>
  <c r="T217" i="7"/>
  <c r="S217" i="7"/>
  <c r="AV217" i="7" s="1"/>
  <c r="R217" i="7"/>
  <c r="AT217" i="7" s="1"/>
  <c r="Q217" i="7"/>
  <c r="P217" i="7"/>
  <c r="BD217" i="7" s="1"/>
  <c r="O217" i="7"/>
  <c r="AP217" i="7" s="1"/>
  <c r="N217" i="7"/>
  <c r="K217" i="7"/>
  <c r="J217" i="7"/>
  <c r="I217" i="7"/>
  <c r="M217" i="7" s="1"/>
  <c r="E217" i="7"/>
  <c r="D217" i="7"/>
  <c r="C217" i="7"/>
  <c r="W216" i="7"/>
  <c r="V216" i="7"/>
  <c r="AJ216" i="7" s="1"/>
  <c r="U216" i="7"/>
  <c r="AH216" i="7" s="1"/>
  <c r="T216" i="7"/>
  <c r="S216" i="7"/>
  <c r="AV216" i="7" s="1"/>
  <c r="R216" i="7"/>
  <c r="AT216" i="7" s="1"/>
  <c r="Q216" i="7"/>
  <c r="P216" i="7"/>
  <c r="BD216" i="7" s="1"/>
  <c r="O216" i="7"/>
  <c r="N216" i="7"/>
  <c r="K216" i="7"/>
  <c r="J216" i="7"/>
  <c r="I216" i="7"/>
  <c r="M216" i="7" s="1"/>
  <c r="W215" i="7"/>
  <c r="V215" i="7"/>
  <c r="AJ215" i="7" s="1"/>
  <c r="U215" i="7"/>
  <c r="AH215" i="7" s="1"/>
  <c r="T215" i="7"/>
  <c r="S215" i="7"/>
  <c r="AV215" i="7" s="1"/>
  <c r="R215" i="7"/>
  <c r="AT215" i="7" s="1"/>
  <c r="Q215" i="7"/>
  <c r="P215" i="7"/>
  <c r="O215" i="7"/>
  <c r="AP215" i="7" s="1"/>
  <c r="N215" i="7"/>
  <c r="K215" i="7"/>
  <c r="J215" i="7"/>
  <c r="I215" i="7"/>
  <c r="M215" i="7" s="1"/>
  <c r="AL215" i="7" s="1"/>
  <c r="W214" i="7"/>
  <c r="V214" i="7"/>
  <c r="AJ214" i="7" s="1"/>
  <c r="U214" i="7"/>
  <c r="AH214" i="7" s="1"/>
  <c r="T214" i="7"/>
  <c r="S214" i="7"/>
  <c r="AV214" i="7" s="1"/>
  <c r="R214" i="7"/>
  <c r="AT214" i="7" s="1"/>
  <c r="Q214" i="7"/>
  <c r="P214" i="7"/>
  <c r="AR214" i="7" s="1"/>
  <c r="O214" i="7"/>
  <c r="N214" i="7"/>
  <c r="K214" i="7"/>
  <c r="J214" i="7"/>
  <c r="I214" i="7"/>
  <c r="M214" i="7" s="1"/>
  <c r="W213" i="7"/>
  <c r="V213" i="7"/>
  <c r="AJ213" i="7" s="1"/>
  <c r="U213" i="7"/>
  <c r="AH213" i="7" s="1"/>
  <c r="T213" i="7"/>
  <c r="S213" i="7"/>
  <c r="AV213" i="7" s="1"/>
  <c r="R213" i="7"/>
  <c r="AT213" i="7" s="1"/>
  <c r="Q213" i="7"/>
  <c r="P213" i="7"/>
  <c r="O213" i="7"/>
  <c r="BB213" i="7" s="1"/>
  <c r="N213" i="7"/>
  <c r="K213" i="7"/>
  <c r="J213" i="7"/>
  <c r="I213" i="7"/>
  <c r="M213" i="7" s="1"/>
  <c r="BF213" i="7" s="1"/>
  <c r="E213" i="7"/>
  <c r="D213" i="7"/>
  <c r="C213" i="7"/>
  <c r="W212" i="7"/>
  <c r="V212" i="7"/>
  <c r="AJ212" i="7" s="1"/>
  <c r="U212" i="7"/>
  <c r="AH212" i="7" s="1"/>
  <c r="T212" i="7"/>
  <c r="S212" i="7"/>
  <c r="AV212" i="7" s="1"/>
  <c r="R212" i="7"/>
  <c r="AT212" i="7" s="1"/>
  <c r="Q212" i="7"/>
  <c r="P212" i="7"/>
  <c r="AR212" i="7" s="1"/>
  <c r="O212" i="7"/>
  <c r="BB212" i="7" s="1"/>
  <c r="N212" i="7"/>
  <c r="K212" i="7"/>
  <c r="J212" i="7"/>
  <c r="I212" i="7"/>
  <c r="M212" i="7" s="1"/>
  <c r="BF212" i="7" s="1"/>
  <c r="E212" i="7"/>
  <c r="D212" i="7"/>
  <c r="C212" i="7"/>
  <c r="W211" i="7"/>
  <c r="V211" i="7"/>
  <c r="AJ211" i="7" s="1"/>
  <c r="U211" i="7"/>
  <c r="AH211" i="7" s="1"/>
  <c r="T211" i="7"/>
  <c r="S211" i="7"/>
  <c r="AV211" i="7" s="1"/>
  <c r="R211" i="7"/>
  <c r="AT211" i="7" s="1"/>
  <c r="Q211" i="7"/>
  <c r="P211" i="7"/>
  <c r="O211" i="7"/>
  <c r="BB211" i="7" s="1"/>
  <c r="N211" i="7"/>
  <c r="K211" i="7"/>
  <c r="J211" i="7"/>
  <c r="I211" i="7"/>
  <c r="M211" i="7" s="1"/>
  <c r="E211" i="7"/>
  <c r="D211" i="7"/>
  <c r="C211" i="7"/>
  <c r="W210" i="7"/>
  <c r="V210" i="7"/>
  <c r="AJ210" i="7" s="1"/>
  <c r="U210" i="7"/>
  <c r="AH210" i="7" s="1"/>
  <c r="T210" i="7"/>
  <c r="S210" i="7"/>
  <c r="AV210" i="7" s="1"/>
  <c r="R210" i="7"/>
  <c r="AT210" i="7" s="1"/>
  <c r="Q210" i="7"/>
  <c r="P210" i="7"/>
  <c r="AR210" i="7" s="1"/>
  <c r="O210" i="7"/>
  <c r="BB210" i="7" s="1"/>
  <c r="N210" i="7"/>
  <c r="K210" i="7"/>
  <c r="J210" i="7"/>
  <c r="I210" i="7"/>
  <c r="M210" i="7" s="1"/>
  <c r="W209" i="7"/>
  <c r="V209" i="7"/>
  <c r="AJ209" i="7" s="1"/>
  <c r="U209" i="7"/>
  <c r="AH209" i="7" s="1"/>
  <c r="T209" i="7"/>
  <c r="S209" i="7"/>
  <c r="AV209" i="7" s="1"/>
  <c r="R209" i="7"/>
  <c r="AT209" i="7" s="1"/>
  <c r="Q209" i="7"/>
  <c r="P209" i="7"/>
  <c r="BD209" i="7" s="1"/>
  <c r="O209" i="7"/>
  <c r="AP209" i="7" s="1"/>
  <c r="N209" i="7"/>
  <c r="K209" i="7"/>
  <c r="J209" i="7"/>
  <c r="I209" i="7"/>
  <c r="M209" i="7" s="1"/>
  <c r="W208" i="7"/>
  <c r="V208" i="7"/>
  <c r="AJ208" i="7" s="1"/>
  <c r="U208" i="7"/>
  <c r="AH208" i="7" s="1"/>
  <c r="T208" i="7"/>
  <c r="S208" i="7"/>
  <c r="AV208" i="7" s="1"/>
  <c r="R208" i="7"/>
  <c r="AT208" i="7" s="1"/>
  <c r="Q208" i="7"/>
  <c r="P208" i="7"/>
  <c r="AR208" i="7" s="1"/>
  <c r="O208" i="7"/>
  <c r="BB208" i="7" s="1"/>
  <c r="N208" i="7"/>
  <c r="K208" i="7"/>
  <c r="J208" i="7"/>
  <c r="I208" i="7"/>
  <c r="M208" i="7" s="1"/>
  <c r="AL208" i="7" s="1"/>
  <c r="W207" i="7"/>
  <c r="V207" i="7"/>
  <c r="AJ207" i="7" s="1"/>
  <c r="U207" i="7"/>
  <c r="AH207" i="7" s="1"/>
  <c r="T207" i="7"/>
  <c r="S207" i="7"/>
  <c r="AV207" i="7" s="1"/>
  <c r="R207" i="7"/>
  <c r="AT207" i="7" s="1"/>
  <c r="Q207" i="7"/>
  <c r="P207" i="7"/>
  <c r="O207" i="7"/>
  <c r="BB207" i="7" s="1"/>
  <c r="N207" i="7"/>
  <c r="K207" i="7"/>
  <c r="J207" i="7"/>
  <c r="I207" i="7"/>
  <c r="M207" i="7" s="1"/>
  <c r="E207" i="7"/>
  <c r="D207" i="7"/>
  <c r="C207" i="7"/>
  <c r="W206" i="7"/>
  <c r="V206" i="7"/>
  <c r="AJ206" i="7" s="1"/>
  <c r="U206" i="7"/>
  <c r="AH206" i="7" s="1"/>
  <c r="T206" i="7"/>
  <c r="S206" i="7"/>
  <c r="AV206" i="7" s="1"/>
  <c r="R206" i="7"/>
  <c r="AT206" i="7" s="1"/>
  <c r="Q206" i="7"/>
  <c r="P206" i="7"/>
  <c r="O206" i="7"/>
  <c r="AP206" i="7" s="1"/>
  <c r="N206" i="7"/>
  <c r="K206" i="7"/>
  <c r="J206" i="7"/>
  <c r="I206" i="7"/>
  <c r="M206" i="7" s="1"/>
  <c r="E206" i="7"/>
  <c r="D206" i="7"/>
  <c r="C206" i="7"/>
  <c r="W205" i="7"/>
  <c r="V205" i="7"/>
  <c r="AJ205" i="7" s="1"/>
  <c r="U205" i="7"/>
  <c r="AH205" i="7" s="1"/>
  <c r="T205" i="7"/>
  <c r="S205" i="7"/>
  <c r="AV205" i="7" s="1"/>
  <c r="R205" i="7"/>
  <c r="AT205" i="7" s="1"/>
  <c r="Q205" i="7"/>
  <c r="P205" i="7"/>
  <c r="BD205" i="7" s="1"/>
  <c r="O205" i="7"/>
  <c r="BB205" i="7" s="1"/>
  <c r="N205" i="7"/>
  <c r="K205" i="7"/>
  <c r="J205" i="7"/>
  <c r="I205" i="7"/>
  <c r="M205" i="7" s="1"/>
  <c r="E205" i="7"/>
  <c r="D205" i="7"/>
  <c r="C205" i="7"/>
  <c r="W204" i="7"/>
  <c r="V204" i="7"/>
  <c r="AJ204" i="7" s="1"/>
  <c r="U204" i="7"/>
  <c r="AH204" i="7" s="1"/>
  <c r="T204" i="7"/>
  <c r="S204" i="7"/>
  <c r="AV204" i="7" s="1"/>
  <c r="R204" i="7"/>
  <c r="AT204" i="7" s="1"/>
  <c r="Q204" i="7"/>
  <c r="P204" i="7"/>
  <c r="AR204" i="7" s="1"/>
  <c r="O204" i="7"/>
  <c r="N204" i="7"/>
  <c r="K204" i="7"/>
  <c r="J204" i="7"/>
  <c r="I204" i="7"/>
  <c r="M204" i="7" s="1"/>
  <c r="W203" i="7"/>
  <c r="V203" i="7"/>
  <c r="AJ203" i="7" s="1"/>
  <c r="U203" i="7"/>
  <c r="AH203" i="7" s="1"/>
  <c r="T203" i="7"/>
  <c r="S203" i="7"/>
  <c r="AV203" i="7" s="1"/>
  <c r="R203" i="7"/>
  <c r="AT203" i="7" s="1"/>
  <c r="Q203" i="7"/>
  <c r="P203" i="7"/>
  <c r="O203" i="7"/>
  <c r="BB203" i="7" s="1"/>
  <c r="N203" i="7"/>
  <c r="K203" i="7"/>
  <c r="J203" i="7"/>
  <c r="I203" i="7"/>
  <c r="M203" i="7" s="1"/>
  <c r="W202" i="7"/>
  <c r="V202" i="7"/>
  <c r="AJ202" i="7" s="1"/>
  <c r="U202" i="7"/>
  <c r="AH202" i="7" s="1"/>
  <c r="T202" i="7"/>
  <c r="S202" i="7"/>
  <c r="AV202" i="7" s="1"/>
  <c r="R202" i="7"/>
  <c r="AT202" i="7" s="1"/>
  <c r="Q202" i="7"/>
  <c r="P202" i="7"/>
  <c r="BD202" i="7" s="1"/>
  <c r="O202" i="7"/>
  <c r="AP202" i="7" s="1"/>
  <c r="N202" i="7"/>
  <c r="K202" i="7"/>
  <c r="J202" i="7"/>
  <c r="I202" i="7"/>
  <c r="M202" i="7" s="1"/>
  <c r="AL202" i="7" s="1"/>
  <c r="W201" i="7"/>
  <c r="V201" i="7"/>
  <c r="AJ201" i="7" s="1"/>
  <c r="U201" i="7"/>
  <c r="AH201" i="7" s="1"/>
  <c r="T201" i="7"/>
  <c r="S201" i="7"/>
  <c r="AV201" i="7" s="1"/>
  <c r="R201" i="7"/>
  <c r="AT201" i="7" s="1"/>
  <c r="Q201" i="7"/>
  <c r="P201" i="7"/>
  <c r="AR201" i="7" s="1"/>
  <c r="O201" i="7"/>
  <c r="N201" i="7"/>
  <c r="K201" i="7"/>
  <c r="J201" i="7"/>
  <c r="I201" i="7"/>
  <c r="M201" i="7" s="1"/>
  <c r="AL201" i="7" s="1"/>
  <c r="E201" i="7"/>
  <c r="D201" i="7"/>
  <c r="C201" i="7"/>
  <c r="W200" i="7"/>
  <c r="V200" i="7"/>
  <c r="AJ200" i="7" s="1"/>
  <c r="U200" i="7"/>
  <c r="AH200" i="7" s="1"/>
  <c r="T200" i="7"/>
  <c r="S200" i="7"/>
  <c r="AV200" i="7" s="1"/>
  <c r="R200" i="7"/>
  <c r="AD200" i="7" s="1"/>
  <c r="Q200" i="7"/>
  <c r="P200" i="7"/>
  <c r="AB200" i="7" s="1"/>
  <c r="O200" i="7"/>
  <c r="N200" i="7"/>
  <c r="K200" i="7"/>
  <c r="J200" i="7"/>
  <c r="I200" i="7"/>
  <c r="M200" i="7" s="1"/>
  <c r="E200" i="7"/>
  <c r="D200" i="7"/>
  <c r="C200" i="7"/>
  <c r="W199" i="7"/>
  <c r="V199" i="7"/>
  <c r="AJ199" i="7" s="1"/>
  <c r="U199" i="7"/>
  <c r="AH199" i="7" s="1"/>
  <c r="T199" i="7"/>
  <c r="S199" i="7"/>
  <c r="AV199" i="7" s="1"/>
  <c r="R199" i="7"/>
  <c r="AT199" i="7" s="1"/>
  <c r="Q199" i="7"/>
  <c r="P199" i="7"/>
  <c r="AR199" i="7" s="1"/>
  <c r="O199" i="7"/>
  <c r="N199" i="7"/>
  <c r="K199" i="7"/>
  <c r="J199" i="7"/>
  <c r="I199" i="7"/>
  <c r="M199" i="7" s="1"/>
  <c r="AL199" i="7" s="1"/>
  <c r="E199" i="7"/>
  <c r="D199" i="7"/>
  <c r="C199" i="7"/>
  <c r="W198" i="7"/>
  <c r="V198" i="7"/>
  <c r="AJ198" i="7" s="1"/>
  <c r="U198" i="7"/>
  <c r="AH198" i="7" s="1"/>
  <c r="T198" i="7"/>
  <c r="S198" i="7"/>
  <c r="AV198" i="7" s="1"/>
  <c r="R198" i="7"/>
  <c r="Q198" i="7"/>
  <c r="P198" i="7"/>
  <c r="AB198" i="7" s="1"/>
  <c r="O198" i="7"/>
  <c r="N198" i="7"/>
  <c r="K198" i="7"/>
  <c r="J198" i="7"/>
  <c r="I198" i="7"/>
  <c r="M198" i="7" s="1"/>
  <c r="W197" i="7"/>
  <c r="V197" i="7"/>
  <c r="AJ197" i="7" s="1"/>
  <c r="U197" i="7"/>
  <c r="AH197" i="7" s="1"/>
  <c r="T197" i="7"/>
  <c r="S197" i="7"/>
  <c r="AV197" i="7" s="1"/>
  <c r="R197" i="7"/>
  <c r="AT197" i="7" s="1"/>
  <c r="Q197" i="7"/>
  <c r="P197" i="7"/>
  <c r="O197" i="7"/>
  <c r="N197" i="7"/>
  <c r="K197" i="7"/>
  <c r="J197" i="7"/>
  <c r="I197" i="7"/>
  <c r="M197" i="7" s="1"/>
  <c r="AX197" i="7" s="1"/>
  <c r="W196" i="7"/>
  <c r="V196" i="7"/>
  <c r="AJ196" i="7" s="1"/>
  <c r="U196" i="7"/>
  <c r="AH196" i="7" s="1"/>
  <c r="T196" i="7"/>
  <c r="S196" i="7"/>
  <c r="R196" i="7"/>
  <c r="AT196" i="7" s="1"/>
  <c r="Q196" i="7"/>
  <c r="P196" i="7"/>
  <c r="O196" i="7"/>
  <c r="BB196" i="7" s="1"/>
  <c r="N196" i="7"/>
  <c r="K196" i="7"/>
  <c r="J196" i="7"/>
  <c r="I196" i="7"/>
  <c r="M196" i="7" s="1"/>
  <c r="W195" i="7"/>
  <c r="V195" i="7"/>
  <c r="AJ195" i="7" s="1"/>
  <c r="U195" i="7"/>
  <c r="AH195" i="7" s="1"/>
  <c r="T195" i="7"/>
  <c r="S195" i="7"/>
  <c r="AV195" i="7" s="1"/>
  <c r="R195" i="7"/>
  <c r="AT195" i="7" s="1"/>
  <c r="Q195" i="7"/>
  <c r="P195" i="7"/>
  <c r="BD195" i="7" s="1"/>
  <c r="O195" i="7"/>
  <c r="AP195" i="7" s="1"/>
  <c r="N195" i="7"/>
  <c r="K195" i="7"/>
  <c r="J195" i="7"/>
  <c r="I195" i="7"/>
  <c r="M195" i="7" s="1"/>
  <c r="AX195" i="7" s="1"/>
  <c r="E195" i="7"/>
  <c r="D195" i="7"/>
  <c r="C195" i="7"/>
  <c r="W194" i="7"/>
  <c r="V194" i="7"/>
  <c r="AJ194" i="7" s="1"/>
  <c r="U194" i="7"/>
  <c r="AH194" i="7" s="1"/>
  <c r="T194" i="7"/>
  <c r="S194" i="7"/>
  <c r="R194" i="7"/>
  <c r="AT194" i="7" s="1"/>
  <c r="Q194" i="7"/>
  <c r="P194" i="7"/>
  <c r="BD194" i="7" s="1"/>
  <c r="O194" i="7"/>
  <c r="Z194" i="7" s="1"/>
  <c r="N194" i="7"/>
  <c r="K194" i="7"/>
  <c r="J194" i="7"/>
  <c r="I194" i="7"/>
  <c r="M194" i="7" s="1"/>
  <c r="E194" i="7"/>
  <c r="D194" i="7"/>
  <c r="C194" i="7"/>
  <c r="W193" i="7"/>
  <c r="V193" i="7"/>
  <c r="AJ193" i="7" s="1"/>
  <c r="U193" i="7"/>
  <c r="AH193" i="7" s="1"/>
  <c r="T193" i="7"/>
  <c r="S193" i="7"/>
  <c r="AV193" i="7" s="1"/>
  <c r="R193" i="7"/>
  <c r="AT193" i="7" s="1"/>
  <c r="Q193" i="7"/>
  <c r="P193" i="7"/>
  <c r="AB193" i="7" s="1"/>
  <c r="O193" i="7"/>
  <c r="N193" i="7"/>
  <c r="K193" i="7"/>
  <c r="J193" i="7"/>
  <c r="I193" i="7"/>
  <c r="M193" i="7" s="1"/>
  <c r="BF193" i="7" s="1"/>
  <c r="E193" i="7"/>
  <c r="D193" i="7"/>
  <c r="C193" i="7"/>
  <c r="W192" i="7"/>
  <c r="V192" i="7"/>
  <c r="AJ192" i="7" s="1"/>
  <c r="U192" i="7"/>
  <c r="AH192" i="7" s="1"/>
  <c r="T192" i="7"/>
  <c r="S192" i="7"/>
  <c r="AF192" i="7" s="1"/>
  <c r="R192" i="7"/>
  <c r="AD192" i="7" s="1"/>
  <c r="Q192" i="7"/>
  <c r="P192" i="7"/>
  <c r="O192" i="7"/>
  <c r="Z192" i="7" s="1"/>
  <c r="N192" i="7"/>
  <c r="K192" i="7"/>
  <c r="J192" i="7"/>
  <c r="I192" i="7"/>
  <c r="M192" i="7" s="1"/>
  <c r="W191" i="7"/>
  <c r="V191" i="7"/>
  <c r="AJ191" i="7" s="1"/>
  <c r="U191" i="7"/>
  <c r="AH191" i="7" s="1"/>
  <c r="T191" i="7"/>
  <c r="S191" i="7"/>
  <c r="AF191" i="7" s="1"/>
  <c r="R191" i="7"/>
  <c r="AD191" i="7" s="1"/>
  <c r="Q191" i="7"/>
  <c r="P191" i="7"/>
  <c r="O191" i="7"/>
  <c r="BB191" i="7" s="1"/>
  <c r="N191" i="7"/>
  <c r="K191" i="7"/>
  <c r="J191" i="7"/>
  <c r="I191" i="7"/>
  <c r="M191" i="7" s="1"/>
  <c r="AL191" i="7" s="1"/>
  <c r="W190" i="7"/>
  <c r="V190" i="7"/>
  <c r="AJ190" i="7" s="1"/>
  <c r="U190" i="7"/>
  <c r="AH190" i="7" s="1"/>
  <c r="T190" i="7"/>
  <c r="S190" i="7"/>
  <c r="R190" i="7"/>
  <c r="AT190" i="7" s="1"/>
  <c r="Q190" i="7"/>
  <c r="P190" i="7"/>
  <c r="BD190" i="7" s="1"/>
  <c r="O190" i="7"/>
  <c r="Z190" i="7" s="1"/>
  <c r="N190" i="7"/>
  <c r="K190" i="7"/>
  <c r="J190" i="7"/>
  <c r="I190" i="7"/>
  <c r="M190" i="7" s="1"/>
  <c r="W189" i="7"/>
  <c r="V189" i="7"/>
  <c r="AJ189" i="7" s="1"/>
  <c r="U189" i="7"/>
  <c r="AH189" i="7" s="1"/>
  <c r="T189" i="7"/>
  <c r="S189" i="7"/>
  <c r="AF189" i="7" s="1"/>
  <c r="R189" i="7"/>
  <c r="AT189" i="7" s="1"/>
  <c r="Q189" i="7"/>
  <c r="P189" i="7"/>
  <c r="BD189" i="7" s="1"/>
  <c r="O189" i="7"/>
  <c r="N189" i="7"/>
  <c r="K189" i="7"/>
  <c r="J189" i="7"/>
  <c r="I189" i="7"/>
  <c r="M189" i="7" s="1"/>
  <c r="BF189" i="7" s="1"/>
  <c r="E189" i="7"/>
  <c r="D189" i="7"/>
  <c r="C189" i="7"/>
  <c r="W188" i="7"/>
  <c r="V188" i="7"/>
  <c r="AJ188" i="7" s="1"/>
  <c r="U188" i="7"/>
  <c r="AH188" i="7" s="1"/>
  <c r="T188" i="7"/>
  <c r="S188" i="7"/>
  <c r="AV188" i="7" s="1"/>
  <c r="R188" i="7"/>
  <c r="AD188" i="7" s="1"/>
  <c r="Q188" i="7"/>
  <c r="P188" i="7"/>
  <c r="AR188" i="7" s="1"/>
  <c r="O188" i="7"/>
  <c r="BB188" i="7" s="1"/>
  <c r="N188" i="7"/>
  <c r="K188" i="7"/>
  <c r="J188" i="7"/>
  <c r="I188" i="7"/>
  <c r="M188" i="7" s="1"/>
  <c r="E188" i="7"/>
  <c r="D188" i="7"/>
  <c r="C188" i="7"/>
  <c r="W187" i="7"/>
  <c r="V187" i="7"/>
  <c r="AJ187" i="7" s="1"/>
  <c r="U187" i="7"/>
  <c r="AH187" i="7" s="1"/>
  <c r="T187" i="7"/>
  <c r="S187" i="7"/>
  <c r="AV187" i="7" s="1"/>
  <c r="R187" i="7"/>
  <c r="AT187" i="7" s="1"/>
  <c r="Q187" i="7"/>
  <c r="P187" i="7"/>
  <c r="AB187" i="7" s="1"/>
  <c r="O187" i="7"/>
  <c r="Z187" i="7" s="1"/>
  <c r="N187" i="7"/>
  <c r="K187" i="7"/>
  <c r="J187" i="7"/>
  <c r="I187" i="7"/>
  <c r="M187" i="7" s="1"/>
  <c r="E187" i="7"/>
  <c r="D187" i="7"/>
  <c r="C187" i="7"/>
  <c r="W186" i="7"/>
  <c r="V186" i="7"/>
  <c r="AJ186" i="7" s="1"/>
  <c r="U186" i="7"/>
  <c r="AH186" i="7" s="1"/>
  <c r="T186" i="7"/>
  <c r="S186" i="7"/>
  <c r="AF186" i="7" s="1"/>
  <c r="R186" i="7"/>
  <c r="AD186" i="7" s="1"/>
  <c r="Q186" i="7"/>
  <c r="P186" i="7"/>
  <c r="AB186" i="7" s="1"/>
  <c r="O186" i="7"/>
  <c r="BB186" i="7" s="1"/>
  <c r="N186" i="7"/>
  <c r="K186" i="7"/>
  <c r="J186" i="7"/>
  <c r="I186" i="7"/>
  <c r="M186" i="7" s="1"/>
  <c r="W185" i="7"/>
  <c r="V185" i="7"/>
  <c r="AJ185" i="7" s="1"/>
  <c r="U185" i="7"/>
  <c r="AH185" i="7" s="1"/>
  <c r="T185" i="7"/>
  <c r="S185" i="7"/>
  <c r="AV185" i="7" s="1"/>
  <c r="R185" i="7"/>
  <c r="Q185" i="7"/>
  <c r="P185" i="7"/>
  <c r="BD185" i="7" s="1"/>
  <c r="O185" i="7"/>
  <c r="N185" i="7"/>
  <c r="K185" i="7"/>
  <c r="J185" i="7"/>
  <c r="I185" i="7"/>
  <c r="M185" i="7" s="1"/>
  <c r="W184" i="7"/>
  <c r="V184" i="7"/>
  <c r="AJ184" i="7" s="1"/>
  <c r="U184" i="7"/>
  <c r="AH184" i="7" s="1"/>
  <c r="T184" i="7"/>
  <c r="S184" i="7"/>
  <c r="AV184" i="7" s="1"/>
  <c r="R184" i="7"/>
  <c r="AT184" i="7" s="1"/>
  <c r="Q184" i="7"/>
  <c r="P184" i="7"/>
  <c r="AR184" i="7" s="1"/>
  <c r="O184" i="7"/>
  <c r="AP184" i="7" s="1"/>
  <c r="N184" i="7"/>
  <c r="K184" i="7"/>
  <c r="J184" i="7"/>
  <c r="I184" i="7"/>
  <c r="M184" i="7" s="1"/>
  <c r="W183" i="7"/>
  <c r="V183" i="7"/>
  <c r="AJ183" i="7" s="1"/>
  <c r="U183" i="7"/>
  <c r="AH183" i="7" s="1"/>
  <c r="T183" i="7"/>
  <c r="S183" i="7"/>
  <c r="AV183" i="7" s="1"/>
  <c r="R183" i="7"/>
  <c r="AT183" i="7" s="1"/>
  <c r="Q183" i="7"/>
  <c r="P183" i="7"/>
  <c r="AR183" i="7" s="1"/>
  <c r="O183" i="7"/>
  <c r="BB183" i="7" s="1"/>
  <c r="N183" i="7"/>
  <c r="K183" i="7"/>
  <c r="J183" i="7"/>
  <c r="I183" i="7"/>
  <c r="M183" i="7" s="1"/>
  <c r="AL183" i="7" s="1"/>
  <c r="E183" i="7"/>
  <c r="D183" i="7"/>
  <c r="C183" i="7"/>
  <c r="W182" i="7"/>
  <c r="V182" i="7"/>
  <c r="AJ182" i="7" s="1"/>
  <c r="U182" i="7"/>
  <c r="AH182" i="7" s="1"/>
  <c r="T182" i="7"/>
  <c r="S182" i="7"/>
  <c r="AV182" i="7" s="1"/>
  <c r="R182" i="7"/>
  <c r="Q182" i="7"/>
  <c r="P182" i="7"/>
  <c r="BD182" i="7" s="1"/>
  <c r="O182" i="7"/>
  <c r="BB182" i="7" s="1"/>
  <c r="N182" i="7"/>
  <c r="K182" i="7"/>
  <c r="J182" i="7"/>
  <c r="I182" i="7"/>
  <c r="M182" i="7" s="1"/>
  <c r="BF182" i="7" s="1"/>
  <c r="W181" i="7"/>
  <c r="V181" i="7"/>
  <c r="AJ181" i="7" s="1"/>
  <c r="U181" i="7"/>
  <c r="AH181" i="7" s="1"/>
  <c r="T181" i="7"/>
  <c r="S181" i="7"/>
  <c r="AF181" i="7" s="1"/>
  <c r="R181" i="7"/>
  <c r="AD181" i="7" s="1"/>
  <c r="Q181" i="7"/>
  <c r="P181" i="7"/>
  <c r="BD181" i="7" s="1"/>
  <c r="O181" i="7"/>
  <c r="AP181" i="7" s="1"/>
  <c r="N181" i="7"/>
  <c r="K181" i="7"/>
  <c r="J181" i="7"/>
  <c r="I181" i="7"/>
  <c r="M181" i="7" s="1"/>
  <c r="W180" i="7"/>
  <c r="V180" i="7"/>
  <c r="AJ180" i="7" s="1"/>
  <c r="U180" i="7"/>
  <c r="AH180" i="7" s="1"/>
  <c r="T180" i="7"/>
  <c r="S180" i="7"/>
  <c r="AF180" i="7" s="1"/>
  <c r="R180" i="7"/>
  <c r="Q180" i="7"/>
  <c r="P180" i="7"/>
  <c r="AR180" i="7" s="1"/>
  <c r="O180" i="7"/>
  <c r="AP180" i="7" s="1"/>
  <c r="N180" i="7"/>
  <c r="K180" i="7"/>
  <c r="J180" i="7"/>
  <c r="I180" i="7"/>
  <c r="M180" i="7" s="1"/>
  <c r="W179" i="7"/>
  <c r="V179" i="7"/>
  <c r="AJ179" i="7" s="1"/>
  <c r="U179" i="7"/>
  <c r="AH179" i="7" s="1"/>
  <c r="T179" i="7"/>
  <c r="S179" i="7"/>
  <c r="AV179" i="7" s="1"/>
  <c r="R179" i="7"/>
  <c r="AT179" i="7" s="1"/>
  <c r="Q179" i="7"/>
  <c r="P179" i="7"/>
  <c r="AR179" i="7" s="1"/>
  <c r="O179" i="7"/>
  <c r="AP179" i="7" s="1"/>
  <c r="N179" i="7"/>
  <c r="K179" i="7"/>
  <c r="J179" i="7"/>
  <c r="I179" i="7"/>
  <c r="M179" i="7" s="1"/>
  <c r="AX179" i="7" s="1"/>
  <c r="W178" i="7"/>
  <c r="V178" i="7"/>
  <c r="AJ178" i="7" s="1"/>
  <c r="U178" i="7"/>
  <c r="AH178" i="7" s="1"/>
  <c r="T178" i="7"/>
  <c r="S178" i="7"/>
  <c r="AV178" i="7" s="1"/>
  <c r="R178" i="7"/>
  <c r="AT178" i="7" s="1"/>
  <c r="Q178" i="7"/>
  <c r="P178" i="7"/>
  <c r="AR178" i="7" s="1"/>
  <c r="O178" i="7"/>
  <c r="N178" i="7"/>
  <c r="K178" i="7"/>
  <c r="J178" i="7"/>
  <c r="I178" i="7"/>
  <c r="M178" i="7" s="1"/>
  <c r="BF178" i="7" s="1"/>
  <c r="W177" i="7"/>
  <c r="V177" i="7"/>
  <c r="AJ177" i="7" s="1"/>
  <c r="U177" i="7"/>
  <c r="AH177" i="7" s="1"/>
  <c r="T177" i="7"/>
  <c r="S177" i="7"/>
  <c r="AV177" i="7" s="1"/>
  <c r="R177" i="7"/>
  <c r="AT177" i="7" s="1"/>
  <c r="Q177" i="7"/>
  <c r="P177" i="7"/>
  <c r="BD177" i="7" s="1"/>
  <c r="O177" i="7"/>
  <c r="BB177" i="7" s="1"/>
  <c r="N177" i="7"/>
  <c r="K177" i="7"/>
  <c r="J177" i="7"/>
  <c r="I177" i="7"/>
  <c r="M177" i="7" s="1"/>
  <c r="AL177" i="7" s="1"/>
  <c r="W176" i="7"/>
  <c r="V176" i="7"/>
  <c r="AJ176" i="7" s="1"/>
  <c r="U176" i="7"/>
  <c r="AH176" i="7" s="1"/>
  <c r="T176" i="7"/>
  <c r="S176" i="7"/>
  <c r="AV176" i="7" s="1"/>
  <c r="R176" i="7"/>
  <c r="AT176" i="7" s="1"/>
  <c r="Q176" i="7"/>
  <c r="P176" i="7"/>
  <c r="O176" i="7"/>
  <c r="N176" i="7"/>
  <c r="K176" i="7"/>
  <c r="J176" i="7"/>
  <c r="I176" i="7"/>
  <c r="M176" i="7" s="1"/>
  <c r="AX176" i="7" s="1"/>
  <c r="W175" i="7"/>
  <c r="V175" i="7"/>
  <c r="AJ175" i="7" s="1"/>
  <c r="U175" i="7"/>
  <c r="AH175" i="7" s="1"/>
  <c r="T175" i="7"/>
  <c r="S175" i="7"/>
  <c r="AF175" i="7" s="1"/>
  <c r="R175" i="7"/>
  <c r="AT175" i="7" s="1"/>
  <c r="Q175" i="7"/>
  <c r="P175" i="7"/>
  <c r="O175" i="7"/>
  <c r="BB175" i="7" s="1"/>
  <c r="N175" i="7"/>
  <c r="K175" i="7"/>
  <c r="J175" i="7"/>
  <c r="I175" i="7"/>
  <c r="M175" i="7" s="1"/>
  <c r="W174" i="7"/>
  <c r="V174" i="7"/>
  <c r="AJ174" i="7" s="1"/>
  <c r="U174" i="7"/>
  <c r="AH174" i="7" s="1"/>
  <c r="T174" i="7"/>
  <c r="S174" i="7"/>
  <c r="AV174" i="7" s="1"/>
  <c r="R174" i="7"/>
  <c r="AT174" i="7" s="1"/>
  <c r="Q174" i="7"/>
  <c r="P174" i="7"/>
  <c r="BD174" i="7" s="1"/>
  <c r="O174" i="7"/>
  <c r="N174" i="7"/>
  <c r="K174" i="7"/>
  <c r="J174" i="7"/>
  <c r="I174" i="7"/>
  <c r="M174" i="7" s="1"/>
  <c r="AL174" i="7" s="1"/>
  <c r="W173" i="7"/>
  <c r="V173" i="7"/>
  <c r="AJ173" i="7" s="1"/>
  <c r="U173" i="7"/>
  <c r="AH173" i="7" s="1"/>
  <c r="T173" i="7"/>
  <c r="S173" i="7"/>
  <c r="AF173" i="7" s="1"/>
  <c r="R173" i="7"/>
  <c r="AD173" i="7" s="1"/>
  <c r="Q173" i="7"/>
  <c r="P173" i="7"/>
  <c r="BD173" i="7" s="1"/>
  <c r="O173" i="7"/>
  <c r="N173" i="7"/>
  <c r="K173" i="7"/>
  <c r="J173" i="7"/>
  <c r="I173" i="7"/>
  <c r="M173" i="7" s="1"/>
  <c r="W172" i="7"/>
  <c r="V172" i="7"/>
  <c r="AJ172" i="7" s="1"/>
  <c r="U172" i="7"/>
  <c r="AH172" i="7" s="1"/>
  <c r="T172" i="7"/>
  <c r="S172" i="7"/>
  <c r="R172" i="7"/>
  <c r="AD172" i="7" s="1"/>
  <c r="Q172" i="7"/>
  <c r="P172" i="7"/>
  <c r="AR172" i="7" s="1"/>
  <c r="O172" i="7"/>
  <c r="AP172" i="7" s="1"/>
  <c r="N172" i="7"/>
  <c r="K172" i="7"/>
  <c r="J172" i="7"/>
  <c r="I172" i="7"/>
  <c r="M172" i="7" s="1"/>
  <c r="AL172" i="7" s="1"/>
  <c r="W171" i="7"/>
  <c r="V171" i="7"/>
  <c r="AJ171" i="7" s="1"/>
  <c r="U171" i="7"/>
  <c r="AH171" i="7" s="1"/>
  <c r="T171" i="7"/>
  <c r="S171" i="7"/>
  <c r="AF171" i="7" s="1"/>
  <c r="R171" i="7"/>
  <c r="AT171" i="7" s="1"/>
  <c r="Q171" i="7"/>
  <c r="P171" i="7"/>
  <c r="AB171" i="7" s="1"/>
  <c r="O171" i="7"/>
  <c r="N171" i="7"/>
  <c r="K171" i="7"/>
  <c r="J171" i="7"/>
  <c r="I171" i="7"/>
  <c r="M171" i="7" s="1"/>
  <c r="W170" i="7"/>
  <c r="V170" i="7"/>
  <c r="AJ170" i="7" s="1"/>
  <c r="U170" i="7"/>
  <c r="AH170" i="7" s="1"/>
  <c r="T170" i="7"/>
  <c r="S170" i="7"/>
  <c r="AV170" i="7" s="1"/>
  <c r="R170" i="7"/>
  <c r="AT170" i="7" s="1"/>
  <c r="Q170" i="7"/>
  <c r="P170" i="7"/>
  <c r="O170" i="7"/>
  <c r="BB170" i="7" s="1"/>
  <c r="N170" i="7"/>
  <c r="K170" i="7"/>
  <c r="J170" i="7"/>
  <c r="I170" i="7"/>
  <c r="M170" i="7" s="1"/>
  <c r="BF170" i="7" s="1"/>
  <c r="W169" i="7"/>
  <c r="V169" i="7"/>
  <c r="AJ169" i="7" s="1"/>
  <c r="U169" i="7"/>
  <c r="AH169" i="7" s="1"/>
  <c r="T169" i="7"/>
  <c r="S169" i="7"/>
  <c r="AV169" i="7" s="1"/>
  <c r="R169" i="7"/>
  <c r="AT169" i="7" s="1"/>
  <c r="Q169" i="7"/>
  <c r="P169" i="7"/>
  <c r="AB169" i="7" s="1"/>
  <c r="O169" i="7"/>
  <c r="BB169" i="7" s="1"/>
  <c r="N169" i="7"/>
  <c r="K169" i="7"/>
  <c r="J169" i="7"/>
  <c r="I169" i="7"/>
  <c r="M169" i="7" s="1"/>
  <c r="AL169" i="7" s="1"/>
  <c r="W168" i="7"/>
  <c r="V168" i="7"/>
  <c r="AJ168" i="7" s="1"/>
  <c r="U168" i="7"/>
  <c r="AH168" i="7" s="1"/>
  <c r="T168" i="7"/>
  <c r="S168" i="7"/>
  <c r="AV168" i="7" s="1"/>
  <c r="R168" i="7"/>
  <c r="AT168" i="7" s="1"/>
  <c r="Q168" i="7"/>
  <c r="P168" i="7"/>
  <c r="O168" i="7"/>
  <c r="N168" i="7"/>
  <c r="K168" i="7"/>
  <c r="J168" i="7"/>
  <c r="I168" i="7"/>
  <c r="M168" i="7" s="1"/>
  <c r="AX168" i="7" s="1"/>
  <c r="W167" i="7"/>
  <c r="V167" i="7"/>
  <c r="AJ167" i="7" s="1"/>
  <c r="U167" i="7"/>
  <c r="AH167" i="7" s="1"/>
  <c r="T167" i="7"/>
  <c r="S167" i="7"/>
  <c r="R167" i="7"/>
  <c r="AT167" i="7" s="1"/>
  <c r="Q167" i="7"/>
  <c r="P167" i="7"/>
  <c r="AB167" i="7" s="1"/>
  <c r="O167" i="7"/>
  <c r="BB167" i="7" s="1"/>
  <c r="N167" i="7"/>
  <c r="K167" i="7"/>
  <c r="J167" i="7"/>
  <c r="I167" i="7"/>
  <c r="M167" i="7" s="1"/>
  <c r="BF167" i="7" s="1"/>
  <c r="W166" i="7"/>
  <c r="V166" i="7"/>
  <c r="AJ166" i="7" s="1"/>
  <c r="U166" i="7"/>
  <c r="AH166" i="7" s="1"/>
  <c r="T166" i="7"/>
  <c r="S166" i="7"/>
  <c r="AV166" i="7" s="1"/>
  <c r="R166" i="7"/>
  <c r="Q166" i="7"/>
  <c r="P166" i="7"/>
  <c r="BD166" i="7" s="1"/>
  <c r="O166" i="7"/>
  <c r="BB166" i="7" s="1"/>
  <c r="N166" i="7"/>
  <c r="K166" i="7"/>
  <c r="J166" i="7"/>
  <c r="I166" i="7"/>
  <c r="M166" i="7" s="1"/>
  <c r="W165" i="7"/>
  <c r="V165" i="7"/>
  <c r="AJ165" i="7" s="1"/>
  <c r="U165" i="7"/>
  <c r="AH165" i="7" s="1"/>
  <c r="T165" i="7"/>
  <c r="S165" i="7"/>
  <c r="AF165" i="7" s="1"/>
  <c r="R165" i="7"/>
  <c r="Q165" i="7"/>
  <c r="P165" i="7"/>
  <c r="O165" i="7"/>
  <c r="N165" i="7"/>
  <c r="K165" i="7"/>
  <c r="J165" i="7"/>
  <c r="I165" i="7"/>
  <c r="M165" i="7" s="1"/>
  <c r="W164" i="7"/>
  <c r="V164" i="7"/>
  <c r="AJ164" i="7" s="1"/>
  <c r="U164" i="7"/>
  <c r="AH164" i="7" s="1"/>
  <c r="T164" i="7"/>
  <c r="S164" i="7"/>
  <c r="AF164" i="7" s="1"/>
  <c r="R164" i="7"/>
  <c r="AD164" i="7" s="1"/>
  <c r="Q164" i="7"/>
  <c r="P164" i="7"/>
  <c r="BD164" i="7" s="1"/>
  <c r="O164" i="7"/>
  <c r="BB164" i="7" s="1"/>
  <c r="N164" i="7"/>
  <c r="K164" i="7"/>
  <c r="J164" i="7"/>
  <c r="I164" i="7"/>
  <c r="M164" i="7" s="1"/>
  <c r="AX164" i="7" s="1"/>
  <c r="W163" i="7"/>
  <c r="V163" i="7"/>
  <c r="AJ163" i="7" s="1"/>
  <c r="U163" i="7"/>
  <c r="AH163" i="7" s="1"/>
  <c r="T163" i="7"/>
  <c r="S163" i="7"/>
  <c r="AV163" i="7" s="1"/>
  <c r="R163" i="7"/>
  <c r="AT163" i="7" s="1"/>
  <c r="Q163" i="7"/>
  <c r="P163" i="7"/>
  <c r="O163" i="7"/>
  <c r="BB163" i="7" s="1"/>
  <c r="N163" i="7"/>
  <c r="K163" i="7"/>
  <c r="J163" i="7"/>
  <c r="I163" i="7"/>
  <c r="M163" i="7" s="1"/>
  <c r="W162" i="7"/>
  <c r="V162" i="7"/>
  <c r="AJ162" i="7" s="1"/>
  <c r="U162" i="7"/>
  <c r="AH162" i="7" s="1"/>
  <c r="T162" i="7"/>
  <c r="S162" i="7"/>
  <c r="R162" i="7"/>
  <c r="AD162" i="7" s="1"/>
  <c r="Q162" i="7"/>
  <c r="P162" i="7"/>
  <c r="BD162" i="7" s="1"/>
  <c r="O162" i="7"/>
  <c r="Z162" i="7" s="1"/>
  <c r="N162" i="7"/>
  <c r="K162" i="7"/>
  <c r="J162" i="7"/>
  <c r="I162" i="7"/>
  <c r="M162" i="7" s="1"/>
  <c r="W161" i="7"/>
  <c r="V161" i="7"/>
  <c r="AJ161" i="7" s="1"/>
  <c r="U161" i="7"/>
  <c r="AH161" i="7" s="1"/>
  <c r="T161" i="7"/>
  <c r="S161" i="7"/>
  <c r="AF161" i="7" s="1"/>
  <c r="R161" i="7"/>
  <c r="AD161" i="7" s="1"/>
  <c r="Q161" i="7"/>
  <c r="P161" i="7"/>
  <c r="AB161" i="7" s="1"/>
  <c r="O161" i="7"/>
  <c r="N161" i="7"/>
  <c r="K161" i="7"/>
  <c r="J161" i="7"/>
  <c r="I161" i="7"/>
  <c r="M161" i="7" s="1"/>
  <c r="W160" i="7"/>
  <c r="V160" i="7"/>
  <c r="AJ160" i="7" s="1"/>
  <c r="U160" i="7"/>
  <c r="AH160" i="7" s="1"/>
  <c r="T160" i="7"/>
  <c r="S160" i="7"/>
  <c r="AV160" i="7" s="1"/>
  <c r="R160" i="7"/>
  <c r="AD160" i="7" s="1"/>
  <c r="Q160" i="7"/>
  <c r="P160" i="7"/>
  <c r="BD160" i="7" s="1"/>
  <c r="O160" i="7"/>
  <c r="BB160" i="7" s="1"/>
  <c r="N160" i="7"/>
  <c r="K160" i="7"/>
  <c r="J160" i="7"/>
  <c r="I160" i="7"/>
  <c r="M160" i="7" s="1"/>
  <c r="W159" i="7"/>
  <c r="V159" i="7"/>
  <c r="AJ159" i="7" s="1"/>
  <c r="U159" i="7"/>
  <c r="AH159" i="7" s="1"/>
  <c r="T159" i="7"/>
  <c r="S159" i="7"/>
  <c r="R159" i="7"/>
  <c r="AT159" i="7" s="1"/>
  <c r="Q159" i="7"/>
  <c r="P159" i="7"/>
  <c r="AB159" i="7" s="1"/>
  <c r="O159" i="7"/>
  <c r="Z159" i="7" s="1"/>
  <c r="N159" i="7"/>
  <c r="K159" i="7"/>
  <c r="J159" i="7"/>
  <c r="I159" i="7"/>
  <c r="M159" i="7" s="1"/>
  <c r="AX159" i="7" s="1"/>
  <c r="W158" i="7"/>
  <c r="V158" i="7"/>
  <c r="AJ158" i="7" s="1"/>
  <c r="U158" i="7"/>
  <c r="AH158" i="7" s="1"/>
  <c r="T158" i="7"/>
  <c r="S158" i="7"/>
  <c r="AV158" i="7" s="1"/>
  <c r="R158" i="7"/>
  <c r="AT158" i="7" s="1"/>
  <c r="Q158" i="7"/>
  <c r="P158" i="7"/>
  <c r="AR158" i="7" s="1"/>
  <c r="O158" i="7"/>
  <c r="Z158" i="7" s="1"/>
  <c r="N158" i="7"/>
  <c r="K158" i="7"/>
  <c r="J158" i="7"/>
  <c r="I158" i="7"/>
  <c r="M158" i="7" s="1"/>
  <c r="AX158" i="7" s="1"/>
  <c r="W157" i="7"/>
  <c r="V157" i="7"/>
  <c r="AJ157" i="7" s="1"/>
  <c r="U157" i="7"/>
  <c r="AH157" i="7" s="1"/>
  <c r="T157" i="7"/>
  <c r="S157" i="7"/>
  <c r="AF157" i="7" s="1"/>
  <c r="R157" i="7"/>
  <c r="AD157" i="7" s="1"/>
  <c r="Q157" i="7"/>
  <c r="P157" i="7"/>
  <c r="AR157" i="7" s="1"/>
  <c r="O157" i="7"/>
  <c r="N157" i="7"/>
  <c r="K157" i="7"/>
  <c r="J157" i="7"/>
  <c r="I157" i="7"/>
  <c r="M157" i="7" s="1"/>
  <c r="E157" i="7"/>
  <c r="D157" i="7"/>
  <c r="C157" i="7"/>
  <c r="B157" i="7"/>
  <c r="W156" i="7"/>
  <c r="V156" i="7"/>
  <c r="AJ156" i="7" s="1"/>
  <c r="U156" i="7"/>
  <c r="AH156" i="7" s="1"/>
  <c r="T156" i="7"/>
  <c r="S156" i="7"/>
  <c r="R156" i="7"/>
  <c r="AD156" i="7" s="1"/>
  <c r="Q156" i="7"/>
  <c r="P156" i="7"/>
  <c r="BD156" i="7" s="1"/>
  <c r="O156" i="7"/>
  <c r="Z156" i="7" s="1"/>
  <c r="N156" i="7"/>
  <c r="K156" i="7"/>
  <c r="J156" i="7"/>
  <c r="I156" i="7"/>
  <c r="M156" i="7" s="1"/>
  <c r="AX156" i="7" s="1"/>
  <c r="E156" i="7"/>
  <c r="D156" i="7"/>
  <c r="C156" i="7"/>
  <c r="B156" i="7"/>
  <c r="W155" i="7"/>
  <c r="V155" i="7"/>
  <c r="AJ155" i="7" s="1"/>
  <c r="U155" i="7"/>
  <c r="AH155" i="7" s="1"/>
  <c r="T155" i="7"/>
  <c r="S155" i="7"/>
  <c r="AF155" i="7" s="1"/>
  <c r="R155" i="7"/>
  <c r="AD155" i="7" s="1"/>
  <c r="Q155" i="7"/>
  <c r="P155" i="7"/>
  <c r="BD155" i="7" s="1"/>
  <c r="O155" i="7"/>
  <c r="N155" i="7"/>
  <c r="K155" i="7"/>
  <c r="J155" i="7"/>
  <c r="I155" i="7"/>
  <c r="M155" i="7" s="1"/>
  <c r="BF155" i="7" s="1"/>
  <c r="E155" i="7"/>
  <c r="D155" i="7"/>
  <c r="C155" i="7"/>
  <c r="B155" i="7"/>
  <c r="W154" i="7"/>
  <c r="V154" i="7"/>
  <c r="AJ154" i="7" s="1"/>
  <c r="U154" i="7"/>
  <c r="AH154" i="7" s="1"/>
  <c r="T154" i="7"/>
  <c r="S154" i="7"/>
  <c r="AV154" i="7" s="1"/>
  <c r="R154" i="7"/>
  <c r="AT154" i="7" s="1"/>
  <c r="Q154" i="7"/>
  <c r="P154" i="7"/>
  <c r="O154" i="7"/>
  <c r="AP154" i="7" s="1"/>
  <c r="N154" i="7"/>
  <c r="K154" i="7"/>
  <c r="J154" i="7"/>
  <c r="I154" i="7"/>
  <c r="M154" i="7" s="1"/>
  <c r="AX154" i="7" s="1"/>
  <c r="E154" i="7"/>
  <c r="D154" i="7"/>
  <c r="C154" i="7"/>
  <c r="B154" i="7"/>
  <c r="W153" i="7"/>
  <c r="V153" i="7"/>
  <c r="AJ153" i="7" s="1"/>
  <c r="U153" i="7"/>
  <c r="AH153" i="7" s="1"/>
  <c r="T153" i="7"/>
  <c r="S153" i="7"/>
  <c r="R153" i="7"/>
  <c r="AD153" i="7" s="1"/>
  <c r="Q153" i="7"/>
  <c r="P153" i="7"/>
  <c r="AB153" i="7" s="1"/>
  <c r="O153" i="7"/>
  <c r="BB153" i="7" s="1"/>
  <c r="N153" i="7"/>
  <c r="K153" i="7"/>
  <c r="J153" i="7"/>
  <c r="I153" i="7"/>
  <c r="M153" i="7" s="1"/>
  <c r="BF153" i="7" s="1"/>
  <c r="E153" i="7"/>
  <c r="D153" i="7"/>
  <c r="C153" i="7"/>
  <c r="B153" i="7"/>
  <c r="W152" i="7"/>
  <c r="V152" i="7"/>
  <c r="AJ152" i="7" s="1"/>
  <c r="U152" i="7"/>
  <c r="AH152" i="7" s="1"/>
  <c r="T152" i="7"/>
  <c r="S152" i="7"/>
  <c r="AF152" i="7" s="1"/>
  <c r="R152" i="7"/>
  <c r="AD152" i="7" s="1"/>
  <c r="Q152" i="7"/>
  <c r="P152" i="7"/>
  <c r="BD152" i="7" s="1"/>
  <c r="O152" i="7"/>
  <c r="AP152" i="7" s="1"/>
  <c r="N152" i="7"/>
  <c r="K152" i="7"/>
  <c r="J152" i="7"/>
  <c r="I152" i="7"/>
  <c r="M152" i="7" s="1"/>
  <c r="AX152" i="7" s="1"/>
  <c r="E152" i="7"/>
  <c r="D152" i="7"/>
  <c r="C152" i="7"/>
  <c r="B152" i="7"/>
  <c r="W151" i="7"/>
  <c r="V151" i="7"/>
  <c r="AJ151" i="7" s="1"/>
  <c r="U151" i="7"/>
  <c r="AH151" i="7" s="1"/>
  <c r="T151" i="7"/>
  <c r="S151" i="7"/>
  <c r="AV151" i="7" s="1"/>
  <c r="R151" i="7"/>
  <c r="AT151" i="7" s="1"/>
  <c r="Q151" i="7"/>
  <c r="P151" i="7"/>
  <c r="AR151" i="7" s="1"/>
  <c r="O151" i="7"/>
  <c r="BB151" i="7" s="1"/>
  <c r="N151" i="7"/>
  <c r="K151" i="7"/>
  <c r="J151" i="7"/>
  <c r="I151" i="7"/>
  <c r="M151" i="7" s="1"/>
  <c r="E151" i="7"/>
  <c r="D151" i="7"/>
  <c r="C151" i="7"/>
  <c r="B151" i="7"/>
  <c r="W150" i="7"/>
  <c r="V150" i="7"/>
  <c r="AJ150" i="7" s="1"/>
  <c r="U150" i="7"/>
  <c r="AH150" i="7" s="1"/>
  <c r="T150" i="7"/>
  <c r="S150" i="7"/>
  <c r="AF150" i="7" s="1"/>
  <c r="R150" i="7"/>
  <c r="AT150" i="7" s="1"/>
  <c r="Q150" i="7"/>
  <c r="P150" i="7"/>
  <c r="BD150" i="7" s="1"/>
  <c r="O150" i="7"/>
  <c r="N150" i="7"/>
  <c r="K150" i="7"/>
  <c r="J150" i="7"/>
  <c r="I150" i="7"/>
  <c r="M150" i="7" s="1"/>
  <c r="AX150" i="7" s="1"/>
  <c r="E150" i="7"/>
  <c r="D150" i="7"/>
  <c r="C150" i="7"/>
  <c r="B150" i="7"/>
  <c r="W149" i="7"/>
  <c r="V149" i="7"/>
  <c r="AJ149" i="7" s="1"/>
  <c r="U149" i="7"/>
  <c r="AH149" i="7" s="1"/>
  <c r="T149" i="7"/>
  <c r="S149" i="7"/>
  <c r="AV149" i="7" s="1"/>
  <c r="R149" i="7"/>
  <c r="AT149" i="7" s="1"/>
  <c r="Q149" i="7"/>
  <c r="P149" i="7"/>
  <c r="BD149" i="7" s="1"/>
  <c r="O149" i="7"/>
  <c r="BB149" i="7" s="1"/>
  <c r="N149" i="7"/>
  <c r="K149" i="7"/>
  <c r="J149" i="7"/>
  <c r="I149" i="7"/>
  <c r="M149" i="7" s="1"/>
  <c r="E149" i="7"/>
  <c r="D149" i="7"/>
  <c r="C149" i="7"/>
  <c r="B149" i="7"/>
  <c r="W148" i="7"/>
  <c r="V148" i="7"/>
  <c r="AJ148" i="7" s="1"/>
  <c r="U148" i="7"/>
  <c r="AH148" i="7" s="1"/>
  <c r="T148" i="7"/>
  <c r="S148" i="7"/>
  <c r="AV148" i="7" s="1"/>
  <c r="R148" i="7"/>
  <c r="AT148" i="7" s="1"/>
  <c r="Q148" i="7"/>
  <c r="P148" i="7"/>
  <c r="AR148" i="7" s="1"/>
  <c r="O148" i="7"/>
  <c r="AP148" i="7" s="1"/>
  <c r="N148" i="7"/>
  <c r="K148" i="7"/>
  <c r="J148" i="7"/>
  <c r="I148" i="7"/>
  <c r="M148" i="7" s="1"/>
  <c r="AX148" i="7" s="1"/>
  <c r="E148" i="7"/>
  <c r="D148" i="7"/>
  <c r="C148" i="7"/>
  <c r="B148" i="7"/>
  <c r="W147" i="7"/>
  <c r="V147" i="7"/>
  <c r="AJ147" i="7" s="1"/>
  <c r="U147" i="7"/>
  <c r="AH147" i="7" s="1"/>
  <c r="T147" i="7"/>
  <c r="S147" i="7"/>
  <c r="AV147" i="7" s="1"/>
  <c r="R147" i="7"/>
  <c r="AD147" i="7" s="1"/>
  <c r="Q147" i="7"/>
  <c r="P147" i="7"/>
  <c r="BD147" i="7" s="1"/>
  <c r="O147" i="7"/>
  <c r="Z147" i="7" s="1"/>
  <c r="N147" i="7"/>
  <c r="K147" i="7"/>
  <c r="J147" i="7"/>
  <c r="I147" i="7"/>
  <c r="M147" i="7" s="1"/>
  <c r="E147" i="7"/>
  <c r="D147" i="7"/>
  <c r="C147" i="7"/>
  <c r="B147" i="7"/>
  <c r="W146" i="7"/>
  <c r="V146" i="7"/>
  <c r="AJ146" i="7" s="1"/>
  <c r="U146" i="7"/>
  <c r="AH146" i="7" s="1"/>
  <c r="T146" i="7"/>
  <c r="S146" i="7"/>
  <c r="AV146" i="7" s="1"/>
  <c r="R146" i="7"/>
  <c r="AT146" i="7" s="1"/>
  <c r="Q146" i="7"/>
  <c r="P146" i="7"/>
  <c r="O146" i="7"/>
  <c r="BB146" i="7" s="1"/>
  <c r="N146" i="7"/>
  <c r="K146" i="7"/>
  <c r="J146" i="7"/>
  <c r="I146" i="7"/>
  <c r="M146" i="7" s="1"/>
  <c r="AL146" i="7" s="1"/>
  <c r="E146" i="7"/>
  <c r="D146" i="7"/>
  <c r="C146" i="7"/>
  <c r="B146" i="7"/>
  <c r="W145" i="7"/>
  <c r="V145" i="7"/>
  <c r="AJ145" i="7" s="1"/>
  <c r="U145" i="7"/>
  <c r="AH145" i="7" s="1"/>
  <c r="T145" i="7"/>
  <c r="S145" i="7"/>
  <c r="AF145" i="7" s="1"/>
  <c r="R145" i="7"/>
  <c r="AT145" i="7" s="1"/>
  <c r="Q145" i="7"/>
  <c r="P145" i="7"/>
  <c r="AR145" i="7" s="1"/>
  <c r="O145" i="7"/>
  <c r="N145" i="7"/>
  <c r="K145" i="7"/>
  <c r="J145" i="7"/>
  <c r="I145" i="7"/>
  <c r="M145" i="7" s="1"/>
  <c r="E145" i="7"/>
  <c r="D145" i="7"/>
  <c r="C145" i="7"/>
  <c r="B145" i="7"/>
  <c r="W144" i="7"/>
  <c r="V144" i="7"/>
  <c r="AJ144" i="7" s="1"/>
  <c r="U144" i="7"/>
  <c r="AH144" i="7" s="1"/>
  <c r="T144" i="7"/>
  <c r="S144" i="7"/>
  <c r="AV144" i="7" s="1"/>
  <c r="R144" i="7"/>
  <c r="AT144" i="7" s="1"/>
  <c r="Q144" i="7"/>
  <c r="P144" i="7"/>
  <c r="BD144" i="7" s="1"/>
  <c r="O144" i="7"/>
  <c r="N144" i="7"/>
  <c r="K144" i="7"/>
  <c r="J144" i="7"/>
  <c r="I144" i="7"/>
  <c r="M144" i="7" s="1"/>
  <c r="BF144" i="7" s="1"/>
  <c r="E144" i="7"/>
  <c r="D144" i="7"/>
  <c r="C144" i="7"/>
  <c r="B144" i="7"/>
  <c r="W143" i="7"/>
  <c r="V143" i="7"/>
  <c r="AJ143" i="7" s="1"/>
  <c r="U143" i="7"/>
  <c r="AH143" i="7" s="1"/>
  <c r="T143" i="7"/>
  <c r="S143" i="7"/>
  <c r="AV143" i="7" s="1"/>
  <c r="R143" i="7"/>
  <c r="AT143" i="7" s="1"/>
  <c r="Q143" i="7"/>
  <c r="P143" i="7"/>
  <c r="AR143" i="7" s="1"/>
  <c r="O143" i="7"/>
  <c r="N143" i="7"/>
  <c r="K143" i="7"/>
  <c r="J143" i="7"/>
  <c r="I143" i="7"/>
  <c r="M143" i="7" s="1"/>
  <c r="AL143" i="7" s="1"/>
  <c r="E143" i="7"/>
  <c r="D143" i="7"/>
  <c r="C143" i="7"/>
  <c r="B143" i="7"/>
  <c r="W142" i="7"/>
  <c r="V142" i="7"/>
  <c r="AJ142" i="7" s="1"/>
  <c r="U142" i="7"/>
  <c r="AH142" i="7" s="1"/>
  <c r="T142" i="7"/>
  <c r="S142" i="7"/>
  <c r="AF142" i="7" s="1"/>
  <c r="R142" i="7"/>
  <c r="AD142" i="7" s="1"/>
  <c r="Q142" i="7"/>
  <c r="P142" i="7"/>
  <c r="O142" i="7"/>
  <c r="AP142" i="7" s="1"/>
  <c r="N142" i="7"/>
  <c r="K142" i="7"/>
  <c r="J142" i="7"/>
  <c r="I142" i="7"/>
  <c r="M142" i="7" s="1"/>
  <c r="E142" i="7"/>
  <c r="D142" i="7"/>
  <c r="C142" i="7"/>
  <c r="B142" i="7"/>
  <c r="W141" i="7"/>
  <c r="V141" i="7"/>
  <c r="AJ141" i="7" s="1"/>
  <c r="U141" i="7"/>
  <c r="AH141" i="7" s="1"/>
  <c r="T141" i="7"/>
  <c r="S141" i="7"/>
  <c r="AV141" i="7" s="1"/>
  <c r="R141" i="7"/>
  <c r="AT141" i="7" s="1"/>
  <c r="Q141" i="7"/>
  <c r="P141" i="7"/>
  <c r="O141" i="7"/>
  <c r="N141" i="7"/>
  <c r="K141" i="7"/>
  <c r="J141" i="7"/>
  <c r="I141" i="7"/>
  <c r="M141" i="7" s="1"/>
  <c r="BF141" i="7" s="1"/>
  <c r="E141" i="7"/>
  <c r="D141" i="7"/>
  <c r="C141" i="7"/>
  <c r="B141" i="7"/>
  <c r="W140" i="7"/>
  <c r="V140" i="7"/>
  <c r="AJ140" i="7" s="1"/>
  <c r="U140" i="7"/>
  <c r="AH140" i="7" s="1"/>
  <c r="T140" i="7"/>
  <c r="S140" i="7"/>
  <c r="AV140" i="7" s="1"/>
  <c r="R140" i="7"/>
  <c r="AT140" i="7" s="1"/>
  <c r="Q140" i="7"/>
  <c r="P140" i="7"/>
  <c r="AB140" i="7" s="1"/>
  <c r="O140" i="7"/>
  <c r="AP140" i="7" s="1"/>
  <c r="N140" i="7"/>
  <c r="K140" i="7"/>
  <c r="J140" i="7"/>
  <c r="I140" i="7"/>
  <c r="M140" i="7" s="1"/>
  <c r="E140" i="7"/>
  <c r="D140" i="7"/>
  <c r="C140" i="7"/>
  <c r="B140" i="7"/>
  <c r="W139" i="7"/>
  <c r="V139" i="7"/>
  <c r="AJ139" i="7" s="1"/>
  <c r="U139" i="7"/>
  <c r="AH139" i="7" s="1"/>
  <c r="T139" i="7"/>
  <c r="S139" i="7"/>
  <c r="AV139" i="7" s="1"/>
  <c r="R139" i="7"/>
  <c r="AT139" i="7" s="1"/>
  <c r="Q139" i="7"/>
  <c r="P139" i="7"/>
  <c r="O139" i="7"/>
  <c r="Z139" i="7" s="1"/>
  <c r="N139" i="7"/>
  <c r="K139" i="7"/>
  <c r="J139" i="7"/>
  <c r="I139" i="7"/>
  <c r="M139" i="7" s="1"/>
  <c r="E139" i="7"/>
  <c r="D139" i="7"/>
  <c r="C139" i="7"/>
  <c r="B139" i="7"/>
  <c r="W138" i="7"/>
  <c r="V138" i="7"/>
  <c r="AJ138" i="7" s="1"/>
  <c r="U138" i="7"/>
  <c r="AH138" i="7" s="1"/>
  <c r="T138" i="7"/>
  <c r="S138" i="7"/>
  <c r="AV138" i="7" s="1"/>
  <c r="R138" i="7"/>
  <c r="AT138" i="7" s="1"/>
  <c r="Q138" i="7"/>
  <c r="P138" i="7"/>
  <c r="AB138" i="7" s="1"/>
  <c r="O138" i="7"/>
  <c r="BB138" i="7" s="1"/>
  <c r="N138" i="7"/>
  <c r="K138" i="7"/>
  <c r="J138" i="7"/>
  <c r="I138" i="7"/>
  <c r="M138" i="7" s="1"/>
  <c r="AL138" i="7" s="1"/>
  <c r="E138" i="7"/>
  <c r="D138" i="7"/>
  <c r="C138" i="7"/>
  <c r="B138" i="7"/>
  <c r="W137" i="7"/>
  <c r="V137" i="7"/>
  <c r="AJ137" i="7" s="1"/>
  <c r="U137" i="7"/>
  <c r="AH137" i="7" s="1"/>
  <c r="T137" i="7"/>
  <c r="S137" i="7"/>
  <c r="AV137" i="7" s="1"/>
  <c r="R137" i="7"/>
  <c r="AT137" i="7" s="1"/>
  <c r="Q137" i="7"/>
  <c r="P137" i="7"/>
  <c r="AR137" i="7" s="1"/>
  <c r="O137" i="7"/>
  <c r="BB137" i="7" s="1"/>
  <c r="N137" i="7"/>
  <c r="K137" i="7"/>
  <c r="J137" i="7"/>
  <c r="I137" i="7"/>
  <c r="M137" i="7" s="1"/>
  <c r="E137" i="7"/>
  <c r="D137" i="7"/>
  <c r="C137" i="7"/>
  <c r="B137" i="7"/>
  <c r="W136" i="7"/>
  <c r="V136" i="7"/>
  <c r="AJ136" i="7" s="1"/>
  <c r="U136" i="7"/>
  <c r="AH136" i="7" s="1"/>
  <c r="T136" i="7"/>
  <c r="S136" i="7"/>
  <c r="AV136" i="7" s="1"/>
  <c r="R136" i="7"/>
  <c r="AT136" i="7" s="1"/>
  <c r="Q136" i="7"/>
  <c r="P136" i="7"/>
  <c r="BD136" i="7" s="1"/>
  <c r="O136" i="7"/>
  <c r="N136" i="7"/>
  <c r="K136" i="7"/>
  <c r="J136" i="7"/>
  <c r="I136" i="7"/>
  <c r="M136" i="7" s="1"/>
  <c r="E136" i="7"/>
  <c r="D136" i="7"/>
  <c r="C136" i="7"/>
  <c r="B136" i="7"/>
  <c r="W135" i="7"/>
  <c r="V135" i="7"/>
  <c r="AJ135" i="7" s="1"/>
  <c r="U135" i="7"/>
  <c r="AH135" i="7" s="1"/>
  <c r="T135" i="7"/>
  <c r="S135" i="7"/>
  <c r="AV135" i="7" s="1"/>
  <c r="R135" i="7"/>
  <c r="AT135" i="7" s="1"/>
  <c r="Q135" i="7"/>
  <c r="P135" i="7"/>
  <c r="AR135" i="7" s="1"/>
  <c r="O135" i="7"/>
  <c r="N135" i="7"/>
  <c r="K135" i="7"/>
  <c r="J135" i="7"/>
  <c r="I135" i="7"/>
  <c r="M135" i="7" s="1"/>
  <c r="AL135" i="7" s="1"/>
  <c r="E135" i="7"/>
  <c r="D135" i="7"/>
  <c r="C135" i="7"/>
  <c r="B135" i="7"/>
  <c r="W134" i="7"/>
  <c r="V134" i="7"/>
  <c r="AJ134" i="7" s="1"/>
  <c r="U134" i="7"/>
  <c r="AH134" i="7" s="1"/>
  <c r="T134" i="7"/>
  <c r="S134" i="7"/>
  <c r="AV134" i="7" s="1"/>
  <c r="R134" i="7"/>
  <c r="AD134" i="7" s="1"/>
  <c r="Q134" i="7"/>
  <c r="P134" i="7"/>
  <c r="AB134" i="7" s="1"/>
  <c r="O134" i="7"/>
  <c r="AP134" i="7" s="1"/>
  <c r="N134" i="7"/>
  <c r="K134" i="7"/>
  <c r="J134" i="7"/>
  <c r="I134" i="7"/>
  <c r="M134" i="7" s="1"/>
  <c r="E134" i="7"/>
  <c r="D134" i="7"/>
  <c r="C134" i="7"/>
  <c r="B134" i="7"/>
  <c r="W133" i="7"/>
  <c r="V133" i="7"/>
  <c r="AJ133" i="7" s="1"/>
  <c r="U133" i="7"/>
  <c r="AH133" i="7" s="1"/>
  <c r="T133" i="7"/>
  <c r="S133" i="7"/>
  <c r="AV133" i="7" s="1"/>
  <c r="R133" i="7"/>
  <c r="AT133" i="7" s="1"/>
  <c r="Q133" i="7"/>
  <c r="P133" i="7"/>
  <c r="BD133" i="7" s="1"/>
  <c r="O133" i="7"/>
  <c r="N133" i="7"/>
  <c r="K133" i="7"/>
  <c r="J133" i="7"/>
  <c r="I133" i="7"/>
  <c r="M133" i="7" s="1"/>
  <c r="E133" i="7"/>
  <c r="D133" i="7"/>
  <c r="C133" i="7"/>
  <c r="B133" i="7"/>
  <c r="W132" i="7"/>
  <c r="V132" i="7"/>
  <c r="AJ132" i="7" s="1"/>
  <c r="U132" i="7"/>
  <c r="AH132" i="7" s="1"/>
  <c r="T132" i="7"/>
  <c r="S132" i="7"/>
  <c r="AV132" i="7" s="1"/>
  <c r="R132" i="7"/>
  <c r="AT132" i="7" s="1"/>
  <c r="Q132" i="7"/>
  <c r="P132" i="7"/>
  <c r="AB132" i="7" s="1"/>
  <c r="O132" i="7"/>
  <c r="AP132" i="7" s="1"/>
  <c r="N132" i="7"/>
  <c r="K132" i="7"/>
  <c r="J132" i="7"/>
  <c r="I132" i="7"/>
  <c r="M132" i="7" s="1"/>
  <c r="AX132" i="7" s="1"/>
  <c r="E132" i="7"/>
  <c r="D132" i="7"/>
  <c r="C132" i="7"/>
  <c r="B132" i="7"/>
  <c r="W131" i="7"/>
  <c r="V131" i="7"/>
  <c r="AJ131" i="7" s="1"/>
  <c r="U131" i="7"/>
  <c r="AH131" i="7" s="1"/>
  <c r="T131" i="7"/>
  <c r="S131" i="7"/>
  <c r="AV131" i="7" s="1"/>
  <c r="R131" i="7"/>
  <c r="AT131" i="7" s="1"/>
  <c r="Q131" i="7"/>
  <c r="P131" i="7"/>
  <c r="AR131" i="7" s="1"/>
  <c r="O131" i="7"/>
  <c r="N131" i="7"/>
  <c r="K131" i="7"/>
  <c r="J131" i="7"/>
  <c r="I131" i="7"/>
  <c r="M131" i="7" s="1"/>
  <c r="E131" i="7"/>
  <c r="D131" i="7"/>
  <c r="C131" i="7"/>
  <c r="B131" i="7"/>
  <c r="W130" i="7"/>
  <c r="V130" i="7"/>
  <c r="AJ130" i="7" s="1"/>
  <c r="U130" i="7"/>
  <c r="AH130" i="7" s="1"/>
  <c r="T130" i="7"/>
  <c r="S130" i="7"/>
  <c r="AV130" i="7" s="1"/>
  <c r="R130" i="7"/>
  <c r="AT130" i="7" s="1"/>
  <c r="Q130" i="7"/>
  <c r="P130" i="7"/>
  <c r="O130" i="7"/>
  <c r="N130" i="7"/>
  <c r="K130" i="7"/>
  <c r="J130" i="7"/>
  <c r="I130" i="7"/>
  <c r="M130" i="7" s="1"/>
  <c r="AL130" i="7" s="1"/>
  <c r="E130" i="7"/>
  <c r="D130" i="7"/>
  <c r="C130" i="7"/>
  <c r="B130" i="7"/>
  <c r="W129" i="7"/>
  <c r="V129" i="7"/>
  <c r="AJ129" i="7" s="1"/>
  <c r="U129" i="7"/>
  <c r="AH129" i="7" s="1"/>
  <c r="T129" i="7"/>
  <c r="S129" i="7"/>
  <c r="AF129" i="7" s="1"/>
  <c r="R129" i="7"/>
  <c r="AT129" i="7" s="1"/>
  <c r="Q129" i="7"/>
  <c r="P129" i="7"/>
  <c r="AR129" i="7" s="1"/>
  <c r="O129" i="7"/>
  <c r="BB129" i="7" s="1"/>
  <c r="N129" i="7"/>
  <c r="K129" i="7"/>
  <c r="J129" i="7"/>
  <c r="I129" i="7"/>
  <c r="M129" i="7" s="1"/>
  <c r="BF129" i="7" s="1"/>
  <c r="E129" i="7"/>
  <c r="D129" i="7"/>
  <c r="C129" i="7"/>
  <c r="B129" i="7"/>
  <c r="W128" i="7"/>
  <c r="V128" i="7"/>
  <c r="AJ128" i="7" s="1"/>
  <c r="U128" i="7"/>
  <c r="AH128" i="7" s="1"/>
  <c r="T128" i="7"/>
  <c r="S128" i="7"/>
  <c r="R128" i="7"/>
  <c r="AT128" i="7" s="1"/>
  <c r="Q128" i="7"/>
  <c r="P128" i="7"/>
  <c r="O128" i="7"/>
  <c r="BB128" i="7" s="1"/>
  <c r="N128" i="7"/>
  <c r="K128" i="7"/>
  <c r="J128" i="7"/>
  <c r="I128" i="7"/>
  <c r="M128" i="7" s="1"/>
  <c r="E128" i="7"/>
  <c r="D128" i="7"/>
  <c r="C128" i="7"/>
  <c r="B128" i="7"/>
  <c r="W127" i="7"/>
  <c r="V127" i="7"/>
  <c r="AJ127" i="7" s="1"/>
  <c r="U127" i="7"/>
  <c r="AH127" i="7" s="1"/>
  <c r="T127" i="7"/>
  <c r="S127" i="7"/>
  <c r="AV127" i="7" s="1"/>
  <c r="R127" i="7"/>
  <c r="AT127" i="7" s="1"/>
  <c r="Q127" i="7"/>
  <c r="P127" i="7"/>
  <c r="O127" i="7"/>
  <c r="Z127" i="7" s="1"/>
  <c r="N127" i="7"/>
  <c r="K127" i="7"/>
  <c r="J127" i="7"/>
  <c r="I127" i="7"/>
  <c r="M127" i="7" s="1"/>
  <c r="AX127" i="7" s="1"/>
  <c r="E127" i="7"/>
  <c r="D127" i="7"/>
  <c r="C127" i="7"/>
  <c r="B127" i="7"/>
  <c r="W126" i="7"/>
  <c r="V126" i="7"/>
  <c r="AJ126" i="7" s="1"/>
  <c r="U126" i="7"/>
  <c r="AH126" i="7" s="1"/>
  <c r="T126" i="7"/>
  <c r="S126" i="7"/>
  <c r="AF126" i="7" s="1"/>
  <c r="R126" i="7"/>
  <c r="AD126" i="7" s="1"/>
  <c r="Q126" i="7"/>
  <c r="P126" i="7"/>
  <c r="O126" i="7"/>
  <c r="AP126" i="7" s="1"/>
  <c r="N126" i="7"/>
  <c r="K126" i="7"/>
  <c r="J126" i="7"/>
  <c r="I126" i="7"/>
  <c r="M126" i="7" s="1"/>
  <c r="E126" i="7"/>
  <c r="D126" i="7"/>
  <c r="C126" i="7"/>
  <c r="B126" i="7"/>
  <c r="W125" i="7"/>
  <c r="V125" i="7"/>
  <c r="AJ125" i="7" s="1"/>
  <c r="U125" i="7"/>
  <c r="AH125" i="7" s="1"/>
  <c r="T125" i="7"/>
  <c r="S125" i="7"/>
  <c r="AV125" i="7" s="1"/>
  <c r="R125" i="7"/>
  <c r="Q125" i="7"/>
  <c r="P125" i="7"/>
  <c r="BD125" i="7" s="1"/>
  <c r="O125" i="7"/>
  <c r="AP125" i="7" s="1"/>
  <c r="N125" i="7"/>
  <c r="K125" i="7"/>
  <c r="J125" i="7"/>
  <c r="I125" i="7"/>
  <c r="M125" i="7" s="1"/>
  <c r="BF125" i="7" s="1"/>
  <c r="E125" i="7"/>
  <c r="D125" i="7"/>
  <c r="C125" i="7"/>
  <c r="B125" i="7"/>
  <c r="W124" i="7"/>
  <c r="V124" i="7"/>
  <c r="AJ124" i="7" s="1"/>
  <c r="U124" i="7"/>
  <c r="AH124" i="7" s="1"/>
  <c r="T124" i="7"/>
  <c r="S124" i="7"/>
  <c r="AV124" i="7" s="1"/>
  <c r="R124" i="7"/>
  <c r="AT124" i="7" s="1"/>
  <c r="Q124" i="7"/>
  <c r="P124" i="7"/>
  <c r="BD124" i="7" s="1"/>
  <c r="O124" i="7"/>
  <c r="N124" i="7"/>
  <c r="K124" i="7"/>
  <c r="J124" i="7"/>
  <c r="I124" i="7"/>
  <c r="M124" i="7" s="1"/>
  <c r="E124" i="7"/>
  <c r="D124" i="7"/>
  <c r="C124" i="7"/>
  <c r="B124" i="7"/>
  <c r="W123" i="7"/>
  <c r="V123" i="7"/>
  <c r="AJ123" i="7" s="1"/>
  <c r="U123" i="7"/>
  <c r="AH123" i="7" s="1"/>
  <c r="T123" i="7"/>
  <c r="S123" i="7"/>
  <c r="AV123" i="7" s="1"/>
  <c r="R123" i="7"/>
  <c r="AT123" i="7" s="1"/>
  <c r="Q123" i="7"/>
  <c r="P123" i="7"/>
  <c r="AB123" i="7" s="1"/>
  <c r="O123" i="7"/>
  <c r="BB123" i="7" s="1"/>
  <c r="N123" i="7"/>
  <c r="K123" i="7"/>
  <c r="J123" i="7"/>
  <c r="I123" i="7"/>
  <c r="M123" i="7" s="1"/>
  <c r="AX123" i="7" s="1"/>
  <c r="E123" i="7"/>
  <c r="D123" i="7"/>
  <c r="C123" i="7"/>
  <c r="B123" i="7"/>
  <c r="W122" i="7"/>
  <c r="V122" i="7"/>
  <c r="AJ122" i="7" s="1"/>
  <c r="U122" i="7"/>
  <c r="AH122" i="7" s="1"/>
  <c r="T122" i="7"/>
  <c r="S122" i="7"/>
  <c r="AV122" i="7" s="1"/>
  <c r="R122" i="7"/>
  <c r="AT122" i="7" s="1"/>
  <c r="Q122" i="7"/>
  <c r="P122" i="7"/>
  <c r="AR122" i="7" s="1"/>
  <c r="O122" i="7"/>
  <c r="BB122" i="7" s="1"/>
  <c r="N122" i="7"/>
  <c r="K122" i="7"/>
  <c r="J122" i="7"/>
  <c r="I122" i="7"/>
  <c r="M122" i="7" s="1"/>
  <c r="E122" i="7"/>
  <c r="D122" i="7"/>
  <c r="C122" i="7"/>
  <c r="B122" i="7"/>
  <c r="W121" i="7"/>
  <c r="V121" i="7"/>
  <c r="AJ121" i="7" s="1"/>
  <c r="U121" i="7"/>
  <c r="AH121" i="7" s="1"/>
  <c r="T121" i="7"/>
  <c r="S121" i="7"/>
  <c r="AF121" i="7" s="1"/>
  <c r="R121" i="7"/>
  <c r="AT121" i="7" s="1"/>
  <c r="Q121" i="7"/>
  <c r="P121" i="7"/>
  <c r="AR121" i="7" s="1"/>
  <c r="O121" i="7"/>
  <c r="BB121" i="7" s="1"/>
  <c r="N121" i="7"/>
  <c r="K121" i="7"/>
  <c r="J121" i="7"/>
  <c r="I121" i="7"/>
  <c r="M121" i="7" s="1"/>
  <c r="E121" i="7"/>
  <c r="D121" i="7"/>
  <c r="C121" i="7"/>
  <c r="B121" i="7"/>
  <c r="W120" i="7"/>
  <c r="V120" i="7"/>
  <c r="AJ120" i="7" s="1"/>
  <c r="U120" i="7"/>
  <c r="AH120" i="7" s="1"/>
  <c r="T120" i="7"/>
  <c r="S120" i="7"/>
  <c r="AF120" i="7" s="1"/>
  <c r="R120" i="7"/>
  <c r="Q120" i="7"/>
  <c r="P120" i="7"/>
  <c r="BD120" i="7" s="1"/>
  <c r="O120" i="7"/>
  <c r="BB120" i="7" s="1"/>
  <c r="N120" i="7"/>
  <c r="K120" i="7"/>
  <c r="J120" i="7"/>
  <c r="I120" i="7"/>
  <c r="M120" i="7" s="1"/>
  <c r="BF120" i="7" s="1"/>
  <c r="E120" i="7"/>
  <c r="D120" i="7"/>
  <c r="C120" i="7"/>
  <c r="B120" i="7"/>
  <c r="W119" i="7"/>
  <c r="V119" i="7"/>
  <c r="AJ119" i="7" s="1"/>
  <c r="U119" i="7"/>
  <c r="AH119" i="7" s="1"/>
  <c r="T119" i="7"/>
  <c r="S119" i="7"/>
  <c r="AV119" i="7" s="1"/>
  <c r="R119" i="7"/>
  <c r="AT119" i="7" s="1"/>
  <c r="Q119" i="7"/>
  <c r="P119" i="7"/>
  <c r="BD119" i="7" s="1"/>
  <c r="O119" i="7"/>
  <c r="BB119" i="7" s="1"/>
  <c r="N119" i="7"/>
  <c r="K119" i="7"/>
  <c r="J119" i="7"/>
  <c r="I119" i="7"/>
  <c r="M119" i="7" s="1"/>
  <c r="BF119" i="7" s="1"/>
  <c r="E119" i="7"/>
  <c r="D119" i="7"/>
  <c r="C119" i="7"/>
  <c r="B119" i="7"/>
  <c r="W118" i="7"/>
  <c r="V118" i="7"/>
  <c r="AJ118" i="7" s="1"/>
  <c r="U118" i="7"/>
  <c r="AH118" i="7" s="1"/>
  <c r="T118" i="7"/>
  <c r="S118" i="7"/>
  <c r="AF118" i="7" s="1"/>
  <c r="R118" i="7"/>
  <c r="AT118" i="7" s="1"/>
  <c r="Q118" i="7"/>
  <c r="P118" i="7"/>
  <c r="O118" i="7"/>
  <c r="AP118" i="7" s="1"/>
  <c r="N118" i="7"/>
  <c r="K118" i="7"/>
  <c r="J118" i="7"/>
  <c r="I118" i="7"/>
  <c r="M118" i="7" s="1"/>
  <c r="E118" i="7"/>
  <c r="D118" i="7"/>
  <c r="C118" i="7"/>
  <c r="B118" i="7"/>
  <c r="W117" i="7"/>
  <c r="V117" i="7"/>
  <c r="AJ117" i="7" s="1"/>
  <c r="U117" i="7"/>
  <c r="AH117" i="7" s="1"/>
  <c r="T117" i="7"/>
  <c r="S117" i="7"/>
  <c r="AV117" i="7" s="1"/>
  <c r="R117" i="7"/>
  <c r="AD117" i="7" s="1"/>
  <c r="Q117" i="7"/>
  <c r="P117" i="7"/>
  <c r="AB117" i="7" s="1"/>
  <c r="O117" i="7"/>
  <c r="N117" i="7"/>
  <c r="K117" i="7"/>
  <c r="J117" i="7"/>
  <c r="I117" i="7"/>
  <c r="M117" i="7" s="1"/>
  <c r="BF117" i="7" s="1"/>
  <c r="E117" i="7"/>
  <c r="D117" i="7"/>
  <c r="C117" i="7"/>
  <c r="B117" i="7"/>
  <c r="W116" i="7"/>
  <c r="V116" i="7"/>
  <c r="AJ116" i="7" s="1"/>
  <c r="U116" i="7"/>
  <c r="AH116" i="7" s="1"/>
  <c r="T116" i="7"/>
  <c r="S116" i="7"/>
  <c r="AV116" i="7" s="1"/>
  <c r="R116" i="7"/>
  <c r="AT116" i="7" s="1"/>
  <c r="Q116" i="7"/>
  <c r="P116" i="7"/>
  <c r="BD116" i="7" s="1"/>
  <c r="O116" i="7"/>
  <c r="BB116" i="7" s="1"/>
  <c r="N116" i="7"/>
  <c r="K116" i="7"/>
  <c r="J116" i="7"/>
  <c r="I116" i="7"/>
  <c r="M116" i="7" s="1"/>
  <c r="BF116" i="7" s="1"/>
  <c r="E116" i="7"/>
  <c r="D116" i="7"/>
  <c r="C116" i="7"/>
  <c r="B116" i="7"/>
  <c r="W115" i="7"/>
  <c r="V115" i="7"/>
  <c r="AJ115" i="7" s="1"/>
  <c r="U115" i="7"/>
  <c r="AH115" i="7" s="1"/>
  <c r="T115" i="7"/>
  <c r="S115" i="7"/>
  <c r="R115" i="7"/>
  <c r="AD115" i="7" s="1"/>
  <c r="Q115" i="7"/>
  <c r="P115" i="7"/>
  <c r="AR115" i="7" s="1"/>
  <c r="O115" i="7"/>
  <c r="Z115" i="7" s="1"/>
  <c r="N115" i="7"/>
  <c r="K115" i="7"/>
  <c r="J115" i="7"/>
  <c r="I115" i="7"/>
  <c r="M115" i="7" s="1"/>
  <c r="AX115" i="7" s="1"/>
  <c r="E115" i="7"/>
  <c r="D115" i="7"/>
  <c r="C115" i="7"/>
  <c r="B115" i="7"/>
  <c r="W114" i="7"/>
  <c r="V114" i="7"/>
  <c r="AJ114" i="7" s="1"/>
  <c r="U114" i="7"/>
  <c r="AH114" i="7" s="1"/>
  <c r="T114" i="7"/>
  <c r="S114" i="7"/>
  <c r="AV114" i="7" s="1"/>
  <c r="R114" i="7"/>
  <c r="AT114" i="7" s="1"/>
  <c r="Q114" i="7"/>
  <c r="P114" i="7"/>
  <c r="AB114" i="7" s="1"/>
  <c r="O114" i="7"/>
  <c r="Z114" i="7" s="1"/>
  <c r="N114" i="7"/>
  <c r="K114" i="7"/>
  <c r="J114" i="7"/>
  <c r="I114" i="7"/>
  <c r="M114" i="7" s="1"/>
  <c r="AL114" i="7" s="1"/>
  <c r="E114" i="7"/>
  <c r="D114" i="7"/>
  <c r="C114" i="7"/>
  <c r="B114" i="7"/>
  <c r="W113" i="7"/>
  <c r="V113" i="7"/>
  <c r="AJ113" i="7" s="1"/>
  <c r="U113" i="7"/>
  <c r="AH113" i="7" s="1"/>
  <c r="T113" i="7"/>
  <c r="S113" i="7"/>
  <c r="AF113" i="7" s="1"/>
  <c r="R113" i="7"/>
  <c r="AT113" i="7" s="1"/>
  <c r="Q113" i="7"/>
  <c r="P113" i="7"/>
  <c r="AR113" i="7" s="1"/>
  <c r="O113" i="7"/>
  <c r="BB113" i="7" s="1"/>
  <c r="N113" i="7"/>
  <c r="K113" i="7"/>
  <c r="J113" i="7"/>
  <c r="I113" i="7"/>
  <c r="M113" i="7" s="1"/>
  <c r="E113" i="7"/>
  <c r="D113" i="7"/>
  <c r="C113" i="7"/>
  <c r="B113" i="7"/>
  <c r="W112" i="7"/>
  <c r="V112" i="7"/>
  <c r="AJ112" i="7" s="1"/>
  <c r="U112" i="7"/>
  <c r="AH112" i="7" s="1"/>
  <c r="T112" i="7"/>
  <c r="S112" i="7"/>
  <c r="AF112" i="7" s="1"/>
  <c r="R112" i="7"/>
  <c r="AD112" i="7" s="1"/>
  <c r="Q112" i="7"/>
  <c r="P112" i="7"/>
  <c r="AB112" i="7" s="1"/>
  <c r="O112" i="7"/>
  <c r="N112" i="7"/>
  <c r="K112" i="7"/>
  <c r="J112" i="7"/>
  <c r="I112" i="7"/>
  <c r="M112" i="7" s="1"/>
  <c r="E112" i="7"/>
  <c r="D112" i="7"/>
  <c r="C112" i="7"/>
  <c r="B112" i="7"/>
  <c r="W111" i="7"/>
  <c r="V111" i="7"/>
  <c r="AJ111" i="7" s="1"/>
  <c r="U111" i="7"/>
  <c r="AH111" i="7" s="1"/>
  <c r="T111" i="7"/>
  <c r="S111" i="7"/>
  <c r="AV111" i="7" s="1"/>
  <c r="R111" i="7"/>
  <c r="AT111" i="7" s="1"/>
  <c r="Q111" i="7"/>
  <c r="P111" i="7"/>
  <c r="BD111" i="7" s="1"/>
  <c r="O111" i="7"/>
  <c r="BB111" i="7" s="1"/>
  <c r="N111" i="7"/>
  <c r="K111" i="7"/>
  <c r="J111" i="7"/>
  <c r="I111" i="7"/>
  <c r="M111" i="7" s="1"/>
  <c r="E111" i="7"/>
  <c r="D111" i="7"/>
  <c r="C111" i="7"/>
  <c r="B111" i="7"/>
  <c r="W110" i="7"/>
  <c r="V110" i="7"/>
  <c r="AJ110" i="7" s="1"/>
  <c r="U110" i="7"/>
  <c r="AH110" i="7" s="1"/>
  <c r="T110" i="7"/>
  <c r="S110" i="7"/>
  <c r="AV110" i="7" s="1"/>
  <c r="R110" i="7"/>
  <c r="AT110" i="7" s="1"/>
  <c r="Q110" i="7"/>
  <c r="P110" i="7"/>
  <c r="AB110" i="7" s="1"/>
  <c r="O110" i="7"/>
  <c r="AP110" i="7" s="1"/>
  <c r="N110" i="7"/>
  <c r="K110" i="7"/>
  <c r="J110" i="7"/>
  <c r="I110" i="7"/>
  <c r="M110" i="7" s="1"/>
  <c r="E110" i="7"/>
  <c r="D110" i="7"/>
  <c r="C110" i="7"/>
  <c r="B110" i="7"/>
  <c r="W109" i="7"/>
  <c r="V109" i="7"/>
  <c r="AJ109" i="7" s="1"/>
  <c r="U109" i="7"/>
  <c r="AH109" i="7" s="1"/>
  <c r="T109" i="7"/>
  <c r="S109" i="7"/>
  <c r="AV109" i="7" s="1"/>
  <c r="R109" i="7"/>
  <c r="AT109" i="7" s="1"/>
  <c r="Q109" i="7"/>
  <c r="P109" i="7"/>
  <c r="AR109" i="7" s="1"/>
  <c r="O109" i="7"/>
  <c r="Z109" i="7" s="1"/>
  <c r="N109" i="7"/>
  <c r="K109" i="7"/>
  <c r="J109" i="7"/>
  <c r="I109" i="7"/>
  <c r="M109" i="7" s="1"/>
  <c r="AX109" i="7" s="1"/>
  <c r="E109" i="7"/>
  <c r="D109" i="7"/>
  <c r="C109" i="7"/>
  <c r="B109" i="7"/>
  <c r="W108" i="7"/>
  <c r="V108" i="7"/>
  <c r="AJ108" i="7" s="1"/>
  <c r="U108" i="7"/>
  <c r="AH108" i="7" s="1"/>
  <c r="T108" i="7"/>
  <c r="S108" i="7"/>
  <c r="AF108" i="7" s="1"/>
  <c r="R108" i="7"/>
  <c r="AT108" i="7" s="1"/>
  <c r="Q108" i="7"/>
  <c r="P108" i="7"/>
  <c r="O108" i="7"/>
  <c r="N108" i="7"/>
  <c r="K108" i="7"/>
  <c r="J108" i="7"/>
  <c r="I108" i="7"/>
  <c r="M108" i="7" s="1"/>
  <c r="BF108" i="7" s="1"/>
  <c r="E108" i="7"/>
  <c r="D108" i="7"/>
  <c r="C108" i="7"/>
  <c r="B108" i="7"/>
  <c r="W107" i="7"/>
  <c r="V107" i="7"/>
  <c r="AJ107" i="7" s="1"/>
  <c r="U107" i="7"/>
  <c r="AH107" i="7" s="1"/>
  <c r="T107" i="7"/>
  <c r="S107" i="7"/>
  <c r="AF107" i="7" s="1"/>
  <c r="R107" i="7"/>
  <c r="AD107" i="7" s="1"/>
  <c r="Q107" i="7"/>
  <c r="P107" i="7"/>
  <c r="BD107" i="7" s="1"/>
  <c r="O107" i="7"/>
  <c r="AP107" i="7" s="1"/>
  <c r="N107" i="7"/>
  <c r="K107" i="7"/>
  <c r="J107" i="7"/>
  <c r="I107" i="7"/>
  <c r="M107" i="7" s="1"/>
  <c r="E107" i="7"/>
  <c r="D107" i="7"/>
  <c r="C107" i="7"/>
  <c r="B107" i="7"/>
  <c r="W106" i="7"/>
  <c r="V106" i="7"/>
  <c r="AJ106" i="7" s="1"/>
  <c r="U106" i="7"/>
  <c r="AH106" i="7" s="1"/>
  <c r="T106" i="7"/>
  <c r="S106" i="7"/>
  <c r="AF106" i="7" s="1"/>
  <c r="R106" i="7"/>
  <c r="AT106" i="7" s="1"/>
  <c r="Q106" i="7"/>
  <c r="P106" i="7"/>
  <c r="AR106" i="7" s="1"/>
  <c r="O106" i="7"/>
  <c r="BB106" i="7" s="1"/>
  <c r="N106" i="7"/>
  <c r="K106" i="7"/>
  <c r="J106" i="7"/>
  <c r="I106" i="7"/>
  <c r="M106" i="7" s="1"/>
  <c r="AX106" i="7" s="1"/>
  <c r="E106" i="7"/>
  <c r="D106" i="7"/>
  <c r="C106" i="7"/>
  <c r="B106" i="7"/>
  <c r="W105" i="7"/>
  <c r="V105" i="7"/>
  <c r="AJ105" i="7" s="1"/>
  <c r="U105" i="7"/>
  <c r="AH105" i="7" s="1"/>
  <c r="T105" i="7"/>
  <c r="S105" i="7"/>
  <c r="AF105" i="7" s="1"/>
  <c r="R105" i="7"/>
  <c r="Q105" i="7"/>
  <c r="P105" i="7"/>
  <c r="O105" i="7"/>
  <c r="BB105" i="7" s="1"/>
  <c r="N105" i="7"/>
  <c r="K105" i="7"/>
  <c r="J105" i="7"/>
  <c r="I105" i="7"/>
  <c r="M105" i="7" s="1"/>
  <c r="AL105" i="7" s="1"/>
  <c r="E105" i="7"/>
  <c r="D105" i="7"/>
  <c r="C105" i="7"/>
  <c r="B105" i="7"/>
  <c r="W104" i="7"/>
  <c r="V104" i="7"/>
  <c r="AJ104" i="7" s="1"/>
  <c r="U104" i="7"/>
  <c r="AH104" i="7" s="1"/>
  <c r="T104" i="7"/>
  <c r="S104" i="7"/>
  <c r="AV104" i="7" s="1"/>
  <c r="R104" i="7"/>
  <c r="AT104" i="7" s="1"/>
  <c r="Q104" i="7"/>
  <c r="P104" i="7"/>
  <c r="AB104" i="7" s="1"/>
  <c r="O104" i="7"/>
  <c r="BB104" i="7" s="1"/>
  <c r="N104" i="7"/>
  <c r="K104" i="7"/>
  <c r="J104" i="7"/>
  <c r="I104" i="7"/>
  <c r="M104" i="7" s="1"/>
  <c r="E104" i="7"/>
  <c r="D104" i="7"/>
  <c r="C104" i="7"/>
  <c r="B104" i="7"/>
  <c r="W103" i="7"/>
  <c r="V103" i="7"/>
  <c r="AJ103" i="7" s="1"/>
  <c r="U103" i="7"/>
  <c r="AH103" i="7" s="1"/>
  <c r="T103" i="7"/>
  <c r="S103" i="7"/>
  <c r="AV103" i="7" s="1"/>
  <c r="R103" i="7"/>
  <c r="AT103" i="7" s="1"/>
  <c r="Q103" i="7"/>
  <c r="P103" i="7"/>
  <c r="AR103" i="7" s="1"/>
  <c r="O103" i="7"/>
  <c r="N103" i="7"/>
  <c r="K103" i="7"/>
  <c r="J103" i="7"/>
  <c r="I103" i="7"/>
  <c r="M103" i="7" s="1"/>
  <c r="E103" i="7"/>
  <c r="D103" i="7"/>
  <c r="C103" i="7"/>
  <c r="B103" i="7"/>
  <c r="W102" i="7"/>
  <c r="V102" i="7"/>
  <c r="AJ102" i="7" s="1"/>
  <c r="U102" i="7"/>
  <c r="AH102" i="7" s="1"/>
  <c r="T102" i="7"/>
  <c r="S102" i="7"/>
  <c r="AV102" i="7" s="1"/>
  <c r="R102" i="7"/>
  <c r="AT102" i="7" s="1"/>
  <c r="Q102" i="7"/>
  <c r="P102" i="7"/>
  <c r="AR102" i="7" s="1"/>
  <c r="O102" i="7"/>
  <c r="AP102" i="7" s="1"/>
  <c r="N102" i="7"/>
  <c r="K102" i="7"/>
  <c r="J102" i="7"/>
  <c r="I102" i="7"/>
  <c r="M102" i="7" s="1"/>
  <c r="BF102" i="7" s="1"/>
  <c r="E102" i="7"/>
  <c r="D102" i="7"/>
  <c r="C102" i="7"/>
  <c r="B102" i="7"/>
  <c r="W101" i="7"/>
  <c r="V101" i="7"/>
  <c r="AJ101" i="7" s="1"/>
  <c r="U101" i="7"/>
  <c r="AH101" i="7" s="1"/>
  <c r="T101" i="7"/>
  <c r="S101" i="7"/>
  <c r="AV101" i="7" s="1"/>
  <c r="R101" i="7"/>
  <c r="AT101" i="7" s="1"/>
  <c r="Q101" i="7"/>
  <c r="P101" i="7"/>
  <c r="BD101" i="7" s="1"/>
  <c r="O101" i="7"/>
  <c r="AP101" i="7" s="1"/>
  <c r="N101" i="7"/>
  <c r="K101" i="7"/>
  <c r="J101" i="7"/>
  <c r="I101" i="7"/>
  <c r="M101" i="7" s="1"/>
  <c r="E101" i="7"/>
  <c r="D101" i="7"/>
  <c r="C101" i="7"/>
  <c r="B101" i="7"/>
  <c r="W100" i="7"/>
  <c r="V100" i="7"/>
  <c r="AJ100" i="7" s="1"/>
  <c r="U100" i="7"/>
  <c r="AH100" i="7" s="1"/>
  <c r="T100" i="7"/>
  <c r="S100" i="7"/>
  <c r="AV100" i="7" s="1"/>
  <c r="R100" i="7"/>
  <c r="AT100" i="7" s="1"/>
  <c r="Q100" i="7"/>
  <c r="P100" i="7"/>
  <c r="AR100" i="7" s="1"/>
  <c r="O100" i="7"/>
  <c r="N100" i="7"/>
  <c r="K100" i="7"/>
  <c r="J100" i="7"/>
  <c r="I100" i="7"/>
  <c r="M100" i="7" s="1"/>
  <c r="AX100" i="7" s="1"/>
  <c r="E100" i="7"/>
  <c r="D100" i="7"/>
  <c r="C100" i="7"/>
  <c r="B100" i="7"/>
  <c r="W99" i="7"/>
  <c r="V99" i="7"/>
  <c r="AJ99" i="7" s="1"/>
  <c r="U99" i="7"/>
  <c r="AH99" i="7" s="1"/>
  <c r="T99" i="7"/>
  <c r="S99" i="7"/>
  <c r="AF99" i="7" s="1"/>
  <c r="R99" i="7"/>
  <c r="AT99" i="7" s="1"/>
  <c r="Q99" i="7"/>
  <c r="P99" i="7"/>
  <c r="AR99" i="7" s="1"/>
  <c r="O99" i="7"/>
  <c r="Z99" i="7" s="1"/>
  <c r="N99" i="7"/>
  <c r="K99" i="7"/>
  <c r="J99" i="7"/>
  <c r="I99" i="7"/>
  <c r="M99" i="7" s="1"/>
  <c r="E99" i="7"/>
  <c r="D99" i="7"/>
  <c r="C99" i="7"/>
  <c r="B99" i="7"/>
  <c r="W98" i="7"/>
  <c r="V98" i="7"/>
  <c r="AJ98" i="7" s="1"/>
  <c r="U98" i="7"/>
  <c r="AH98" i="7" s="1"/>
  <c r="T98" i="7"/>
  <c r="S98" i="7"/>
  <c r="AV98" i="7" s="1"/>
  <c r="R98" i="7"/>
  <c r="AT98" i="7" s="1"/>
  <c r="Q98" i="7"/>
  <c r="P98" i="7"/>
  <c r="BD98" i="7" s="1"/>
  <c r="O98" i="7"/>
  <c r="BB98" i="7" s="1"/>
  <c r="N98" i="7"/>
  <c r="K98" i="7"/>
  <c r="J98" i="7"/>
  <c r="I98" i="7"/>
  <c r="M98" i="7" s="1"/>
  <c r="AL98" i="7" s="1"/>
  <c r="E98" i="7"/>
  <c r="D98" i="7"/>
  <c r="C98" i="7"/>
  <c r="B98" i="7"/>
  <c r="W97" i="7"/>
  <c r="V97" i="7"/>
  <c r="AJ97" i="7" s="1"/>
  <c r="U97" i="7"/>
  <c r="AH97" i="7" s="1"/>
  <c r="T97" i="7"/>
  <c r="S97" i="7"/>
  <c r="AV97" i="7" s="1"/>
  <c r="R97" i="7"/>
  <c r="AT97" i="7" s="1"/>
  <c r="Q97" i="7"/>
  <c r="P97" i="7"/>
  <c r="AR97" i="7" s="1"/>
  <c r="O97" i="7"/>
  <c r="AP97" i="7" s="1"/>
  <c r="N97" i="7"/>
  <c r="K97" i="7"/>
  <c r="J97" i="7"/>
  <c r="I97" i="7"/>
  <c r="M97" i="7" s="1"/>
  <c r="E97" i="7"/>
  <c r="D97" i="7"/>
  <c r="C97" i="7"/>
  <c r="B97" i="7"/>
  <c r="W96" i="7"/>
  <c r="V96" i="7"/>
  <c r="AJ96" i="7" s="1"/>
  <c r="U96" i="7"/>
  <c r="AH96" i="7" s="1"/>
  <c r="T96" i="7"/>
  <c r="S96" i="7"/>
  <c r="AV96" i="7" s="1"/>
  <c r="R96" i="7"/>
  <c r="Q96" i="7"/>
  <c r="P96" i="7"/>
  <c r="AB96" i="7" s="1"/>
  <c r="O96" i="7"/>
  <c r="N96" i="7"/>
  <c r="K96" i="7"/>
  <c r="J96" i="7"/>
  <c r="I96" i="7"/>
  <c r="M96" i="7" s="1"/>
  <c r="E96" i="7"/>
  <c r="D96" i="7"/>
  <c r="C96" i="7"/>
  <c r="B96" i="7"/>
  <c r="W95" i="7"/>
  <c r="V95" i="7"/>
  <c r="AJ95" i="7" s="1"/>
  <c r="U95" i="7"/>
  <c r="AH95" i="7" s="1"/>
  <c r="T95" i="7"/>
  <c r="S95" i="7"/>
  <c r="AV95" i="7" s="1"/>
  <c r="R95" i="7"/>
  <c r="AT95" i="7" s="1"/>
  <c r="Q95" i="7"/>
  <c r="P95" i="7"/>
  <c r="BD95" i="7" s="1"/>
  <c r="O95" i="7"/>
  <c r="BB95" i="7" s="1"/>
  <c r="N95" i="7"/>
  <c r="K95" i="7"/>
  <c r="J95" i="7"/>
  <c r="I95" i="7"/>
  <c r="M95" i="7" s="1"/>
  <c r="E95" i="7"/>
  <c r="D95" i="7"/>
  <c r="C95" i="7"/>
  <c r="B95" i="7"/>
  <c r="W94" i="7"/>
  <c r="V94" i="7"/>
  <c r="AJ94" i="7" s="1"/>
  <c r="U94" i="7"/>
  <c r="AH94" i="7" s="1"/>
  <c r="T94" i="7"/>
  <c r="S94" i="7"/>
  <c r="AV94" i="7" s="1"/>
  <c r="R94" i="7"/>
  <c r="AT94" i="7" s="1"/>
  <c r="Q94" i="7"/>
  <c r="P94" i="7"/>
  <c r="BD94" i="7" s="1"/>
  <c r="O94" i="7"/>
  <c r="AP94" i="7" s="1"/>
  <c r="N94" i="7"/>
  <c r="K94" i="7"/>
  <c r="J94" i="7"/>
  <c r="I94" i="7"/>
  <c r="M94" i="7" s="1"/>
  <c r="AX94" i="7" s="1"/>
  <c r="E94" i="7"/>
  <c r="D94" i="7"/>
  <c r="C94" i="7"/>
  <c r="B94" i="7"/>
  <c r="W93" i="7"/>
  <c r="V93" i="7"/>
  <c r="AJ93" i="7" s="1"/>
  <c r="U93" i="7"/>
  <c r="AH93" i="7" s="1"/>
  <c r="T93" i="7"/>
  <c r="S93" i="7"/>
  <c r="AV93" i="7" s="1"/>
  <c r="R93" i="7"/>
  <c r="AT93" i="7" s="1"/>
  <c r="Q93" i="7"/>
  <c r="P93" i="7"/>
  <c r="BD93" i="7" s="1"/>
  <c r="O93" i="7"/>
  <c r="N93" i="7"/>
  <c r="K93" i="7"/>
  <c r="J93" i="7"/>
  <c r="I93" i="7"/>
  <c r="M93" i="7" s="1"/>
  <c r="AL93" i="7" s="1"/>
  <c r="E93" i="7"/>
  <c r="D93" i="7"/>
  <c r="C93" i="7"/>
  <c r="B93" i="7"/>
  <c r="W92" i="7"/>
  <c r="V92" i="7"/>
  <c r="AJ92" i="7" s="1"/>
  <c r="U92" i="7"/>
  <c r="AH92" i="7" s="1"/>
  <c r="T92" i="7"/>
  <c r="S92" i="7"/>
  <c r="AF92" i="7" s="1"/>
  <c r="R92" i="7"/>
  <c r="AT92" i="7" s="1"/>
  <c r="Q92" i="7"/>
  <c r="P92" i="7"/>
  <c r="AB92" i="7" s="1"/>
  <c r="O92" i="7"/>
  <c r="BB92" i="7" s="1"/>
  <c r="N92" i="7"/>
  <c r="K92" i="7"/>
  <c r="J92" i="7"/>
  <c r="I92" i="7"/>
  <c r="M92" i="7" s="1"/>
  <c r="AX92" i="7" s="1"/>
  <c r="E92" i="7"/>
  <c r="D92" i="7"/>
  <c r="C92" i="7"/>
  <c r="B92" i="7"/>
  <c r="W91" i="7"/>
  <c r="V91" i="7"/>
  <c r="AJ91" i="7" s="1"/>
  <c r="U91" i="7"/>
  <c r="AH91" i="7" s="1"/>
  <c r="T91" i="7"/>
  <c r="S91" i="7"/>
  <c r="AF91" i="7" s="1"/>
  <c r="R91" i="7"/>
  <c r="AT91" i="7" s="1"/>
  <c r="Q91" i="7"/>
  <c r="P91" i="7"/>
  <c r="O91" i="7"/>
  <c r="N91" i="7"/>
  <c r="K91" i="7"/>
  <c r="J91" i="7"/>
  <c r="I91" i="7"/>
  <c r="M91" i="7" s="1"/>
  <c r="E91" i="7"/>
  <c r="D91" i="7"/>
  <c r="C91" i="7"/>
  <c r="B91" i="7"/>
  <c r="W90" i="7"/>
  <c r="V90" i="7"/>
  <c r="AJ90" i="7" s="1"/>
  <c r="U90" i="7"/>
  <c r="AH90" i="7" s="1"/>
  <c r="T90" i="7"/>
  <c r="S90" i="7"/>
  <c r="AV90" i="7" s="1"/>
  <c r="R90" i="7"/>
  <c r="AT90" i="7" s="1"/>
  <c r="Q90" i="7"/>
  <c r="P90" i="7"/>
  <c r="BD90" i="7" s="1"/>
  <c r="O90" i="7"/>
  <c r="N90" i="7"/>
  <c r="K90" i="7"/>
  <c r="J90" i="7"/>
  <c r="I90" i="7"/>
  <c r="M90" i="7" s="1"/>
  <c r="E90" i="7"/>
  <c r="D90" i="7"/>
  <c r="C90" i="7"/>
  <c r="B90" i="7"/>
  <c r="W89" i="7"/>
  <c r="V89" i="7"/>
  <c r="AJ89" i="7" s="1"/>
  <c r="U89" i="7"/>
  <c r="AH89" i="7" s="1"/>
  <c r="T89" i="7"/>
  <c r="S89" i="7"/>
  <c r="AV89" i="7" s="1"/>
  <c r="R89" i="7"/>
  <c r="AT89" i="7" s="1"/>
  <c r="Q89" i="7"/>
  <c r="P89" i="7"/>
  <c r="AR89" i="7" s="1"/>
  <c r="O89" i="7"/>
  <c r="BB89" i="7" s="1"/>
  <c r="N89" i="7"/>
  <c r="K89" i="7"/>
  <c r="J89" i="7"/>
  <c r="I89" i="7"/>
  <c r="M89" i="7" s="1"/>
  <c r="AL89" i="7" s="1"/>
  <c r="E89" i="7"/>
  <c r="D89" i="7"/>
  <c r="C89" i="7"/>
  <c r="B89" i="7"/>
  <c r="W88" i="7"/>
  <c r="V88" i="7"/>
  <c r="AJ88" i="7" s="1"/>
  <c r="U88" i="7"/>
  <c r="AH88" i="7" s="1"/>
  <c r="T88" i="7"/>
  <c r="S88" i="7"/>
  <c r="R88" i="7"/>
  <c r="AT88" i="7" s="1"/>
  <c r="Q88" i="7"/>
  <c r="P88" i="7"/>
  <c r="AB88" i="7" s="1"/>
  <c r="O88" i="7"/>
  <c r="N88" i="7"/>
  <c r="K88" i="7"/>
  <c r="J88" i="7"/>
  <c r="I88" i="7"/>
  <c r="M88" i="7" s="1"/>
  <c r="E88" i="7"/>
  <c r="D88" i="7"/>
  <c r="C88" i="7"/>
  <c r="B88" i="7"/>
  <c r="W87" i="7"/>
  <c r="V87" i="7"/>
  <c r="AJ87" i="7" s="1"/>
  <c r="U87" i="7"/>
  <c r="AH87" i="7" s="1"/>
  <c r="T87" i="7"/>
  <c r="S87" i="7"/>
  <c r="AV87" i="7" s="1"/>
  <c r="R87" i="7"/>
  <c r="AT87" i="7" s="1"/>
  <c r="Q87" i="7"/>
  <c r="P87" i="7"/>
  <c r="BD87" i="7" s="1"/>
  <c r="O87" i="7"/>
  <c r="BB87" i="7" s="1"/>
  <c r="N87" i="7"/>
  <c r="K87" i="7"/>
  <c r="J87" i="7"/>
  <c r="I87" i="7"/>
  <c r="M87" i="7" s="1"/>
  <c r="AX87" i="7" s="1"/>
  <c r="E87" i="7"/>
  <c r="D87" i="7"/>
  <c r="C87" i="7"/>
  <c r="B87" i="7"/>
  <c r="W86" i="7"/>
  <c r="V86" i="7"/>
  <c r="AJ86" i="7" s="1"/>
  <c r="U86" i="7"/>
  <c r="AH86" i="7" s="1"/>
  <c r="T86" i="7"/>
  <c r="S86" i="7"/>
  <c r="AV86" i="7" s="1"/>
  <c r="R86" i="7"/>
  <c r="AT86" i="7" s="1"/>
  <c r="Q86" i="7"/>
  <c r="P86" i="7"/>
  <c r="AB86" i="7" s="1"/>
  <c r="O86" i="7"/>
  <c r="AP86" i="7" s="1"/>
  <c r="N86" i="7"/>
  <c r="K86" i="7"/>
  <c r="J86" i="7"/>
  <c r="I86" i="7"/>
  <c r="M86" i="7" s="1"/>
  <c r="E86" i="7"/>
  <c r="D86" i="7"/>
  <c r="C86" i="7"/>
  <c r="B86" i="7"/>
  <c r="W85" i="7"/>
  <c r="V85" i="7"/>
  <c r="AJ85" i="7" s="1"/>
  <c r="U85" i="7"/>
  <c r="AH85" i="7" s="1"/>
  <c r="T85" i="7"/>
  <c r="S85" i="7"/>
  <c r="AV85" i="7" s="1"/>
  <c r="R85" i="7"/>
  <c r="AT85" i="7" s="1"/>
  <c r="Q85" i="7"/>
  <c r="P85" i="7"/>
  <c r="BD85" i="7" s="1"/>
  <c r="O85" i="7"/>
  <c r="BB85" i="7" s="1"/>
  <c r="N85" i="7"/>
  <c r="K85" i="7"/>
  <c r="J85" i="7"/>
  <c r="I85" i="7"/>
  <c r="M85" i="7" s="1"/>
  <c r="E85" i="7"/>
  <c r="D85" i="7"/>
  <c r="C85" i="7"/>
  <c r="B85" i="7"/>
  <c r="W84" i="7"/>
  <c r="V84" i="7"/>
  <c r="AJ84" i="7" s="1"/>
  <c r="U84" i="7"/>
  <c r="AH84" i="7" s="1"/>
  <c r="T84" i="7"/>
  <c r="S84" i="7"/>
  <c r="AF84" i="7" s="1"/>
  <c r="R84" i="7"/>
  <c r="AT84" i="7" s="1"/>
  <c r="Q84" i="7"/>
  <c r="P84" i="7"/>
  <c r="AB84" i="7" s="1"/>
  <c r="O84" i="7"/>
  <c r="BB84" i="7" s="1"/>
  <c r="N84" i="7"/>
  <c r="K84" i="7"/>
  <c r="J84" i="7"/>
  <c r="I84" i="7"/>
  <c r="M84" i="7" s="1"/>
  <c r="E84" i="7"/>
  <c r="D84" i="7"/>
  <c r="C84" i="7"/>
  <c r="B84" i="7"/>
  <c r="W83" i="7"/>
  <c r="V83" i="7"/>
  <c r="AJ83" i="7" s="1"/>
  <c r="U83" i="7"/>
  <c r="AH83" i="7" s="1"/>
  <c r="T83" i="7"/>
  <c r="S83" i="7"/>
  <c r="R83" i="7"/>
  <c r="Q83" i="7"/>
  <c r="P83" i="7"/>
  <c r="O83" i="7"/>
  <c r="N83" i="7"/>
  <c r="K83" i="7"/>
  <c r="J83" i="7"/>
  <c r="I83" i="7"/>
  <c r="M83" i="7" s="1"/>
  <c r="E83" i="7"/>
  <c r="D83" i="7"/>
  <c r="C83" i="7"/>
  <c r="B83" i="7"/>
  <c r="W82" i="7"/>
  <c r="V82" i="7"/>
  <c r="AJ82" i="7" s="1"/>
  <c r="U82" i="7"/>
  <c r="AH82" i="7" s="1"/>
  <c r="T82" i="7"/>
  <c r="S82" i="7"/>
  <c r="AF82" i="7" s="1"/>
  <c r="R82" i="7"/>
  <c r="AT82" i="7" s="1"/>
  <c r="Q82" i="7"/>
  <c r="P82" i="7"/>
  <c r="O82" i="7"/>
  <c r="Z82" i="7" s="1"/>
  <c r="N82" i="7"/>
  <c r="K82" i="7"/>
  <c r="J82" i="7"/>
  <c r="I82" i="7"/>
  <c r="M82" i="7" s="1"/>
  <c r="BF82" i="7" s="1"/>
  <c r="E82" i="7"/>
  <c r="D82" i="7"/>
  <c r="C82" i="7"/>
  <c r="B82" i="7"/>
  <c r="W81" i="7"/>
  <c r="V81" i="7"/>
  <c r="AJ81" i="7" s="1"/>
  <c r="U81" i="7"/>
  <c r="AH81" i="7" s="1"/>
  <c r="T81" i="7"/>
  <c r="S81" i="7"/>
  <c r="AV81" i="7" s="1"/>
  <c r="R81" i="7"/>
  <c r="AD81" i="7" s="1"/>
  <c r="Q81" i="7"/>
  <c r="P81" i="7"/>
  <c r="O81" i="7"/>
  <c r="N81" i="7"/>
  <c r="K81" i="7"/>
  <c r="J81" i="7"/>
  <c r="I81" i="7"/>
  <c r="M81" i="7" s="1"/>
  <c r="E81" i="7"/>
  <c r="D81" i="7"/>
  <c r="C81" i="7"/>
  <c r="B81" i="7"/>
  <c r="W80" i="7"/>
  <c r="V80" i="7"/>
  <c r="AJ80" i="7" s="1"/>
  <c r="U80" i="7"/>
  <c r="AH80" i="7" s="1"/>
  <c r="T80" i="7"/>
  <c r="S80" i="7"/>
  <c r="R80" i="7"/>
  <c r="AT80" i="7" s="1"/>
  <c r="Q80" i="7"/>
  <c r="P80" i="7"/>
  <c r="AB80" i="7" s="1"/>
  <c r="O80" i="7"/>
  <c r="N80" i="7"/>
  <c r="K80" i="7"/>
  <c r="J80" i="7"/>
  <c r="I80" i="7"/>
  <c r="M80" i="7" s="1"/>
  <c r="E80" i="7"/>
  <c r="D80" i="7"/>
  <c r="C80" i="7"/>
  <c r="B80" i="7"/>
  <c r="W79" i="7"/>
  <c r="V79" i="7"/>
  <c r="AJ79" i="7" s="1"/>
  <c r="U79" i="7"/>
  <c r="AH79" i="7" s="1"/>
  <c r="T79" i="7"/>
  <c r="S79" i="7"/>
  <c r="AV79" i="7" s="1"/>
  <c r="R79" i="7"/>
  <c r="AT79" i="7" s="1"/>
  <c r="Q79" i="7"/>
  <c r="P79" i="7"/>
  <c r="BD79" i="7" s="1"/>
  <c r="O79" i="7"/>
  <c r="BB79" i="7" s="1"/>
  <c r="N79" i="7"/>
  <c r="K79" i="7"/>
  <c r="J79" i="7"/>
  <c r="I79" i="7"/>
  <c r="M79" i="7" s="1"/>
  <c r="AX79" i="7" s="1"/>
  <c r="E79" i="7"/>
  <c r="D79" i="7"/>
  <c r="C79" i="7"/>
  <c r="B79" i="7"/>
  <c r="W78" i="7"/>
  <c r="V78" i="7"/>
  <c r="AJ78" i="7" s="1"/>
  <c r="U78" i="7"/>
  <c r="AH78" i="7" s="1"/>
  <c r="T78" i="7"/>
  <c r="S78" i="7"/>
  <c r="AV78" i="7" s="1"/>
  <c r="R78" i="7"/>
  <c r="AT78" i="7" s="1"/>
  <c r="Q78" i="7"/>
  <c r="P78" i="7"/>
  <c r="AR78" i="7" s="1"/>
  <c r="O78" i="7"/>
  <c r="N78" i="7"/>
  <c r="K78" i="7"/>
  <c r="J78" i="7"/>
  <c r="I78" i="7"/>
  <c r="M78" i="7" s="1"/>
  <c r="E78" i="7"/>
  <c r="D78" i="7"/>
  <c r="C78" i="7"/>
  <c r="B78" i="7"/>
  <c r="W77" i="7"/>
  <c r="V77" i="7"/>
  <c r="AJ77" i="7" s="1"/>
  <c r="U77" i="7"/>
  <c r="AH77" i="7" s="1"/>
  <c r="T77" i="7"/>
  <c r="S77" i="7"/>
  <c r="AV77" i="7" s="1"/>
  <c r="R77" i="7"/>
  <c r="AD77" i="7" s="1"/>
  <c r="Q77" i="7"/>
  <c r="P77" i="7"/>
  <c r="BD77" i="7" s="1"/>
  <c r="O77" i="7"/>
  <c r="BB77" i="7" s="1"/>
  <c r="N77" i="7"/>
  <c r="K77" i="7"/>
  <c r="J77" i="7"/>
  <c r="I77" i="7"/>
  <c r="M77" i="7" s="1"/>
  <c r="BF77" i="7" s="1"/>
  <c r="E77" i="7"/>
  <c r="D77" i="7"/>
  <c r="C77" i="7"/>
  <c r="B77" i="7"/>
  <c r="W76" i="7"/>
  <c r="V76" i="7"/>
  <c r="AJ76" i="7" s="1"/>
  <c r="U76" i="7"/>
  <c r="AH76" i="7" s="1"/>
  <c r="T76" i="7"/>
  <c r="S76" i="7"/>
  <c r="AF76" i="7" s="1"/>
  <c r="R76" i="7"/>
  <c r="AT76" i="7" s="1"/>
  <c r="Q76" i="7"/>
  <c r="P76" i="7"/>
  <c r="AB76" i="7" s="1"/>
  <c r="O76" i="7"/>
  <c r="BB76" i="7" s="1"/>
  <c r="N76" i="7"/>
  <c r="K76" i="7"/>
  <c r="J76" i="7"/>
  <c r="I76" i="7"/>
  <c r="M76" i="7" s="1"/>
  <c r="AL76" i="7" s="1"/>
  <c r="E76" i="7"/>
  <c r="D76" i="7"/>
  <c r="C76" i="7"/>
  <c r="B76" i="7"/>
  <c r="W75" i="7"/>
  <c r="V75" i="7"/>
  <c r="AJ75" i="7" s="1"/>
  <c r="U75" i="7"/>
  <c r="AH75" i="7" s="1"/>
  <c r="T75" i="7"/>
  <c r="S75" i="7"/>
  <c r="AF75" i="7" s="1"/>
  <c r="R75" i="7"/>
  <c r="Q75" i="7"/>
  <c r="P75" i="7"/>
  <c r="O75" i="7"/>
  <c r="AP75" i="7" s="1"/>
  <c r="N75" i="7"/>
  <c r="K75" i="7"/>
  <c r="J75" i="7"/>
  <c r="I75" i="7"/>
  <c r="M75" i="7" s="1"/>
  <c r="BF75" i="7" s="1"/>
  <c r="E75" i="7"/>
  <c r="D75" i="7"/>
  <c r="C75" i="7"/>
  <c r="B75" i="7"/>
  <c r="W74" i="7"/>
  <c r="V74" i="7"/>
  <c r="AJ74" i="7" s="1"/>
  <c r="U74" i="7"/>
  <c r="AH74" i="7" s="1"/>
  <c r="T74" i="7"/>
  <c r="S74" i="7"/>
  <c r="R74" i="7"/>
  <c r="AT74" i="7" s="1"/>
  <c r="Q74" i="7"/>
  <c r="P74" i="7"/>
  <c r="AR74" i="7" s="1"/>
  <c r="O74" i="7"/>
  <c r="BB74" i="7" s="1"/>
  <c r="N74" i="7"/>
  <c r="K74" i="7"/>
  <c r="J74" i="7"/>
  <c r="I74" i="7"/>
  <c r="M74" i="7" s="1"/>
  <c r="BF74" i="7" s="1"/>
  <c r="E74" i="7"/>
  <c r="D74" i="7"/>
  <c r="C74" i="7"/>
  <c r="B74" i="7"/>
  <c r="W73" i="7"/>
  <c r="V73" i="7"/>
  <c r="AJ73" i="7" s="1"/>
  <c r="U73" i="7"/>
  <c r="AH73" i="7" s="1"/>
  <c r="T73" i="7"/>
  <c r="S73" i="7"/>
  <c r="AV73" i="7" s="1"/>
  <c r="R73" i="7"/>
  <c r="AT73" i="7" s="1"/>
  <c r="Q73" i="7"/>
  <c r="P73" i="7"/>
  <c r="O73" i="7"/>
  <c r="Z73" i="7" s="1"/>
  <c r="N73" i="7"/>
  <c r="K73" i="7"/>
  <c r="J73" i="7"/>
  <c r="I73" i="7"/>
  <c r="M73" i="7" s="1"/>
  <c r="E73" i="7"/>
  <c r="D73" i="7"/>
  <c r="C73" i="7"/>
  <c r="B73" i="7"/>
  <c r="W72" i="7"/>
  <c r="V72" i="7"/>
  <c r="AJ72" i="7" s="1"/>
  <c r="U72" i="7"/>
  <c r="AH72" i="7" s="1"/>
  <c r="T72" i="7"/>
  <c r="S72" i="7"/>
  <c r="AF72" i="7" s="1"/>
  <c r="R72" i="7"/>
  <c r="AD72" i="7" s="1"/>
  <c r="Q72" i="7"/>
  <c r="P72" i="7"/>
  <c r="AB72" i="7" s="1"/>
  <c r="O72" i="7"/>
  <c r="N72" i="7"/>
  <c r="K72" i="7"/>
  <c r="J72" i="7"/>
  <c r="I72" i="7"/>
  <c r="M72" i="7" s="1"/>
  <c r="E72" i="7"/>
  <c r="D72" i="7"/>
  <c r="C72" i="7"/>
  <c r="B72" i="7"/>
  <c r="W71" i="7"/>
  <c r="V71" i="7"/>
  <c r="AJ71" i="7" s="1"/>
  <c r="U71" i="7"/>
  <c r="AH71" i="7" s="1"/>
  <c r="T71" i="7"/>
  <c r="S71" i="7"/>
  <c r="AV71" i="7" s="1"/>
  <c r="R71" i="7"/>
  <c r="AD71" i="7" s="1"/>
  <c r="Q71" i="7"/>
  <c r="P71" i="7"/>
  <c r="BD71" i="7" s="1"/>
  <c r="O71" i="7"/>
  <c r="BB71" i="7" s="1"/>
  <c r="N71" i="7"/>
  <c r="K71" i="7"/>
  <c r="J71" i="7"/>
  <c r="I71" i="7"/>
  <c r="M71" i="7" s="1"/>
  <c r="AL71" i="7" s="1"/>
  <c r="E71" i="7"/>
  <c r="D71" i="7"/>
  <c r="C71" i="7"/>
  <c r="B71" i="7"/>
  <c r="W70" i="7"/>
  <c r="V70" i="7"/>
  <c r="AJ70" i="7" s="1"/>
  <c r="U70" i="7"/>
  <c r="AH70" i="7" s="1"/>
  <c r="T70" i="7"/>
  <c r="S70" i="7"/>
  <c r="AV70" i="7" s="1"/>
  <c r="R70" i="7"/>
  <c r="AT70" i="7" s="1"/>
  <c r="Q70" i="7"/>
  <c r="P70" i="7"/>
  <c r="AR70" i="7" s="1"/>
  <c r="O70" i="7"/>
  <c r="N70" i="7"/>
  <c r="K70" i="7"/>
  <c r="J70" i="7"/>
  <c r="I70" i="7"/>
  <c r="M70" i="7" s="1"/>
  <c r="E70" i="7"/>
  <c r="D70" i="7"/>
  <c r="C70" i="7"/>
  <c r="B70" i="7"/>
  <c r="W69" i="7"/>
  <c r="V69" i="7"/>
  <c r="AJ69" i="7" s="1"/>
  <c r="U69" i="7"/>
  <c r="AH69" i="7" s="1"/>
  <c r="T69" i="7"/>
  <c r="S69" i="7"/>
  <c r="AV69" i="7" s="1"/>
  <c r="R69" i="7"/>
  <c r="AD69" i="7" s="1"/>
  <c r="Q69" i="7"/>
  <c r="P69" i="7"/>
  <c r="O69" i="7"/>
  <c r="Z69" i="7" s="1"/>
  <c r="N69" i="7"/>
  <c r="K69" i="7"/>
  <c r="J69" i="7"/>
  <c r="I69" i="7"/>
  <c r="M69" i="7" s="1"/>
  <c r="BF69" i="7" s="1"/>
  <c r="E69" i="7"/>
  <c r="D69" i="7"/>
  <c r="C69" i="7"/>
  <c r="B69" i="7"/>
  <c r="W68" i="7"/>
  <c r="V68" i="7"/>
  <c r="AJ68" i="7" s="1"/>
  <c r="U68" i="7"/>
  <c r="AH68" i="7" s="1"/>
  <c r="T68" i="7"/>
  <c r="S68" i="7"/>
  <c r="R68" i="7"/>
  <c r="AT68" i="7" s="1"/>
  <c r="Q68" i="7"/>
  <c r="P68" i="7"/>
  <c r="AB68" i="7" s="1"/>
  <c r="O68" i="7"/>
  <c r="BB68" i="7" s="1"/>
  <c r="N68" i="7"/>
  <c r="K68" i="7"/>
  <c r="J68" i="7"/>
  <c r="I68" i="7"/>
  <c r="M68" i="7" s="1"/>
  <c r="E68" i="7"/>
  <c r="D68" i="7"/>
  <c r="C68" i="7"/>
  <c r="B68" i="7"/>
  <c r="W67" i="7"/>
  <c r="V67" i="7"/>
  <c r="AJ67" i="7" s="1"/>
  <c r="U67" i="7"/>
  <c r="AH67" i="7" s="1"/>
  <c r="T67" i="7"/>
  <c r="S67" i="7"/>
  <c r="AV67" i="7" s="1"/>
  <c r="R67" i="7"/>
  <c r="AT67" i="7" s="1"/>
  <c r="Q67" i="7"/>
  <c r="P67" i="7"/>
  <c r="O67" i="7"/>
  <c r="BB67" i="7" s="1"/>
  <c r="N67" i="7"/>
  <c r="K67" i="7"/>
  <c r="J67" i="7"/>
  <c r="I67" i="7"/>
  <c r="M67" i="7" s="1"/>
  <c r="BF67" i="7" s="1"/>
  <c r="E67" i="7"/>
  <c r="D67" i="7"/>
  <c r="C67" i="7"/>
  <c r="B67" i="7"/>
  <c r="W66" i="7"/>
  <c r="V66" i="7"/>
  <c r="AJ66" i="7" s="1"/>
  <c r="U66" i="7"/>
  <c r="AH66" i="7" s="1"/>
  <c r="T66" i="7"/>
  <c r="S66" i="7"/>
  <c r="R66" i="7"/>
  <c r="AT66" i="7" s="1"/>
  <c r="Q66" i="7"/>
  <c r="P66" i="7"/>
  <c r="O66" i="7"/>
  <c r="N66" i="7"/>
  <c r="K66" i="7"/>
  <c r="J66" i="7"/>
  <c r="I66" i="7"/>
  <c r="M66" i="7" s="1"/>
  <c r="E66" i="7"/>
  <c r="D66" i="7"/>
  <c r="C66" i="7"/>
  <c r="B66" i="7"/>
  <c r="W65" i="7"/>
  <c r="V65" i="7"/>
  <c r="AJ65" i="7" s="1"/>
  <c r="U65" i="7"/>
  <c r="AH65" i="7" s="1"/>
  <c r="T65" i="7"/>
  <c r="S65" i="7"/>
  <c r="AV65" i="7" s="1"/>
  <c r="R65" i="7"/>
  <c r="AT65" i="7" s="1"/>
  <c r="Q65" i="7"/>
  <c r="P65" i="7"/>
  <c r="BD65" i="7" s="1"/>
  <c r="O65" i="7"/>
  <c r="BB65" i="7" s="1"/>
  <c r="N65" i="7"/>
  <c r="K65" i="7"/>
  <c r="J65" i="7"/>
  <c r="I65" i="7"/>
  <c r="M65" i="7" s="1"/>
  <c r="AX65" i="7" s="1"/>
  <c r="E65" i="7"/>
  <c r="D65" i="7"/>
  <c r="C65" i="7"/>
  <c r="B65" i="7"/>
  <c r="W64" i="7"/>
  <c r="V64" i="7"/>
  <c r="AJ64" i="7" s="1"/>
  <c r="U64" i="7"/>
  <c r="AH64" i="7" s="1"/>
  <c r="T64" i="7"/>
  <c r="S64" i="7"/>
  <c r="AF64" i="7" s="1"/>
  <c r="R64" i="7"/>
  <c r="AD64" i="7" s="1"/>
  <c r="Q64" i="7"/>
  <c r="P64" i="7"/>
  <c r="AR64" i="7" s="1"/>
  <c r="O64" i="7"/>
  <c r="N64" i="7"/>
  <c r="K64" i="7"/>
  <c r="J64" i="7"/>
  <c r="I64" i="7"/>
  <c r="M64" i="7" s="1"/>
  <c r="E64" i="7"/>
  <c r="D64" i="7"/>
  <c r="C64" i="7"/>
  <c r="B64" i="7"/>
  <c r="W63" i="7"/>
  <c r="V63" i="7"/>
  <c r="AJ63" i="7" s="1"/>
  <c r="U63" i="7"/>
  <c r="AH63" i="7" s="1"/>
  <c r="T63" i="7"/>
  <c r="S63" i="7"/>
  <c r="AF63" i="7" s="1"/>
  <c r="R63" i="7"/>
  <c r="AT63" i="7" s="1"/>
  <c r="Q63" i="7"/>
  <c r="P63" i="7"/>
  <c r="O63" i="7"/>
  <c r="BB63" i="7" s="1"/>
  <c r="N63" i="7"/>
  <c r="K63" i="7"/>
  <c r="J63" i="7"/>
  <c r="I63" i="7"/>
  <c r="M63" i="7" s="1"/>
  <c r="AL63" i="7" s="1"/>
  <c r="E63" i="7"/>
  <c r="D63" i="7"/>
  <c r="C63" i="7"/>
  <c r="B63" i="7"/>
  <c r="W62" i="7"/>
  <c r="V62" i="7"/>
  <c r="AJ62" i="7" s="1"/>
  <c r="U62" i="7"/>
  <c r="AH62" i="7" s="1"/>
  <c r="T62" i="7"/>
  <c r="S62" i="7"/>
  <c r="AF62" i="7" s="1"/>
  <c r="R62" i="7"/>
  <c r="AD62" i="7" s="1"/>
  <c r="Q62" i="7"/>
  <c r="P62" i="7"/>
  <c r="AR62" i="7" s="1"/>
  <c r="O62" i="7"/>
  <c r="BB62" i="7" s="1"/>
  <c r="N62" i="7"/>
  <c r="K62" i="7"/>
  <c r="J62" i="7"/>
  <c r="I62" i="7"/>
  <c r="M62" i="7" s="1"/>
  <c r="AX62" i="7" s="1"/>
  <c r="E62" i="7"/>
  <c r="D62" i="7"/>
  <c r="C62" i="7"/>
  <c r="B62" i="7"/>
  <c r="W61" i="7"/>
  <c r="V61" i="7"/>
  <c r="AJ61" i="7" s="1"/>
  <c r="U61" i="7"/>
  <c r="AH61" i="7" s="1"/>
  <c r="T61" i="7"/>
  <c r="S61" i="7"/>
  <c r="AV61" i="7" s="1"/>
  <c r="R61" i="7"/>
  <c r="AD61" i="7" s="1"/>
  <c r="Q61" i="7"/>
  <c r="P61" i="7"/>
  <c r="AR61" i="7" s="1"/>
  <c r="O61" i="7"/>
  <c r="Z61" i="7" s="1"/>
  <c r="N61" i="7"/>
  <c r="K61" i="7"/>
  <c r="J61" i="7"/>
  <c r="I61" i="7"/>
  <c r="M61" i="7" s="1"/>
  <c r="E61" i="7"/>
  <c r="D61" i="7"/>
  <c r="C61" i="7"/>
  <c r="B61" i="7"/>
  <c r="W60" i="7"/>
  <c r="V60" i="7"/>
  <c r="AJ60" i="7" s="1"/>
  <c r="U60" i="7"/>
  <c r="AH60" i="7" s="1"/>
  <c r="T60" i="7"/>
  <c r="S60" i="7"/>
  <c r="AF60" i="7" s="1"/>
  <c r="R60" i="7"/>
  <c r="AT60" i="7" s="1"/>
  <c r="Q60" i="7"/>
  <c r="P60" i="7"/>
  <c r="AR60" i="7" s="1"/>
  <c r="O60" i="7"/>
  <c r="N60" i="7"/>
  <c r="K60" i="7"/>
  <c r="J60" i="7"/>
  <c r="I60" i="7"/>
  <c r="M60" i="7" s="1"/>
  <c r="BF60" i="7" s="1"/>
  <c r="E60" i="7"/>
  <c r="D60" i="7"/>
  <c r="C60" i="7"/>
  <c r="B60" i="7"/>
  <c r="W59" i="7"/>
  <c r="V59" i="7"/>
  <c r="AJ59" i="7" s="1"/>
  <c r="U59" i="7"/>
  <c r="AH59" i="7" s="1"/>
  <c r="T59" i="7"/>
  <c r="S59" i="7"/>
  <c r="AV59" i="7" s="1"/>
  <c r="R59" i="7"/>
  <c r="AD59" i="7" s="1"/>
  <c r="Q59" i="7"/>
  <c r="P59" i="7"/>
  <c r="AR59" i="7" s="1"/>
  <c r="O59" i="7"/>
  <c r="AP59" i="7" s="1"/>
  <c r="N59" i="7"/>
  <c r="K59" i="7"/>
  <c r="J59" i="7"/>
  <c r="I59" i="7"/>
  <c r="M59" i="7" s="1"/>
  <c r="E59" i="7"/>
  <c r="D59" i="7"/>
  <c r="C59" i="7"/>
  <c r="B59" i="7"/>
  <c r="W58" i="7"/>
  <c r="V58" i="7"/>
  <c r="AJ58" i="7" s="1"/>
  <c r="U58" i="7"/>
  <c r="AH58" i="7" s="1"/>
  <c r="T58" i="7"/>
  <c r="S58" i="7"/>
  <c r="AV58" i="7" s="1"/>
  <c r="R58" i="7"/>
  <c r="AT58" i="7" s="1"/>
  <c r="Q58" i="7"/>
  <c r="P58" i="7"/>
  <c r="AR58" i="7" s="1"/>
  <c r="O58" i="7"/>
  <c r="Z58" i="7" s="1"/>
  <c r="N58" i="7"/>
  <c r="K58" i="7"/>
  <c r="J58" i="7"/>
  <c r="I58" i="7"/>
  <c r="M58" i="7" s="1"/>
  <c r="E58" i="7"/>
  <c r="D58" i="7"/>
  <c r="C58" i="7"/>
  <c r="B58" i="7"/>
  <c r="W57" i="7"/>
  <c r="V57" i="7"/>
  <c r="AJ57" i="7" s="1"/>
  <c r="U57" i="7"/>
  <c r="AH57" i="7" s="1"/>
  <c r="T57" i="7"/>
  <c r="S57" i="7"/>
  <c r="AV57" i="7" s="1"/>
  <c r="R57" i="7"/>
  <c r="AT57" i="7" s="1"/>
  <c r="Q57" i="7"/>
  <c r="P57" i="7"/>
  <c r="O57" i="7"/>
  <c r="AP57" i="7" s="1"/>
  <c r="N57" i="7"/>
  <c r="K57" i="7"/>
  <c r="J57" i="7"/>
  <c r="I57" i="7"/>
  <c r="M57" i="7" s="1"/>
  <c r="E57" i="7"/>
  <c r="D57" i="7"/>
  <c r="C57" i="7"/>
  <c r="B57" i="7"/>
  <c r="W56" i="7"/>
  <c r="V56" i="7"/>
  <c r="AJ56" i="7" s="1"/>
  <c r="U56" i="7"/>
  <c r="AH56" i="7" s="1"/>
  <c r="T56" i="7"/>
  <c r="S56" i="7"/>
  <c r="AV56" i="7" s="1"/>
  <c r="R56" i="7"/>
  <c r="AT56" i="7" s="1"/>
  <c r="Q56" i="7"/>
  <c r="P56" i="7"/>
  <c r="AR56" i="7" s="1"/>
  <c r="O56" i="7"/>
  <c r="AP56" i="7" s="1"/>
  <c r="N56" i="7"/>
  <c r="K56" i="7"/>
  <c r="J56" i="7"/>
  <c r="I56" i="7"/>
  <c r="M56" i="7" s="1"/>
  <c r="E56" i="7"/>
  <c r="D56" i="7"/>
  <c r="C56" i="7"/>
  <c r="B56" i="7"/>
  <c r="W55" i="7"/>
  <c r="V55" i="7"/>
  <c r="AJ55" i="7" s="1"/>
  <c r="U55" i="7"/>
  <c r="AH55" i="7" s="1"/>
  <c r="T55" i="7"/>
  <c r="S55" i="7"/>
  <c r="AV55" i="7" s="1"/>
  <c r="R55" i="7"/>
  <c r="AD55" i="7" s="1"/>
  <c r="Q55" i="7"/>
  <c r="P55" i="7"/>
  <c r="BD55" i="7" s="1"/>
  <c r="O55" i="7"/>
  <c r="BB55" i="7" s="1"/>
  <c r="N55" i="7"/>
  <c r="K55" i="7"/>
  <c r="J55" i="7"/>
  <c r="I55" i="7"/>
  <c r="M55" i="7" s="1"/>
  <c r="BF55" i="7" s="1"/>
  <c r="E55" i="7"/>
  <c r="D55" i="7"/>
  <c r="C55" i="7"/>
  <c r="B55" i="7"/>
  <c r="W54" i="7"/>
  <c r="V54" i="7"/>
  <c r="AJ54" i="7" s="1"/>
  <c r="U54" i="7"/>
  <c r="AH54" i="7" s="1"/>
  <c r="T54" i="7"/>
  <c r="S54" i="7"/>
  <c r="AV54" i="7" s="1"/>
  <c r="R54" i="7"/>
  <c r="AT54" i="7" s="1"/>
  <c r="Q54" i="7"/>
  <c r="P54" i="7"/>
  <c r="AR54" i="7" s="1"/>
  <c r="O54" i="7"/>
  <c r="BB54" i="7" s="1"/>
  <c r="N54" i="7"/>
  <c r="K54" i="7"/>
  <c r="J54" i="7"/>
  <c r="I54" i="7"/>
  <c r="M54" i="7" s="1"/>
  <c r="E54" i="7"/>
  <c r="D54" i="7"/>
  <c r="C54" i="7"/>
  <c r="B54" i="7"/>
  <c r="W53" i="7"/>
  <c r="V53" i="7"/>
  <c r="AJ53" i="7" s="1"/>
  <c r="U53" i="7"/>
  <c r="AH53" i="7" s="1"/>
  <c r="T53" i="7"/>
  <c r="S53" i="7"/>
  <c r="AF53" i="7" s="1"/>
  <c r="R53" i="7"/>
  <c r="Q53" i="7"/>
  <c r="P53" i="7"/>
  <c r="AB53" i="7" s="1"/>
  <c r="O53" i="7"/>
  <c r="AP53" i="7" s="1"/>
  <c r="N53" i="7"/>
  <c r="K53" i="7"/>
  <c r="J53" i="7"/>
  <c r="I53" i="7"/>
  <c r="M53" i="7" s="1"/>
  <c r="AX53" i="7" s="1"/>
  <c r="E53" i="7"/>
  <c r="D53" i="7"/>
  <c r="C53" i="7"/>
  <c r="B53" i="7"/>
  <c r="W52" i="7"/>
  <c r="V52" i="7"/>
  <c r="AJ52" i="7" s="1"/>
  <c r="U52" i="7"/>
  <c r="AH52" i="7" s="1"/>
  <c r="T52" i="7"/>
  <c r="S52" i="7"/>
  <c r="AV52" i="7" s="1"/>
  <c r="R52" i="7"/>
  <c r="AT52" i="7" s="1"/>
  <c r="Q52" i="7"/>
  <c r="P52" i="7"/>
  <c r="AB52" i="7" s="1"/>
  <c r="O52" i="7"/>
  <c r="BB52" i="7" s="1"/>
  <c r="N52" i="7"/>
  <c r="K52" i="7"/>
  <c r="J52" i="7"/>
  <c r="I52" i="7"/>
  <c r="M52" i="7" s="1"/>
  <c r="E52" i="7"/>
  <c r="D52" i="7"/>
  <c r="C52" i="7"/>
  <c r="B52" i="7"/>
  <c r="W51" i="7"/>
  <c r="V51" i="7"/>
  <c r="AJ51" i="7" s="1"/>
  <c r="U51" i="7"/>
  <c r="AH51" i="7" s="1"/>
  <c r="T51" i="7"/>
  <c r="S51" i="7"/>
  <c r="AV51" i="7" s="1"/>
  <c r="R51" i="7"/>
  <c r="AT51" i="7" s="1"/>
  <c r="Q51" i="7"/>
  <c r="P51" i="7"/>
  <c r="AR51" i="7" s="1"/>
  <c r="O51" i="7"/>
  <c r="AP51" i="7" s="1"/>
  <c r="N51" i="7"/>
  <c r="K51" i="7"/>
  <c r="J51" i="7"/>
  <c r="I51" i="7"/>
  <c r="M51" i="7" s="1"/>
  <c r="E51" i="7"/>
  <c r="D51" i="7"/>
  <c r="C51" i="7"/>
  <c r="B51" i="7"/>
  <c r="W50" i="7"/>
  <c r="V50" i="7"/>
  <c r="AJ50" i="7" s="1"/>
  <c r="U50" i="7"/>
  <c r="AH50" i="7" s="1"/>
  <c r="T50" i="7"/>
  <c r="S50" i="7"/>
  <c r="AF50" i="7" s="1"/>
  <c r="R50" i="7"/>
  <c r="AD50" i="7" s="1"/>
  <c r="Q50" i="7"/>
  <c r="P50" i="7"/>
  <c r="BD50" i="7" s="1"/>
  <c r="O50" i="7"/>
  <c r="Z50" i="7" s="1"/>
  <c r="N50" i="7"/>
  <c r="K50" i="7"/>
  <c r="J50" i="7"/>
  <c r="I50" i="7"/>
  <c r="M50" i="7" s="1"/>
  <c r="AL50" i="7" s="1"/>
  <c r="E50" i="7"/>
  <c r="D50" i="7"/>
  <c r="C50" i="7"/>
  <c r="B50" i="7"/>
  <c r="W49" i="7"/>
  <c r="V49" i="7"/>
  <c r="AJ49" i="7" s="1"/>
  <c r="U49" i="7"/>
  <c r="AH49" i="7" s="1"/>
  <c r="T49" i="7"/>
  <c r="S49" i="7"/>
  <c r="AV49" i="7" s="1"/>
  <c r="R49" i="7"/>
  <c r="AT49" i="7" s="1"/>
  <c r="Q49" i="7"/>
  <c r="P49" i="7"/>
  <c r="BD49" i="7" s="1"/>
  <c r="O49" i="7"/>
  <c r="N49" i="7"/>
  <c r="K49" i="7"/>
  <c r="J49" i="7"/>
  <c r="I49" i="7"/>
  <c r="M49" i="7" s="1"/>
  <c r="E49" i="7"/>
  <c r="D49" i="7"/>
  <c r="C49" i="7"/>
  <c r="B49" i="7"/>
  <c r="W48" i="7"/>
  <c r="V48" i="7"/>
  <c r="AJ48" i="7" s="1"/>
  <c r="U48" i="7"/>
  <c r="AH48" i="7" s="1"/>
  <c r="T48" i="7"/>
  <c r="S48" i="7"/>
  <c r="R48" i="7"/>
  <c r="AT48" i="7" s="1"/>
  <c r="Q48" i="7"/>
  <c r="P48" i="7"/>
  <c r="O48" i="7"/>
  <c r="Z48" i="7" s="1"/>
  <c r="N48" i="7"/>
  <c r="K48" i="7"/>
  <c r="J48" i="7"/>
  <c r="I48" i="7"/>
  <c r="M48" i="7" s="1"/>
  <c r="E48" i="7"/>
  <c r="D48" i="7"/>
  <c r="C48" i="7"/>
  <c r="B48" i="7"/>
  <c r="W47" i="7"/>
  <c r="V47" i="7"/>
  <c r="AJ47" i="7" s="1"/>
  <c r="U47" i="7"/>
  <c r="AH47" i="7" s="1"/>
  <c r="T47" i="7"/>
  <c r="S47" i="7"/>
  <c r="AV47" i="7" s="1"/>
  <c r="R47" i="7"/>
  <c r="AT47" i="7" s="1"/>
  <c r="Q47" i="7"/>
  <c r="P47" i="7"/>
  <c r="BD47" i="7" s="1"/>
  <c r="O47" i="7"/>
  <c r="BB47" i="7" s="1"/>
  <c r="N47" i="7"/>
  <c r="K47" i="7"/>
  <c r="J47" i="7"/>
  <c r="I47" i="7"/>
  <c r="M47" i="7" s="1"/>
  <c r="E47" i="7"/>
  <c r="D47" i="7"/>
  <c r="C47" i="7"/>
  <c r="B47" i="7"/>
  <c r="W46" i="7"/>
  <c r="V46" i="7"/>
  <c r="AJ46" i="7" s="1"/>
  <c r="U46" i="7"/>
  <c r="AH46" i="7" s="1"/>
  <c r="T46" i="7"/>
  <c r="S46" i="7"/>
  <c r="AV46" i="7" s="1"/>
  <c r="R46" i="7"/>
  <c r="Q46" i="7"/>
  <c r="P46" i="7"/>
  <c r="O46" i="7"/>
  <c r="AP46" i="7" s="1"/>
  <c r="N46" i="7"/>
  <c r="K46" i="7"/>
  <c r="J46" i="7"/>
  <c r="I46" i="7"/>
  <c r="M46" i="7" s="1"/>
  <c r="E46" i="7"/>
  <c r="D46" i="7"/>
  <c r="C46" i="7"/>
  <c r="B46" i="7"/>
  <c r="W45" i="7"/>
  <c r="V45" i="7"/>
  <c r="AJ45" i="7" s="1"/>
  <c r="U45" i="7"/>
  <c r="AH45" i="7" s="1"/>
  <c r="T45" i="7"/>
  <c r="S45" i="7"/>
  <c r="AF45" i="7" s="1"/>
  <c r="R45" i="7"/>
  <c r="AD45" i="7" s="1"/>
  <c r="Q45" i="7"/>
  <c r="P45" i="7"/>
  <c r="BD45" i="7" s="1"/>
  <c r="O45" i="7"/>
  <c r="N45" i="7"/>
  <c r="K45" i="7"/>
  <c r="J45" i="7"/>
  <c r="I45" i="7"/>
  <c r="M45" i="7" s="1"/>
  <c r="E45" i="7"/>
  <c r="D45" i="7"/>
  <c r="C45" i="7"/>
  <c r="B45" i="7"/>
  <c r="W44" i="7"/>
  <c r="V44" i="7"/>
  <c r="AJ44" i="7" s="1"/>
  <c r="U44" i="7"/>
  <c r="AH44" i="7" s="1"/>
  <c r="T44" i="7"/>
  <c r="S44" i="7"/>
  <c r="AV44" i="7" s="1"/>
  <c r="R44" i="7"/>
  <c r="AD44" i="7" s="1"/>
  <c r="Q44" i="7"/>
  <c r="P44" i="7"/>
  <c r="BD44" i="7" s="1"/>
  <c r="O44" i="7"/>
  <c r="N44" i="7"/>
  <c r="K44" i="7"/>
  <c r="J44" i="7"/>
  <c r="I44" i="7"/>
  <c r="M44" i="7" s="1"/>
  <c r="E44" i="7"/>
  <c r="D44" i="7"/>
  <c r="C44" i="7"/>
  <c r="B44" i="7"/>
  <c r="W43" i="7"/>
  <c r="V43" i="7"/>
  <c r="AJ43" i="7" s="1"/>
  <c r="U43" i="7"/>
  <c r="AH43" i="7" s="1"/>
  <c r="T43" i="7"/>
  <c r="S43" i="7"/>
  <c r="AV43" i="7" s="1"/>
  <c r="R43" i="7"/>
  <c r="AT43" i="7" s="1"/>
  <c r="Q43" i="7"/>
  <c r="P43" i="7"/>
  <c r="AB43" i="7" s="1"/>
  <c r="O43" i="7"/>
  <c r="N43" i="7"/>
  <c r="K43" i="7"/>
  <c r="J43" i="7"/>
  <c r="I43" i="7"/>
  <c r="M43" i="7" s="1"/>
  <c r="E43" i="7"/>
  <c r="D43" i="7"/>
  <c r="C43" i="7"/>
  <c r="B43" i="7"/>
  <c r="W42" i="7"/>
  <c r="V42" i="7"/>
  <c r="AJ42" i="7" s="1"/>
  <c r="U42" i="7"/>
  <c r="AH42" i="7" s="1"/>
  <c r="T42" i="7"/>
  <c r="S42" i="7"/>
  <c r="AV42" i="7" s="1"/>
  <c r="R42" i="7"/>
  <c r="AT42" i="7" s="1"/>
  <c r="Q42" i="7"/>
  <c r="P42" i="7"/>
  <c r="O42" i="7"/>
  <c r="BB42" i="7" s="1"/>
  <c r="N42" i="7"/>
  <c r="K42" i="7"/>
  <c r="J42" i="7"/>
  <c r="I42" i="7"/>
  <c r="M42" i="7" s="1"/>
  <c r="E42" i="7"/>
  <c r="D42" i="7"/>
  <c r="C42" i="7"/>
  <c r="B42" i="7"/>
  <c r="W41" i="7"/>
  <c r="V41" i="7"/>
  <c r="AJ41" i="7" s="1"/>
  <c r="U41" i="7"/>
  <c r="AH41" i="7" s="1"/>
  <c r="T41" i="7"/>
  <c r="S41" i="7"/>
  <c r="AV41" i="7" s="1"/>
  <c r="R41" i="7"/>
  <c r="AT41" i="7" s="1"/>
  <c r="Q41" i="7"/>
  <c r="P41" i="7"/>
  <c r="O41" i="7"/>
  <c r="AP41" i="7" s="1"/>
  <c r="N41" i="7"/>
  <c r="K41" i="7"/>
  <c r="J41" i="7"/>
  <c r="I41" i="7"/>
  <c r="M41" i="7" s="1"/>
  <c r="AX41" i="7" s="1"/>
  <c r="E41" i="7"/>
  <c r="D41" i="7"/>
  <c r="C41" i="7"/>
  <c r="B41" i="7"/>
  <c r="W40" i="7"/>
  <c r="V40" i="7"/>
  <c r="AJ40" i="7" s="1"/>
  <c r="U40" i="7"/>
  <c r="AH40" i="7" s="1"/>
  <c r="T40" i="7"/>
  <c r="S40" i="7"/>
  <c r="AF40" i="7" s="1"/>
  <c r="R40" i="7"/>
  <c r="AT40" i="7" s="1"/>
  <c r="Q40" i="7"/>
  <c r="P40" i="7"/>
  <c r="O40" i="7"/>
  <c r="Z40" i="7" s="1"/>
  <c r="N40" i="7"/>
  <c r="K40" i="7"/>
  <c r="J40" i="7"/>
  <c r="I40" i="7"/>
  <c r="M40" i="7" s="1"/>
  <c r="AL40" i="7" s="1"/>
  <c r="E40" i="7"/>
  <c r="D40" i="7"/>
  <c r="C40" i="7"/>
  <c r="B40" i="7"/>
  <c r="W39" i="7"/>
  <c r="V39" i="7"/>
  <c r="AJ39" i="7" s="1"/>
  <c r="U39" i="7"/>
  <c r="AH39" i="7" s="1"/>
  <c r="T39" i="7"/>
  <c r="S39" i="7"/>
  <c r="AV39" i="7" s="1"/>
  <c r="R39" i="7"/>
  <c r="AD39" i="7" s="1"/>
  <c r="Q39" i="7"/>
  <c r="P39" i="7"/>
  <c r="BD39" i="7" s="1"/>
  <c r="O39" i="7"/>
  <c r="BB39" i="7" s="1"/>
  <c r="N39" i="7"/>
  <c r="K39" i="7"/>
  <c r="J39" i="7"/>
  <c r="I39" i="7"/>
  <c r="M39" i="7" s="1"/>
  <c r="E39" i="7"/>
  <c r="D39" i="7"/>
  <c r="C39" i="7"/>
  <c r="B39" i="7"/>
  <c r="W38" i="7"/>
  <c r="V38" i="7"/>
  <c r="AJ38" i="7" s="1"/>
  <c r="U38" i="7"/>
  <c r="AH38" i="7" s="1"/>
  <c r="T38" i="7"/>
  <c r="S38" i="7"/>
  <c r="AV38" i="7" s="1"/>
  <c r="R38" i="7"/>
  <c r="Q38" i="7"/>
  <c r="P38" i="7"/>
  <c r="BD38" i="7" s="1"/>
  <c r="O38" i="7"/>
  <c r="AP38" i="7" s="1"/>
  <c r="N38" i="7"/>
  <c r="K38" i="7"/>
  <c r="J38" i="7"/>
  <c r="I38" i="7"/>
  <c r="M38" i="7" s="1"/>
  <c r="E38" i="7"/>
  <c r="D38" i="7"/>
  <c r="C38" i="7"/>
  <c r="B38" i="7"/>
  <c r="W37" i="7"/>
  <c r="V37" i="7"/>
  <c r="AJ37" i="7" s="1"/>
  <c r="U37" i="7"/>
  <c r="AH37" i="7" s="1"/>
  <c r="T37" i="7"/>
  <c r="S37" i="7"/>
  <c r="AF37" i="7" s="1"/>
  <c r="R37" i="7"/>
  <c r="AT37" i="7" s="1"/>
  <c r="Q37" i="7"/>
  <c r="P37" i="7"/>
  <c r="BD37" i="7" s="1"/>
  <c r="O37" i="7"/>
  <c r="N37" i="7"/>
  <c r="K37" i="7"/>
  <c r="J37" i="7"/>
  <c r="I37" i="7"/>
  <c r="M37" i="7" s="1"/>
  <c r="AX37" i="7" s="1"/>
  <c r="E37" i="7"/>
  <c r="D37" i="7"/>
  <c r="C37" i="7"/>
  <c r="B37" i="7"/>
  <c r="W36" i="7"/>
  <c r="V36" i="7"/>
  <c r="AJ36" i="7" s="1"/>
  <c r="U36" i="7"/>
  <c r="AH36" i="7" s="1"/>
  <c r="T36" i="7"/>
  <c r="S36" i="7"/>
  <c r="AV36" i="7" s="1"/>
  <c r="R36" i="7"/>
  <c r="AD36" i="7" s="1"/>
  <c r="Q36" i="7"/>
  <c r="P36" i="7"/>
  <c r="O36" i="7"/>
  <c r="N36" i="7"/>
  <c r="K36" i="7"/>
  <c r="J36" i="7"/>
  <c r="I36" i="7"/>
  <c r="M36" i="7" s="1"/>
  <c r="BF36" i="7" s="1"/>
  <c r="E36" i="7"/>
  <c r="D36" i="7"/>
  <c r="C36" i="7"/>
  <c r="B36" i="7"/>
  <c r="W35" i="7"/>
  <c r="V35" i="7"/>
  <c r="AJ35" i="7" s="1"/>
  <c r="U35" i="7"/>
  <c r="AH35" i="7" s="1"/>
  <c r="T35" i="7"/>
  <c r="S35" i="7"/>
  <c r="AV35" i="7" s="1"/>
  <c r="R35" i="7"/>
  <c r="AT35" i="7" s="1"/>
  <c r="Q35" i="7"/>
  <c r="P35" i="7"/>
  <c r="AR35" i="7" s="1"/>
  <c r="O35" i="7"/>
  <c r="N35" i="7"/>
  <c r="K35" i="7"/>
  <c r="J35" i="7"/>
  <c r="I35" i="7"/>
  <c r="M35" i="7" s="1"/>
  <c r="E35" i="7"/>
  <c r="D35" i="7"/>
  <c r="C35" i="7"/>
  <c r="B35" i="7"/>
  <c r="W34" i="7"/>
  <c r="V34" i="7"/>
  <c r="AJ34" i="7" s="1"/>
  <c r="U34" i="7"/>
  <c r="AH34" i="7" s="1"/>
  <c r="T34" i="7"/>
  <c r="S34" i="7"/>
  <c r="R34" i="7"/>
  <c r="AD34" i="7" s="1"/>
  <c r="Q34" i="7"/>
  <c r="P34" i="7"/>
  <c r="BD34" i="7" s="1"/>
  <c r="O34" i="7"/>
  <c r="BB34" i="7" s="1"/>
  <c r="N34" i="7"/>
  <c r="K34" i="7"/>
  <c r="J34" i="7"/>
  <c r="I34" i="7"/>
  <c r="M34" i="7" s="1"/>
  <c r="E34" i="7"/>
  <c r="D34" i="7"/>
  <c r="C34" i="7"/>
  <c r="B34" i="7"/>
  <c r="W33" i="7"/>
  <c r="V33" i="7"/>
  <c r="AJ33" i="7" s="1"/>
  <c r="U33" i="7"/>
  <c r="AH33" i="7" s="1"/>
  <c r="T33" i="7"/>
  <c r="S33" i="7"/>
  <c r="AV33" i="7" s="1"/>
  <c r="R33" i="7"/>
  <c r="AT33" i="7" s="1"/>
  <c r="Q33" i="7"/>
  <c r="P33" i="7"/>
  <c r="AR33" i="7" s="1"/>
  <c r="O33" i="7"/>
  <c r="AP33" i="7" s="1"/>
  <c r="N33" i="7"/>
  <c r="K33" i="7"/>
  <c r="J33" i="7"/>
  <c r="I33" i="7"/>
  <c r="M33" i="7" s="1"/>
  <c r="E33" i="7"/>
  <c r="D33" i="7"/>
  <c r="C33" i="7"/>
  <c r="B33" i="7"/>
  <c r="W32" i="7"/>
  <c r="V32" i="7"/>
  <c r="AJ32" i="7" s="1"/>
  <c r="U32" i="7"/>
  <c r="AH32" i="7" s="1"/>
  <c r="T32" i="7"/>
  <c r="S32" i="7"/>
  <c r="AF32" i="7" s="1"/>
  <c r="R32" i="7"/>
  <c r="AT32" i="7" s="1"/>
  <c r="Q32" i="7"/>
  <c r="P32" i="7"/>
  <c r="O32" i="7"/>
  <c r="Z32" i="7" s="1"/>
  <c r="N32" i="7"/>
  <c r="K32" i="7"/>
  <c r="J32" i="7"/>
  <c r="I32" i="7"/>
  <c r="M32" i="7" s="1"/>
  <c r="E32" i="7"/>
  <c r="D32" i="7"/>
  <c r="C32" i="7"/>
  <c r="B32" i="7"/>
  <c r="W31" i="7"/>
  <c r="V31" i="7"/>
  <c r="AJ31" i="7" s="1"/>
  <c r="U31" i="7"/>
  <c r="AH31" i="7" s="1"/>
  <c r="T31" i="7"/>
  <c r="S31" i="7"/>
  <c r="AF31" i="7" s="1"/>
  <c r="R31" i="7"/>
  <c r="AD31" i="7" s="1"/>
  <c r="Q31" i="7"/>
  <c r="P31" i="7"/>
  <c r="BD31" i="7" s="1"/>
  <c r="O31" i="7"/>
  <c r="N31" i="7"/>
  <c r="K31" i="7"/>
  <c r="J31" i="7"/>
  <c r="I31" i="7"/>
  <c r="M31" i="7" s="1"/>
  <c r="E31" i="7"/>
  <c r="D31" i="7"/>
  <c r="C31" i="7"/>
  <c r="B31" i="7"/>
  <c r="W30" i="7"/>
  <c r="V30" i="7"/>
  <c r="AJ30" i="7" s="1"/>
  <c r="U30" i="7"/>
  <c r="AH30" i="7" s="1"/>
  <c r="T30" i="7"/>
  <c r="S30" i="7"/>
  <c r="AV30" i="7" s="1"/>
  <c r="R30" i="7"/>
  <c r="Q30" i="7"/>
  <c r="P30" i="7"/>
  <c r="BD30" i="7" s="1"/>
  <c r="O30" i="7"/>
  <c r="Z30" i="7" s="1"/>
  <c r="N30" i="7"/>
  <c r="K30" i="7"/>
  <c r="J30" i="7"/>
  <c r="I30" i="7"/>
  <c r="M30" i="7" s="1"/>
  <c r="AX30" i="7" s="1"/>
  <c r="E30" i="7"/>
  <c r="D30" i="7"/>
  <c r="C30" i="7"/>
  <c r="B30" i="7"/>
  <c r="W29" i="7"/>
  <c r="V29" i="7"/>
  <c r="AJ29" i="7" s="1"/>
  <c r="U29" i="7"/>
  <c r="AH29" i="7" s="1"/>
  <c r="T29" i="7"/>
  <c r="S29" i="7"/>
  <c r="AF29" i="7" s="1"/>
  <c r="R29" i="7"/>
  <c r="AT29" i="7" s="1"/>
  <c r="Q29" i="7"/>
  <c r="P29" i="7"/>
  <c r="AB29" i="7" s="1"/>
  <c r="O29" i="7"/>
  <c r="N29" i="7"/>
  <c r="K29" i="7"/>
  <c r="J29" i="7"/>
  <c r="I29" i="7"/>
  <c r="M29" i="7" s="1"/>
  <c r="AX29" i="7" s="1"/>
  <c r="E29" i="7"/>
  <c r="D29" i="7"/>
  <c r="C29" i="7"/>
  <c r="B29" i="7"/>
  <c r="W28" i="7"/>
  <c r="V28" i="7"/>
  <c r="AJ28" i="7" s="1"/>
  <c r="U28" i="7"/>
  <c r="AH28" i="7" s="1"/>
  <c r="T28" i="7"/>
  <c r="S28" i="7"/>
  <c r="AV28" i="7" s="1"/>
  <c r="R28" i="7"/>
  <c r="AT28" i="7" s="1"/>
  <c r="Q28" i="7"/>
  <c r="P28" i="7"/>
  <c r="AR28" i="7" s="1"/>
  <c r="O28" i="7"/>
  <c r="Z28" i="7" s="1"/>
  <c r="N28" i="7"/>
  <c r="K28" i="7"/>
  <c r="J28" i="7"/>
  <c r="I28" i="7"/>
  <c r="M28" i="7" s="1"/>
  <c r="E28" i="7"/>
  <c r="D28" i="7"/>
  <c r="C28" i="7"/>
  <c r="B28" i="7"/>
  <c r="W27" i="7"/>
  <c r="V27" i="7"/>
  <c r="AJ27" i="7" s="1"/>
  <c r="U27" i="7"/>
  <c r="AH27" i="7" s="1"/>
  <c r="T27" i="7"/>
  <c r="S27" i="7"/>
  <c r="AV27" i="7" s="1"/>
  <c r="R27" i="7"/>
  <c r="AT27" i="7" s="1"/>
  <c r="Q27" i="7"/>
  <c r="P27" i="7"/>
  <c r="AR27" i="7" s="1"/>
  <c r="O27" i="7"/>
  <c r="BB27" i="7" s="1"/>
  <c r="N27" i="7"/>
  <c r="K27" i="7"/>
  <c r="J27" i="7"/>
  <c r="I27" i="7"/>
  <c r="M27" i="7" s="1"/>
  <c r="BF27" i="7" s="1"/>
  <c r="E27" i="7"/>
  <c r="D27" i="7"/>
  <c r="C27" i="7"/>
  <c r="B27" i="7"/>
  <c r="W26" i="7"/>
  <c r="V26" i="7"/>
  <c r="AJ26" i="7" s="1"/>
  <c r="U26" i="7"/>
  <c r="AH26" i="7" s="1"/>
  <c r="T26" i="7"/>
  <c r="S26" i="7"/>
  <c r="AF26" i="7" s="1"/>
  <c r="R26" i="7"/>
  <c r="AT26" i="7" s="1"/>
  <c r="Q26" i="7"/>
  <c r="P26" i="7"/>
  <c r="BD26" i="7" s="1"/>
  <c r="O26" i="7"/>
  <c r="BB26" i="7" s="1"/>
  <c r="N26" i="7"/>
  <c r="K26" i="7"/>
  <c r="J26" i="7"/>
  <c r="I26" i="7"/>
  <c r="M26" i="7" s="1"/>
  <c r="AL26" i="7" s="1"/>
  <c r="E26" i="7"/>
  <c r="D26" i="7"/>
  <c r="C26" i="7"/>
  <c r="B26" i="7"/>
  <c r="W25" i="7"/>
  <c r="V25" i="7"/>
  <c r="AJ25" i="7" s="1"/>
  <c r="U25" i="7"/>
  <c r="AH25" i="7" s="1"/>
  <c r="T25" i="7"/>
  <c r="S25" i="7"/>
  <c r="AF25" i="7" s="1"/>
  <c r="R25" i="7"/>
  <c r="AT25" i="7" s="1"/>
  <c r="Q25" i="7"/>
  <c r="P25" i="7"/>
  <c r="AB25" i="7" s="1"/>
  <c r="O25" i="7"/>
  <c r="AP25" i="7" s="1"/>
  <c r="N25" i="7"/>
  <c r="K25" i="7"/>
  <c r="J25" i="7"/>
  <c r="I25" i="7"/>
  <c r="M25" i="7" s="1"/>
  <c r="AX25" i="7" s="1"/>
  <c r="E25" i="7"/>
  <c r="D25" i="7"/>
  <c r="C25" i="7"/>
  <c r="B25" i="7"/>
  <c r="W24" i="7"/>
  <c r="V24" i="7"/>
  <c r="AJ24" i="7" s="1"/>
  <c r="U24" i="7"/>
  <c r="AH24" i="7" s="1"/>
  <c r="T24" i="7"/>
  <c r="S24" i="7"/>
  <c r="AF24" i="7" s="1"/>
  <c r="R24" i="7"/>
  <c r="AD24" i="7" s="1"/>
  <c r="Q24" i="7"/>
  <c r="P24" i="7"/>
  <c r="O24" i="7"/>
  <c r="N24" i="7"/>
  <c r="K24" i="7"/>
  <c r="J24" i="7"/>
  <c r="I24" i="7"/>
  <c r="M24" i="7" s="1"/>
  <c r="AX24" i="7" s="1"/>
  <c r="E24" i="7"/>
  <c r="D24" i="7"/>
  <c r="C24" i="7"/>
  <c r="B24" i="7"/>
  <c r="W23" i="7"/>
  <c r="V23" i="7"/>
  <c r="AJ23" i="7" s="1"/>
  <c r="U23" i="7"/>
  <c r="AH23" i="7" s="1"/>
  <c r="T23" i="7"/>
  <c r="S23" i="7"/>
  <c r="AF23" i="7" s="1"/>
  <c r="R23" i="7"/>
  <c r="AT23" i="7" s="1"/>
  <c r="Q23" i="7"/>
  <c r="P23" i="7"/>
  <c r="AR23" i="7" s="1"/>
  <c r="O23" i="7"/>
  <c r="BB23" i="7" s="1"/>
  <c r="N23" i="7"/>
  <c r="K23" i="7"/>
  <c r="J23" i="7"/>
  <c r="I23" i="7"/>
  <c r="M23" i="7" s="1"/>
  <c r="E23" i="7"/>
  <c r="D23" i="7"/>
  <c r="C23" i="7"/>
  <c r="B23" i="7"/>
  <c r="W22" i="7"/>
  <c r="V22" i="7"/>
  <c r="AJ22" i="7" s="1"/>
  <c r="U22" i="7"/>
  <c r="AH22" i="7" s="1"/>
  <c r="T22" i="7"/>
  <c r="S22" i="7"/>
  <c r="AV22" i="7" s="1"/>
  <c r="R22" i="7"/>
  <c r="Q22" i="7"/>
  <c r="P22" i="7"/>
  <c r="BD22" i="7" s="1"/>
  <c r="O22" i="7"/>
  <c r="AP22" i="7" s="1"/>
  <c r="N22" i="7"/>
  <c r="K22" i="7"/>
  <c r="J22" i="7"/>
  <c r="I22" i="7"/>
  <c r="M22" i="7" s="1"/>
  <c r="E22" i="7"/>
  <c r="D22" i="7"/>
  <c r="C22" i="7"/>
  <c r="B22" i="7"/>
  <c r="W21" i="7"/>
  <c r="V21" i="7"/>
  <c r="AJ21" i="7" s="1"/>
  <c r="U21" i="7"/>
  <c r="AH21" i="7" s="1"/>
  <c r="T21" i="7"/>
  <c r="S21" i="7"/>
  <c r="AV21" i="7" s="1"/>
  <c r="R21" i="7"/>
  <c r="AT21" i="7" s="1"/>
  <c r="Q21" i="7"/>
  <c r="P21" i="7"/>
  <c r="AB21" i="7" s="1"/>
  <c r="O21" i="7"/>
  <c r="N21" i="7"/>
  <c r="K21" i="7"/>
  <c r="J21" i="7"/>
  <c r="I21" i="7"/>
  <c r="M21" i="7" s="1"/>
  <c r="AX21" i="7" s="1"/>
  <c r="E21" i="7"/>
  <c r="D21" i="7"/>
  <c r="C21" i="7"/>
  <c r="B21" i="7"/>
  <c r="W20" i="7"/>
  <c r="V20" i="7"/>
  <c r="AJ20" i="7" s="1"/>
  <c r="U20" i="7"/>
  <c r="AH20" i="7" s="1"/>
  <c r="T20" i="7"/>
  <c r="S20" i="7"/>
  <c r="AV20" i="7" s="1"/>
  <c r="R20" i="7"/>
  <c r="AT20" i="7" s="1"/>
  <c r="Q20" i="7"/>
  <c r="P20" i="7"/>
  <c r="AR20" i="7" s="1"/>
  <c r="O20" i="7"/>
  <c r="N20" i="7"/>
  <c r="K20" i="7"/>
  <c r="J20" i="7"/>
  <c r="I20" i="7"/>
  <c r="M20" i="7" s="1"/>
  <c r="E20" i="7"/>
  <c r="D20" i="7"/>
  <c r="C20" i="7"/>
  <c r="B20" i="7"/>
  <c r="W19" i="7"/>
  <c r="V19" i="7"/>
  <c r="AJ19" i="7" s="1"/>
  <c r="U19" i="7"/>
  <c r="AH19" i="7" s="1"/>
  <c r="T19" i="7"/>
  <c r="S19" i="7"/>
  <c r="AV19" i="7" s="1"/>
  <c r="R19" i="7"/>
  <c r="AT19" i="7" s="1"/>
  <c r="Q19" i="7"/>
  <c r="P19" i="7"/>
  <c r="O19" i="7"/>
  <c r="BB19" i="7" s="1"/>
  <c r="N19" i="7"/>
  <c r="K19" i="7"/>
  <c r="J19" i="7"/>
  <c r="I19" i="7"/>
  <c r="M19" i="7" s="1"/>
  <c r="BF19" i="7" s="1"/>
  <c r="E19" i="7"/>
  <c r="D19" i="7"/>
  <c r="C19" i="7"/>
  <c r="B19" i="7"/>
  <c r="W18" i="7"/>
  <c r="V18" i="7"/>
  <c r="AJ18" i="7" s="1"/>
  <c r="U18" i="7"/>
  <c r="AH18" i="7" s="1"/>
  <c r="T18" i="7"/>
  <c r="S18" i="7"/>
  <c r="AF18" i="7" s="1"/>
  <c r="R18" i="7"/>
  <c r="AT18" i="7" s="1"/>
  <c r="Q18" i="7"/>
  <c r="P18" i="7"/>
  <c r="BD18" i="7" s="1"/>
  <c r="O18" i="7"/>
  <c r="Z18" i="7" s="1"/>
  <c r="N18" i="7"/>
  <c r="K18" i="7"/>
  <c r="J18" i="7"/>
  <c r="I18" i="7"/>
  <c r="M18" i="7" s="1"/>
  <c r="AL18" i="7" s="1"/>
  <c r="E18" i="7"/>
  <c r="D18" i="7"/>
  <c r="C18" i="7"/>
  <c r="B18" i="7"/>
  <c r="W17" i="7"/>
  <c r="V17" i="7"/>
  <c r="AJ17" i="7" s="1"/>
  <c r="U17" i="7"/>
  <c r="AH17" i="7" s="1"/>
  <c r="T17" i="7"/>
  <c r="S17" i="7"/>
  <c r="AF17" i="7" s="1"/>
  <c r="R17" i="7"/>
  <c r="AT17" i="7" s="1"/>
  <c r="Q17" i="7"/>
  <c r="P17" i="7"/>
  <c r="O17" i="7"/>
  <c r="AP17" i="7" s="1"/>
  <c r="N17" i="7"/>
  <c r="K17" i="7"/>
  <c r="J17" i="7"/>
  <c r="I17" i="7"/>
  <c r="M17" i="7" s="1"/>
  <c r="AX17" i="7" s="1"/>
  <c r="E17" i="7"/>
  <c r="D17" i="7"/>
  <c r="C17" i="7"/>
  <c r="B17" i="7"/>
  <c r="W16" i="7"/>
  <c r="V16" i="7"/>
  <c r="AJ16" i="7" s="1"/>
  <c r="U16" i="7"/>
  <c r="AH16" i="7" s="1"/>
  <c r="T16" i="7"/>
  <c r="S16" i="7"/>
  <c r="AF16" i="7" s="1"/>
  <c r="R16" i="7"/>
  <c r="AT16" i="7" s="1"/>
  <c r="Q16" i="7"/>
  <c r="P16" i="7"/>
  <c r="O16" i="7"/>
  <c r="BB16" i="7" s="1"/>
  <c r="N16" i="7"/>
  <c r="K16" i="7"/>
  <c r="J16" i="7"/>
  <c r="I16" i="7"/>
  <c r="M16" i="7" s="1"/>
  <c r="AX16" i="7" s="1"/>
  <c r="E16" i="7"/>
  <c r="D16" i="7"/>
  <c r="C16" i="7"/>
  <c r="B16" i="7"/>
  <c r="W15" i="7"/>
  <c r="V15" i="7"/>
  <c r="AJ15" i="7" s="1"/>
  <c r="U15" i="7"/>
  <c r="AH15" i="7" s="1"/>
  <c r="T15" i="7"/>
  <c r="S15" i="7"/>
  <c r="AF15" i="7" s="1"/>
  <c r="R15" i="7"/>
  <c r="AT15" i="7" s="1"/>
  <c r="Q15" i="7"/>
  <c r="P15" i="7"/>
  <c r="AR15" i="7" s="1"/>
  <c r="O15" i="7"/>
  <c r="BB15" i="7" s="1"/>
  <c r="N15" i="7"/>
  <c r="K15" i="7"/>
  <c r="J15" i="7"/>
  <c r="I15" i="7"/>
  <c r="M15" i="7" s="1"/>
  <c r="E15" i="7"/>
  <c r="D15" i="7"/>
  <c r="C15" i="7"/>
  <c r="B15" i="7"/>
  <c r="W14" i="7"/>
  <c r="V14" i="7"/>
  <c r="AJ14" i="7" s="1"/>
  <c r="U14" i="7"/>
  <c r="AH14" i="7" s="1"/>
  <c r="T14" i="7"/>
  <c r="S14" i="7"/>
  <c r="AV14" i="7" s="1"/>
  <c r="R14" i="7"/>
  <c r="AT14" i="7" s="1"/>
  <c r="Q14" i="7"/>
  <c r="P14" i="7"/>
  <c r="AR14" i="7" s="1"/>
  <c r="O14" i="7"/>
  <c r="Z14" i="7" s="1"/>
  <c r="N14" i="7"/>
  <c r="K14" i="7"/>
  <c r="J14" i="7"/>
  <c r="I14" i="7"/>
  <c r="M14" i="7" s="1"/>
  <c r="E14" i="7"/>
  <c r="D14" i="7"/>
  <c r="C14" i="7"/>
  <c r="B14" i="7"/>
  <c r="W13" i="7"/>
  <c r="V13" i="7"/>
  <c r="AJ13" i="7" s="1"/>
  <c r="U13" i="7"/>
  <c r="AH13" i="7" s="1"/>
  <c r="T13" i="7"/>
  <c r="S13" i="7"/>
  <c r="AF13" i="7" s="1"/>
  <c r="R13" i="7"/>
  <c r="AT13" i="7" s="1"/>
  <c r="Q13" i="7"/>
  <c r="P13" i="7"/>
  <c r="AR13" i="7" s="1"/>
  <c r="O13" i="7"/>
  <c r="BB13" i="7" s="1"/>
  <c r="N13" i="7"/>
  <c r="K13" i="7"/>
  <c r="J13" i="7"/>
  <c r="I13" i="7"/>
  <c r="M13" i="7" s="1"/>
  <c r="AL13" i="7" s="1"/>
  <c r="E13" i="7"/>
  <c r="D13" i="7"/>
  <c r="C13" i="7"/>
  <c r="B13" i="7"/>
  <c r="W12" i="7"/>
  <c r="V12" i="7"/>
  <c r="AJ12" i="7" s="1"/>
  <c r="U12" i="7"/>
  <c r="AH12" i="7" s="1"/>
  <c r="T12" i="7"/>
  <c r="S12" i="7"/>
  <c r="AF12" i="7" s="1"/>
  <c r="R12" i="7"/>
  <c r="AD12" i="7" s="1"/>
  <c r="Q12" i="7"/>
  <c r="P12" i="7"/>
  <c r="AR12" i="7" s="1"/>
  <c r="O12" i="7"/>
  <c r="BB12" i="7" s="1"/>
  <c r="N12" i="7"/>
  <c r="K12" i="7"/>
  <c r="J12" i="7"/>
  <c r="I12" i="7"/>
  <c r="M12" i="7" s="1"/>
  <c r="AX12" i="7" s="1"/>
  <c r="E12" i="7"/>
  <c r="D12" i="7"/>
  <c r="C12" i="7"/>
  <c r="B12" i="7"/>
  <c r="W11" i="7"/>
  <c r="V11" i="7"/>
  <c r="AJ11" i="7" s="1"/>
  <c r="U11" i="7"/>
  <c r="AH11" i="7" s="1"/>
  <c r="T11" i="7"/>
  <c r="S11" i="7"/>
  <c r="R11" i="7"/>
  <c r="AD11" i="7" s="1"/>
  <c r="Q11" i="7"/>
  <c r="P11" i="7"/>
  <c r="BD11" i="7" s="1"/>
  <c r="O11" i="7"/>
  <c r="AP11" i="7" s="1"/>
  <c r="N11" i="7"/>
  <c r="K11" i="7"/>
  <c r="J11" i="7"/>
  <c r="I11" i="7"/>
  <c r="M11" i="7" s="1"/>
  <c r="E11" i="7"/>
  <c r="D11" i="7"/>
  <c r="C11" i="7"/>
  <c r="B11" i="7"/>
  <c r="W10" i="7"/>
  <c r="V10" i="7"/>
  <c r="AJ10" i="7" s="1"/>
  <c r="U10" i="7"/>
  <c r="AH10" i="7" s="1"/>
  <c r="T10" i="7"/>
  <c r="S10" i="7"/>
  <c r="AV10" i="7" s="1"/>
  <c r="R10" i="7"/>
  <c r="AT10" i="7" s="1"/>
  <c r="Q10" i="7"/>
  <c r="P10" i="7"/>
  <c r="BD10" i="7" s="1"/>
  <c r="O10" i="7"/>
  <c r="BB10" i="7" s="1"/>
  <c r="N10" i="7"/>
  <c r="K10" i="7"/>
  <c r="J10" i="7"/>
  <c r="I10" i="7"/>
  <c r="M10" i="7" s="1"/>
  <c r="BF10" i="7" s="1"/>
  <c r="E10" i="7"/>
  <c r="D10" i="7"/>
  <c r="C10" i="7"/>
  <c r="B10" i="7"/>
  <c r="W9" i="7"/>
  <c r="V9" i="7"/>
  <c r="AJ9" i="7" s="1"/>
  <c r="U9" i="7"/>
  <c r="AH9" i="7" s="1"/>
  <c r="T9" i="7"/>
  <c r="S9" i="7"/>
  <c r="AV9" i="7" s="1"/>
  <c r="R9" i="7"/>
  <c r="AT9" i="7" s="1"/>
  <c r="Q9" i="7"/>
  <c r="P9" i="7"/>
  <c r="AB9" i="7" s="1"/>
  <c r="O9" i="7"/>
  <c r="AP9" i="7" s="1"/>
  <c r="N9" i="7"/>
  <c r="K9" i="7"/>
  <c r="J9" i="7"/>
  <c r="I9" i="7"/>
  <c r="M9" i="7" s="1"/>
  <c r="AX9" i="7" s="1"/>
  <c r="E9" i="7"/>
  <c r="D9" i="7"/>
  <c r="C9" i="7"/>
  <c r="B9" i="7"/>
  <c r="W8" i="7"/>
  <c r="V8" i="7"/>
  <c r="AJ8" i="7" s="1"/>
  <c r="U8" i="7"/>
  <c r="AH8" i="7" s="1"/>
  <c r="T8" i="7"/>
  <c r="S8" i="7"/>
  <c r="AV8" i="7" s="1"/>
  <c r="R8" i="7"/>
  <c r="AT8" i="7" s="1"/>
  <c r="Q8" i="7"/>
  <c r="P8" i="7"/>
  <c r="BD8" i="7" s="1"/>
  <c r="O8" i="7"/>
  <c r="Z8" i="7" s="1"/>
  <c r="N8" i="7"/>
  <c r="K8" i="7"/>
  <c r="J8" i="7"/>
  <c r="I8" i="7"/>
  <c r="M8" i="7" s="1"/>
  <c r="BK7" i="7"/>
  <c r="BD7" i="7"/>
  <c r="BB7" i="7"/>
  <c r="AX7" i="7"/>
  <c r="AV7" i="7"/>
  <c r="AT7" i="7"/>
  <c r="AR7" i="7"/>
  <c r="AP7" i="7"/>
  <c r="AJ7" i="7"/>
  <c r="AH7" i="7"/>
  <c r="AF7" i="7"/>
  <c r="AD7" i="7"/>
  <c r="AB7" i="7"/>
  <c r="Z7" i="7"/>
  <c r="W7" i="7"/>
  <c r="M7" i="7"/>
  <c r="BF7" i="7" s="1"/>
  <c r="K379" i="4"/>
  <c r="J379" i="4"/>
  <c r="H379" i="4"/>
  <c r="K378" i="4"/>
  <c r="J378" i="4"/>
  <c r="H378" i="4"/>
  <c r="K372" i="4"/>
  <c r="J372" i="4"/>
  <c r="H372" i="4"/>
  <c r="D372" i="4"/>
  <c r="D373" i="4" s="1"/>
  <c r="D374" i="4" s="1"/>
  <c r="A372" i="4"/>
  <c r="A373" i="4" s="1"/>
  <c r="A374" i="4" s="1"/>
  <c r="A375" i="4" s="1"/>
  <c r="A376" i="4" s="1"/>
  <c r="A377" i="4" s="1"/>
  <c r="A378" i="4" s="1"/>
  <c r="A379" i="4" s="1"/>
  <c r="A380" i="4" s="1"/>
  <c r="A381" i="4" s="1"/>
  <c r="A382" i="4" s="1"/>
  <c r="A383" i="4" s="1"/>
  <c r="A384" i="4" s="1"/>
  <c r="A385" i="4" s="1"/>
  <c r="A386" i="4" s="1"/>
  <c r="A387" i="4" s="1"/>
  <c r="A388" i="4" s="1"/>
  <c r="A389" i="4" s="1"/>
  <c r="A390" i="4" s="1"/>
  <c r="A391" i="4" s="1"/>
  <c r="A392" i="4" s="1"/>
  <c r="A362" i="4"/>
  <c r="A363" i="4" s="1"/>
  <c r="A364" i="4" s="1"/>
  <c r="A365" i="4" s="1"/>
  <c r="A366" i="4" s="1"/>
  <c r="D355" i="4"/>
  <c r="K354" i="4"/>
  <c r="J354" i="4"/>
  <c r="H354" i="4"/>
  <c r="D354" i="4"/>
  <c r="A354" i="4"/>
  <c r="A355" i="4" s="1"/>
  <c r="A356" i="4" s="1"/>
  <c r="A357" i="4" s="1"/>
  <c r="A358" i="4" s="1"/>
  <c r="A359" i="4" s="1"/>
  <c r="A360" i="4" s="1"/>
  <c r="A361" i="4" s="1"/>
  <c r="A339" i="4"/>
  <c r="A340" i="4" s="1"/>
  <c r="A341" i="4" s="1"/>
  <c r="A342" i="4" s="1"/>
  <c r="A343" i="4" s="1"/>
  <c r="A344" i="4" s="1"/>
  <c r="A345" i="4" s="1"/>
  <c r="A346" i="4" s="1"/>
  <c r="K336" i="4"/>
  <c r="J336" i="4"/>
  <c r="H336" i="4"/>
  <c r="D336" i="4"/>
  <c r="D337" i="4" s="1"/>
  <c r="A336" i="4"/>
  <c r="A337" i="4" s="1"/>
  <c r="A338" i="4" s="1"/>
  <c r="D303" i="4"/>
  <c r="D302" i="4"/>
  <c r="D301" i="4"/>
  <c r="D300" i="4"/>
  <c r="A300" i="4"/>
  <c r="A301" i="4" s="1"/>
  <c r="A302" i="4" s="1"/>
  <c r="A303" i="4" s="1"/>
  <c r="A304" i="4" s="1"/>
  <c r="A305" i="4" s="1"/>
  <c r="A306" i="4" s="1"/>
  <c r="A307" i="4" s="1"/>
  <c r="A308" i="4" s="1"/>
  <c r="A309" i="4" s="1"/>
  <c r="A310" i="4" s="1"/>
  <c r="A311" i="4" s="1"/>
  <c r="A312" i="4" s="1"/>
  <c r="A313" i="4" s="1"/>
  <c r="A314" i="4" s="1"/>
  <c r="A315" i="4" s="1"/>
  <c r="A316" i="4" s="1"/>
  <c r="A317" i="4" s="1"/>
  <c r="A318" i="4" s="1"/>
  <c r="A319" i="4" s="1"/>
  <c r="A320" i="4" s="1"/>
  <c r="A321" i="4" s="1"/>
  <c r="A322" i="4" s="1"/>
  <c r="A323" i="4" s="1"/>
  <c r="A324" i="4" s="1"/>
  <c r="A325" i="4" s="1"/>
  <c r="A326" i="4" s="1"/>
  <c r="A327" i="4" s="1"/>
  <c r="A328" i="4" s="1"/>
  <c r="A329" i="4" s="1"/>
  <c r="A330" i="4" s="1"/>
  <c r="D287" i="4"/>
  <c r="A287" i="4"/>
  <c r="K286" i="4"/>
  <c r="J286" i="4"/>
  <c r="H286" i="4"/>
  <c r="D286" i="4"/>
  <c r="A286" i="4"/>
  <c r="K254" i="4"/>
  <c r="J254" i="4"/>
  <c r="H254" i="4"/>
  <c r="A253" i="4"/>
  <c r="A254" i="4" s="1"/>
  <c r="A255" i="4" s="1"/>
  <c r="A256" i="4" s="1"/>
  <c r="A257" i="4" s="1"/>
  <c r="A258" i="4" s="1"/>
  <c r="A259" i="4" s="1"/>
  <c r="A260" i="4" s="1"/>
  <c r="A261" i="4" s="1"/>
  <c r="A262" i="4" s="1"/>
  <c r="A263" i="4" s="1"/>
  <c r="A264" i="4" s="1"/>
  <c r="A265" i="4" s="1"/>
  <c r="A266" i="4" s="1"/>
  <c r="A267" i="4" s="1"/>
  <c r="A268" i="4" s="1"/>
  <c r="A269" i="4" s="1"/>
  <c r="A270" i="4" s="1"/>
  <c r="A271" i="4" s="1"/>
  <c r="A272" i="4" s="1"/>
  <c r="A273" i="4" s="1"/>
  <c r="A274" i="4" s="1"/>
  <c r="A275" i="4" s="1"/>
  <c r="A276" i="4" s="1"/>
  <c r="A277" i="4" s="1"/>
  <c r="K252" i="4"/>
  <c r="J252" i="4"/>
  <c r="H252" i="4"/>
  <c r="D252" i="4"/>
  <c r="D253" i="4" s="1"/>
  <c r="A252" i="4"/>
  <c r="K226" i="4"/>
  <c r="J226" i="4"/>
  <c r="H226" i="4"/>
  <c r="D226" i="4"/>
  <c r="D227" i="4" s="1"/>
  <c r="K224" i="4"/>
  <c r="J224" i="4"/>
  <c r="H224" i="4"/>
  <c r="D224" i="4"/>
  <c r="A224" i="4"/>
  <c r="A225" i="4" s="1"/>
  <c r="A226" i="4" s="1"/>
  <c r="A227" i="4" s="1"/>
  <c r="A228" i="4" s="1"/>
  <c r="A229" i="4" s="1"/>
  <c r="A230" i="4" s="1"/>
  <c r="A231" i="4" s="1"/>
  <c r="A232" i="4" s="1"/>
  <c r="A233" i="4" s="1"/>
  <c r="A234" i="4" s="1"/>
  <c r="A235" i="4" s="1"/>
  <c r="A236" i="4" s="1"/>
  <c r="A237" i="4" s="1"/>
  <c r="A238" i="4" s="1"/>
  <c r="A239" i="4" s="1"/>
  <c r="A240" i="4" s="1"/>
  <c r="A241" i="4" s="1"/>
  <c r="A242" i="4" s="1"/>
  <c r="A243" i="4" s="1"/>
  <c r="A244" i="4" s="1"/>
  <c r="A245" i="4" s="1"/>
  <c r="A246" i="4" s="1"/>
  <c r="D171" i="4"/>
  <c r="D172" i="4" s="1"/>
  <c r="K170" i="4"/>
  <c r="J170" i="4"/>
  <c r="H170" i="4"/>
  <c r="D170" i="4"/>
  <c r="A170" i="4"/>
  <c r="A171" i="4" s="1"/>
  <c r="A172" i="4" s="1"/>
  <c r="A173" i="4" s="1"/>
  <c r="A174" i="4" s="1"/>
  <c r="A175" i="4" s="1"/>
  <c r="A176" i="4" s="1"/>
  <c r="A177" i="4" s="1"/>
  <c r="A178" i="4" s="1"/>
  <c r="A179" i="4" s="1"/>
  <c r="A180" i="4" s="1"/>
  <c r="A181" i="4" s="1"/>
  <c r="A182" i="4" s="1"/>
  <c r="A183" i="4" s="1"/>
  <c r="A184" i="4" s="1"/>
  <c r="A185" i="4" s="1"/>
  <c r="A186" i="4" s="1"/>
  <c r="A187" i="4" s="1"/>
  <c r="A188" i="4" s="1"/>
  <c r="A189" i="4" s="1"/>
  <c r="A190" i="4" s="1"/>
  <c r="A191" i="4" s="1"/>
  <c r="A192" i="4" s="1"/>
  <c r="A193" i="4" s="1"/>
  <c r="A194" i="4" s="1"/>
  <c r="A195" i="4" s="1"/>
  <c r="A196" i="4" s="1"/>
  <c r="A197" i="4" s="1"/>
  <c r="A198" i="4" s="1"/>
  <c r="A199" i="4" s="1"/>
  <c r="A200" i="4" s="1"/>
  <c r="A201" i="4" s="1"/>
  <c r="A202" i="4" s="1"/>
  <c r="A203" i="4" s="1"/>
  <c r="A204" i="4" s="1"/>
  <c r="A205" i="4" s="1"/>
  <c r="A206" i="4" s="1"/>
  <c r="A207" i="4" s="1"/>
  <c r="A208" i="4" s="1"/>
  <c r="A209" i="4" s="1"/>
  <c r="A210" i="4" s="1"/>
  <c r="A211" i="4" s="1"/>
  <c r="A212" i="4" s="1"/>
  <c r="A213" i="4" s="1"/>
  <c r="A214" i="4" s="1"/>
  <c r="A215" i="4" s="1"/>
  <c r="A216" i="4" s="1"/>
  <c r="A217" i="4" s="1"/>
  <c r="A218" i="4" s="1"/>
  <c r="K144" i="4"/>
  <c r="J144" i="4"/>
  <c r="H144" i="4"/>
  <c r="K143" i="4"/>
  <c r="J143" i="4"/>
  <c r="H143" i="4"/>
  <c r="K142" i="4"/>
  <c r="J142" i="4"/>
  <c r="H142" i="4"/>
  <c r="K135" i="4"/>
  <c r="J135" i="4"/>
  <c r="H135" i="4"/>
  <c r="D135" i="4"/>
  <c r="D136" i="4" s="1"/>
  <c r="A135" i="4"/>
  <c r="A136" i="4" s="1"/>
  <c r="A137" i="4" s="1"/>
  <c r="A138" i="4" s="1"/>
  <c r="A139" i="4" s="1"/>
  <c r="A140" i="4" s="1"/>
  <c r="A141" i="4" s="1"/>
  <c r="A142" i="4" s="1"/>
  <c r="A143" i="4" s="1"/>
  <c r="A144" i="4" s="1"/>
  <c r="A145" i="4" s="1"/>
  <c r="A146" i="4" s="1"/>
  <c r="A147" i="4" s="1"/>
  <c r="A148" i="4" s="1"/>
  <c r="A149" i="4" s="1"/>
  <c r="A150" i="4" s="1"/>
  <c r="A151" i="4" s="1"/>
  <c r="A152" i="4" s="1"/>
  <c r="A153" i="4" s="1"/>
  <c r="A154" i="4" s="1"/>
  <c r="A155" i="4" s="1"/>
  <c r="A156" i="4" s="1"/>
  <c r="A157" i="4" s="1"/>
  <c r="A158" i="4" s="1"/>
  <c r="A159" i="4" s="1"/>
  <c r="A160" i="4" s="1"/>
  <c r="A161" i="4" s="1"/>
  <c r="A162" i="4" s="1"/>
  <c r="A163" i="4" s="1"/>
  <c r="A164" i="4" s="1"/>
  <c r="K134" i="4"/>
  <c r="J134" i="4"/>
  <c r="H134" i="4"/>
  <c r="D134" i="4"/>
  <c r="A134" i="4"/>
  <c r="D99" i="4"/>
  <c r="D100" i="4" s="1"/>
  <c r="K98" i="4"/>
  <c r="J98" i="4"/>
  <c r="H98" i="4"/>
  <c r="D98" i="4"/>
  <c r="A98" i="4"/>
  <c r="A99" i="4" s="1"/>
  <c r="A100" i="4" s="1"/>
  <c r="A101" i="4" s="1"/>
  <c r="A102" i="4" s="1"/>
  <c r="A103" i="4" s="1"/>
  <c r="A104" i="4" s="1"/>
  <c r="A105" i="4" s="1"/>
  <c r="A106" i="4" s="1"/>
  <c r="A107" i="4" s="1"/>
  <c r="A108" i="4" s="1"/>
  <c r="A109" i="4" s="1"/>
  <c r="A110" i="4" s="1"/>
  <c r="A111" i="4" s="1"/>
  <c r="A112" i="4" s="1"/>
  <c r="A113" i="4" s="1"/>
  <c r="A114" i="4" s="1"/>
  <c r="A115" i="4" s="1"/>
  <c r="A116" i="4" s="1"/>
  <c r="A117" i="4" s="1"/>
  <c r="A118" i="4" s="1"/>
  <c r="A119" i="4" s="1"/>
  <c r="A120" i="4" s="1"/>
  <c r="A121" i="4" s="1"/>
  <c r="A122" i="4" s="1"/>
  <c r="A123" i="4" s="1"/>
  <c r="A124" i="4" s="1"/>
  <c r="A125" i="4" s="1"/>
  <c r="A126" i="4" s="1"/>
  <c r="A127" i="4" s="1"/>
  <c r="A128" i="4" s="1"/>
  <c r="H91" i="4"/>
  <c r="H90" i="4"/>
  <c r="H87" i="4"/>
  <c r="H85" i="4"/>
  <c r="H84" i="4"/>
  <c r="K83" i="4"/>
  <c r="J83" i="4"/>
  <c r="H83" i="4"/>
  <c r="H82" i="4"/>
  <c r="H79" i="4"/>
  <c r="H78" i="4"/>
  <c r="H76" i="4"/>
  <c r="H75" i="4"/>
  <c r="H74" i="4"/>
  <c r="H72" i="4"/>
  <c r="H71" i="4"/>
  <c r="H70" i="4"/>
  <c r="K68" i="4"/>
  <c r="J68" i="4"/>
  <c r="H68" i="4"/>
  <c r="H67" i="4"/>
  <c r="K66" i="4"/>
  <c r="J66" i="4"/>
  <c r="H66" i="4"/>
  <c r="D66" i="4"/>
  <c r="D67" i="4" s="1"/>
  <c r="K65" i="4"/>
  <c r="J65" i="4"/>
  <c r="H65" i="4"/>
  <c r="D65" i="4"/>
  <c r="A65" i="4"/>
  <c r="A66" i="4" s="1"/>
  <c r="A67" i="4" s="1"/>
  <c r="A68" i="4" s="1"/>
  <c r="A69" i="4" s="1"/>
  <c r="A70" i="4" s="1"/>
  <c r="A71" i="4" s="1"/>
  <c r="A72" i="4" s="1"/>
  <c r="A73" i="4" s="1"/>
  <c r="A74" i="4" s="1"/>
  <c r="A75" i="4" s="1"/>
  <c r="A76" i="4" s="1"/>
  <c r="A77" i="4" s="1"/>
  <c r="A78" i="4" s="1"/>
  <c r="A79" i="4" s="1"/>
  <c r="A80" i="4" s="1"/>
  <c r="A81" i="4" s="1"/>
  <c r="A82" i="4" s="1"/>
  <c r="A83" i="4" s="1"/>
  <c r="A84" i="4" s="1"/>
  <c r="A85" i="4" s="1"/>
  <c r="A86" i="4" s="1"/>
  <c r="A87" i="4" s="1"/>
  <c r="A88" i="4" s="1"/>
  <c r="A89" i="4" s="1"/>
  <c r="A90" i="4" s="1"/>
  <c r="A91" i="4" s="1"/>
  <c r="A92" i="4" s="1"/>
  <c r="H59" i="4"/>
  <c r="H58" i="4"/>
  <c r="H57" i="4"/>
  <c r="H56" i="4"/>
  <c r="H55" i="4"/>
  <c r="K54" i="4"/>
  <c r="J54" i="4"/>
  <c r="H54" i="4"/>
  <c r="H53" i="4"/>
  <c r="H52" i="4"/>
  <c r="H51" i="4"/>
  <c r="H50" i="4"/>
  <c r="H49" i="4"/>
  <c r="H48" i="4"/>
  <c r="H47" i="4"/>
  <c r="H46" i="4"/>
  <c r="H45" i="4"/>
  <c r="H44" i="4"/>
  <c r="H43" i="4"/>
  <c r="H42" i="4"/>
  <c r="H41" i="4"/>
  <c r="H40" i="4"/>
  <c r="K39" i="4"/>
  <c r="J39" i="4"/>
  <c r="H39" i="4"/>
  <c r="H38" i="4"/>
  <c r="H37" i="4"/>
  <c r="H36" i="4"/>
  <c r="K35" i="4"/>
  <c r="J35" i="4"/>
  <c r="H35" i="4"/>
  <c r="H34" i="4"/>
  <c r="K33" i="4"/>
  <c r="J33" i="4"/>
  <c r="H33" i="4"/>
  <c r="D33" i="4"/>
  <c r="D34" i="4" s="1"/>
  <c r="A33" i="4"/>
  <c r="A34" i="4" s="1"/>
  <c r="A35" i="4" s="1"/>
  <c r="A36" i="4" s="1"/>
  <c r="A37" i="4" s="1"/>
  <c r="A38" i="4" s="1"/>
  <c r="A39" i="4" s="1"/>
  <c r="A40" i="4" s="1"/>
  <c r="A41" i="4" s="1"/>
  <c r="A42" i="4" s="1"/>
  <c r="A43" i="4" s="1"/>
  <c r="A44" i="4" s="1"/>
  <c r="A45" i="4" s="1"/>
  <c r="A46" i="4" s="1"/>
  <c r="A47" i="4" s="1"/>
  <c r="A48" i="4" s="1"/>
  <c r="A49" i="4" s="1"/>
  <c r="A50" i="4" s="1"/>
  <c r="A51" i="4" s="1"/>
  <c r="A52" i="4" s="1"/>
  <c r="A53" i="4" s="1"/>
  <c r="A54" i="4" s="1"/>
  <c r="A55" i="4" s="1"/>
  <c r="A56" i="4" s="1"/>
  <c r="A57" i="4" s="1"/>
  <c r="A58" i="4" s="1"/>
  <c r="A59" i="4" s="1"/>
  <c r="H27" i="4"/>
  <c r="H26" i="4"/>
  <c r="H25" i="4"/>
  <c r="H24" i="4"/>
  <c r="H23" i="4"/>
  <c r="H22" i="4"/>
  <c r="H21" i="4"/>
  <c r="H20" i="4"/>
  <c r="H19" i="4"/>
  <c r="H18" i="4"/>
  <c r="H17" i="4"/>
  <c r="H16" i="4"/>
  <c r="H15" i="4"/>
  <c r="H14" i="4"/>
  <c r="H13" i="4"/>
  <c r="H12" i="4"/>
  <c r="H11" i="4"/>
  <c r="H10" i="4"/>
  <c r="H9" i="4"/>
  <c r="H8" i="4"/>
  <c r="D8" i="4"/>
  <c r="D9" i="4" s="1"/>
  <c r="K7" i="4"/>
  <c r="J7" i="4"/>
  <c r="H7" i="4"/>
  <c r="D7" i="4"/>
  <c r="A7" i="4"/>
  <c r="A8" i="4" s="1"/>
  <c r="A9" i="4" s="1"/>
  <c r="A10" i="4" s="1"/>
  <c r="A11" i="4" s="1"/>
  <c r="A12" i="4" s="1"/>
  <c r="A13" i="4" s="1"/>
  <c r="A14" i="4" s="1"/>
  <c r="A15" i="4" s="1"/>
  <c r="A16" i="4" s="1"/>
  <c r="A17" i="4" s="1"/>
  <c r="A18" i="4" s="1"/>
  <c r="A19" i="4" s="1"/>
  <c r="A20" i="4" s="1"/>
  <c r="B170" i="3"/>
  <c r="B169" i="3"/>
  <c r="B168" i="3"/>
  <c r="B167" i="3"/>
  <c r="B166" i="3"/>
  <c r="D162" i="3"/>
  <c r="C162" i="3"/>
  <c r="C163" i="3" s="1"/>
  <c r="D161" i="3"/>
  <c r="D163" i="3" s="1"/>
  <c r="C161" i="3"/>
  <c r="U159" i="3"/>
  <c r="T159" i="3"/>
  <c r="S159" i="3"/>
  <c r="R159" i="3"/>
  <c r="Q159" i="3"/>
  <c r="P159" i="3"/>
  <c r="O159" i="3"/>
  <c r="N159" i="3"/>
  <c r="M159" i="3"/>
  <c r="L159" i="3"/>
  <c r="K159" i="3"/>
  <c r="B159" i="3"/>
  <c r="I158" i="3"/>
  <c r="G158" i="3" a="1"/>
  <c r="G158" i="3" s="1"/>
  <c r="F158" i="3"/>
  <c r="I157" i="3"/>
  <c r="G157" i="3" a="1"/>
  <c r="G157" i="3" s="1"/>
  <c r="F157" i="3"/>
  <c r="I156" i="3"/>
  <c r="G156" i="3" a="1"/>
  <c r="G156" i="3" s="1"/>
  <c r="K385" i="4" s="1"/>
  <c r="F156" i="3"/>
  <c r="I155" i="3"/>
  <c r="G155" i="3" a="1"/>
  <c r="G155" i="3" s="1"/>
  <c r="K374" i="4" s="1"/>
  <c r="F155" i="3"/>
  <c r="I154" i="3"/>
  <c r="G154" i="3" a="1"/>
  <c r="G154" i="3" s="1"/>
  <c r="F154" i="3"/>
  <c r="I153" i="3"/>
  <c r="G153" i="3" a="1"/>
  <c r="G153" i="3" s="1"/>
  <c r="K382" i="4" s="1"/>
  <c r="F153" i="3"/>
  <c r="I152" i="3"/>
  <c r="G152" i="3" a="1"/>
  <c r="G152" i="3" s="1"/>
  <c r="F152" i="3"/>
  <c r="H380" i="4" s="1"/>
  <c r="I151" i="3"/>
  <c r="G151" i="3" a="1"/>
  <c r="G151" i="3" s="1"/>
  <c r="K358" i="4" s="1"/>
  <c r="F151" i="3"/>
  <c r="I150" i="3"/>
  <c r="G150" i="3" a="1"/>
  <c r="G150" i="3" s="1"/>
  <c r="F150" i="3"/>
  <c r="I149" i="3"/>
  <c r="G149" i="3" a="1"/>
  <c r="G149" i="3" s="1"/>
  <c r="F149" i="3"/>
  <c r="I148" i="3"/>
  <c r="G148" i="3" a="1"/>
  <c r="G148" i="3" s="1"/>
  <c r="F148" i="3"/>
  <c r="I147" i="3"/>
  <c r="G147" i="3" a="1"/>
  <c r="G147" i="3" s="1"/>
  <c r="F147" i="3"/>
  <c r="I146" i="3"/>
  <c r="G146" i="3" a="1"/>
  <c r="G146" i="3" s="1"/>
  <c r="K386" i="4" s="1"/>
  <c r="F146" i="3"/>
  <c r="G384" i="4" s="1"/>
  <c r="I145" i="3"/>
  <c r="G145" i="3" a="1"/>
  <c r="G145" i="3" s="1"/>
  <c r="F145" i="3"/>
  <c r="I144" i="3"/>
  <c r="G144" i="3" a="1"/>
  <c r="G144" i="3" s="1"/>
  <c r="K364" i="4" s="1"/>
  <c r="F144" i="3"/>
  <c r="I143" i="3"/>
  <c r="G143" i="3" a="1"/>
  <c r="G143" i="3" s="1"/>
  <c r="F143" i="3"/>
  <c r="I142" i="3"/>
  <c r="G142" i="3" a="1"/>
  <c r="G142" i="3" s="1"/>
  <c r="F142" i="3"/>
  <c r="I141" i="3"/>
  <c r="G141" i="3" a="1"/>
  <c r="G141" i="3" s="1"/>
  <c r="F141" i="3"/>
  <c r="I140" i="3"/>
  <c r="G140" i="3" a="1"/>
  <c r="G140" i="3" s="1"/>
  <c r="F140" i="3"/>
  <c r="I139" i="3"/>
  <c r="G139" i="3" a="1"/>
  <c r="G139" i="3" s="1"/>
  <c r="F139" i="3"/>
  <c r="I138" i="3"/>
  <c r="G138" i="3" a="1"/>
  <c r="G138" i="3" s="1"/>
  <c r="F138" i="3"/>
  <c r="I137" i="3"/>
  <c r="G137" i="3" a="1"/>
  <c r="G137" i="3" s="1"/>
  <c r="F137" i="3"/>
  <c r="I136" i="3"/>
  <c r="G136" i="3" a="1"/>
  <c r="G136" i="3" s="1"/>
  <c r="F136" i="3"/>
  <c r="I135" i="3"/>
  <c r="G135" i="3" a="1"/>
  <c r="G135" i="3" s="1"/>
  <c r="F135" i="3"/>
  <c r="I134" i="3"/>
  <c r="G134" i="3" a="1"/>
  <c r="G134" i="3" s="1"/>
  <c r="F134" i="3"/>
  <c r="I133" i="3"/>
  <c r="G133" i="3" a="1"/>
  <c r="G133" i="3" s="1"/>
  <c r="F133" i="3"/>
  <c r="I132" i="3"/>
  <c r="G132" i="3" a="1"/>
  <c r="G132" i="3" s="1"/>
  <c r="F132" i="3"/>
  <c r="I131" i="3"/>
  <c r="G131" i="3" a="1"/>
  <c r="G131" i="3" s="1"/>
  <c r="K345" i="4" s="1"/>
  <c r="F131" i="3"/>
  <c r="I130" i="3"/>
  <c r="G130" i="3" a="1"/>
  <c r="G130" i="3" s="1"/>
  <c r="K344" i="4" s="1"/>
  <c r="F130" i="3"/>
  <c r="G337" i="4" s="1"/>
  <c r="I129" i="3"/>
  <c r="G129" i="3" a="1"/>
  <c r="G129" i="3" s="1"/>
  <c r="F129" i="3"/>
  <c r="I128" i="3"/>
  <c r="G128" i="3" a="1"/>
  <c r="G128" i="3" s="1"/>
  <c r="K324" i="4" s="1"/>
  <c r="F128" i="3"/>
  <c r="I127" i="3"/>
  <c r="G127" i="3" a="1"/>
  <c r="G127" i="3" s="1"/>
  <c r="K341" i="4" s="1"/>
  <c r="F127" i="3"/>
  <c r="H340" i="4" s="1"/>
  <c r="I126" i="3"/>
  <c r="G126" i="3" a="1"/>
  <c r="G126" i="3" s="1"/>
  <c r="K292" i="4" s="1"/>
  <c r="F126" i="3"/>
  <c r="H292" i="4" s="1"/>
  <c r="I125" i="3"/>
  <c r="G125" i="3" a="1"/>
  <c r="G125" i="3" s="1"/>
  <c r="K325" i="4" s="1"/>
  <c r="F125" i="3"/>
  <c r="I124" i="3"/>
  <c r="G124" i="3" a="1"/>
  <c r="G124" i="3" s="1"/>
  <c r="K310" i="4" s="1"/>
  <c r="F124" i="3"/>
  <c r="I123" i="3"/>
  <c r="G123" i="3" a="1"/>
  <c r="G123" i="3" s="1"/>
  <c r="F123" i="3"/>
  <c r="I122" i="3"/>
  <c r="G122" i="3" a="1"/>
  <c r="G122" i="3" s="1"/>
  <c r="F122" i="3"/>
  <c r="G327" i="4" s="1"/>
  <c r="I121" i="3"/>
  <c r="G121" i="3" a="1"/>
  <c r="G121" i="3" s="1"/>
  <c r="K311" i="4" s="1"/>
  <c r="F121" i="3"/>
  <c r="I120" i="3"/>
  <c r="G120" i="3" a="1"/>
  <c r="G120" i="3" s="1"/>
  <c r="K316" i="4" s="1"/>
  <c r="F120" i="3"/>
  <c r="I119" i="3"/>
  <c r="G119" i="3" a="1"/>
  <c r="G119" i="3" s="1"/>
  <c r="F119" i="3"/>
  <c r="I118" i="3"/>
  <c r="G118" i="3" a="1"/>
  <c r="G118" i="3" s="1"/>
  <c r="K312" i="4" s="1"/>
  <c r="F118" i="3"/>
  <c r="I117" i="3"/>
  <c r="G117" i="3" a="1"/>
  <c r="G117" i="3" s="1"/>
  <c r="F117" i="3"/>
  <c r="G312" i="4" s="1"/>
  <c r="I116" i="3"/>
  <c r="G116" i="3" a="1"/>
  <c r="G116" i="3" s="1"/>
  <c r="F116" i="3"/>
  <c r="I115" i="3"/>
  <c r="G115" i="3" a="1"/>
  <c r="G115" i="3" s="1"/>
  <c r="K314" i="4" s="1"/>
  <c r="F115" i="3"/>
  <c r="I114" i="3"/>
  <c r="G114" i="3" a="1"/>
  <c r="G114" i="3" s="1"/>
  <c r="K315" i="4" s="1"/>
  <c r="F114" i="3"/>
  <c r="I113" i="3"/>
  <c r="G113" i="3" a="1"/>
  <c r="G113" i="3" s="1"/>
  <c r="F113" i="3"/>
  <c r="I112" i="3"/>
  <c r="G112" i="3" a="1"/>
  <c r="G112" i="3" s="1"/>
  <c r="K290" i="4" s="1"/>
  <c r="F112" i="3"/>
  <c r="I111" i="3"/>
  <c r="G111" i="3" a="1"/>
  <c r="G111" i="3" s="1"/>
  <c r="F111" i="3"/>
  <c r="I110" i="3"/>
  <c r="G110" i="3" a="1"/>
  <c r="G110" i="3" s="1"/>
  <c r="F110" i="3"/>
  <c r="I109" i="3"/>
  <c r="G109" i="3" a="1"/>
  <c r="G109" i="3" s="1"/>
  <c r="F109" i="3"/>
  <c r="I108" i="3"/>
  <c r="G108" i="3" a="1"/>
  <c r="G108" i="3" s="1"/>
  <c r="F108" i="3"/>
  <c r="I107" i="3"/>
  <c r="G107" i="3" a="1"/>
  <c r="G107" i="3" s="1"/>
  <c r="K177" i="4" s="1"/>
  <c r="F107" i="3"/>
  <c r="H176" i="4" s="1"/>
  <c r="I106" i="3"/>
  <c r="G106" i="3" a="1"/>
  <c r="G106" i="3" s="1"/>
  <c r="F106" i="3"/>
  <c r="G162" i="4" s="1"/>
  <c r="I105" i="3"/>
  <c r="G105" i="3" a="1"/>
  <c r="G105" i="3" s="1"/>
  <c r="K184" i="4" s="1"/>
  <c r="F105" i="3"/>
  <c r="I104" i="3"/>
  <c r="G104" i="3" a="1"/>
  <c r="G104" i="3" s="1"/>
  <c r="K216" i="4" s="1"/>
  <c r="F104" i="3"/>
  <c r="G211" i="4" s="1"/>
  <c r="I103" i="3"/>
  <c r="G103" i="3" a="1"/>
  <c r="G103" i="3" s="1"/>
  <c r="K185" i="4" s="1"/>
  <c r="F103" i="3"/>
  <c r="H163" i="4" s="1"/>
  <c r="I102" i="3"/>
  <c r="G102" i="3" a="1"/>
  <c r="G102" i="3" s="1"/>
  <c r="K157" i="4" s="1"/>
  <c r="F102" i="3"/>
  <c r="H171" i="4" s="1"/>
  <c r="I101" i="3"/>
  <c r="G101" i="3" a="1"/>
  <c r="G101" i="3" s="1"/>
  <c r="F101" i="3"/>
  <c r="I100" i="3"/>
  <c r="G100" i="3" a="1"/>
  <c r="G100" i="3" s="1"/>
  <c r="K150" i="4" s="1"/>
  <c r="F100" i="3"/>
  <c r="H162" i="4" s="1"/>
  <c r="I99" i="3"/>
  <c r="G99" i="3" a="1"/>
  <c r="G99" i="3" s="1"/>
  <c r="K179" i="4" s="1"/>
  <c r="F99" i="3"/>
  <c r="H181" i="4" s="1"/>
  <c r="I98" i="3"/>
  <c r="G98" i="3" a="1"/>
  <c r="G98" i="3" s="1"/>
  <c r="K160" i="4" s="1"/>
  <c r="F98" i="3"/>
  <c r="G159" i="4" s="1"/>
  <c r="I97" i="3"/>
  <c r="G97" i="3" a="1"/>
  <c r="G97" i="3" s="1"/>
  <c r="K149" i="4" s="1"/>
  <c r="F97" i="3"/>
  <c r="G144" i="4" s="1"/>
  <c r="I96" i="3"/>
  <c r="G96" i="3" a="1"/>
  <c r="G96" i="3" s="1"/>
  <c r="K194" i="4" s="1"/>
  <c r="F96" i="3"/>
  <c r="G183" i="4" s="1"/>
  <c r="I95" i="3"/>
  <c r="G95" i="3" a="1"/>
  <c r="G95" i="3" s="1"/>
  <c r="F95" i="3"/>
  <c r="G207" i="4" s="1"/>
  <c r="I94" i="3"/>
  <c r="G94" i="3" a="1"/>
  <c r="G94" i="3" s="1"/>
  <c r="K151" i="4" s="1"/>
  <c r="F94" i="3"/>
  <c r="H151" i="4" s="1"/>
  <c r="I93" i="3"/>
  <c r="G93" i="3" a="1"/>
  <c r="G93" i="3" s="1"/>
  <c r="K196" i="4" s="1"/>
  <c r="F93" i="3"/>
  <c r="I92" i="3"/>
  <c r="G92" i="3" a="1"/>
  <c r="G92" i="3" s="1"/>
  <c r="K212" i="4" s="1"/>
  <c r="F92" i="3"/>
  <c r="I91" i="3"/>
  <c r="G91" i="3" a="1"/>
  <c r="G91" i="3" s="1"/>
  <c r="K205" i="4" s="1"/>
  <c r="F91" i="3"/>
  <c r="H205" i="4" s="1"/>
  <c r="I90" i="3"/>
  <c r="G90" i="3" a="1"/>
  <c r="G90" i="3" s="1"/>
  <c r="K156" i="4" s="1"/>
  <c r="F90" i="3"/>
  <c r="H172" i="4" s="1"/>
  <c r="I89" i="3"/>
  <c r="G89" i="3" a="1"/>
  <c r="G89" i="3" s="1"/>
  <c r="K155" i="4" s="1"/>
  <c r="F89" i="3"/>
  <c r="H155" i="4" s="1"/>
  <c r="I88" i="3"/>
  <c r="G88" i="3" a="1"/>
  <c r="G88" i="3" s="1"/>
  <c r="K120" i="4" s="1"/>
  <c r="F88" i="3"/>
  <c r="H148" i="4" s="1"/>
  <c r="I87" i="3"/>
  <c r="G87" i="3" a="1"/>
  <c r="G87" i="3" s="1"/>
  <c r="K121" i="4" s="1"/>
  <c r="F87" i="3"/>
  <c r="G140" i="4" s="1"/>
  <c r="I86" i="3"/>
  <c r="G86" i="3" a="1"/>
  <c r="G86" i="3" s="1"/>
  <c r="F86" i="3"/>
  <c r="I85" i="3"/>
  <c r="G85" i="3" a="1"/>
  <c r="G85" i="3" s="1"/>
  <c r="K117" i="4" s="1"/>
  <c r="F85" i="3"/>
  <c r="G104" i="4" s="1"/>
  <c r="I84" i="3"/>
  <c r="G84" i="3" a="1"/>
  <c r="G84" i="3" s="1"/>
  <c r="K197" i="4" s="1"/>
  <c r="F84" i="3"/>
  <c r="G192" i="4" s="1"/>
  <c r="I83" i="3"/>
  <c r="G83" i="3" a="1"/>
  <c r="G83" i="3" s="1"/>
  <c r="K92" i="4" s="1"/>
  <c r="F83" i="3"/>
  <c r="H92" i="4" s="1"/>
  <c r="I82" i="3"/>
  <c r="G82" i="3" a="1"/>
  <c r="G82" i="3" s="1"/>
  <c r="F82" i="3"/>
  <c r="H137" i="4" s="1"/>
  <c r="I81" i="3"/>
  <c r="G81" i="3" a="1"/>
  <c r="G81" i="3" s="1"/>
  <c r="F81" i="3"/>
  <c r="I80" i="3"/>
  <c r="G80" i="3" a="1"/>
  <c r="G80" i="3" s="1"/>
  <c r="F80" i="3"/>
  <c r="G136" i="4" s="1"/>
  <c r="I79" i="3"/>
  <c r="G79" i="3" a="1"/>
  <c r="G79" i="3" s="1"/>
  <c r="K105" i="4" s="1"/>
  <c r="F79" i="3"/>
  <c r="H147" i="4" s="1"/>
  <c r="I78" i="3"/>
  <c r="G78" i="3" a="1"/>
  <c r="G78" i="3" s="1"/>
  <c r="K122" i="4" s="1"/>
  <c r="F78" i="3"/>
  <c r="G119" i="4" s="1"/>
  <c r="I77" i="3"/>
  <c r="G77" i="3" a="1"/>
  <c r="G77" i="3" s="1"/>
  <c r="F77" i="3"/>
  <c r="I76" i="3"/>
  <c r="G76" i="3" a="1"/>
  <c r="G76" i="3" s="1"/>
  <c r="F76" i="3"/>
  <c r="I75" i="3"/>
  <c r="G75" i="3" a="1"/>
  <c r="G75" i="3" s="1"/>
  <c r="K114" i="4" s="1"/>
  <c r="F75" i="3"/>
  <c r="G111" i="4" s="1"/>
  <c r="I74" i="3"/>
  <c r="G74" i="3" a="1"/>
  <c r="G74" i="3" s="1"/>
  <c r="K116" i="4" s="1"/>
  <c r="F74" i="3"/>
  <c r="H116" i="4" s="1"/>
  <c r="I73" i="3"/>
  <c r="G73" i="3" a="1"/>
  <c r="G73" i="3" s="1"/>
  <c r="K110" i="4" s="1"/>
  <c r="F73" i="3"/>
  <c r="G107" i="4" s="1"/>
  <c r="I72" i="3"/>
  <c r="G72" i="3" a="1"/>
  <c r="G72" i="3" s="1"/>
  <c r="F72" i="3"/>
  <c r="I71" i="3"/>
  <c r="G71" i="3" a="1"/>
  <c r="G71" i="3" s="1"/>
  <c r="F71" i="3"/>
  <c r="I70" i="3"/>
  <c r="G70" i="3" a="1"/>
  <c r="G70" i="3" s="1"/>
  <c r="K106" i="4" s="1"/>
  <c r="F70" i="3"/>
  <c r="G103" i="4" s="1"/>
  <c r="I69" i="3"/>
  <c r="G69" i="3" a="1"/>
  <c r="G69" i="3" s="1"/>
  <c r="F69" i="3"/>
  <c r="G127" i="4" s="1"/>
  <c r="I68" i="3"/>
  <c r="G68" i="3" a="1"/>
  <c r="G68" i="3" s="1"/>
  <c r="F68" i="3"/>
  <c r="I67" i="3"/>
  <c r="G67" i="3" a="1"/>
  <c r="G67" i="3" s="1"/>
  <c r="K126" i="4" s="1"/>
  <c r="F67" i="3"/>
  <c r="G90" i="4" s="1"/>
  <c r="I66" i="3"/>
  <c r="G66" i="3" a="1"/>
  <c r="G66" i="3" s="1"/>
  <c r="F66" i="3"/>
  <c r="H228" i="4" s="1"/>
  <c r="I65" i="3"/>
  <c r="G65" i="3" a="1"/>
  <c r="G65" i="3" s="1"/>
  <c r="K113" i="4" s="1"/>
  <c r="F65" i="3"/>
  <c r="G100" i="4" s="1"/>
  <c r="I64" i="3"/>
  <c r="G64" i="3" a="1"/>
  <c r="G64" i="3" s="1"/>
  <c r="K214" i="4" s="1"/>
  <c r="F64" i="3"/>
  <c r="I63" i="3"/>
  <c r="G63" i="3" a="1"/>
  <c r="G63" i="3" s="1"/>
  <c r="F63" i="3"/>
  <c r="G101" i="4" s="1"/>
  <c r="I62" i="3"/>
  <c r="G62" i="3" a="1"/>
  <c r="G62" i="3" s="1"/>
  <c r="K86" i="4" s="1"/>
  <c r="F62" i="3"/>
  <c r="G84" i="4" s="1"/>
  <c r="I61" i="3"/>
  <c r="G61" i="3" a="1"/>
  <c r="G61" i="3" s="1"/>
  <c r="K229" i="4" s="1"/>
  <c r="F61" i="3"/>
  <c r="I60" i="3"/>
  <c r="G60" i="3" a="1"/>
  <c r="G60" i="3" s="1"/>
  <c r="K260" i="4" s="1"/>
  <c r="F60" i="3"/>
  <c r="I59" i="3"/>
  <c r="G59" i="3" a="1"/>
  <c r="G59" i="3" s="1"/>
  <c r="K265" i="4" s="1"/>
  <c r="F59" i="3"/>
  <c r="I58" i="3"/>
  <c r="G58" i="3" a="1"/>
  <c r="G58" i="3" s="1"/>
  <c r="F58" i="3"/>
  <c r="I57" i="3"/>
  <c r="G57" i="3" a="1"/>
  <c r="G57" i="3" s="1"/>
  <c r="K258" i="4" s="1"/>
  <c r="F57" i="3"/>
  <c r="I56" i="3"/>
  <c r="G56" i="3" a="1"/>
  <c r="G56" i="3" s="1"/>
  <c r="F56" i="3"/>
  <c r="G99" i="4" s="1"/>
  <c r="I55" i="3"/>
  <c r="G55" i="3" a="1"/>
  <c r="G55" i="3" s="1"/>
  <c r="F55" i="3"/>
  <c r="H125" i="4" s="1"/>
  <c r="I54" i="3"/>
  <c r="G54" i="3" a="1"/>
  <c r="G54" i="3" s="1"/>
  <c r="F54" i="3"/>
  <c r="I53" i="3"/>
  <c r="G53" i="3" a="1"/>
  <c r="G53" i="3" s="1"/>
  <c r="F53" i="3"/>
  <c r="G24" i="4" s="1"/>
  <c r="I52" i="3"/>
  <c r="G52" i="3" a="1"/>
  <c r="G52" i="3" s="1"/>
  <c r="F52" i="3"/>
  <c r="G83" i="4" s="1"/>
  <c r="I51" i="3"/>
  <c r="G51" i="3" a="1"/>
  <c r="G51" i="3" s="1"/>
  <c r="F51" i="3"/>
  <c r="I50" i="3"/>
  <c r="G50" i="3" a="1"/>
  <c r="G50" i="3" s="1"/>
  <c r="F50" i="3"/>
  <c r="H268" i="4" s="1"/>
  <c r="I49" i="3"/>
  <c r="G49" i="3" a="1"/>
  <c r="G49" i="3" s="1"/>
  <c r="K88" i="4" s="1"/>
  <c r="F49" i="3"/>
  <c r="G78" i="4" s="1"/>
  <c r="I48" i="3"/>
  <c r="G48" i="3" a="1"/>
  <c r="G48" i="3" s="1"/>
  <c r="K256" i="4" s="1"/>
  <c r="F48" i="3"/>
  <c r="G255" i="4" s="1"/>
  <c r="I47" i="3"/>
  <c r="G47" i="3" a="1"/>
  <c r="G47" i="3" s="1"/>
  <c r="F47" i="3"/>
  <c r="I46" i="3"/>
  <c r="G46" i="3" a="1"/>
  <c r="G46" i="3" s="1"/>
  <c r="K23" i="4" s="1"/>
  <c r="F46" i="3"/>
  <c r="G20" i="4" s="1"/>
  <c r="I45" i="3"/>
  <c r="G45" i="3" a="1"/>
  <c r="G45" i="3" s="1"/>
  <c r="K273" i="4" s="1"/>
  <c r="F45" i="3"/>
  <c r="G253" i="4" s="1"/>
  <c r="I44" i="3"/>
  <c r="G44" i="3" a="1"/>
  <c r="G44" i="3" s="1"/>
  <c r="F44" i="3"/>
  <c r="G82" i="4" s="1"/>
  <c r="I43" i="3"/>
  <c r="G43" i="3" a="1"/>
  <c r="G43" i="3" s="1"/>
  <c r="F43" i="3"/>
  <c r="I42" i="3"/>
  <c r="G42" i="3" a="1"/>
  <c r="G42" i="3" s="1"/>
  <c r="K73" i="4" s="1"/>
  <c r="F42" i="3"/>
  <c r="G70" i="4" s="1"/>
  <c r="I41" i="3"/>
  <c r="G41" i="3" a="1"/>
  <c r="G41" i="3" s="1"/>
  <c r="K80" i="4" s="1"/>
  <c r="F41" i="3"/>
  <c r="G74" i="4" s="1"/>
  <c r="I40" i="3"/>
  <c r="G40" i="3" a="1"/>
  <c r="G40" i="3" s="1"/>
  <c r="K270" i="4" s="1"/>
  <c r="F40" i="3"/>
  <c r="H270" i="4" s="1"/>
  <c r="I39" i="3"/>
  <c r="G39" i="3" a="1"/>
  <c r="G39" i="3" s="1"/>
  <c r="F39" i="3"/>
  <c r="H81" i="4" s="1"/>
  <c r="I38" i="3"/>
  <c r="G38" i="3" a="1"/>
  <c r="G38" i="3" s="1"/>
  <c r="F38" i="3"/>
  <c r="I37" i="3"/>
  <c r="G37" i="3" a="1"/>
  <c r="G37" i="3" s="1"/>
  <c r="F37" i="3"/>
  <c r="I36" i="3"/>
  <c r="G36" i="3" a="1"/>
  <c r="G36" i="3" s="1"/>
  <c r="F36" i="3"/>
  <c r="H239" i="4" s="1"/>
  <c r="I35" i="3"/>
  <c r="G35" i="3" a="1"/>
  <c r="G35" i="3" s="1"/>
  <c r="K243" i="4" s="1"/>
  <c r="F35" i="3"/>
  <c r="H243" i="4" s="1"/>
  <c r="I34" i="3"/>
  <c r="G34" i="3" a="1"/>
  <c r="G34" i="3" s="1"/>
  <c r="F34" i="3"/>
  <c r="I33" i="3"/>
  <c r="G33" i="3" a="1"/>
  <c r="G33" i="3" s="1"/>
  <c r="K271" i="4" s="1"/>
  <c r="F33" i="3"/>
  <c r="I32" i="3"/>
  <c r="G32" i="3" a="1"/>
  <c r="G32" i="3" s="1"/>
  <c r="F32" i="3"/>
  <c r="G68" i="4" s="1"/>
  <c r="I31" i="3"/>
  <c r="G31" i="3" a="1"/>
  <c r="G31" i="3" s="1"/>
  <c r="K76" i="4" s="1"/>
  <c r="F31" i="3"/>
  <c r="G72" i="4" s="1"/>
  <c r="I30" i="3"/>
  <c r="G30" i="3" a="1"/>
  <c r="G30" i="3" s="1"/>
  <c r="K275" i="4" s="1"/>
  <c r="F30" i="3"/>
  <c r="I29" i="3"/>
  <c r="G29" i="3" a="1"/>
  <c r="G29" i="3" s="1"/>
  <c r="K69" i="4" s="1"/>
  <c r="F29" i="3"/>
  <c r="G66" i="4" s="1"/>
  <c r="I28" i="3"/>
  <c r="G28" i="3" a="1"/>
  <c r="G28" i="3" s="1"/>
  <c r="F28" i="3"/>
  <c r="G16" i="4" s="1"/>
  <c r="I27" i="3"/>
  <c r="G27" i="3" a="1"/>
  <c r="G27" i="3" s="1"/>
  <c r="F27" i="3"/>
  <c r="G67" i="4" s="1"/>
  <c r="I26" i="3"/>
  <c r="G26" i="3" a="1"/>
  <c r="G26" i="3" s="1"/>
  <c r="K42" i="4" s="1"/>
  <c r="F26" i="3"/>
  <c r="G40" i="4" s="1"/>
  <c r="I25" i="3"/>
  <c r="G25" i="3" a="1"/>
  <c r="G25" i="3" s="1"/>
  <c r="K40" i="4" s="1"/>
  <c r="F25" i="3"/>
  <c r="G39" i="4" s="1"/>
  <c r="I24" i="3"/>
  <c r="G24" i="3" a="1"/>
  <c r="G24" i="3" s="1"/>
  <c r="F24" i="3"/>
  <c r="G41" i="4" s="1"/>
  <c r="I23" i="3"/>
  <c r="G23" i="3" a="1"/>
  <c r="G23" i="3" s="1"/>
  <c r="F23" i="3"/>
  <c r="G44" i="4" s="1"/>
  <c r="I22" i="3"/>
  <c r="G22" i="3" a="1"/>
  <c r="G22" i="3" s="1"/>
  <c r="K48" i="4" s="1"/>
  <c r="F22" i="3"/>
  <c r="G43" i="4" s="1"/>
  <c r="I21" i="3"/>
  <c r="G21" i="3" a="1"/>
  <c r="G21" i="3" s="1"/>
  <c r="K46" i="4" s="1"/>
  <c r="F21" i="3"/>
  <c r="G45" i="4" s="1"/>
  <c r="I20" i="3"/>
  <c r="G20" i="3" a="1"/>
  <c r="G20" i="3" s="1"/>
  <c r="F20" i="3"/>
  <c r="G38" i="4" s="1"/>
  <c r="I19" i="3"/>
  <c r="G19" i="3" a="1"/>
  <c r="G19" i="3" s="1"/>
  <c r="F19" i="3"/>
  <c r="G53" i="4" s="1"/>
  <c r="I18" i="3"/>
  <c r="G18" i="3" a="1"/>
  <c r="G18" i="3" s="1"/>
  <c r="K59" i="4" s="1"/>
  <c r="F18" i="3"/>
  <c r="G54" i="4" s="1"/>
  <c r="I17" i="3"/>
  <c r="G17" i="3" a="1"/>
  <c r="G17" i="3" s="1"/>
  <c r="K50" i="4" s="1"/>
  <c r="F17" i="3"/>
  <c r="G37" i="4" s="1"/>
  <c r="I16" i="3"/>
  <c r="G16" i="3" a="1"/>
  <c r="G16" i="3" s="1"/>
  <c r="F16" i="3"/>
  <c r="G12" i="4" s="1"/>
  <c r="I15" i="3"/>
  <c r="G15" i="3" a="1"/>
  <c r="G15" i="3" s="1"/>
  <c r="F15" i="3"/>
  <c r="G33" i="4" s="1"/>
  <c r="I14" i="3"/>
  <c r="G14" i="3" a="1"/>
  <c r="G14" i="3" s="1"/>
  <c r="K276" i="4" s="1"/>
  <c r="F14" i="3"/>
  <c r="I13" i="3"/>
  <c r="G13" i="3" a="1"/>
  <c r="G13" i="3" s="1"/>
  <c r="K16" i="4" s="1"/>
  <c r="F13" i="3"/>
  <c r="G13" i="4" s="1"/>
  <c r="I12" i="3"/>
  <c r="G12" i="3" a="1"/>
  <c r="G12" i="3" s="1"/>
  <c r="F12" i="3"/>
  <c r="G36" i="4" s="1"/>
  <c r="I11" i="3"/>
  <c r="G11" i="3" a="1"/>
  <c r="G11" i="3" s="1"/>
  <c r="F11" i="3"/>
  <c r="G11" i="4" s="1"/>
  <c r="I10" i="3"/>
  <c r="G10" i="3" a="1"/>
  <c r="G10" i="3" s="1"/>
  <c r="F10" i="3"/>
  <c r="G34" i="4" s="1"/>
  <c r="I9" i="3"/>
  <c r="G9" i="3" a="1"/>
  <c r="G9" i="3" s="1"/>
  <c r="F9" i="3"/>
  <c r="G9" i="4" s="1"/>
  <c r="I8" i="3"/>
  <c r="G8" i="3" a="1"/>
  <c r="G8" i="3" s="1"/>
  <c r="K58" i="4" s="1"/>
  <c r="F8" i="3"/>
  <c r="G55" i="4" s="1"/>
  <c r="I7" i="3"/>
  <c r="G7" i="3" a="1"/>
  <c r="G7" i="3" s="1"/>
  <c r="K10" i="4" s="1"/>
  <c r="F7" i="3"/>
  <c r="G8" i="4" s="1"/>
  <c r="I6" i="3"/>
  <c r="G6" i="3" a="1"/>
  <c r="G6" i="3" s="1"/>
  <c r="F6" i="3"/>
  <c r="G35" i="4" s="1"/>
  <c r="I5" i="3"/>
  <c r="G5" i="3" a="1"/>
  <c r="G5" i="3" s="1"/>
  <c r="F5" i="3"/>
  <c r="I4" i="3"/>
  <c r="G4" i="3" a="1"/>
  <c r="G4" i="3" s="1"/>
  <c r="F4" i="3"/>
  <c r="G7" i="4" s="1"/>
  <c r="I3" i="3"/>
  <c r="I159" i="3" s="1"/>
  <c r="G3" i="3" a="1"/>
  <c r="G3" i="3" s="1"/>
  <c r="F3" i="3"/>
  <c r="G57" i="4" s="1"/>
  <c r="L8" i="2"/>
  <c r="L7" i="2"/>
  <c r="L6" i="2"/>
  <c r="L5" i="2"/>
  <c r="L4" i="2"/>
  <c r="L3" i="2"/>
  <c r="B69" i="1"/>
  <c r="B67" i="1"/>
  <c r="B61" i="1"/>
  <c r="B58" i="1"/>
  <c r="C37" i="1"/>
  <c r="AF33" i="7" l="1"/>
  <c r="AL69" i="7"/>
  <c r="AF233" i="7"/>
  <c r="AT147" i="7"/>
  <c r="AV118" i="7"/>
  <c r="AT323" i="7"/>
  <c r="Z243" i="7"/>
  <c r="Z275" i="7"/>
  <c r="AV278" i="7"/>
  <c r="BB32" i="7"/>
  <c r="AF137" i="7"/>
  <c r="AP213" i="7"/>
  <c r="AF19" i="7"/>
  <c r="Z89" i="7"/>
  <c r="Z75" i="7"/>
  <c r="AP34" i="7"/>
  <c r="Z98" i="7"/>
  <c r="Z77" i="7"/>
  <c r="BB59" i="7"/>
  <c r="AL127" i="7"/>
  <c r="AT157" i="7"/>
  <c r="AF310" i="7"/>
  <c r="Z242" i="7"/>
  <c r="BB301" i="7"/>
  <c r="AP242" i="7"/>
  <c r="AP295" i="7"/>
  <c r="BB75" i="7"/>
  <c r="AP109" i="7"/>
  <c r="AZ109" i="7" s="1"/>
  <c r="BK109" i="7" s="1"/>
  <c r="BB127" i="7"/>
  <c r="AV76" i="7"/>
  <c r="Z128" i="7"/>
  <c r="Z182" i="7"/>
  <c r="AP211" i="7"/>
  <c r="AT271" i="7"/>
  <c r="BD314" i="7"/>
  <c r="BH314" i="7" s="1"/>
  <c r="AF320" i="7"/>
  <c r="BD72" i="7"/>
  <c r="BD294" i="7"/>
  <c r="BD52" i="7"/>
  <c r="AV24" i="7"/>
  <c r="AR37" i="7"/>
  <c r="Z63" i="7"/>
  <c r="AF78" i="7"/>
  <c r="Z97" i="7"/>
  <c r="BB101" i="7"/>
  <c r="AT107" i="7"/>
  <c r="AP127" i="7"/>
  <c r="BF152" i="7"/>
  <c r="BB180" i="7"/>
  <c r="AT200" i="7"/>
  <c r="BB275" i="7"/>
  <c r="BH275" i="7" s="1"/>
  <c r="AV37" i="7"/>
  <c r="BD53" i="7"/>
  <c r="AP63" i="7"/>
  <c r="AD73" i="7"/>
  <c r="BB97" i="7"/>
  <c r="AP192" i="7"/>
  <c r="BB234" i="7"/>
  <c r="AR320" i="7"/>
  <c r="BD9" i="7"/>
  <c r="BD29" i="7"/>
  <c r="BD86" i="7"/>
  <c r="Z137" i="7"/>
  <c r="AT192" i="7"/>
  <c r="BB236" i="7"/>
  <c r="AR328" i="7"/>
  <c r="BH345" i="7"/>
  <c r="BD153" i="7"/>
  <c r="BH153" i="7" s="1"/>
  <c r="BB192" i="7"/>
  <c r="AD16" i="7"/>
  <c r="Z26" i="7"/>
  <c r="Z65" i="7"/>
  <c r="AP77" i="7"/>
  <c r="BD134" i="7"/>
  <c r="AP137" i="7"/>
  <c r="AP210" i="7"/>
  <c r="AF249" i="7"/>
  <c r="AP253" i="7"/>
  <c r="AP259" i="7"/>
  <c r="Z292" i="7"/>
  <c r="AF312" i="7"/>
  <c r="AV315" i="7"/>
  <c r="BD327" i="7"/>
  <c r="AF333" i="7"/>
  <c r="AP16" i="7"/>
  <c r="AP26" i="7"/>
  <c r="AP65" i="7"/>
  <c r="AV82" i="7"/>
  <c r="AD110" i="7"/>
  <c r="AP129" i="7"/>
  <c r="AT164" i="7"/>
  <c r="AP196" i="7"/>
  <c r="BB253" i="7"/>
  <c r="BD286" i="7"/>
  <c r="Z295" i="7"/>
  <c r="AF314" i="7"/>
  <c r="BF12" i="7"/>
  <c r="BB57" i="7"/>
  <c r="AP151" i="7"/>
  <c r="BB195" i="7"/>
  <c r="Z252" i="7"/>
  <c r="AX111" i="7"/>
  <c r="AL111" i="7"/>
  <c r="AX64" i="7"/>
  <c r="AL64" i="7"/>
  <c r="AT45" i="7"/>
  <c r="AT81" i="7"/>
  <c r="BD112" i="7"/>
  <c r="AT181" i="7"/>
  <c r="AT191" i="7"/>
  <c r="BD214" i="7"/>
  <c r="BD317" i="7"/>
  <c r="BH317" i="7" s="1"/>
  <c r="AR321" i="7"/>
  <c r="AD327" i="7"/>
  <c r="BH7" i="7"/>
  <c r="BB14" i="7"/>
  <c r="AV29" i="7"/>
  <c r="AB65" i="7"/>
  <c r="AR72" i="7"/>
  <c r="AR86" i="7"/>
  <c r="AD89" i="7"/>
  <c r="Z101" i="7"/>
  <c r="Z129" i="7"/>
  <c r="AT161" i="7"/>
  <c r="BD171" i="7"/>
  <c r="AR195" i="7"/>
  <c r="AZ195" i="7" s="1"/>
  <c r="BK195" i="7" s="1"/>
  <c r="Z273" i="7"/>
  <c r="BB274" i="7"/>
  <c r="AR294" i="7"/>
  <c r="BD321" i="7"/>
  <c r="AR342" i="7"/>
  <c r="BD344" i="7"/>
  <c r="AV26" i="7"/>
  <c r="BD43" i="7"/>
  <c r="AR52" i="7"/>
  <c r="AD60" i="7"/>
  <c r="AX69" i="7"/>
  <c r="BD110" i="7"/>
  <c r="AR134" i="7"/>
  <c r="BB154" i="7"/>
  <c r="BB217" i="7"/>
  <c r="AP220" i="7"/>
  <c r="AR227" i="7"/>
  <c r="BB233" i="7"/>
  <c r="BB235" i="7"/>
  <c r="AR250" i="7"/>
  <c r="Z258" i="7"/>
  <c r="AP262" i="7"/>
  <c r="AP266" i="7"/>
  <c r="BB273" i="7"/>
  <c r="AR286" i="7"/>
  <c r="AV295" i="7"/>
  <c r="BD320" i="7"/>
  <c r="BH320" i="7" s="1"/>
  <c r="AR349" i="7"/>
  <c r="AB34" i="7"/>
  <c r="AP99" i="7"/>
  <c r="BD199" i="7"/>
  <c r="BB227" i="7"/>
  <c r="AR236" i="7"/>
  <c r="BB258" i="7"/>
  <c r="BD315" i="7"/>
  <c r="BH315" i="7" s="1"/>
  <c r="BD333" i="7"/>
  <c r="Z341" i="7"/>
  <c r="BD76" i="7"/>
  <c r="AV92" i="7"/>
  <c r="BB99" i="7"/>
  <c r="Z166" i="7"/>
  <c r="Z219" i="7"/>
  <c r="AV226" i="7"/>
  <c r="Z230" i="7"/>
  <c r="AR261" i="7"/>
  <c r="AV265" i="7"/>
  <c r="AZ265" i="7" s="1"/>
  <c r="BK265" i="7" s="1"/>
  <c r="Z281" i="7"/>
  <c r="AF338" i="7"/>
  <c r="AF348" i="7"/>
  <c r="AR21" i="7"/>
  <c r="AR34" i="7"/>
  <c r="BB41" i="7"/>
  <c r="AR53" i="7"/>
  <c r="Z85" i="7"/>
  <c r="BD92" i="7"/>
  <c r="AV108" i="7"/>
  <c r="AT115" i="7"/>
  <c r="AP123" i="7"/>
  <c r="AP128" i="7"/>
  <c r="BB159" i="7"/>
  <c r="AR169" i="7"/>
  <c r="AP194" i="7"/>
  <c r="BD201" i="7"/>
  <c r="BB209" i="7"/>
  <c r="Z223" i="7"/>
  <c r="AF230" i="7"/>
  <c r="BB237" i="7"/>
  <c r="AP281" i="7"/>
  <c r="AB300" i="7"/>
  <c r="BD348" i="7"/>
  <c r="BH348" i="7" s="1"/>
  <c r="BD13" i="7"/>
  <c r="BD28" i="7"/>
  <c r="AP32" i="7"/>
  <c r="BB38" i="7"/>
  <c r="BD68" i="7"/>
  <c r="AT71" i="7"/>
  <c r="AP85" i="7"/>
  <c r="AD104" i="7"/>
  <c r="AP139" i="7"/>
  <c r="AR153" i="7"/>
  <c r="BD158" i="7"/>
  <c r="Z211" i="7"/>
  <c r="AP223" i="7"/>
  <c r="BB240" i="7"/>
  <c r="AL253" i="7"/>
  <c r="AV276" i="7"/>
  <c r="BD281" i="7"/>
  <c r="Z345" i="7"/>
  <c r="AX57" i="7"/>
  <c r="AL57" i="7"/>
  <c r="BF57" i="7"/>
  <c r="BB90" i="7"/>
  <c r="Z90" i="7"/>
  <c r="AB15" i="7"/>
  <c r="AB18" i="7"/>
  <c r="BB33" i="7"/>
  <c r="BD35" i="7"/>
  <c r="AR45" i="7"/>
  <c r="AB50" i="7"/>
  <c r="AN50" i="7" s="1"/>
  <c r="Z56" i="7"/>
  <c r="AB60" i="7"/>
  <c r="BD60" i="7"/>
  <c r="Z67" i="7"/>
  <c r="BB83" i="7"/>
  <c r="Z83" i="7"/>
  <c r="AP90" i="7"/>
  <c r="BB133" i="7"/>
  <c r="AP133" i="7"/>
  <c r="Z133" i="7"/>
  <c r="AB78" i="7"/>
  <c r="BD78" i="7"/>
  <c r="BB22" i="7"/>
  <c r="AF41" i="7"/>
  <c r="AV53" i="7"/>
  <c r="AV66" i="7"/>
  <c r="AF66" i="7"/>
  <c r="AP67" i="7"/>
  <c r="AP91" i="7"/>
  <c r="Z91" i="7"/>
  <c r="BD139" i="7"/>
  <c r="AR139" i="7"/>
  <c r="AB139" i="7"/>
  <c r="AP157" i="7"/>
  <c r="BB157" i="7"/>
  <c r="Z157" i="7"/>
  <c r="BB173" i="7"/>
  <c r="Z173" i="7"/>
  <c r="BD188" i="7"/>
  <c r="BB189" i="7"/>
  <c r="BH189" i="7" s="1"/>
  <c r="Z189" i="7"/>
  <c r="AP48" i="7"/>
  <c r="BB48" i="7"/>
  <c r="Z93" i="7"/>
  <c r="BB93" i="7"/>
  <c r="AB8" i="7"/>
  <c r="Z16" i="7"/>
  <c r="AP18" i="7"/>
  <c r="AF21" i="7"/>
  <c r="Z34" i="7"/>
  <c r="AL41" i="7"/>
  <c r="AR43" i="7"/>
  <c r="AV45" i="7"/>
  <c r="AB51" i="7"/>
  <c r="AT53" i="7"/>
  <c r="AD53" i="7"/>
  <c r="BB56" i="7"/>
  <c r="BD58" i="7"/>
  <c r="AD63" i="7"/>
  <c r="BB91" i="7"/>
  <c r="AP145" i="7"/>
  <c r="BB145" i="7"/>
  <c r="AR163" i="7"/>
  <c r="BD163" i="7"/>
  <c r="AB163" i="7"/>
  <c r="AP100" i="7"/>
  <c r="AZ100" i="7" s="1"/>
  <c r="BK100" i="7" s="1"/>
  <c r="BB100" i="7"/>
  <c r="AB126" i="7"/>
  <c r="AR126" i="7"/>
  <c r="AB23" i="7"/>
  <c r="AF27" i="7"/>
  <c r="AD37" i="7"/>
  <c r="AT38" i="7"/>
  <c r="AD38" i="7"/>
  <c r="AT61" i="7"/>
  <c r="BB81" i="7"/>
  <c r="AP81" i="7"/>
  <c r="AT105" i="7"/>
  <c r="AD105" i="7"/>
  <c r="AB162" i="7"/>
  <c r="AR11" i="7"/>
  <c r="AB26" i="7"/>
  <c r="Z39" i="7"/>
  <c r="Z42" i="7"/>
  <c r="AP42" i="7"/>
  <c r="AF49" i="7"/>
  <c r="AP52" i="7"/>
  <c r="BD61" i="7"/>
  <c r="AT72" i="7"/>
  <c r="Z81" i="7"/>
  <c r="AV83" i="7"/>
  <c r="AF83" i="7"/>
  <c r="AR161" i="7"/>
  <c r="AV167" i="7"/>
  <c r="AF167" i="7"/>
  <c r="AD185" i="7"/>
  <c r="AT185" i="7"/>
  <c r="BD42" i="7"/>
  <c r="AR42" i="7"/>
  <c r="AB42" i="7"/>
  <c r="AX48" i="7"/>
  <c r="AL48" i="7"/>
  <c r="BD54" i="7"/>
  <c r="Z64" i="7"/>
  <c r="BB64" i="7"/>
  <c r="BB66" i="7"/>
  <c r="Z66" i="7"/>
  <c r="BD70" i="7"/>
  <c r="AD75" i="7"/>
  <c r="AT75" i="7"/>
  <c r="AR118" i="7"/>
  <c r="BD118" i="7"/>
  <c r="BB131" i="7"/>
  <c r="Z131" i="7"/>
  <c r="AT134" i="7"/>
  <c r="AR9" i="7"/>
  <c r="AZ9" i="7" s="1"/>
  <c r="BK9" i="7" s="1"/>
  <c r="BD14" i="7"/>
  <c r="Z22" i="7"/>
  <c r="AB28" i="7"/>
  <c r="AB33" i="7"/>
  <c r="AT46" i="7"/>
  <c r="AD46" i="7"/>
  <c r="BB50" i="7"/>
  <c r="AP50" i="7"/>
  <c r="AB108" i="7"/>
  <c r="BD108" i="7"/>
  <c r="AR108" i="7"/>
  <c r="BF166" i="7"/>
  <c r="BH166" i="7" s="1"/>
  <c r="AX166" i="7"/>
  <c r="AL166" i="7"/>
  <c r="AR198" i="7"/>
  <c r="AB251" i="7"/>
  <c r="AR269" i="7"/>
  <c r="AT319" i="7"/>
  <c r="BD198" i="7"/>
  <c r="AF206" i="7"/>
  <c r="BD208" i="7"/>
  <c r="AR209" i="7"/>
  <c r="BD221" i="7"/>
  <c r="AF248" i="7"/>
  <c r="AX252" i="7"/>
  <c r="Z254" i="7"/>
  <c r="BD269" i="7"/>
  <c r="Z284" i="7"/>
  <c r="AD286" i="7"/>
  <c r="Z288" i="7"/>
  <c r="AR289" i="7"/>
  <c r="AT294" i="7"/>
  <c r="AB295" i="7"/>
  <c r="Z300" i="7"/>
  <c r="AF306" i="7"/>
  <c r="AT307" i="7"/>
  <c r="AR312" i="7"/>
  <c r="AR318" i="7"/>
  <c r="AR325" i="7"/>
  <c r="AR326" i="7"/>
  <c r="AV341" i="7"/>
  <c r="AR351" i="7"/>
  <c r="AD354" i="7"/>
  <c r="AR104" i="7"/>
  <c r="AP106" i="7"/>
  <c r="AF110" i="7"/>
  <c r="AV142" i="7"/>
  <c r="BD145" i="7"/>
  <c r="AV150" i="7"/>
  <c r="AB157" i="7"/>
  <c r="AV161" i="7"/>
  <c r="Z170" i="7"/>
  <c r="AT172" i="7"/>
  <c r="AR174" i="7"/>
  <c r="AD197" i="7"/>
  <c r="AD199" i="7"/>
  <c r="AR218" i="7"/>
  <c r="Z220" i="7"/>
  <c r="AR224" i="7"/>
  <c r="AR229" i="7"/>
  <c r="AD236" i="7"/>
  <c r="AR251" i="7"/>
  <c r="AT253" i="7"/>
  <c r="BB254" i="7"/>
  <c r="AR283" i="7"/>
  <c r="AF284" i="7"/>
  <c r="AB287" i="7"/>
  <c r="AR299" i="7"/>
  <c r="AR311" i="7"/>
  <c r="BD325" i="7"/>
  <c r="BH325" i="7" s="1"/>
  <c r="BD326" i="7"/>
  <c r="BH326" i="7" s="1"/>
  <c r="AF344" i="7"/>
  <c r="BD104" i="7"/>
  <c r="BD106" i="7"/>
  <c r="AR110" i="7"/>
  <c r="AR112" i="7"/>
  <c r="BD114" i="7"/>
  <c r="AR116" i="7"/>
  <c r="Z123" i="7"/>
  <c r="AD158" i="7"/>
  <c r="AR171" i="7"/>
  <c r="BB172" i="7"/>
  <c r="AR173" i="7"/>
  <c r="AR177" i="7"/>
  <c r="AV189" i="7"/>
  <c r="BB218" i="7"/>
  <c r="AD234" i="7"/>
  <c r="AR247" i="7"/>
  <c r="AF281" i="7"/>
  <c r="AD282" i="7"/>
  <c r="BD283" i="7"/>
  <c r="AP284" i="7"/>
  <c r="AP288" i="7"/>
  <c r="BD299" i="7"/>
  <c r="AT304" i="7"/>
  <c r="Z310" i="7"/>
  <c r="AV311" i="7"/>
  <c r="AR315" i="7"/>
  <c r="BD102" i="7"/>
  <c r="AB109" i="7"/>
  <c r="AT155" i="7"/>
  <c r="AR181" i="7"/>
  <c r="AR200" i="7"/>
  <c r="AR216" i="7"/>
  <c r="AB261" i="7"/>
  <c r="AB266" i="7"/>
  <c r="AP300" i="7"/>
  <c r="BB303" i="7"/>
  <c r="AT305" i="7"/>
  <c r="AR309" i="7"/>
  <c r="AR314" i="7"/>
  <c r="AR330" i="7"/>
  <c r="AR336" i="7"/>
  <c r="AF343" i="7"/>
  <c r="AV350" i="7"/>
  <c r="AR96" i="7"/>
  <c r="AR140" i="7"/>
  <c r="AB147" i="7"/>
  <c r="Z149" i="7"/>
  <c r="AR193" i="7"/>
  <c r="BD204" i="7"/>
  <c r="Z217" i="7"/>
  <c r="BD239" i="7"/>
  <c r="BD246" i="7"/>
  <c r="AF257" i="7"/>
  <c r="AB267" i="7"/>
  <c r="AB271" i="7"/>
  <c r="BD303" i="7"/>
  <c r="BD330" i="7"/>
  <c r="BH330" i="7" s="1"/>
  <c r="BD336" i="7"/>
  <c r="AR339" i="7"/>
  <c r="AR343" i="7"/>
  <c r="AP349" i="7"/>
  <c r="AR84" i="7"/>
  <c r="AP89" i="7"/>
  <c r="AB93" i="7"/>
  <c r="BD96" i="7"/>
  <c r="AP98" i="7"/>
  <c r="BD100" i="7"/>
  <c r="BB109" i="7"/>
  <c r="AP115" i="7"/>
  <c r="AR117" i="7"/>
  <c r="BD138" i="7"/>
  <c r="BD140" i="7"/>
  <c r="BD180" i="7"/>
  <c r="BB181" i="7"/>
  <c r="Z183" i="7"/>
  <c r="BD193" i="7"/>
  <c r="BD200" i="7"/>
  <c r="Z203" i="7"/>
  <c r="BB215" i="7"/>
  <c r="AD227" i="7"/>
  <c r="AP230" i="7"/>
  <c r="BD232" i="7"/>
  <c r="Z235" i="7"/>
  <c r="Z237" i="7"/>
  <c r="Z238" i="7"/>
  <c r="AT245" i="7"/>
  <c r="AF256" i="7"/>
  <c r="AR257" i="7"/>
  <c r="Z259" i="7"/>
  <c r="AR266" i="7"/>
  <c r="AF277" i="7"/>
  <c r="BD309" i="7"/>
  <c r="AR313" i="7"/>
  <c r="AR329" i="7"/>
  <c r="AR334" i="7"/>
  <c r="BD335" i="7"/>
  <c r="BD339" i="7"/>
  <c r="AD342" i="7"/>
  <c r="Z57" i="7"/>
  <c r="Z59" i="7"/>
  <c r="AR68" i="7"/>
  <c r="AR76" i="7"/>
  <c r="BD103" i="7"/>
  <c r="BD109" i="7"/>
  <c r="AV113" i="7"/>
  <c r="AR144" i="7"/>
  <c r="AP149" i="7"/>
  <c r="AT152" i="7"/>
  <c r="Z154" i="7"/>
  <c r="BB156" i="7"/>
  <c r="AR164" i="7"/>
  <c r="AV165" i="7"/>
  <c r="AR167" i="7"/>
  <c r="BD179" i="7"/>
  <c r="BD184" i="7"/>
  <c r="BB187" i="7"/>
  <c r="AB194" i="7"/>
  <c r="AP203" i="7"/>
  <c r="AP205" i="7"/>
  <c r="AV222" i="7"/>
  <c r="AP238" i="7"/>
  <c r="BF244" i="7"/>
  <c r="AB250" i="7"/>
  <c r="BD257" i="7"/>
  <c r="AT266" i="7"/>
  <c r="BD270" i="7"/>
  <c r="AR278" i="7"/>
  <c r="AB279" i="7"/>
  <c r="AL290" i="7"/>
  <c r="BD308" i="7"/>
  <c r="AP20" i="7"/>
  <c r="Z20" i="7"/>
  <c r="BB20" i="7"/>
  <c r="AL36" i="7"/>
  <c r="AX36" i="7"/>
  <c r="AL44" i="7"/>
  <c r="AX44" i="7"/>
  <c r="AL66" i="7"/>
  <c r="AX66" i="7"/>
  <c r="BB31" i="7"/>
  <c r="Z31" i="7"/>
  <c r="AP31" i="7"/>
  <c r="AB27" i="7"/>
  <c r="AX33" i="7"/>
  <c r="AZ33" i="7" s="1"/>
  <c r="BK33" i="7" s="1"/>
  <c r="AL33" i="7"/>
  <c r="BF33" i="7"/>
  <c r="AX49" i="7"/>
  <c r="AL49" i="7"/>
  <c r="BF49" i="7"/>
  <c r="BD19" i="7"/>
  <c r="BH19" i="7" s="1"/>
  <c r="AR19" i="7"/>
  <c r="AB19" i="7"/>
  <c r="Z24" i="7"/>
  <c r="BB24" i="7"/>
  <c r="AP24" i="7"/>
  <c r="BF43" i="7"/>
  <c r="AL43" i="7"/>
  <c r="BF35" i="7"/>
  <c r="AL35" i="7"/>
  <c r="AV11" i="7"/>
  <c r="AF11" i="7"/>
  <c r="BD27" i="7"/>
  <c r="BH27" i="7" s="1"/>
  <c r="BF58" i="7"/>
  <c r="AX58" i="7"/>
  <c r="Z150" i="7"/>
  <c r="BB150" i="7"/>
  <c r="AP185" i="7"/>
  <c r="Z185" i="7"/>
  <c r="BB185" i="7"/>
  <c r="AV186" i="7"/>
  <c r="AR197" i="7"/>
  <c r="BD197" i="7"/>
  <c r="BB51" i="7"/>
  <c r="AB94" i="7"/>
  <c r="BB117" i="7"/>
  <c r="Z117" i="7"/>
  <c r="AD13" i="7"/>
  <c r="AD14" i="7"/>
  <c r="AV17" i="7"/>
  <c r="BB18" i="7"/>
  <c r="Z23" i="7"/>
  <c r="AX26" i="7"/>
  <c r="AL27" i="7"/>
  <c r="AP30" i="7"/>
  <c r="AR31" i="7"/>
  <c r="BD33" i="7"/>
  <c r="Z38" i="7"/>
  <c r="AF39" i="7"/>
  <c r="AP40" i="7"/>
  <c r="BF41" i="7"/>
  <c r="Z46" i="7"/>
  <c r="AP47" i="7"/>
  <c r="AR50" i="7"/>
  <c r="BD51" i="7"/>
  <c r="AR55" i="7"/>
  <c r="AB61" i="7"/>
  <c r="BD64" i="7"/>
  <c r="AP69" i="7"/>
  <c r="AF70" i="7"/>
  <c r="AP71" i="7"/>
  <c r="BD74" i="7"/>
  <c r="BH74" i="7" s="1"/>
  <c r="AP79" i="7"/>
  <c r="AR80" i="7"/>
  <c r="AV84" i="7"/>
  <c r="AR88" i="7"/>
  <c r="AR98" i="7"/>
  <c r="AB101" i="7"/>
  <c r="Z105" i="7"/>
  <c r="AR107" i="7"/>
  <c r="BF111" i="7"/>
  <c r="Z113" i="7"/>
  <c r="AR114" i="7"/>
  <c r="BB115" i="7"/>
  <c r="AP117" i="7"/>
  <c r="AP119" i="7"/>
  <c r="Z119" i="7"/>
  <c r="Z121" i="7"/>
  <c r="BD123" i="7"/>
  <c r="AR123" i="7"/>
  <c r="BD131" i="7"/>
  <c r="AB131" i="7"/>
  <c r="AP143" i="7"/>
  <c r="BB143" i="7"/>
  <c r="AD166" i="7"/>
  <c r="AT166" i="7"/>
  <c r="AD182" i="7"/>
  <c r="AT182" i="7"/>
  <c r="AP200" i="7"/>
  <c r="BB200" i="7"/>
  <c r="BF210" i="7"/>
  <c r="AX210" i="7"/>
  <c r="AP55" i="7"/>
  <c r="AL75" i="7"/>
  <c r="AX122" i="7"/>
  <c r="BF122" i="7"/>
  <c r="AB124" i="7"/>
  <c r="AP8" i="7"/>
  <c r="AB11" i="7"/>
  <c r="AL12" i="7"/>
  <c r="AV16" i="7"/>
  <c r="AT24" i="7"/>
  <c r="BB40" i="7"/>
  <c r="AR47" i="7"/>
  <c r="AT50" i="7"/>
  <c r="AT55" i="7"/>
  <c r="AT62" i="7"/>
  <c r="BF63" i="7"/>
  <c r="BF64" i="7"/>
  <c r="AT69" i="7"/>
  <c r="BD80" i="7"/>
  <c r="AP87" i="7"/>
  <c r="BD88" i="7"/>
  <c r="AL92" i="7"/>
  <c r="AR94" i="7"/>
  <c r="AZ94" i="7" s="1"/>
  <c r="BK94" i="7" s="1"/>
  <c r="BF98" i="7"/>
  <c r="BH98" i="7" s="1"/>
  <c r="AB100" i="7"/>
  <c r="AB106" i="7"/>
  <c r="AL107" i="7"/>
  <c r="BF107" i="7"/>
  <c r="BB112" i="7"/>
  <c r="AP112" i="7"/>
  <c r="AP113" i="7"/>
  <c r="AR124" i="7"/>
  <c r="BB141" i="7"/>
  <c r="AP141" i="7"/>
  <c r="Z141" i="7"/>
  <c r="AD165" i="7"/>
  <c r="AT165" i="7"/>
  <c r="BB174" i="7"/>
  <c r="AP174" i="7"/>
  <c r="Z174" i="7"/>
  <c r="AL186" i="7"/>
  <c r="BF186" i="7"/>
  <c r="BD219" i="7"/>
  <c r="AR219" i="7"/>
  <c r="AB219" i="7"/>
  <c r="AB70" i="7"/>
  <c r="AR90" i="7"/>
  <c r="AP95" i="7"/>
  <c r="AB102" i="7"/>
  <c r="AD120" i="7"/>
  <c r="AT120" i="7"/>
  <c r="AP15" i="7"/>
  <c r="BF18" i="7"/>
  <c r="BD20" i="7"/>
  <c r="BD21" i="7"/>
  <c r="AV25" i="7"/>
  <c r="AP28" i="7"/>
  <c r="AR29" i="7"/>
  <c r="BB30" i="7"/>
  <c r="AT31" i="7"/>
  <c r="AR8" i="7"/>
  <c r="AV15" i="7"/>
  <c r="AX19" i="7"/>
  <c r="BB28" i="7"/>
  <c r="Z33" i="7"/>
  <c r="AT36" i="7"/>
  <c r="AP39" i="7"/>
  <c r="AR44" i="7"/>
  <c r="BF48" i="7"/>
  <c r="AB58" i="7"/>
  <c r="AB59" i="7"/>
  <c r="BB61" i="7"/>
  <c r="AD67" i="7"/>
  <c r="AX71" i="7"/>
  <c r="AP73" i="7"/>
  <c r="AV75" i="7"/>
  <c r="BF79" i="7"/>
  <c r="BH79" i="7" s="1"/>
  <c r="AP83" i="7"/>
  <c r="BD84" i="7"/>
  <c r="AR92" i="7"/>
  <c r="AP93" i="7"/>
  <c r="AF96" i="7"/>
  <c r="AL100" i="7"/>
  <c r="AX107" i="7"/>
  <c r="AP121" i="7"/>
  <c r="BB125" i="7"/>
  <c r="BH125" i="7" s="1"/>
  <c r="Z125" i="7"/>
  <c r="BF145" i="7"/>
  <c r="AX145" i="7"/>
  <c r="BD146" i="7"/>
  <c r="AR146" i="7"/>
  <c r="AB146" i="7"/>
  <c r="AT160" i="7"/>
  <c r="AV175" i="7"/>
  <c r="AB64" i="7"/>
  <c r="AB13" i="7"/>
  <c r="AB14" i="7"/>
  <c r="AX18" i="7"/>
  <c r="BB8" i="7"/>
  <c r="AV12" i="7"/>
  <c r="AV23" i="7"/>
  <c r="AX27" i="7"/>
  <c r="AB35" i="7"/>
  <c r="AR39" i="7"/>
  <c r="AT44" i="7"/>
  <c r="BB46" i="7"/>
  <c r="AF59" i="7"/>
  <c r="BB69" i="7"/>
  <c r="AV72" i="7"/>
  <c r="BB73" i="7"/>
  <c r="AX75" i="7"/>
  <c r="AL77" i="7"/>
  <c r="AR93" i="7"/>
  <c r="AR101" i="7"/>
  <c r="AX102" i="7"/>
  <c r="AP105" i="7"/>
  <c r="BB107" i="7"/>
  <c r="AX114" i="7"/>
  <c r="BF114" i="7"/>
  <c r="BD115" i="7"/>
  <c r="AB115" i="7"/>
  <c r="AB116" i="7"/>
  <c r="AB118" i="7"/>
  <c r="BF121" i="7"/>
  <c r="AX121" i="7"/>
  <c r="AL121" i="7"/>
  <c r="AT126" i="7"/>
  <c r="BD128" i="7"/>
  <c r="AB128" i="7"/>
  <c r="AV129" i="7"/>
  <c r="BB144" i="7"/>
  <c r="BH144" i="7" s="1"/>
  <c r="AP144" i="7"/>
  <c r="Z144" i="7"/>
  <c r="AF162" i="7"/>
  <c r="AV162" i="7"/>
  <c r="BB178" i="7"/>
  <c r="AP178" i="7"/>
  <c r="Z178" i="7"/>
  <c r="AL187" i="7"/>
  <c r="AX187" i="7"/>
  <c r="BF187" i="7"/>
  <c r="AL196" i="7"/>
  <c r="AX196" i="7"/>
  <c r="AV196" i="7"/>
  <c r="AF196" i="7"/>
  <c r="AX225" i="7"/>
  <c r="AL225" i="7"/>
  <c r="AB122" i="7"/>
  <c r="BD132" i="7"/>
  <c r="AR132" i="7"/>
  <c r="AZ132" i="7" s="1"/>
  <c r="BK132" i="7" s="1"/>
  <c r="BB135" i="7"/>
  <c r="Z135" i="7"/>
  <c r="BF137" i="7"/>
  <c r="AX137" i="7"/>
  <c r="AL137" i="7"/>
  <c r="BD142" i="7"/>
  <c r="AR142" i="7"/>
  <c r="AB142" i="7"/>
  <c r="AL175" i="7"/>
  <c r="BF175" i="7"/>
  <c r="AX175" i="7"/>
  <c r="BD191" i="7"/>
  <c r="AR191" i="7"/>
  <c r="AB191" i="7"/>
  <c r="AP198" i="7"/>
  <c r="BB198" i="7"/>
  <c r="AB302" i="7"/>
  <c r="AB85" i="7"/>
  <c r="Z95" i="7"/>
  <c r="AB98" i="7"/>
  <c r="AX105" i="7"/>
  <c r="BF113" i="7"/>
  <c r="AX113" i="7"/>
  <c r="Z120" i="7"/>
  <c r="AL122" i="7"/>
  <c r="AT125" i="7"/>
  <c r="AD125" i="7"/>
  <c r="AP135" i="7"/>
  <c r="AX160" i="7"/>
  <c r="BF160" i="7"/>
  <c r="BH160" i="7" s="1"/>
  <c r="BB168" i="7"/>
  <c r="AP168" i="7"/>
  <c r="Z168" i="7"/>
  <c r="AV126" i="7"/>
  <c r="Z47" i="7"/>
  <c r="Z55" i="7"/>
  <c r="AF56" i="7"/>
  <c r="Z62" i="7"/>
  <c r="Z15" i="7"/>
  <c r="Z17" i="7"/>
  <c r="AV18" i="7"/>
  <c r="AB20" i="7"/>
  <c r="Z25" i="7"/>
  <c r="AV32" i="7"/>
  <c r="AB37" i="7"/>
  <c r="AB45" i="7"/>
  <c r="AB47" i="7"/>
  <c r="BB58" i="7"/>
  <c r="AB62" i="7"/>
  <c r="AT64" i="7"/>
  <c r="AB74" i="7"/>
  <c r="AD80" i="7"/>
  <c r="AD88" i="7"/>
  <c r="Z107" i="7"/>
  <c r="AF115" i="7"/>
  <c r="AV115" i="7"/>
  <c r="AX119" i="7"/>
  <c r="AL119" i="7"/>
  <c r="AP120" i="7"/>
  <c r="BD122" i="7"/>
  <c r="AV128" i="7"/>
  <c r="AF128" i="7"/>
  <c r="AR128" i="7"/>
  <c r="BD130" i="7"/>
  <c r="AR130" i="7"/>
  <c r="AB130" i="7"/>
  <c r="BB136" i="7"/>
  <c r="AP136" i="7"/>
  <c r="Z136" i="7"/>
  <c r="AT142" i="7"/>
  <c r="AL151" i="7"/>
  <c r="BF151" i="7"/>
  <c r="AX151" i="7"/>
  <c r="AR154" i="7"/>
  <c r="AB154" i="7"/>
  <c r="BD154" i="7"/>
  <c r="AR206" i="7"/>
  <c r="BD206" i="7"/>
  <c r="AZ148" i="7"/>
  <c r="BK148" i="7" s="1"/>
  <c r="AB177" i="7"/>
  <c r="BB228" i="7"/>
  <c r="Z228" i="7"/>
  <c r="AP279" i="7"/>
  <c r="Z279" i="7"/>
  <c r="BB279" i="7"/>
  <c r="AV285" i="7"/>
  <c r="AZ285" i="7" s="1"/>
  <c r="BK285" i="7" s="1"/>
  <c r="AF285" i="7"/>
  <c r="BB298" i="7"/>
  <c r="AP298" i="7"/>
  <c r="Z298" i="7"/>
  <c r="BF300" i="7"/>
  <c r="BH300" i="7" s="1"/>
  <c r="AX300" i="7"/>
  <c r="AL300" i="7"/>
  <c r="AF327" i="7"/>
  <c r="AV327" i="7"/>
  <c r="AV334" i="7"/>
  <c r="AF334" i="7"/>
  <c r="BB337" i="7"/>
  <c r="AP337" i="7"/>
  <c r="Z337" i="7"/>
  <c r="BD126" i="7"/>
  <c r="AP131" i="7"/>
  <c r="AR138" i="7"/>
  <c r="BB139" i="7"/>
  <c r="AV157" i="7"/>
  <c r="AB158" i="7"/>
  <c r="BD159" i="7"/>
  <c r="AF160" i="7"/>
  <c r="BD161" i="7"/>
  <c r="BF164" i="7"/>
  <c r="BH164" i="7" s="1"/>
  <c r="AP167" i="7"/>
  <c r="BD169" i="7"/>
  <c r="AP173" i="7"/>
  <c r="AV181" i="7"/>
  <c r="AB182" i="7"/>
  <c r="AT186" i="7"/>
  <c r="AB189" i="7"/>
  <c r="AB202" i="7"/>
  <c r="Z212" i="7"/>
  <c r="AB217" i="7"/>
  <c r="BD226" i="7"/>
  <c r="BF230" i="7"/>
  <c r="BD237" i="7"/>
  <c r="AB237" i="7"/>
  <c r="BB246" i="7"/>
  <c r="AP246" i="7"/>
  <c r="Z246" i="7"/>
  <c r="AF250" i="7"/>
  <c r="AV250" i="7"/>
  <c r="AF342" i="7"/>
  <c r="AV342" i="7"/>
  <c r="AP147" i="7"/>
  <c r="AB150" i="7"/>
  <c r="BD157" i="7"/>
  <c r="AP162" i="7"/>
  <c r="AP166" i="7"/>
  <c r="BD167" i="7"/>
  <c r="BH167" i="7" s="1"/>
  <c r="AP170" i="7"/>
  <c r="AT173" i="7"/>
  <c r="BH182" i="7"/>
  <c r="AP183" i="7"/>
  <c r="BD186" i="7"/>
  <c r="AB188" i="7"/>
  <c r="BB194" i="7"/>
  <c r="AP212" i="7"/>
  <c r="AL223" i="7"/>
  <c r="AP245" i="7"/>
  <c r="Z245" i="7"/>
  <c r="AP287" i="7"/>
  <c r="Z287" i="7"/>
  <c r="BB287" i="7"/>
  <c r="BD297" i="7"/>
  <c r="AR297" i="7"/>
  <c r="AB297" i="7"/>
  <c r="AV316" i="7"/>
  <c r="AF316" i="7"/>
  <c r="AV340" i="7"/>
  <c r="AL109" i="7"/>
  <c r="AV120" i="7"/>
  <c r="AL129" i="7"/>
  <c r="AF134" i="7"/>
  <c r="AB144" i="7"/>
  <c r="AR147" i="7"/>
  <c r="BD148" i="7"/>
  <c r="AD150" i="7"/>
  <c r="AF151" i="7"/>
  <c r="AL152" i="7"/>
  <c r="AV155" i="7"/>
  <c r="AT162" i="7"/>
  <c r="Z163" i="7"/>
  <c r="AR166" i="7"/>
  <c r="AV173" i="7"/>
  <c r="AB174" i="7"/>
  <c r="AF179" i="7"/>
  <c r="AB181" i="7"/>
  <c r="AP182" i="7"/>
  <c r="AF188" i="7"/>
  <c r="AF198" i="7"/>
  <c r="AR202" i="7"/>
  <c r="AF204" i="7"/>
  <c r="AX212" i="7"/>
  <c r="AR217" i="7"/>
  <c r="AP219" i="7"/>
  <c r="AX235" i="7"/>
  <c r="AL235" i="7"/>
  <c r="BF235" i="7"/>
  <c r="AX237" i="7"/>
  <c r="BF237" i="7"/>
  <c r="AL237" i="7"/>
  <c r="AL238" i="7"/>
  <c r="BF238" i="7"/>
  <c r="BD242" i="7"/>
  <c r="BH242" i="7" s="1"/>
  <c r="AB242" i="7"/>
  <c r="AL251" i="7"/>
  <c r="BF251" i="7"/>
  <c r="BH251" i="7" s="1"/>
  <c r="BF264" i="7"/>
  <c r="AX264" i="7"/>
  <c r="AL264" i="7"/>
  <c r="AR293" i="7"/>
  <c r="BD293" i="7"/>
  <c r="BD307" i="7"/>
  <c r="AR307" i="7"/>
  <c r="AB307" i="7"/>
  <c r="AV145" i="7"/>
  <c r="AR182" i="7"/>
  <c r="AX193" i="7"/>
  <c r="AB195" i="7"/>
  <c r="BB202" i="7"/>
  <c r="AB209" i="7"/>
  <c r="Z213" i="7"/>
  <c r="AP216" i="7"/>
  <c r="BB216" i="7"/>
  <c r="BF223" i="7"/>
  <c r="AB241" i="7"/>
  <c r="AR243" i="7"/>
  <c r="BD243" i="7"/>
  <c r="AB243" i="7"/>
  <c r="BB267" i="7"/>
  <c r="AP267" i="7"/>
  <c r="Z267" i="7"/>
  <c r="AP318" i="7"/>
  <c r="Z318" i="7"/>
  <c r="BB318" i="7"/>
  <c r="AT350" i="7"/>
  <c r="AD350" i="7"/>
  <c r="BB147" i="7"/>
  <c r="BB158" i="7"/>
  <c r="BB162" i="7"/>
  <c r="AL164" i="7"/>
  <c r="BF168" i="7"/>
  <c r="AR215" i="7"/>
  <c r="BD215" i="7"/>
  <c r="AB216" i="7"/>
  <c r="AL229" i="7"/>
  <c r="AX229" i="7"/>
  <c r="BD230" i="7"/>
  <c r="AB230" i="7"/>
  <c r="AR230" i="7"/>
  <c r="AR241" i="7"/>
  <c r="AR249" i="7"/>
  <c r="BD249" i="7"/>
  <c r="AB249" i="7"/>
  <c r="AV272" i="7"/>
  <c r="AD313" i="7"/>
  <c r="AT313" i="7"/>
  <c r="AX129" i="7"/>
  <c r="AV152" i="7"/>
  <c r="AB173" i="7"/>
  <c r="Z175" i="7"/>
  <c r="Z186" i="7"/>
  <c r="Z196" i="7"/>
  <c r="Z210" i="7"/>
  <c r="AB227" i="7"/>
  <c r="AR233" i="7"/>
  <c r="BD233" i="7"/>
  <c r="AX242" i="7"/>
  <c r="AX262" i="7"/>
  <c r="BF262" i="7"/>
  <c r="BF292" i="7"/>
  <c r="AL292" i="7"/>
  <c r="BH324" i="7"/>
  <c r="BD332" i="7"/>
  <c r="BH332" i="7" s="1"/>
  <c r="AR332" i="7"/>
  <c r="AB332" i="7"/>
  <c r="AT280" i="7"/>
  <c r="AB289" i="7"/>
  <c r="AB313" i="7"/>
  <c r="AB324" i="7"/>
  <c r="AB331" i="7"/>
  <c r="AB350" i="7"/>
  <c r="BD352" i="7"/>
  <c r="BH352" i="7" s="1"/>
  <c r="AR354" i="7"/>
  <c r="AZ354" i="7" s="1"/>
  <c r="AR234" i="7"/>
  <c r="BD240" i="7"/>
  <c r="BD247" i="7"/>
  <c r="BH247" i="7" s="1"/>
  <c r="AP251" i="7"/>
  <c r="AX255" i="7"/>
  <c r="AV259" i="7"/>
  <c r="AP260" i="7"/>
  <c r="AP261" i="7"/>
  <c r="BD265" i="7"/>
  <c r="BB271" i="7"/>
  <c r="AB273" i="7"/>
  <c r="AP276" i="7"/>
  <c r="Z277" i="7"/>
  <c r="AT278" i="7"/>
  <c r="BD285" i="7"/>
  <c r="Z290" i="7"/>
  <c r="AP292" i="7"/>
  <c r="AZ292" i="7" s="1"/>
  <c r="BK292" i="7" s="1"/>
  <c r="AR295" i="7"/>
  <c r="Z296" i="7"/>
  <c r="AR305" i="7"/>
  <c r="Z306" i="7"/>
  <c r="AT311" i="7"/>
  <c r="AB317" i="7"/>
  <c r="BD318" i="7"/>
  <c r="AT322" i="7"/>
  <c r="AR323" i="7"/>
  <c r="AF324" i="7"/>
  <c r="AV326" i="7"/>
  <c r="BD328" i="7"/>
  <c r="BD329" i="7"/>
  <c r="AT330" i="7"/>
  <c r="AF331" i="7"/>
  <c r="AB335" i="7"/>
  <c r="BD338" i="7"/>
  <c r="AV339" i="7"/>
  <c r="AR340" i="7"/>
  <c r="AB343" i="7"/>
  <c r="AB218" i="7"/>
  <c r="AT224" i="7"/>
  <c r="AF232" i="7"/>
  <c r="AB236" i="7"/>
  <c r="BB241" i="7"/>
  <c r="AV243" i="7"/>
  <c r="AV244" i="7"/>
  <c r="BB248" i="7"/>
  <c r="AD249" i="7"/>
  <c r="AP250" i="7"/>
  <c r="AT251" i="7"/>
  <c r="BD256" i="7"/>
  <c r="AR258" i="7"/>
  <c r="BD263" i="7"/>
  <c r="AV273" i="7"/>
  <c r="BB276" i="7"/>
  <c r="AX278" i="7"/>
  <c r="AP290" i="7"/>
  <c r="AR300" i="7"/>
  <c r="BD311" i="7"/>
  <c r="AV319" i="7"/>
  <c r="BD323" i="7"/>
  <c r="AR324" i="7"/>
  <c r="AR327" i="7"/>
  <c r="AR331" i="7"/>
  <c r="AF332" i="7"/>
  <c r="BD340" i="7"/>
  <c r="BD349" i="7"/>
  <c r="BH349" i="7" s="1"/>
  <c r="AR350" i="7"/>
  <c r="AB351" i="7"/>
  <c r="AB352" i="7"/>
  <c r="AT252" i="7"/>
  <c r="AT258" i="7"/>
  <c r="AB265" i="7"/>
  <c r="AB274" i="7"/>
  <c r="AB278" i="7"/>
  <c r="BB286" i="7"/>
  <c r="AB291" i="7"/>
  <c r="AP296" i="7"/>
  <c r="Z301" i="7"/>
  <c r="Z303" i="7"/>
  <c r="AB304" i="7"/>
  <c r="BD305" i="7"/>
  <c r="BH305" i="7" s="1"/>
  <c r="Z308" i="7"/>
  <c r="AV317" i="7"/>
  <c r="AB333" i="7"/>
  <c r="BD334" i="7"/>
  <c r="AF337" i="7"/>
  <c r="AB338" i="7"/>
  <c r="BD342" i="7"/>
  <c r="AB344" i="7"/>
  <c r="AB346" i="7"/>
  <c r="AB347" i="7"/>
  <c r="AB348" i="7"/>
  <c r="AB234" i="7"/>
  <c r="AV245" i="7"/>
  <c r="Z251" i="7"/>
  <c r="AV252" i="7"/>
  <c r="AB253" i="7"/>
  <c r="AT257" i="7"/>
  <c r="AV258" i="7"/>
  <c r="AB259" i="7"/>
  <c r="BB264" i="7"/>
  <c r="BB266" i="7"/>
  <c r="Z268" i="7"/>
  <c r="Z270" i="7"/>
  <c r="Z271" i="7"/>
  <c r="BD273" i="7"/>
  <c r="AP277" i="7"/>
  <c r="BF290" i="7"/>
  <c r="AV302" i="7"/>
  <c r="AD309" i="7"/>
  <c r="BH319" i="7"/>
  <c r="AB354" i="7"/>
  <c r="BB250" i="7"/>
  <c r="AV270" i="7"/>
  <c r="AR291" i="7"/>
  <c r="BB294" i="7"/>
  <c r="Z319" i="7"/>
  <c r="AF321" i="7"/>
  <c r="AR346" i="7"/>
  <c r="AR347" i="7"/>
  <c r="AR353" i="7"/>
  <c r="AR235" i="7"/>
  <c r="AL240" i="7"/>
  <c r="AT242" i="7"/>
  <c r="AP247" i="7"/>
  <c r="BB257" i="7"/>
  <c r="AB258" i="7"/>
  <c r="Z260" i="7"/>
  <c r="Z261" i="7"/>
  <c r="AR267" i="7"/>
  <c r="AP268" i="7"/>
  <c r="Z272" i="7"/>
  <c r="BD274" i="7"/>
  <c r="AR279" i="7"/>
  <c r="AP280" i="7"/>
  <c r="AB281" i="7"/>
  <c r="AR287" i="7"/>
  <c r="AD288" i="7"/>
  <c r="AV318" i="7"/>
  <c r="AB319" i="7"/>
  <c r="AV328" i="7"/>
  <c r="AP329" i="7"/>
  <c r="BD353" i="7"/>
  <c r="BH353" i="7" s="1"/>
  <c r="K18" i="4"/>
  <c r="K15" i="4"/>
  <c r="K17" i="4"/>
  <c r="K74" i="4"/>
  <c r="K71" i="4"/>
  <c r="K264" i="4"/>
  <c r="K269" i="4"/>
  <c r="K253" i="4"/>
  <c r="J253" i="4" s="1"/>
  <c r="K272" i="4"/>
  <c r="K262" i="4"/>
  <c r="K11" i="4"/>
  <c r="K13" i="4"/>
  <c r="D10" i="4"/>
  <c r="K154" i="4"/>
  <c r="K174" i="4"/>
  <c r="K139" i="4"/>
  <c r="K186" i="4"/>
  <c r="K90" i="4"/>
  <c r="K141" i="4"/>
  <c r="K128" i="4"/>
  <c r="K52" i="4"/>
  <c r="K36" i="4"/>
  <c r="K43" i="4"/>
  <c r="K49" i="4"/>
  <c r="K47" i="4"/>
  <c r="K45" i="4"/>
  <c r="K22" i="4"/>
  <c r="K19" i="4"/>
  <c r="K239" i="4"/>
  <c r="K244" i="4"/>
  <c r="K274" i="4"/>
  <c r="K84" i="4"/>
  <c r="K87" i="4"/>
  <c r="K125" i="4"/>
  <c r="K89" i="4"/>
  <c r="K79" i="4"/>
  <c r="K26" i="4"/>
  <c r="K103" i="4"/>
  <c r="A21" i="4"/>
  <c r="A22" i="4"/>
  <c r="A23" i="4" s="1"/>
  <c r="A24" i="4" s="1"/>
  <c r="A25" i="4" s="1"/>
  <c r="A26" i="4" s="1"/>
  <c r="A27" i="4" s="1"/>
  <c r="K51" i="4"/>
  <c r="K37" i="4"/>
  <c r="K53" i="4"/>
  <c r="K34" i="4"/>
  <c r="J34" i="4" s="1"/>
  <c r="K81" i="4"/>
  <c r="K99" i="4"/>
  <c r="J99" i="4" s="1"/>
  <c r="K78" i="4"/>
  <c r="K20" i="4"/>
  <c r="K255" i="4"/>
  <c r="K257" i="4"/>
  <c r="K231" i="4"/>
  <c r="K246" i="4"/>
  <c r="K233" i="4"/>
  <c r="K198" i="4"/>
  <c r="K190" i="4"/>
  <c r="K56" i="4"/>
  <c r="K57" i="4"/>
  <c r="K8" i="4"/>
  <c r="J8" i="4" s="1"/>
  <c r="K9" i="4"/>
  <c r="J9" i="4" s="1"/>
  <c r="D137" i="4"/>
  <c r="K213" i="4"/>
  <c r="K237" i="4"/>
  <c r="K242" i="4"/>
  <c r="K240" i="4"/>
  <c r="K235" i="4"/>
  <c r="K238" i="4"/>
  <c r="K200" i="4"/>
  <c r="K245" i="4"/>
  <c r="K241" i="4"/>
  <c r="K206" i="4"/>
  <c r="D101" i="4"/>
  <c r="D35" i="4"/>
  <c r="D36" i="4" s="1"/>
  <c r="D173" i="4"/>
  <c r="K14" i="4"/>
  <c r="K12" i="4"/>
  <c r="K72" i="4"/>
  <c r="K70" i="4"/>
  <c r="K75" i="4"/>
  <c r="K24" i="4"/>
  <c r="K124" i="4"/>
  <c r="K100" i="4"/>
  <c r="J100" i="4" s="1"/>
  <c r="K21" i="4"/>
  <c r="D68" i="4"/>
  <c r="D69" i="4" s="1"/>
  <c r="K266" i="4"/>
  <c r="K261" i="4"/>
  <c r="K173" i="4"/>
  <c r="K187" i="4"/>
  <c r="K392" i="4"/>
  <c r="K377" i="4"/>
  <c r="K25" i="4"/>
  <c r="K38" i="4"/>
  <c r="K67" i="4"/>
  <c r="J67" i="4" s="1"/>
  <c r="H86" i="4"/>
  <c r="K91" i="4"/>
  <c r="H99" i="4"/>
  <c r="H103" i="4"/>
  <c r="K104" i="4"/>
  <c r="H107" i="4"/>
  <c r="K108" i="4"/>
  <c r="H111" i="4"/>
  <c r="K112" i="4"/>
  <c r="H115" i="4"/>
  <c r="H119" i="4"/>
  <c r="H123" i="4"/>
  <c r="H127" i="4"/>
  <c r="H136" i="4"/>
  <c r="K137" i="4"/>
  <c r="H140" i="4"/>
  <c r="K145" i="4"/>
  <c r="G147" i="4"/>
  <c r="H150" i="4"/>
  <c r="H153" i="4"/>
  <c r="K162" i="4"/>
  <c r="H164" i="4"/>
  <c r="G171" i="4"/>
  <c r="G173" i="4"/>
  <c r="H175" i="4"/>
  <c r="H189" i="4"/>
  <c r="K210" i="4"/>
  <c r="G227" i="4"/>
  <c r="H289" i="4"/>
  <c r="K301" i="4"/>
  <c r="J301" i="4" s="1"/>
  <c r="K373" i="4"/>
  <c r="J373" i="4" s="1"/>
  <c r="AD47" i="7"/>
  <c r="K268" i="4"/>
  <c r="K263" i="4"/>
  <c r="K267" i="4"/>
  <c r="K234" i="4"/>
  <c r="K230" i="4"/>
  <c r="K189" i="4"/>
  <c r="K228" i="4"/>
  <c r="K294" i="4"/>
  <c r="K291" i="4"/>
  <c r="K390" i="4"/>
  <c r="K388" i="4"/>
  <c r="G276" i="4"/>
  <c r="G277" i="4"/>
  <c r="G268" i="4"/>
  <c r="G269" i="4"/>
  <c r="G270" i="4"/>
  <c r="G239" i="4"/>
  <c r="G240" i="4"/>
  <c r="G256" i="4"/>
  <c r="G257" i="4"/>
  <c r="H259" i="4"/>
  <c r="G226" i="4"/>
  <c r="H227" i="4"/>
  <c r="H229" i="4"/>
  <c r="G231" i="4"/>
  <c r="H232" i="4"/>
  <c r="H199" i="4"/>
  <c r="G200" i="4"/>
  <c r="G196" i="4"/>
  <c r="G197" i="4"/>
  <c r="G193" i="4"/>
  <c r="G198" i="4"/>
  <c r="G194" i="4"/>
  <c r="H203" i="4"/>
  <c r="H196" i="4"/>
  <c r="G180" i="4"/>
  <c r="H211" i="4"/>
  <c r="H207" i="4"/>
  <c r="H184" i="4"/>
  <c r="G176" i="4"/>
  <c r="H339" i="4"/>
  <c r="H304" i="4"/>
  <c r="G286" i="4"/>
  <c r="H300" i="4"/>
  <c r="H287" i="4"/>
  <c r="G317" i="4"/>
  <c r="G313" i="4"/>
  <c r="G309" i="4"/>
  <c r="H330" i="4"/>
  <c r="H318" i="4"/>
  <c r="G314" i="4"/>
  <c r="G310" i="4"/>
  <c r="G316" i="4"/>
  <c r="G311" i="4"/>
  <c r="H311" i="4"/>
  <c r="G303" i="4"/>
  <c r="H325" i="4"/>
  <c r="G322" i="4"/>
  <c r="G341" i="4"/>
  <c r="H346" i="4"/>
  <c r="H342" i="4"/>
  <c r="H326" i="4"/>
  <c r="H322" i="4"/>
  <c r="G345" i="4"/>
  <c r="G346" i="4"/>
  <c r="H327" i="4"/>
  <c r="H293" i="4"/>
  <c r="H391" i="4"/>
  <c r="G354" i="4"/>
  <c r="H376" i="4"/>
  <c r="H355" i="4"/>
  <c r="G356" i="4"/>
  <c r="H357" i="4"/>
  <c r="H360" i="4"/>
  <c r="H387" i="4"/>
  <c r="G383" i="4"/>
  <c r="H384" i="4"/>
  <c r="H382" i="4"/>
  <c r="G380" i="4"/>
  <c r="G15" i="4"/>
  <c r="G19" i="4"/>
  <c r="G23" i="4"/>
  <c r="G27" i="4"/>
  <c r="G48" i="4"/>
  <c r="G52" i="4"/>
  <c r="G56" i="4"/>
  <c r="G65" i="4"/>
  <c r="G69" i="4"/>
  <c r="G73" i="4"/>
  <c r="G77" i="4"/>
  <c r="G81" i="4"/>
  <c r="G85" i="4"/>
  <c r="G89" i="4"/>
  <c r="G98" i="4"/>
  <c r="G102" i="4"/>
  <c r="G106" i="4"/>
  <c r="G110" i="4"/>
  <c r="G114" i="4"/>
  <c r="G118" i="4"/>
  <c r="G122" i="4"/>
  <c r="G126" i="4"/>
  <c r="G135" i="4"/>
  <c r="G139" i="4"/>
  <c r="G143" i="4"/>
  <c r="G155" i="4"/>
  <c r="H159" i="4"/>
  <c r="K164" i="4"/>
  <c r="H173" i="4"/>
  <c r="K175" i="4"/>
  <c r="K180" i="4"/>
  <c r="H183" i="4"/>
  <c r="G195" i="4"/>
  <c r="K227" i="4"/>
  <c r="D254" i="4"/>
  <c r="D255" i="4" s="1"/>
  <c r="H271" i="4"/>
  <c r="BB44" i="7"/>
  <c r="AP44" i="7"/>
  <c r="Z44" i="7"/>
  <c r="AR46" i="7"/>
  <c r="AB46" i="7"/>
  <c r="BD46" i="7"/>
  <c r="K232" i="4"/>
  <c r="K199" i="4"/>
  <c r="K330" i="4"/>
  <c r="K318" i="4"/>
  <c r="K320" i="4"/>
  <c r="K327" i="4"/>
  <c r="K293" i="4"/>
  <c r="K360" i="4"/>
  <c r="K357" i="4"/>
  <c r="K41" i="4"/>
  <c r="H69" i="4"/>
  <c r="H73" i="4"/>
  <c r="H149" i="3" s="1"/>
  <c r="J149" i="3" s="1"/>
  <c r="H77" i="4"/>
  <c r="K82" i="4"/>
  <c r="H89" i="4"/>
  <c r="H102" i="4"/>
  <c r="H106" i="4"/>
  <c r="K107" i="4"/>
  <c r="H110" i="4"/>
  <c r="K111" i="4"/>
  <c r="H114" i="4"/>
  <c r="K115" i="4"/>
  <c r="H118" i="4"/>
  <c r="K119" i="4"/>
  <c r="H122" i="4"/>
  <c r="K123" i="4"/>
  <c r="H126" i="4"/>
  <c r="K127" i="4"/>
  <c r="K136" i="4"/>
  <c r="J136" i="4" s="1"/>
  <c r="H139" i="4"/>
  <c r="K140" i="4"/>
  <c r="G146" i="4"/>
  <c r="K147" i="4"/>
  <c r="G149" i="4"/>
  <c r="G152" i="4"/>
  <c r="K153" i="4"/>
  <c r="G157" i="4"/>
  <c r="H161" i="4"/>
  <c r="K171" i="4"/>
  <c r="J171" i="4" s="1"/>
  <c r="H178" i="4"/>
  <c r="K183" i="4"/>
  <c r="H186" i="4"/>
  <c r="H201" i="4"/>
  <c r="H217" i="4"/>
  <c r="G241" i="4"/>
  <c r="G315" i="4"/>
  <c r="K329" i="4"/>
  <c r="AT11" i="7"/>
  <c r="K201" i="4"/>
  <c r="K203" i="4"/>
  <c r="K211" i="4"/>
  <c r="K207" i="4"/>
  <c r="K339" i="4"/>
  <c r="J339" i="4" s="1"/>
  <c r="K304" i="4"/>
  <c r="K300" i="4"/>
  <c r="J300" i="4" s="1"/>
  <c r="K287" i="4"/>
  <c r="J287" i="4" s="1"/>
  <c r="K326" i="4"/>
  <c r="K322" i="4"/>
  <c r="K346" i="4"/>
  <c r="K342" i="4"/>
  <c r="K391" i="4"/>
  <c r="K376" i="4"/>
  <c r="K355" i="4"/>
  <c r="J355" i="4" s="1"/>
  <c r="K387" i="4"/>
  <c r="K384" i="4"/>
  <c r="G238" i="4"/>
  <c r="H274" i="4"/>
  <c r="H244" i="4"/>
  <c r="G267" i="4"/>
  <c r="G265" i="4"/>
  <c r="H260" i="4"/>
  <c r="G258" i="4"/>
  <c r="G236" i="4"/>
  <c r="G237" i="4"/>
  <c r="H214" i="4"/>
  <c r="G230" i="4"/>
  <c r="H233" i="4"/>
  <c r="G228" i="4"/>
  <c r="H198" i="4"/>
  <c r="H190" i="4"/>
  <c r="H246" i="4"/>
  <c r="G229" i="4"/>
  <c r="G234" i="4"/>
  <c r="H245" i="4"/>
  <c r="H200" i="4"/>
  <c r="H241" i="4"/>
  <c r="G233" i="4"/>
  <c r="H237" i="4"/>
  <c r="H206" i="4"/>
  <c r="H242" i="4"/>
  <c r="H240" i="4"/>
  <c r="H235" i="4"/>
  <c r="G232" i="4"/>
  <c r="G216" i="4"/>
  <c r="G217" i="4"/>
  <c r="G218" i="4"/>
  <c r="H212" i="4"/>
  <c r="G208" i="4"/>
  <c r="H218" i="4"/>
  <c r="H192" i="4"/>
  <c r="H188" i="4"/>
  <c r="G184" i="4"/>
  <c r="G185" i="4"/>
  <c r="G181" i="4"/>
  <c r="H194" i="4"/>
  <c r="G186" i="4"/>
  <c r="G182" i="4"/>
  <c r="H216" i="4"/>
  <c r="G212" i="4"/>
  <c r="G209" i="4"/>
  <c r="G210" i="4"/>
  <c r="H329" i="4"/>
  <c r="H290" i="4"/>
  <c r="G288" i="4"/>
  <c r="H313" i="4"/>
  <c r="H305" i="4"/>
  <c r="G301" i="4"/>
  <c r="H307" i="4"/>
  <c r="H337" i="4"/>
  <c r="H316" i="4"/>
  <c r="G289" i="4"/>
  <c r="H310" i="4"/>
  <c r="G308" i="4"/>
  <c r="G340" i="4"/>
  <c r="H324" i="4"/>
  <c r="G293" i="4"/>
  <c r="G292" i="4"/>
  <c r="G389" i="4"/>
  <c r="G390" i="4"/>
  <c r="G391" i="4"/>
  <c r="G392" i="4"/>
  <c r="H364" i="4"/>
  <c r="G360" i="4"/>
  <c r="G361" i="4"/>
  <c r="G362" i="4"/>
  <c r="G363" i="4"/>
  <c r="H366" i="4"/>
  <c r="H362" i="4"/>
  <c r="G359" i="4"/>
  <c r="H381" i="4"/>
  <c r="G378" i="4"/>
  <c r="H385" i="4"/>
  <c r="H373" i="4"/>
  <c r="H383" i="4"/>
  <c r="H375" i="4"/>
  <c r="G372" i="4"/>
  <c r="G10" i="4"/>
  <c r="G14" i="4"/>
  <c r="G18" i="4"/>
  <c r="G22" i="4"/>
  <c r="G26" i="4"/>
  <c r="G47" i="4"/>
  <c r="G51" i="4"/>
  <c r="G59" i="4"/>
  <c r="G76" i="4"/>
  <c r="G80" i="4"/>
  <c r="G88" i="4"/>
  <c r="G92" i="4"/>
  <c r="G105" i="4"/>
  <c r="G109" i="4"/>
  <c r="G113" i="4"/>
  <c r="G117" i="4"/>
  <c r="G121" i="4"/>
  <c r="G125" i="4"/>
  <c r="G134" i="4"/>
  <c r="G138" i="4"/>
  <c r="G142" i="4"/>
  <c r="H146" i="4"/>
  <c r="H149" i="4"/>
  <c r="H152" i="4"/>
  <c r="K159" i="4"/>
  <c r="K178" i="4"/>
  <c r="G191" i="4"/>
  <c r="H256" i="4"/>
  <c r="H273" i="4"/>
  <c r="G294" i="4"/>
  <c r="AL23" i="7"/>
  <c r="AX23" i="7"/>
  <c r="BF23" i="7"/>
  <c r="K152" i="4"/>
  <c r="K148" i="4"/>
  <c r="K192" i="4"/>
  <c r="K188" i="4"/>
  <c r="K307" i="4"/>
  <c r="K337" i="4"/>
  <c r="J337" i="4" s="1"/>
  <c r="K305" i="4"/>
  <c r="K313" i="4"/>
  <c r="K380" i="4"/>
  <c r="K381" i="4"/>
  <c r="K383" i="4"/>
  <c r="K375" i="4"/>
  <c r="K27" i="4"/>
  <c r="K44" i="4"/>
  <c r="K77" i="4"/>
  <c r="H80" i="4"/>
  <c r="K85" i="4"/>
  <c r="H88" i="4"/>
  <c r="H101" i="4"/>
  <c r="K102" i="4"/>
  <c r="H105" i="4"/>
  <c r="H109" i="4"/>
  <c r="H113" i="4"/>
  <c r="H117" i="4"/>
  <c r="K118" i="4"/>
  <c r="H121" i="4"/>
  <c r="H138" i="4"/>
  <c r="G154" i="4"/>
  <c r="K161" i="4"/>
  <c r="H174" i="4"/>
  <c r="G179" i="4"/>
  <c r="G187" i="4"/>
  <c r="H197" i="4"/>
  <c r="K202" i="4"/>
  <c r="H213" i="4"/>
  <c r="K218" i="4"/>
  <c r="J227" i="4"/>
  <c r="D228" i="4"/>
  <c r="G266" i="4"/>
  <c r="D338" i="4"/>
  <c r="D356" i="4"/>
  <c r="AD42" i="7"/>
  <c r="K366" i="4"/>
  <c r="K362" i="4"/>
  <c r="G263" i="4"/>
  <c r="G264" i="4"/>
  <c r="G254" i="4"/>
  <c r="H257" i="4"/>
  <c r="H255" i="4"/>
  <c r="G252" i="4"/>
  <c r="H262" i="4"/>
  <c r="H264" i="4"/>
  <c r="H272" i="4"/>
  <c r="H253" i="4"/>
  <c r="H269" i="4"/>
  <c r="G259" i="4"/>
  <c r="G260" i="4"/>
  <c r="G261" i="4"/>
  <c r="H265" i="4"/>
  <c r="H236" i="4"/>
  <c r="G235" i="4"/>
  <c r="H215" i="4"/>
  <c r="G188" i="4"/>
  <c r="G189" i="4"/>
  <c r="G190" i="4"/>
  <c r="H191" i="4"/>
  <c r="G201" i="4"/>
  <c r="G202" i="4"/>
  <c r="H208" i="4"/>
  <c r="G204" i="4"/>
  <c r="G205" i="4"/>
  <c r="G206" i="4"/>
  <c r="H204" i="4"/>
  <c r="H180" i="4"/>
  <c r="G177" i="4"/>
  <c r="H210" i="4"/>
  <c r="H202" i="4"/>
  <c r="G178" i="4"/>
  <c r="H195" i="4"/>
  <c r="G172" i="4"/>
  <c r="G174" i="4"/>
  <c r="H317" i="4"/>
  <c r="G287" i="4"/>
  <c r="H306" i="4"/>
  <c r="H288" i="4"/>
  <c r="H328" i="4"/>
  <c r="H314" i="4"/>
  <c r="G307" i="4"/>
  <c r="G318" i="4"/>
  <c r="G319" i="4"/>
  <c r="G321" i="4"/>
  <c r="G320" i="4"/>
  <c r="H338" i="4"/>
  <c r="H321" i="4"/>
  <c r="H309" i="4"/>
  <c r="H301" i="4"/>
  <c r="H302" i="4"/>
  <c r="H343" i="4"/>
  <c r="H323" i="4"/>
  <c r="H319" i="4"/>
  <c r="H303" i="4"/>
  <c r="H341" i="4"/>
  <c r="G336" i="4"/>
  <c r="G342" i="4"/>
  <c r="G343" i="4"/>
  <c r="H345" i="4"/>
  <c r="H389" i="4"/>
  <c r="H365" i="4"/>
  <c r="H363" i="4"/>
  <c r="G388" i="4"/>
  <c r="G364" i="4"/>
  <c r="G365" i="4"/>
  <c r="G366" i="4"/>
  <c r="H361" i="4"/>
  <c r="G357" i="4"/>
  <c r="G358" i="4"/>
  <c r="H359" i="4"/>
  <c r="H358" i="4"/>
  <c r="G379" i="4"/>
  <c r="H356" i="4"/>
  <c r="G373" i="4"/>
  <c r="H374" i="4"/>
  <c r="G17" i="4"/>
  <c r="G21" i="4"/>
  <c r="G25" i="4"/>
  <c r="G42" i="4"/>
  <c r="G46" i="4"/>
  <c r="G50" i="4"/>
  <c r="G58" i="4"/>
  <c r="G71" i="4"/>
  <c r="G75" i="4"/>
  <c r="G79" i="4"/>
  <c r="G87" i="4"/>
  <c r="G91" i="4"/>
  <c r="G108" i="4"/>
  <c r="G112" i="4"/>
  <c r="G116" i="4"/>
  <c r="G120" i="4"/>
  <c r="G124" i="4"/>
  <c r="G128" i="4"/>
  <c r="G137" i="4"/>
  <c r="G141" i="4"/>
  <c r="G145" i="4"/>
  <c r="K146" i="4"/>
  <c r="G148" i="4"/>
  <c r="G151" i="4"/>
  <c r="H154" i="4"/>
  <c r="G156" i="4"/>
  <c r="G160" i="4"/>
  <c r="K163" i="4"/>
  <c r="K176" i="4"/>
  <c r="H179" i="4"/>
  <c r="H187" i="4"/>
  <c r="G203" i="4"/>
  <c r="H258" i="4"/>
  <c r="H320" i="4"/>
  <c r="G344" i="4"/>
  <c r="K356" i="4"/>
  <c r="AT22" i="7"/>
  <c r="AD22" i="7"/>
  <c r="K365" i="4"/>
  <c r="K363" i="4"/>
  <c r="K389" i="4"/>
  <c r="K359" i="4"/>
  <c r="K361" i="4"/>
  <c r="K55" i="4"/>
  <c r="H100" i="4"/>
  <c r="H141" i="3" s="1"/>
  <c r="J141" i="3" s="1"/>
  <c r="K101" i="4"/>
  <c r="H104" i="4"/>
  <c r="H108" i="4"/>
  <c r="K109" i="4"/>
  <c r="H112" i="4"/>
  <c r="H120" i="4"/>
  <c r="H124" i="4"/>
  <c r="H128" i="4"/>
  <c r="K138" i="4"/>
  <c r="H141" i="4"/>
  <c r="H145" i="4"/>
  <c r="H156" i="4"/>
  <c r="K158" i="4"/>
  <c r="J158" i="4" s="1"/>
  <c r="H160" i="4"/>
  <c r="K172" i="4"/>
  <c r="J172" i="4" s="1"/>
  <c r="H182" i="4"/>
  <c r="H193" i="4"/>
  <c r="H209" i="4"/>
  <c r="H231" i="4"/>
  <c r="K259" i="4"/>
  <c r="D288" i="4"/>
  <c r="G300" i="4"/>
  <c r="H308" i="4"/>
  <c r="BF34" i="7"/>
  <c r="BH34" i="7" s="1"/>
  <c r="AX34" i="7"/>
  <c r="AL34" i="7"/>
  <c r="AV34" i="7"/>
  <c r="AF34" i="7"/>
  <c r="K215" i="4"/>
  <c r="K236" i="4"/>
  <c r="K193" i="4"/>
  <c r="K191" i="4"/>
  <c r="K217" i="4"/>
  <c r="K209" i="4"/>
  <c r="K208" i="4"/>
  <c r="K181" i="4"/>
  <c r="K195" i="4"/>
  <c r="K204" i="4"/>
  <c r="K306" i="4"/>
  <c r="K288" i="4"/>
  <c r="K328" i="4"/>
  <c r="K317" i="4"/>
  <c r="K302" i="4"/>
  <c r="J302" i="4" s="1"/>
  <c r="K343" i="4"/>
  <c r="K323" i="4"/>
  <c r="K319" i="4"/>
  <c r="K303" i="4"/>
  <c r="J303" i="4" s="1"/>
  <c r="K340" i="4"/>
  <c r="K308" i="4"/>
  <c r="K321" i="4"/>
  <c r="K338" i="4"/>
  <c r="K289" i="4"/>
  <c r="G275" i="4"/>
  <c r="H276" i="4"/>
  <c r="G274" i="4"/>
  <c r="G246" i="4"/>
  <c r="G244" i="4"/>
  <c r="H277" i="4"/>
  <c r="H275" i="4"/>
  <c r="G245" i="4"/>
  <c r="G271" i="4"/>
  <c r="G272" i="4"/>
  <c r="G273" i="4"/>
  <c r="G242" i="4"/>
  <c r="G243" i="4"/>
  <c r="G262" i="4"/>
  <c r="H263" i="4"/>
  <c r="H267" i="4"/>
  <c r="H266" i="4"/>
  <c r="H261" i="4"/>
  <c r="H230" i="4"/>
  <c r="H234" i="4"/>
  <c r="G213" i="4"/>
  <c r="G214" i="4"/>
  <c r="H157" i="4"/>
  <c r="G170" i="4"/>
  <c r="G163" i="4"/>
  <c r="G161" i="4"/>
  <c r="G305" i="4"/>
  <c r="G306" i="4"/>
  <c r="H315" i="4"/>
  <c r="G304" i="4"/>
  <c r="G302" i="4"/>
  <c r="H312" i="4"/>
  <c r="G329" i="4"/>
  <c r="G325" i="4"/>
  <c r="G330" i="4"/>
  <c r="G326" i="4"/>
  <c r="H291" i="4"/>
  <c r="H294" i="4"/>
  <c r="G323" i="4"/>
  <c r="G328" i="4"/>
  <c r="G291" i="4"/>
  <c r="G290" i="4"/>
  <c r="G338" i="4"/>
  <c r="G339" i="4"/>
  <c r="H344" i="4"/>
  <c r="H390" i="4"/>
  <c r="G386" i="4"/>
  <c r="G387" i="4"/>
  <c r="H388" i="4"/>
  <c r="H377" i="4"/>
  <c r="H392" i="4"/>
  <c r="G355" i="4"/>
  <c r="G385" i="4"/>
  <c r="H386" i="4"/>
  <c r="G381" i="4"/>
  <c r="G382" i="4"/>
  <c r="G377" i="4"/>
  <c r="G374" i="4"/>
  <c r="G375" i="4"/>
  <c r="G376" i="4"/>
  <c r="G49" i="4"/>
  <c r="G86" i="4"/>
  <c r="G115" i="4"/>
  <c r="G123" i="4"/>
  <c r="G150" i="4"/>
  <c r="G153" i="4"/>
  <c r="G164" i="4"/>
  <c r="G175" i="4"/>
  <c r="H177" i="4"/>
  <c r="K182" i="4"/>
  <c r="H185" i="4"/>
  <c r="G199" i="4"/>
  <c r="G215" i="4"/>
  <c r="G224" i="4"/>
  <c r="H238" i="4"/>
  <c r="K277" i="4"/>
  <c r="K309" i="4"/>
  <c r="G324" i="4"/>
  <c r="D304" i="4"/>
  <c r="BF9" i="7"/>
  <c r="AL9" i="7"/>
  <c r="AD15" i="7"/>
  <c r="AR17" i="7"/>
  <c r="BD17" i="7"/>
  <c r="AD18" i="7"/>
  <c r="AX22" i="7"/>
  <c r="BF22" i="7"/>
  <c r="AL22" i="7"/>
  <c r="BF42" i="7"/>
  <c r="AL42" i="7"/>
  <c r="AF42" i="7"/>
  <c r="BF45" i="7"/>
  <c r="AL45" i="7"/>
  <c r="AX45" i="7"/>
  <c r="AL47" i="7"/>
  <c r="AX47" i="7"/>
  <c r="AF47" i="7"/>
  <c r="AP49" i="7"/>
  <c r="Z49" i="7"/>
  <c r="BF51" i="7"/>
  <c r="AL51" i="7"/>
  <c r="BF59" i="7"/>
  <c r="AL59" i="7"/>
  <c r="AX59" i="7"/>
  <c r="BF86" i="7"/>
  <c r="AL86" i="7"/>
  <c r="AX86" i="7"/>
  <c r="J374" i="4"/>
  <c r="D375" i="4"/>
  <c r="AD8" i="7"/>
  <c r="AX14" i="7"/>
  <c r="BF14" i="7"/>
  <c r="AL14" i="7"/>
  <c r="AL15" i="7"/>
  <c r="AX15" i="7"/>
  <c r="BF15" i="7"/>
  <c r="AL16" i="7"/>
  <c r="BF16" i="7"/>
  <c r="AB17" i="7"/>
  <c r="AD29" i="7"/>
  <c r="BF30" i="7"/>
  <c r="BH30" i="7" s="1"/>
  <c r="AX38" i="7"/>
  <c r="AL38" i="7"/>
  <c r="AL39" i="7"/>
  <c r="AX39" i="7"/>
  <c r="BF39" i="7"/>
  <c r="BH39" i="7" s="1"/>
  <c r="AF68" i="7"/>
  <c r="AV68" i="7"/>
  <c r="BF8" i="7"/>
  <c r="BH8" i="7" s="1"/>
  <c r="AL8" i="7"/>
  <c r="AX8" i="7"/>
  <c r="BH10" i="7"/>
  <c r="AD28" i="7"/>
  <c r="AL31" i="7"/>
  <c r="AX31" i="7"/>
  <c r="BF31" i="7"/>
  <c r="AL32" i="7"/>
  <c r="BF32" i="7"/>
  <c r="AX32" i="7"/>
  <c r="AX46" i="7"/>
  <c r="AL46" i="7"/>
  <c r="BF46" i="7"/>
  <c r="AX61" i="7"/>
  <c r="AL61" i="7"/>
  <c r="BF61" i="7"/>
  <c r="AN7" i="7"/>
  <c r="AZ7" i="7"/>
  <c r="AR10" i="7"/>
  <c r="AB10" i="7"/>
  <c r="Z10" i="7"/>
  <c r="BD12" i="7"/>
  <c r="AB12" i="7"/>
  <c r="Z12" i="7"/>
  <c r="BF13" i="7"/>
  <c r="BH13" i="7" s="1"/>
  <c r="AX13" i="7"/>
  <c r="AD21" i="7"/>
  <c r="AR24" i="7"/>
  <c r="AB24" i="7"/>
  <c r="BD24" i="7"/>
  <c r="AX28" i="7"/>
  <c r="BF28" i="7"/>
  <c r="AL28" i="7"/>
  <c r="BF29" i="7"/>
  <c r="AL29" i="7"/>
  <c r="AF48" i="7"/>
  <c r="AV48" i="7"/>
  <c r="BB36" i="7"/>
  <c r="AP36" i="7"/>
  <c r="BF38" i="7"/>
  <c r="BF40" i="7"/>
  <c r="AX40" i="7"/>
  <c r="AX42" i="7"/>
  <c r="AP45" i="7"/>
  <c r="Z45" i="7"/>
  <c r="BB45" i="7"/>
  <c r="BF47" i="7"/>
  <c r="BH47" i="7" s="1"/>
  <c r="BB49" i="7"/>
  <c r="AL91" i="7"/>
  <c r="BF91" i="7"/>
  <c r="AX91" i="7"/>
  <c r="AV91" i="7"/>
  <c r="BF11" i="7"/>
  <c r="AL11" i="7"/>
  <c r="AX11" i="7"/>
  <c r="AD20" i="7"/>
  <c r="BF21" i="7"/>
  <c r="AL21" i="7"/>
  <c r="AR25" i="7"/>
  <c r="AZ25" i="7" s="1"/>
  <c r="BK25" i="7" s="1"/>
  <c r="BD25" i="7"/>
  <c r="AD26" i="7"/>
  <c r="AD30" i="7"/>
  <c r="AT30" i="7"/>
  <c r="AL30" i="7"/>
  <c r="AR36" i="7"/>
  <c r="BD36" i="7"/>
  <c r="AB36" i="7"/>
  <c r="Z36" i="7"/>
  <c r="AX51" i="7"/>
  <c r="AZ51" i="7" s="1"/>
  <c r="BK51" i="7" s="1"/>
  <c r="AL52" i="7"/>
  <c r="AX52" i="7"/>
  <c r="BF52" i="7"/>
  <c r="AL10" i="7"/>
  <c r="AX10" i="7"/>
  <c r="AP10" i="7"/>
  <c r="AP12" i="7"/>
  <c r="AR16" i="7"/>
  <c r="AB16" i="7"/>
  <c r="BD16" i="7"/>
  <c r="AX20" i="7"/>
  <c r="BF20" i="7"/>
  <c r="AL20" i="7"/>
  <c r="AD23" i="7"/>
  <c r="AL24" i="7"/>
  <c r="BF24" i="7"/>
  <c r="BF37" i="7"/>
  <c r="AL37" i="7"/>
  <c r="AR41" i="7"/>
  <c r="AZ41" i="7" s="1"/>
  <c r="BK41" i="7" s="1"/>
  <c r="BD41" i="7"/>
  <c r="AB41" i="7"/>
  <c r="Z41" i="7"/>
  <c r="BH55" i="7"/>
  <c r="AF8" i="7"/>
  <c r="BB9" i="7"/>
  <c r="AT12" i="7"/>
  <c r="BD15" i="7"/>
  <c r="BB17" i="7"/>
  <c r="BD23" i="7"/>
  <c r="BB25" i="7"/>
  <c r="AV40" i="7"/>
  <c r="AR49" i="7"/>
  <c r="AB49" i="7"/>
  <c r="AX54" i="7"/>
  <c r="BF54" i="7"/>
  <c r="AT59" i="7"/>
  <c r="AL81" i="7"/>
  <c r="BF81" i="7"/>
  <c r="AX81" i="7"/>
  <c r="BF88" i="7"/>
  <c r="AL88" i="7"/>
  <c r="AX88" i="7"/>
  <c r="AF88" i="7"/>
  <c r="AV88" i="7"/>
  <c r="AX97" i="7"/>
  <c r="AZ97" i="7" s="1"/>
  <c r="BK97" i="7" s="1"/>
  <c r="BF97" i="7"/>
  <c r="AL97" i="7"/>
  <c r="AD10" i="7"/>
  <c r="AP13" i="7"/>
  <c r="Z13" i="7"/>
  <c r="BF26" i="7"/>
  <c r="BH26" i="7" s="1"/>
  <c r="AR32" i="7"/>
  <c r="AB32" i="7"/>
  <c r="BD32" i="7"/>
  <c r="AX35" i="7"/>
  <c r="AB44" i="7"/>
  <c r="BF53" i="7"/>
  <c r="AL53" i="7"/>
  <c r="BD57" i="7"/>
  <c r="AR57" i="7"/>
  <c r="AB57" i="7"/>
  <c r="AV62" i="7"/>
  <c r="AX68" i="7"/>
  <c r="BF68" i="7"/>
  <c r="BF78" i="7"/>
  <c r="AL78" i="7"/>
  <c r="AX78" i="7"/>
  <c r="BB82" i="7"/>
  <c r="AP82" i="7"/>
  <c r="AD83" i="7"/>
  <c r="AT83" i="7"/>
  <c r="AD85" i="7"/>
  <c r="AD96" i="7"/>
  <c r="AT96" i="7"/>
  <c r="AL7" i="7"/>
  <c r="Z9" i="7"/>
  <c r="AF10" i="7"/>
  <c r="BB11" i="7"/>
  <c r="AL17" i="7"/>
  <c r="BF17" i="7"/>
  <c r="AL19" i="7"/>
  <c r="AL25" i="7"/>
  <c r="BF25" i="7"/>
  <c r="AV31" i="7"/>
  <c r="AP35" i="7"/>
  <c r="Z35" i="7"/>
  <c r="AT39" i="7"/>
  <c r="AR40" i="7"/>
  <c r="AB40" i="7"/>
  <c r="BD40" i="7"/>
  <c r="AX43" i="7"/>
  <c r="BF44" i="7"/>
  <c r="AP54" i="7"/>
  <c r="Z54" i="7"/>
  <c r="AD65" i="7"/>
  <c r="AR66" i="7"/>
  <c r="BD66" i="7"/>
  <c r="AX73" i="7"/>
  <c r="AL73" i="7"/>
  <c r="AR82" i="7"/>
  <c r="BD82" i="7"/>
  <c r="AB82" i="7"/>
  <c r="AX83" i="7"/>
  <c r="AL83" i="7"/>
  <c r="BF96" i="7"/>
  <c r="AL96" i="7"/>
  <c r="AX96" i="7"/>
  <c r="AV13" i="7"/>
  <c r="AP14" i="7"/>
  <c r="AP23" i="7"/>
  <c r="AB31" i="7"/>
  <c r="AT34" i="7"/>
  <c r="BB35" i="7"/>
  <c r="AP43" i="7"/>
  <c r="Z43" i="7"/>
  <c r="AR48" i="7"/>
  <c r="AB48" i="7"/>
  <c r="BD48" i="7"/>
  <c r="AV50" i="7"/>
  <c r="AB55" i="7"/>
  <c r="BF56" i="7"/>
  <c r="AL56" i="7"/>
  <c r="AF58" i="7"/>
  <c r="AL65" i="7"/>
  <c r="BF65" i="7"/>
  <c r="BH65" i="7" s="1"/>
  <c r="AB66" i="7"/>
  <c r="BD69" i="7"/>
  <c r="AR69" i="7"/>
  <c r="AF74" i="7"/>
  <c r="AV74" i="7"/>
  <c r="AD79" i="7"/>
  <c r="AL87" i="7"/>
  <c r="BF87" i="7"/>
  <c r="BH87" i="7" s="1"/>
  <c r="AL90" i="7"/>
  <c r="AX90" i="7"/>
  <c r="BF90" i="7"/>
  <c r="BH90" i="7" s="1"/>
  <c r="AD9" i="7"/>
  <c r="Z11" i="7"/>
  <c r="AR18" i="7"/>
  <c r="AP21" i="7"/>
  <c r="Z21" i="7"/>
  <c r="BB21" i="7"/>
  <c r="AR26" i="7"/>
  <c r="AP29" i="7"/>
  <c r="Z29" i="7"/>
  <c r="BB29" i="7"/>
  <c r="AR30" i="7"/>
  <c r="AB30" i="7"/>
  <c r="AB39" i="7"/>
  <c r="BB43" i="7"/>
  <c r="Z52" i="7"/>
  <c r="AL54" i="7"/>
  <c r="AX56" i="7"/>
  <c r="AZ56" i="7" s="1"/>
  <c r="BK56" i="7" s="1"/>
  <c r="AF67" i="7"/>
  <c r="AB69" i="7"/>
  <c r="BH77" i="7"/>
  <c r="BF83" i="7"/>
  <c r="AF9" i="7"/>
  <c r="AP19" i="7"/>
  <c r="Z19" i="7"/>
  <c r="AR22" i="7"/>
  <c r="AB22" i="7"/>
  <c r="AP27" i="7"/>
  <c r="Z27" i="7"/>
  <c r="AP37" i="7"/>
  <c r="Z37" i="7"/>
  <c r="BB37" i="7"/>
  <c r="AR38" i="7"/>
  <c r="AB38" i="7"/>
  <c r="BF50" i="7"/>
  <c r="BH50" i="7" s="1"/>
  <c r="AX50" i="7"/>
  <c r="AL55" i="7"/>
  <c r="AX55" i="7"/>
  <c r="AP60" i="7"/>
  <c r="Z60" i="7"/>
  <c r="BB60" i="7"/>
  <c r="AL62" i="7"/>
  <c r="BF62" i="7"/>
  <c r="AR63" i="7"/>
  <c r="AB63" i="7"/>
  <c r="AN63" i="7" s="1"/>
  <c r="BD63" i="7"/>
  <c r="BH63" i="7" s="1"/>
  <c r="AX67" i="7"/>
  <c r="AL67" i="7"/>
  <c r="AL68" i="7"/>
  <c r="AP72" i="7"/>
  <c r="Z72" i="7"/>
  <c r="BB72" i="7"/>
  <c r="BF73" i="7"/>
  <c r="AF80" i="7"/>
  <c r="AV80" i="7"/>
  <c r="AX84" i="7"/>
  <c r="BF84" i="7"/>
  <c r="AL84" i="7"/>
  <c r="AL95" i="7"/>
  <c r="BF95" i="7"/>
  <c r="BH95" i="7" s="1"/>
  <c r="AX95" i="7"/>
  <c r="BF99" i="7"/>
  <c r="AL99" i="7"/>
  <c r="AX99" i="7"/>
  <c r="AV99" i="7"/>
  <c r="AF156" i="7"/>
  <c r="AV156" i="7"/>
  <c r="AD52" i="7"/>
  <c r="AF55" i="7"/>
  <c r="AL58" i="7"/>
  <c r="AV60" i="7"/>
  <c r="AP61" i="7"/>
  <c r="AV63" i="7"/>
  <c r="AP64" i="7"/>
  <c r="AL74" i="7"/>
  <c r="AX74" i="7"/>
  <c r="AP74" i="7"/>
  <c r="AR75" i="7"/>
  <c r="AB75" i="7"/>
  <c r="BD75" i="7"/>
  <c r="AR77" i="7"/>
  <c r="AP78" i="7"/>
  <c r="Z78" i="7"/>
  <c r="BB78" i="7"/>
  <c r="AL79" i="7"/>
  <c r="BF80" i="7"/>
  <c r="AL80" i="7"/>
  <c r="AX80" i="7"/>
  <c r="BF85" i="7"/>
  <c r="BH85" i="7" s="1"/>
  <c r="AX85" i="7"/>
  <c r="AD93" i="7"/>
  <c r="BF94" i="7"/>
  <c r="AL94" i="7"/>
  <c r="BB103" i="7"/>
  <c r="AP103" i="7"/>
  <c r="Z103" i="7"/>
  <c r="BF104" i="7"/>
  <c r="AL104" i="7"/>
  <c r="AX104" i="7"/>
  <c r="AD17" i="7"/>
  <c r="AF20" i="7"/>
  <c r="AD25" i="7"/>
  <c r="AF28" i="7"/>
  <c r="AD33" i="7"/>
  <c r="AF36" i="7"/>
  <c r="AD41" i="7"/>
  <c r="AF44" i="7"/>
  <c r="AD49" i="7"/>
  <c r="Z51" i="7"/>
  <c r="AF52" i="7"/>
  <c r="BB53" i="7"/>
  <c r="AB54" i="7"/>
  <c r="BD56" i="7"/>
  <c r="AD57" i="7"/>
  <c r="BD59" i="7"/>
  <c r="AX60" i="7"/>
  <c r="BD62" i="7"/>
  <c r="AX63" i="7"/>
  <c r="BF66" i="7"/>
  <c r="AP68" i="7"/>
  <c r="Z68" i="7"/>
  <c r="AR71" i="7"/>
  <c r="AB71" i="7"/>
  <c r="Z71" i="7"/>
  <c r="AT77" i="7"/>
  <c r="AR81" i="7"/>
  <c r="AB81" i="7"/>
  <c r="BD81" i="7"/>
  <c r="AP84" i="7"/>
  <c r="Z84" i="7"/>
  <c r="AL85" i="7"/>
  <c r="BF93" i="7"/>
  <c r="AX93" i="7"/>
  <c r="AD97" i="7"/>
  <c r="AZ102" i="7"/>
  <c r="BK102" i="7" s="1"/>
  <c r="BH120" i="7"/>
  <c r="AD54" i="7"/>
  <c r="AF57" i="7"/>
  <c r="AP58" i="7"/>
  <c r="BF70" i="7"/>
  <c r="AL70" i="7"/>
  <c r="AX77" i="7"/>
  <c r="AP80" i="7"/>
  <c r="Z80" i="7"/>
  <c r="BB80" i="7"/>
  <c r="AP88" i="7"/>
  <c r="Z88" i="7"/>
  <c r="BB88" i="7"/>
  <c r="AL133" i="7"/>
  <c r="AX133" i="7"/>
  <c r="BF133" i="7"/>
  <c r="AF14" i="7"/>
  <c r="AD19" i="7"/>
  <c r="AF22" i="7"/>
  <c r="AD27" i="7"/>
  <c r="AF30" i="7"/>
  <c r="AD35" i="7"/>
  <c r="AF38" i="7"/>
  <c r="AD43" i="7"/>
  <c r="AF46" i="7"/>
  <c r="AD51" i="7"/>
  <c r="Z53" i="7"/>
  <c r="AF54" i="7"/>
  <c r="AB56" i="7"/>
  <c r="AP62" i="7"/>
  <c r="AV64" i="7"/>
  <c r="AR65" i="7"/>
  <c r="AP66" i="7"/>
  <c r="BF71" i="7"/>
  <c r="BH71" i="7" s="1"/>
  <c r="Z74" i="7"/>
  <c r="AX76" i="7"/>
  <c r="BF76" i="7"/>
  <c r="AB77" i="7"/>
  <c r="AR85" i="7"/>
  <c r="AR87" i="7"/>
  <c r="AB87" i="7"/>
  <c r="Z87" i="7"/>
  <c r="AB90" i="7"/>
  <c r="AR91" i="7"/>
  <c r="AB91" i="7"/>
  <c r="BD91" i="7"/>
  <c r="AP96" i="7"/>
  <c r="Z96" i="7"/>
  <c r="BB96" i="7"/>
  <c r="AD32" i="7"/>
  <c r="AF35" i="7"/>
  <c r="AD40" i="7"/>
  <c r="AF43" i="7"/>
  <c r="AD48" i="7"/>
  <c r="AF51" i="7"/>
  <c r="AD56" i="7"/>
  <c r="AL60" i="7"/>
  <c r="AR67" i="7"/>
  <c r="AB67" i="7"/>
  <c r="BD67" i="7"/>
  <c r="BH67" i="7" s="1"/>
  <c r="AP70" i="7"/>
  <c r="Z70" i="7"/>
  <c r="BB70" i="7"/>
  <c r="AX70" i="7"/>
  <c r="BF72" i="7"/>
  <c r="AL72" i="7"/>
  <c r="AX72" i="7"/>
  <c r="AL82" i="7"/>
  <c r="AX82" i="7"/>
  <c r="AR83" i="7"/>
  <c r="AB83" i="7"/>
  <c r="BD83" i="7"/>
  <c r="AX89" i="7"/>
  <c r="AZ89" i="7" s="1"/>
  <c r="BK89" i="7" s="1"/>
  <c r="BF89" i="7"/>
  <c r="AP92" i="7"/>
  <c r="Z92" i="7"/>
  <c r="AR95" i="7"/>
  <c r="AB95" i="7"/>
  <c r="BF101" i="7"/>
  <c r="BH101" i="7" s="1"/>
  <c r="AL101" i="7"/>
  <c r="AX101" i="7"/>
  <c r="AZ101" i="7" s="1"/>
  <c r="BK101" i="7" s="1"/>
  <c r="AL103" i="7"/>
  <c r="AX103" i="7"/>
  <c r="BF103" i="7"/>
  <c r="BF140" i="7"/>
  <c r="AL140" i="7"/>
  <c r="AX140" i="7"/>
  <c r="AP165" i="7"/>
  <c r="BB165" i="7"/>
  <c r="Z165" i="7"/>
  <c r="AR73" i="7"/>
  <c r="AB73" i="7"/>
  <c r="BD73" i="7"/>
  <c r="AP76" i="7"/>
  <c r="Z76" i="7"/>
  <c r="AR79" i="7"/>
  <c r="AZ79" i="7" s="1"/>
  <c r="BK79" i="7" s="1"/>
  <c r="AB79" i="7"/>
  <c r="Z79" i="7"/>
  <c r="BF110" i="7"/>
  <c r="AL110" i="7"/>
  <c r="AX110" i="7"/>
  <c r="BF118" i="7"/>
  <c r="AL118" i="7"/>
  <c r="AX118" i="7"/>
  <c r="AL149" i="7"/>
  <c r="AX149" i="7"/>
  <c r="BF149" i="7"/>
  <c r="BH149" i="7" s="1"/>
  <c r="AD101" i="7"/>
  <c r="AF104" i="7"/>
  <c r="AP108" i="7"/>
  <c r="Z108" i="7"/>
  <c r="AD109" i="7"/>
  <c r="AL128" i="7"/>
  <c r="AX128" i="7"/>
  <c r="AP130" i="7"/>
  <c r="Z130" i="7"/>
  <c r="AL136" i="7"/>
  <c r="AX136" i="7"/>
  <c r="AD139" i="7"/>
  <c r="AZ154" i="7"/>
  <c r="BK154" i="7" s="1"/>
  <c r="AF159" i="7"/>
  <c r="AV159" i="7"/>
  <c r="BF161" i="7"/>
  <c r="AL161" i="7"/>
  <c r="AX161" i="7"/>
  <c r="AR165" i="7"/>
  <c r="BD165" i="7"/>
  <c r="AB165" i="7"/>
  <c r="BB176" i="7"/>
  <c r="AP176" i="7"/>
  <c r="Z176" i="7"/>
  <c r="AL203" i="7"/>
  <c r="BF203" i="7"/>
  <c r="AX203" i="7"/>
  <c r="AD58" i="7"/>
  <c r="AF61" i="7"/>
  <c r="AD66" i="7"/>
  <c r="AF69" i="7"/>
  <c r="AD74" i="7"/>
  <c r="AF77" i="7"/>
  <c r="AD82" i="7"/>
  <c r="AF85" i="7"/>
  <c r="BB86" i="7"/>
  <c r="BD89" i="7"/>
  <c r="AD90" i="7"/>
  <c r="BF92" i="7"/>
  <c r="AF93" i="7"/>
  <c r="BB94" i="7"/>
  <c r="BD97" i="7"/>
  <c r="AD98" i="7"/>
  <c r="Z100" i="7"/>
  <c r="BF100" i="7"/>
  <c r="AF101" i="7"/>
  <c r="AL102" i="7"/>
  <c r="BB102" i="7"/>
  <c r="AB103" i="7"/>
  <c r="AR105" i="7"/>
  <c r="AB105" i="7"/>
  <c r="BD105" i="7"/>
  <c r="AV105" i="7"/>
  <c r="Z106" i="7"/>
  <c r="AV106" i="7"/>
  <c r="AB107" i="7"/>
  <c r="AV107" i="7"/>
  <c r="AX108" i="7"/>
  <c r="BF109" i="7"/>
  <c r="Z112" i="7"/>
  <c r="AT112" i="7"/>
  <c r="AP114" i="7"/>
  <c r="AT117" i="7"/>
  <c r="AD118" i="7"/>
  <c r="AB120" i="7"/>
  <c r="AL125" i="7"/>
  <c r="AX125" i="7"/>
  <c r="BF132" i="7"/>
  <c r="AL132" i="7"/>
  <c r="AR136" i="7"/>
  <c r="BF139" i="7"/>
  <c r="AL139" i="7"/>
  <c r="AX139" i="7"/>
  <c r="AX143" i="7"/>
  <c r="BF143" i="7"/>
  <c r="AP146" i="7"/>
  <c r="Z146" i="7"/>
  <c r="AD87" i="7"/>
  <c r="AF90" i="7"/>
  <c r="AD95" i="7"/>
  <c r="AF98" i="7"/>
  <c r="AD103" i="7"/>
  <c r="AP111" i="7"/>
  <c r="AV112" i="7"/>
  <c r="AL116" i="7"/>
  <c r="BD117" i="7"/>
  <c r="BH117" i="7" s="1"/>
  <c r="AV121" i="7"/>
  <c r="AD123" i="7"/>
  <c r="BF124" i="7"/>
  <c r="AL124" i="7"/>
  <c r="AX124" i="7"/>
  <c r="AD131" i="7"/>
  <c r="BF136" i="7"/>
  <c r="AX138" i="7"/>
  <c r="BF138" i="7"/>
  <c r="BH138" i="7" s="1"/>
  <c r="AR141" i="7"/>
  <c r="AB141" i="7"/>
  <c r="BB155" i="7"/>
  <c r="BH155" i="7" s="1"/>
  <c r="Z155" i="7"/>
  <c r="BF158" i="7"/>
  <c r="AL158" i="7"/>
  <c r="AL160" i="7"/>
  <c r="AD163" i="7"/>
  <c r="AD174" i="7"/>
  <c r="AZ179" i="7"/>
  <c r="BK179" i="7" s="1"/>
  <c r="AD68" i="7"/>
  <c r="AF71" i="7"/>
  <c r="AD76" i="7"/>
  <c r="AF79" i="7"/>
  <c r="AD84" i="7"/>
  <c r="Z86" i="7"/>
  <c r="AF87" i="7"/>
  <c r="AB89" i="7"/>
  <c r="AD92" i="7"/>
  <c r="Z94" i="7"/>
  <c r="AF95" i="7"/>
  <c r="AB97" i="7"/>
  <c r="AX98" i="7"/>
  <c r="BD99" i="7"/>
  <c r="AD100" i="7"/>
  <c r="Z102" i="7"/>
  <c r="AF103" i="7"/>
  <c r="BB108" i="7"/>
  <c r="BB114" i="7"/>
  <c r="BF115" i="7"/>
  <c r="AL115" i="7"/>
  <c r="AL120" i="7"/>
  <c r="AX120" i="7"/>
  <c r="BF123" i="7"/>
  <c r="BH123" i="7" s="1"/>
  <c r="AL123" i="7"/>
  <c r="BF127" i="7"/>
  <c r="BF131" i="7"/>
  <c r="AL131" i="7"/>
  <c r="AX131" i="7"/>
  <c r="AX135" i="7"/>
  <c r="AZ135" i="7" s="1"/>
  <c r="BK135" i="7" s="1"/>
  <c r="BF135" i="7"/>
  <c r="BF148" i="7"/>
  <c r="AL148" i="7"/>
  <c r="AD154" i="7"/>
  <c r="AL163" i="7"/>
  <c r="BF163" i="7"/>
  <c r="AF163" i="7"/>
  <c r="BF165" i="7"/>
  <c r="AL165" i="7"/>
  <c r="AX165" i="7"/>
  <c r="BF172" i="7"/>
  <c r="AX172" i="7"/>
  <c r="AF172" i="7"/>
  <c r="AV172" i="7"/>
  <c r="AF100" i="7"/>
  <c r="BH111" i="7"/>
  <c r="AL112" i="7"/>
  <c r="AX112" i="7"/>
  <c r="BF112" i="7"/>
  <c r="AP124" i="7"/>
  <c r="Z124" i="7"/>
  <c r="BB124" i="7"/>
  <c r="BF128" i="7"/>
  <c r="BH128" i="7" s="1"/>
  <c r="AX130" i="7"/>
  <c r="BF130" i="7"/>
  <c r="AR133" i="7"/>
  <c r="AB133" i="7"/>
  <c r="BF142" i="7"/>
  <c r="AL142" i="7"/>
  <c r="AX142" i="7"/>
  <c r="AL144" i="7"/>
  <c r="AX144" i="7"/>
  <c r="BF147" i="7"/>
  <c r="AL147" i="7"/>
  <c r="AX147" i="7"/>
  <c r="AR149" i="7"/>
  <c r="AB149" i="7"/>
  <c r="AF153" i="7"/>
  <c r="AV153" i="7"/>
  <c r="BF154" i="7"/>
  <c r="BH154" i="7" s="1"/>
  <c r="AL154" i="7"/>
  <c r="AP161" i="7"/>
  <c r="Z161" i="7"/>
  <c r="BB161" i="7"/>
  <c r="AF65" i="7"/>
  <c r="AD70" i="7"/>
  <c r="AF73" i="7"/>
  <c r="AD78" i="7"/>
  <c r="AF81" i="7"/>
  <c r="AD86" i="7"/>
  <c r="AF89" i="7"/>
  <c r="AD94" i="7"/>
  <c r="AF97" i="7"/>
  <c r="AB99" i="7"/>
  <c r="AD102" i="7"/>
  <c r="Z104" i="7"/>
  <c r="AP104" i="7"/>
  <c r="BF105" i="7"/>
  <c r="AL106" i="7"/>
  <c r="BF106" i="7"/>
  <c r="BH106" i="7" s="1"/>
  <c r="AL108" i="7"/>
  <c r="AR111" i="7"/>
  <c r="AB111" i="7"/>
  <c r="Z111" i="7"/>
  <c r="AL113" i="7"/>
  <c r="AX116" i="7"/>
  <c r="AL117" i="7"/>
  <c r="AX117" i="7"/>
  <c r="BH119" i="7"/>
  <c r="AR127" i="7"/>
  <c r="AB127" i="7"/>
  <c r="BD127" i="7"/>
  <c r="BB130" i="7"/>
  <c r="AL141" i="7"/>
  <c r="AX141" i="7"/>
  <c r="AX146" i="7"/>
  <c r="BF146" i="7"/>
  <c r="BD151" i="7"/>
  <c r="AB151" i="7"/>
  <c r="Z151" i="7"/>
  <c r="AP155" i="7"/>
  <c r="AX157" i="7"/>
  <c r="BF157" i="7"/>
  <c r="AL157" i="7"/>
  <c r="BF162" i="7"/>
  <c r="BH162" i="7" s="1"/>
  <c r="AL162" i="7"/>
  <c r="AX162" i="7"/>
  <c r="AD168" i="7"/>
  <c r="AD180" i="7"/>
  <c r="AT180" i="7"/>
  <c r="AF86" i="7"/>
  <c r="AD91" i="7"/>
  <c r="AF94" i="7"/>
  <c r="AD99" i="7"/>
  <c r="AF102" i="7"/>
  <c r="AP116" i="7"/>
  <c r="Z116" i="7"/>
  <c r="BH116" i="7"/>
  <c r="AR119" i="7"/>
  <c r="AB119" i="7"/>
  <c r="AR120" i="7"/>
  <c r="AP122" i="7"/>
  <c r="AZ122" i="7" s="1"/>
  <c r="BK122" i="7" s="1"/>
  <c r="Z122" i="7"/>
  <c r="AR125" i="7"/>
  <c r="AB125" i="7"/>
  <c r="BF126" i="7"/>
  <c r="AL126" i="7"/>
  <c r="AX126" i="7"/>
  <c r="BF134" i="7"/>
  <c r="AL134" i="7"/>
  <c r="AX134" i="7"/>
  <c r="AZ134" i="7" s="1"/>
  <c r="BK134" i="7" s="1"/>
  <c r="AB136" i="7"/>
  <c r="AP138" i="7"/>
  <c r="Z138" i="7"/>
  <c r="BD141" i="7"/>
  <c r="BF150" i="7"/>
  <c r="AL150" i="7"/>
  <c r="BB152" i="7"/>
  <c r="Z152" i="7"/>
  <c r="AL155" i="7"/>
  <c r="AX155" i="7"/>
  <c r="AX163" i="7"/>
  <c r="AR175" i="7"/>
  <c r="BD175" i="7"/>
  <c r="BH175" i="7" s="1"/>
  <c r="AB175" i="7"/>
  <c r="BF173" i="7"/>
  <c r="AL173" i="7"/>
  <c r="AX173" i="7"/>
  <c r="AR176" i="7"/>
  <c r="AB176" i="7"/>
  <c r="AX178" i="7"/>
  <c r="BF180" i="7"/>
  <c r="AL180" i="7"/>
  <c r="BF184" i="7"/>
  <c r="AL184" i="7"/>
  <c r="AF123" i="7"/>
  <c r="AD128" i="7"/>
  <c r="AF131" i="7"/>
  <c r="BB132" i="7"/>
  <c r="BD135" i="7"/>
  <c r="AD136" i="7"/>
  <c r="AF139" i="7"/>
  <c r="BB140" i="7"/>
  <c r="BD143" i="7"/>
  <c r="AD144" i="7"/>
  <c r="AF147" i="7"/>
  <c r="BB148" i="7"/>
  <c r="AR152" i="7"/>
  <c r="AL153" i="7"/>
  <c r="AR155" i="7"/>
  <c r="AL156" i="7"/>
  <c r="AL159" i="7"/>
  <c r="AP160" i="7"/>
  <c r="AP164" i="7"/>
  <c r="AL168" i="7"/>
  <c r="AL170" i="7"/>
  <c r="AL176" i="7"/>
  <c r="AV180" i="7"/>
  <c r="AL192" i="7"/>
  <c r="BF192" i="7"/>
  <c r="AX192" i="7"/>
  <c r="AX209" i="7"/>
  <c r="BF209" i="7"/>
  <c r="AL209" i="7"/>
  <c r="BB221" i="7"/>
  <c r="AP221" i="7"/>
  <c r="Z221" i="7"/>
  <c r="AD133" i="7"/>
  <c r="AF136" i="7"/>
  <c r="AD141" i="7"/>
  <c r="Z143" i="7"/>
  <c r="AF144" i="7"/>
  <c r="AL145" i="7"/>
  <c r="AD149" i="7"/>
  <c r="AB152" i="7"/>
  <c r="AB155" i="7"/>
  <c r="BF156" i="7"/>
  <c r="BF159" i="7"/>
  <c r="AR160" i="7"/>
  <c r="AB160" i="7"/>
  <c r="Z160" i="7"/>
  <c r="AL167" i="7"/>
  <c r="AX167" i="7"/>
  <c r="BF171" i="7"/>
  <c r="AL171" i="7"/>
  <c r="AX177" i="7"/>
  <c r="BF177" i="7"/>
  <c r="BH177" i="7" s="1"/>
  <c r="AX180" i="7"/>
  <c r="AD194" i="7"/>
  <c r="AT198" i="7"/>
  <c r="AD198" i="7"/>
  <c r="AD106" i="7"/>
  <c r="AF109" i="7"/>
  <c r="BB110" i="7"/>
  <c r="BD113" i="7"/>
  <c r="AD114" i="7"/>
  <c r="AF117" i="7"/>
  <c r="BB118" i="7"/>
  <c r="BD121" i="7"/>
  <c r="AD122" i="7"/>
  <c r="AF125" i="7"/>
  <c r="BB126" i="7"/>
  <c r="BD129" i="7"/>
  <c r="BH129" i="7" s="1"/>
  <c r="AD130" i="7"/>
  <c r="Z132" i="7"/>
  <c r="AF133" i="7"/>
  <c r="BB134" i="7"/>
  <c r="AB135" i="7"/>
  <c r="BD137" i="7"/>
  <c r="AD138" i="7"/>
  <c r="Z140" i="7"/>
  <c r="AF141" i="7"/>
  <c r="BB142" i="7"/>
  <c r="AB143" i="7"/>
  <c r="AD146" i="7"/>
  <c r="Z148" i="7"/>
  <c r="AF149" i="7"/>
  <c r="AP153" i="7"/>
  <c r="Z153" i="7"/>
  <c r="AP156" i="7"/>
  <c r="AP159" i="7"/>
  <c r="Z164" i="7"/>
  <c r="AB166" i="7"/>
  <c r="AX170" i="7"/>
  <c r="AV171" i="7"/>
  <c r="BF183" i="7"/>
  <c r="AX183" i="7"/>
  <c r="BF185" i="7"/>
  <c r="AL185" i="7"/>
  <c r="AX185" i="7"/>
  <c r="AL188" i="7"/>
  <c r="BF188" i="7"/>
  <c r="AX188" i="7"/>
  <c r="BF190" i="7"/>
  <c r="AL190" i="7"/>
  <c r="AX190" i="7"/>
  <c r="AF190" i="7"/>
  <c r="AV190" i="7"/>
  <c r="AP193" i="7"/>
  <c r="BB193" i="7"/>
  <c r="BH193" i="7" s="1"/>
  <c r="Z193" i="7"/>
  <c r="AL194" i="7"/>
  <c r="AX194" i="7"/>
  <c r="BF194" i="7"/>
  <c r="AD111" i="7"/>
  <c r="AF114" i="7"/>
  <c r="AD119" i="7"/>
  <c r="AF122" i="7"/>
  <c r="AD127" i="7"/>
  <c r="AF130" i="7"/>
  <c r="AD135" i="7"/>
  <c r="AF138" i="7"/>
  <c r="AD143" i="7"/>
  <c r="Z145" i="7"/>
  <c r="AF146" i="7"/>
  <c r="AB148" i="7"/>
  <c r="AP150" i="7"/>
  <c r="AT153" i="7"/>
  <c r="AR156" i="7"/>
  <c r="AB156" i="7"/>
  <c r="AT156" i="7"/>
  <c r="AP158" i="7"/>
  <c r="AZ158" i="7" s="1"/>
  <c r="BK158" i="7" s="1"/>
  <c r="AR159" i="7"/>
  <c r="AP163" i="7"/>
  <c r="AB164" i="7"/>
  <c r="AV164" i="7"/>
  <c r="AX169" i="7"/>
  <c r="BF169" i="7"/>
  <c r="AP171" i="7"/>
  <c r="Z171" i="7"/>
  <c r="BB171" i="7"/>
  <c r="AX171" i="7"/>
  <c r="AP175" i="7"/>
  <c r="AP177" i="7"/>
  <c r="Z177" i="7"/>
  <c r="AD108" i="7"/>
  <c r="Z110" i="7"/>
  <c r="AF111" i="7"/>
  <c r="AB113" i="7"/>
  <c r="AD116" i="7"/>
  <c r="Z118" i="7"/>
  <c r="AF119" i="7"/>
  <c r="AB121" i="7"/>
  <c r="AD124" i="7"/>
  <c r="Z126" i="7"/>
  <c r="AF127" i="7"/>
  <c r="AB129" i="7"/>
  <c r="AD132" i="7"/>
  <c r="Z134" i="7"/>
  <c r="AF135" i="7"/>
  <c r="AB137" i="7"/>
  <c r="AD140" i="7"/>
  <c r="Z142" i="7"/>
  <c r="AF143" i="7"/>
  <c r="AB145" i="7"/>
  <c r="AD148" i="7"/>
  <c r="AR150" i="7"/>
  <c r="Z167" i="7"/>
  <c r="AX174" i="7"/>
  <c r="BD176" i="7"/>
  <c r="AL182" i="7"/>
  <c r="AX182" i="7"/>
  <c r="AX184" i="7"/>
  <c r="AZ184" i="7" s="1"/>
  <c r="BK184" i="7" s="1"/>
  <c r="BF195" i="7"/>
  <c r="AL195" i="7"/>
  <c r="AD113" i="7"/>
  <c r="AF116" i="7"/>
  <c r="AD121" i="7"/>
  <c r="AF124" i="7"/>
  <c r="AD129" i="7"/>
  <c r="AF132" i="7"/>
  <c r="AD137" i="7"/>
  <c r="AF140" i="7"/>
  <c r="AD145" i="7"/>
  <c r="AF148" i="7"/>
  <c r="AX153" i="7"/>
  <c r="AR162" i="7"/>
  <c r="AR168" i="7"/>
  <c r="AB168" i="7"/>
  <c r="BD168" i="7"/>
  <c r="AP169" i="7"/>
  <c r="Z169" i="7"/>
  <c r="AR170" i="7"/>
  <c r="AB170" i="7"/>
  <c r="BD170" i="7"/>
  <c r="BH170" i="7" s="1"/>
  <c r="BF174" i="7"/>
  <c r="BF176" i="7"/>
  <c r="AL178" i="7"/>
  <c r="BF179" i="7"/>
  <c r="AL179" i="7"/>
  <c r="BF181" i="7"/>
  <c r="AL181" i="7"/>
  <c r="AX181" i="7"/>
  <c r="BF191" i="7"/>
  <c r="BH191" i="7" s="1"/>
  <c r="AX191" i="7"/>
  <c r="BD192" i="7"/>
  <c r="AB192" i="7"/>
  <c r="AR192" i="7"/>
  <c r="AP201" i="7"/>
  <c r="Z201" i="7"/>
  <c r="BB201" i="7"/>
  <c r="AF184" i="7"/>
  <c r="AF185" i="7"/>
  <c r="AF187" i="7"/>
  <c r="AT188" i="7"/>
  <c r="AP189" i="7"/>
  <c r="AD190" i="7"/>
  <c r="AP204" i="7"/>
  <c r="Z204" i="7"/>
  <c r="BB204" i="7"/>
  <c r="AL211" i="7"/>
  <c r="AX211" i="7"/>
  <c r="BD213" i="7"/>
  <c r="BH213" i="7" s="1"/>
  <c r="AR213" i="7"/>
  <c r="AB213" i="7"/>
  <c r="AX216" i="7"/>
  <c r="BF216" i="7"/>
  <c r="BH216" i="7" s="1"/>
  <c r="AL216" i="7"/>
  <c r="BF219" i="7"/>
  <c r="BH219" i="7" s="1"/>
  <c r="AL219" i="7"/>
  <c r="AX219" i="7"/>
  <c r="BF269" i="7"/>
  <c r="AL269" i="7"/>
  <c r="AX269" i="7"/>
  <c r="BF270" i="7"/>
  <c r="AL270" i="7"/>
  <c r="AX270" i="7"/>
  <c r="BF271" i="7"/>
  <c r="BH271" i="7" s="1"/>
  <c r="AL271" i="7"/>
  <c r="AX271" i="7"/>
  <c r="AR189" i="7"/>
  <c r="AP197" i="7"/>
  <c r="Z197" i="7"/>
  <c r="BB197" i="7"/>
  <c r="AP199" i="7"/>
  <c r="Z199" i="7"/>
  <c r="AL205" i="7"/>
  <c r="AX205" i="7"/>
  <c r="AR207" i="7"/>
  <c r="AB207" i="7"/>
  <c r="Z207" i="7"/>
  <c r="BF211" i="7"/>
  <c r="BB214" i="7"/>
  <c r="AP214" i="7"/>
  <c r="Z214" i="7"/>
  <c r="BD220" i="7"/>
  <c r="AR220" i="7"/>
  <c r="AB220" i="7"/>
  <c r="AD151" i="7"/>
  <c r="AF154" i="7"/>
  <c r="AF158" i="7"/>
  <c r="AD159" i="7"/>
  <c r="AF166" i="7"/>
  <c r="AD167" i="7"/>
  <c r="AF174" i="7"/>
  <c r="AD175" i="7"/>
  <c r="BD178" i="7"/>
  <c r="BH178" i="7" s="1"/>
  <c r="BB179" i="7"/>
  <c r="AF182" i="7"/>
  <c r="BD183" i="7"/>
  <c r="BB184" i="7"/>
  <c r="AP186" i="7"/>
  <c r="BD187" i="7"/>
  <c r="AX189" i="7"/>
  <c r="BB190" i="7"/>
  <c r="AV192" i="7"/>
  <c r="AV194" i="7"/>
  <c r="AF194" i="7"/>
  <c r="AF197" i="7"/>
  <c r="BF198" i="7"/>
  <c r="AX198" i="7"/>
  <c r="AL198" i="7"/>
  <c r="AF200" i="7"/>
  <c r="AD201" i="7"/>
  <c r="BF205" i="7"/>
  <c r="BH205" i="7" s="1"/>
  <c r="AP208" i="7"/>
  <c r="Z208" i="7"/>
  <c r="AL213" i="7"/>
  <c r="AX213" i="7"/>
  <c r="BF217" i="7"/>
  <c r="AL217" i="7"/>
  <c r="AX217" i="7"/>
  <c r="BB224" i="7"/>
  <c r="AP224" i="7"/>
  <c r="Z224" i="7"/>
  <c r="AD176" i="7"/>
  <c r="AR186" i="7"/>
  <c r="AP191" i="7"/>
  <c r="Z191" i="7"/>
  <c r="AR196" i="7"/>
  <c r="AB196" i="7"/>
  <c r="BD196" i="7"/>
  <c r="BF196" i="7"/>
  <c r="BF200" i="7"/>
  <c r="AX200" i="7"/>
  <c r="AL200" i="7"/>
  <c r="BF204" i="7"/>
  <c r="AL204" i="7"/>
  <c r="AX204" i="7"/>
  <c r="AL207" i="7"/>
  <c r="AX207" i="7"/>
  <c r="AP207" i="7"/>
  <c r="AL220" i="7"/>
  <c r="AX220" i="7"/>
  <c r="AX226" i="7"/>
  <c r="BF226" i="7"/>
  <c r="AL226" i="7"/>
  <c r="AX233" i="7"/>
  <c r="BF233" i="7"/>
  <c r="AL233" i="7"/>
  <c r="AF168" i="7"/>
  <c r="AD169" i="7"/>
  <c r="BD172" i="7"/>
  <c r="AF176" i="7"/>
  <c r="AD177" i="7"/>
  <c r="AB178" i="7"/>
  <c r="Z179" i="7"/>
  <c r="AB183" i="7"/>
  <c r="Z184" i="7"/>
  <c r="AR185" i="7"/>
  <c r="AP187" i="7"/>
  <c r="AV191" i="7"/>
  <c r="AR194" i="7"/>
  <c r="BF197" i="7"/>
  <c r="AL197" i="7"/>
  <c r="AX199" i="7"/>
  <c r="BF199" i="7"/>
  <c r="AX202" i="7"/>
  <c r="BF202" i="7"/>
  <c r="AR203" i="7"/>
  <c r="AB203" i="7"/>
  <c r="BD203" i="7"/>
  <c r="BD207" i="7"/>
  <c r="BD211" i="7"/>
  <c r="AR211" i="7"/>
  <c r="AB211" i="7"/>
  <c r="AL214" i="7"/>
  <c r="AX214" i="7"/>
  <c r="BF214" i="7"/>
  <c r="AX215" i="7"/>
  <c r="BF215" i="7"/>
  <c r="AX218" i="7"/>
  <c r="BF218" i="7"/>
  <c r="BH218" i="7" s="1"/>
  <c r="AL218" i="7"/>
  <c r="BF220" i="7"/>
  <c r="AL231" i="7"/>
  <c r="BF231" i="7"/>
  <c r="BH231" i="7" s="1"/>
  <c r="AF169" i="7"/>
  <c r="AD170" i="7"/>
  <c r="Z172" i="7"/>
  <c r="AF177" i="7"/>
  <c r="AD178" i="7"/>
  <c r="AB179" i="7"/>
  <c r="Z180" i="7"/>
  <c r="AD183" i="7"/>
  <c r="AB184" i="7"/>
  <c r="AB185" i="7"/>
  <c r="AR187" i="7"/>
  <c r="AP188" i="7"/>
  <c r="AL189" i="7"/>
  <c r="AP190" i="7"/>
  <c r="BB199" i="7"/>
  <c r="AX201" i="7"/>
  <c r="BF201" i="7"/>
  <c r="AR205" i="7"/>
  <c r="AB205" i="7"/>
  <c r="Z205" i="7"/>
  <c r="BF207" i="7"/>
  <c r="AL221" i="7"/>
  <c r="AX221" i="7"/>
  <c r="BF221" i="7"/>
  <c r="AL222" i="7"/>
  <c r="AX222" i="7"/>
  <c r="BF227" i="7"/>
  <c r="AL227" i="7"/>
  <c r="AX227" i="7"/>
  <c r="BF234" i="7"/>
  <c r="BH234" i="7" s="1"/>
  <c r="AL234" i="7"/>
  <c r="AX234" i="7"/>
  <c r="AF170" i="7"/>
  <c r="AD171" i="7"/>
  <c r="AB172" i="7"/>
  <c r="AF178" i="7"/>
  <c r="AD179" i="7"/>
  <c r="AB180" i="7"/>
  <c r="Z181" i="7"/>
  <c r="AF183" i="7"/>
  <c r="AD184" i="7"/>
  <c r="AX186" i="7"/>
  <c r="Z188" i="7"/>
  <c r="AR190" i="7"/>
  <c r="AB190" i="7"/>
  <c r="AL193" i="7"/>
  <c r="BF206" i="7"/>
  <c r="AL206" i="7"/>
  <c r="AX206" i="7"/>
  <c r="AZ206" i="7" s="1"/>
  <c r="BK206" i="7" s="1"/>
  <c r="AX208" i="7"/>
  <c r="BF208" i="7"/>
  <c r="AP225" i="7"/>
  <c r="BB225" i="7"/>
  <c r="Z225" i="7"/>
  <c r="AF228" i="7"/>
  <c r="AV228" i="7"/>
  <c r="AP232" i="7"/>
  <c r="Z232" i="7"/>
  <c r="BB232" i="7"/>
  <c r="AD217" i="7"/>
  <c r="AD219" i="7"/>
  <c r="AP222" i="7"/>
  <c r="BH222" i="7"/>
  <c r="AR225" i="7"/>
  <c r="AB225" i="7"/>
  <c r="AP226" i="7"/>
  <c r="Z226" i="7"/>
  <c r="BF236" i="7"/>
  <c r="AL236" i="7"/>
  <c r="AL239" i="7"/>
  <c r="AX239" i="7"/>
  <c r="BF239" i="7"/>
  <c r="BF249" i="7"/>
  <c r="AL249" i="7"/>
  <c r="AX249" i="7"/>
  <c r="AL210" i="7"/>
  <c r="AD211" i="7"/>
  <c r="AL212" i="7"/>
  <c r="AD213" i="7"/>
  <c r="AB214" i="7"/>
  <c r="Z215" i="7"/>
  <c r="AF217" i="7"/>
  <c r="AF219" i="7"/>
  <c r="AD220" i="7"/>
  <c r="AB221" i="7"/>
  <c r="Z222" i="7"/>
  <c r="AR222" i="7"/>
  <c r="AB224" i="7"/>
  <c r="AV224" i="7"/>
  <c r="AF225" i="7"/>
  <c r="BD225" i="7"/>
  <c r="AD226" i="7"/>
  <c r="BB226" i="7"/>
  <c r="Z229" i="7"/>
  <c r="AX236" i="7"/>
  <c r="AX246" i="7"/>
  <c r="BF246" i="7"/>
  <c r="BH246" i="7" s="1"/>
  <c r="AL246" i="7"/>
  <c r="BF257" i="7"/>
  <c r="AL257" i="7"/>
  <c r="AX257" i="7"/>
  <c r="Z195" i="7"/>
  <c r="AB199" i="7"/>
  <c r="AB201" i="7"/>
  <c r="Z202" i="7"/>
  <c r="AD205" i="7"/>
  <c r="BB206" i="7"/>
  <c r="AD207" i="7"/>
  <c r="AB208" i="7"/>
  <c r="Z209" i="7"/>
  <c r="BD210" i="7"/>
  <c r="AF211" i="7"/>
  <c r="BD212" i="7"/>
  <c r="BH212" i="7" s="1"/>
  <c r="AF213" i="7"/>
  <c r="AD214" i="7"/>
  <c r="AB215" i="7"/>
  <c r="Z216" i="7"/>
  <c r="Z218" i="7"/>
  <c r="AF220" i="7"/>
  <c r="AD221" i="7"/>
  <c r="AB222" i="7"/>
  <c r="AT222" i="7"/>
  <c r="AV223" i="7"/>
  <c r="AX224" i="7"/>
  <c r="AR228" i="7"/>
  <c r="AB229" i="7"/>
  <c r="AR231" i="7"/>
  <c r="AB231" i="7"/>
  <c r="Z231" i="7"/>
  <c r="AL232" i="7"/>
  <c r="AT233" i="7"/>
  <c r="AR237" i="7"/>
  <c r="BB244" i="7"/>
  <c r="BH244" i="7" s="1"/>
  <c r="Z244" i="7"/>
  <c r="BF256" i="7"/>
  <c r="AL256" i="7"/>
  <c r="AF205" i="7"/>
  <c r="AF207" i="7"/>
  <c r="AD208" i="7"/>
  <c r="AF214" i="7"/>
  <c r="AD215" i="7"/>
  <c r="AF221" i="7"/>
  <c r="AR223" i="7"/>
  <c r="AB223" i="7"/>
  <c r="AB235" i="7"/>
  <c r="AD193" i="7"/>
  <c r="AD195" i="7"/>
  <c r="AF199" i="7"/>
  <c r="AF201" i="7"/>
  <c r="AD202" i="7"/>
  <c r="Z206" i="7"/>
  <c r="AF208" i="7"/>
  <c r="AD209" i="7"/>
  <c r="AB210" i="7"/>
  <c r="AB212" i="7"/>
  <c r="AF215" i="7"/>
  <c r="AD216" i="7"/>
  <c r="AD218" i="7"/>
  <c r="BF224" i="7"/>
  <c r="AX228" i="7"/>
  <c r="BH229" i="7"/>
  <c r="BD238" i="7"/>
  <c r="AR238" i="7"/>
  <c r="AB238" i="7"/>
  <c r="BB239" i="7"/>
  <c r="AP239" i="7"/>
  <c r="Z239" i="7"/>
  <c r="AX241" i="7"/>
  <c r="AZ241" i="7" s="1"/>
  <c r="BK241" i="7" s="1"/>
  <c r="BF241" i="7"/>
  <c r="BH241" i="7" s="1"/>
  <c r="AL241" i="7"/>
  <c r="AP244" i="7"/>
  <c r="AP249" i="7"/>
  <c r="Z249" i="7"/>
  <c r="BB249" i="7"/>
  <c r="AD250" i="7"/>
  <c r="AD187" i="7"/>
  <c r="AD189" i="7"/>
  <c r="AF193" i="7"/>
  <c r="AF195" i="7"/>
  <c r="AD196" i="7"/>
  <c r="AB197" i="7"/>
  <c r="Z198" i="7"/>
  <c r="Z200" i="7"/>
  <c r="AF202" i="7"/>
  <c r="AD203" i="7"/>
  <c r="AB204" i="7"/>
  <c r="AB206" i="7"/>
  <c r="AF209" i="7"/>
  <c r="AD210" i="7"/>
  <c r="AD212" i="7"/>
  <c r="AF216" i="7"/>
  <c r="AF218" i="7"/>
  <c r="AT223" i="7"/>
  <c r="AD223" i="7"/>
  <c r="AB228" i="7"/>
  <c r="AX232" i="7"/>
  <c r="AZ240" i="7"/>
  <c r="BK240" i="7" s="1"/>
  <c r="BF250" i="7"/>
  <c r="AL250" i="7"/>
  <c r="AX250" i="7"/>
  <c r="AR254" i="7"/>
  <c r="AZ254" i="7" s="1"/>
  <c r="BK254" i="7" s="1"/>
  <c r="BD254" i="7"/>
  <c r="AB254" i="7"/>
  <c r="BD260" i="7"/>
  <c r="AR260" i="7"/>
  <c r="AB260" i="7"/>
  <c r="AF203" i="7"/>
  <c r="AD204" i="7"/>
  <c r="AD206" i="7"/>
  <c r="AF210" i="7"/>
  <c r="AF212" i="7"/>
  <c r="BD223" i="7"/>
  <c r="BF228" i="7"/>
  <c r="AP229" i="7"/>
  <c r="AX230" i="7"/>
  <c r="AP231" i="7"/>
  <c r="AL243" i="7"/>
  <c r="AX243" i="7"/>
  <c r="BF243" i="7"/>
  <c r="AR245" i="7"/>
  <c r="BD245" i="7"/>
  <c r="AB245" i="7"/>
  <c r="AR252" i="7"/>
  <c r="BD252" i="7"/>
  <c r="AB252" i="7"/>
  <c r="AD235" i="7"/>
  <c r="AD237" i="7"/>
  <c r="AR244" i="7"/>
  <c r="AD259" i="7"/>
  <c r="BB262" i="7"/>
  <c r="AP263" i="7"/>
  <c r="Z263" i="7"/>
  <c r="AL280" i="7"/>
  <c r="BF280" i="7"/>
  <c r="AX280" i="7"/>
  <c r="AD229" i="7"/>
  <c r="AD231" i="7"/>
  <c r="AB232" i="7"/>
  <c r="Z233" i="7"/>
  <c r="AF235" i="7"/>
  <c r="AF237" i="7"/>
  <c r="AD238" i="7"/>
  <c r="AB239" i="7"/>
  <c r="Z240" i="7"/>
  <c r="BF240" i="7"/>
  <c r="BH240" i="7" s="1"/>
  <c r="AL242" i="7"/>
  <c r="AP243" i="7"/>
  <c r="AB244" i="7"/>
  <c r="AT244" i="7"/>
  <c r="BB245" i="7"/>
  <c r="Z247" i="7"/>
  <c r="AX247" i="7"/>
  <c r="AL248" i="7"/>
  <c r="BF248" i="7"/>
  <c r="BH248" i="7" s="1"/>
  <c r="BF254" i="7"/>
  <c r="AR255" i="7"/>
  <c r="AZ255" i="7" s="1"/>
  <c r="BK255" i="7" s="1"/>
  <c r="AB255" i="7"/>
  <c r="Z255" i="7"/>
  <c r="BB255" i="7"/>
  <c r="AP256" i="7"/>
  <c r="AZ256" i="7" s="1"/>
  <c r="BK256" i="7" s="1"/>
  <c r="Z256" i="7"/>
  <c r="BB256" i="7"/>
  <c r="BF259" i="7"/>
  <c r="BH259" i="7" s="1"/>
  <c r="AL259" i="7"/>
  <c r="AX259" i="7"/>
  <c r="AD260" i="7"/>
  <c r="AL261" i="7"/>
  <c r="AX261" i="7"/>
  <c r="AL272" i="7"/>
  <c r="BF272" i="7"/>
  <c r="AX272" i="7"/>
  <c r="AD225" i="7"/>
  <c r="AB226" i="7"/>
  <c r="Z227" i="7"/>
  <c r="AF229" i="7"/>
  <c r="AF231" i="7"/>
  <c r="AD232" i="7"/>
  <c r="AB233" i="7"/>
  <c r="Z234" i="7"/>
  <c r="Z236" i="7"/>
  <c r="AF238" i="7"/>
  <c r="AD239" i="7"/>
  <c r="AB240" i="7"/>
  <c r="Z241" i="7"/>
  <c r="AR253" i="7"/>
  <c r="AL254" i="7"/>
  <c r="BD255" i="7"/>
  <c r="AL260" i="7"/>
  <c r="AX260" i="7"/>
  <c r="AX238" i="7"/>
  <c r="AF239" i="7"/>
  <c r="AD240" i="7"/>
  <c r="AR242" i="7"/>
  <c r="AT243" i="7"/>
  <c r="AX244" i="7"/>
  <c r="AL245" i="7"/>
  <c r="BF245" i="7"/>
  <c r="AR246" i="7"/>
  <c r="AP248" i="7"/>
  <c r="BF252" i="7"/>
  <c r="BF255" i="7"/>
  <c r="BF267" i="7"/>
  <c r="AL267" i="7"/>
  <c r="AX267" i="7"/>
  <c r="AR268" i="7"/>
  <c r="AB268" i="7"/>
  <c r="BD268" i="7"/>
  <c r="AP269" i="7"/>
  <c r="Z269" i="7"/>
  <c r="BB269" i="7"/>
  <c r="AL277" i="7"/>
  <c r="AX277" i="7"/>
  <c r="BF277" i="7"/>
  <c r="BH277" i="7" s="1"/>
  <c r="AF240" i="7"/>
  <c r="AD241" i="7"/>
  <c r="AT246" i="7"/>
  <c r="AV251" i="7"/>
  <c r="BF261" i="7"/>
  <c r="BH261" i="7" s="1"/>
  <c r="AR262" i="7"/>
  <c r="AB262" i="7"/>
  <c r="AZ264" i="7"/>
  <c r="BK264" i="7" s="1"/>
  <c r="AX282" i="7"/>
  <c r="AL282" i="7"/>
  <c r="BF282" i="7"/>
  <c r="BH282" i="7" s="1"/>
  <c r="AF227" i="7"/>
  <c r="AD228" i="7"/>
  <c r="AD230" i="7"/>
  <c r="AF234" i="7"/>
  <c r="AF236" i="7"/>
  <c r="AF241" i="7"/>
  <c r="AV242" i="7"/>
  <c r="AL247" i="7"/>
  <c r="AR248" i="7"/>
  <c r="AB248" i="7"/>
  <c r="AX251" i="7"/>
  <c r="AP252" i="7"/>
  <c r="AR259" i="7"/>
  <c r="BB263" i="7"/>
  <c r="BF266" i="7"/>
  <c r="AL266" i="7"/>
  <c r="AX266" i="7"/>
  <c r="AF253" i="7"/>
  <c r="BF253" i="7"/>
  <c r="BH253" i="7" s="1"/>
  <c r="BF258" i="7"/>
  <c r="AL258" i="7"/>
  <c r="BF260" i="7"/>
  <c r="AX263" i="7"/>
  <c r="BF263" i="7"/>
  <c r="AL268" i="7"/>
  <c r="AX268" i="7"/>
  <c r="BF268" i="7"/>
  <c r="AF267" i="7"/>
  <c r="AD268" i="7"/>
  <c r="AR270" i="7"/>
  <c r="AD272" i="7"/>
  <c r="AL274" i="7"/>
  <c r="AL279" i="7"/>
  <c r="Z280" i="7"/>
  <c r="AL281" i="7"/>
  <c r="AP283" i="7"/>
  <c r="Z283" i="7"/>
  <c r="AX284" i="7"/>
  <c r="BF286" i="7"/>
  <c r="AL286" i="7"/>
  <c r="BF287" i="7"/>
  <c r="AL287" i="7"/>
  <c r="AX287" i="7"/>
  <c r="AF287" i="7"/>
  <c r="BB291" i="7"/>
  <c r="AP291" i="7"/>
  <c r="Z291" i="7"/>
  <c r="AD296" i="7"/>
  <c r="AL298" i="7"/>
  <c r="BH312" i="7"/>
  <c r="AF260" i="7"/>
  <c r="AD261" i="7"/>
  <c r="BD264" i="7"/>
  <c r="BH264" i="7" s="1"/>
  <c r="AL265" i="7"/>
  <c r="BB265" i="7"/>
  <c r="AF268" i="7"/>
  <c r="AD269" i="7"/>
  <c r="AT270" i="7"/>
  <c r="AV271" i="7"/>
  <c r="AL273" i="7"/>
  <c r="BF274" i="7"/>
  <c r="AB276" i="7"/>
  <c r="AX276" i="7"/>
  <c r="AB280" i="7"/>
  <c r="BB283" i="7"/>
  <c r="AL288" i="7"/>
  <c r="AX288" i="7"/>
  <c r="AF293" i="7"/>
  <c r="BB299" i="7"/>
  <c r="AP299" i="7"/>
  <c r="Z299" i="7"/>
  <c r="AD254" i="7"/>
  <c r="AF261" i="7"/>
  <c r="AD262" i="7"/>
  <c r="AB263" i="7"/>
  <c r="Z264" i="7"/>
  <c r="AF269" i="7"/>
  <c r="BF273" i="7"/>
  <c r="AP274" i="7"/>
  <c r="AR275" i="7"/>
  <c r="AP289" i="7"/>
  <c r="Z289" i="7"/>
  <c r="BB289" i="7"/>
  <c r="AL296" i="7"/>
  <c r="AX296" i="7"/>
  <c r="AF246" i="7"/>
  <c r="AD247" i="7"/>
  <c r="AF254" i="7"/>
  <c r="AD255" i="7"/>
  <c r="AB256" i="7"/>
  <c r="Z257" i="7"/>
  <c r="AF262" i="7"/>
  <c r="AD263" i="7"/>
  <c r="AB264" i="7"/>
  <c r="Z265" i="7"/>
  <c r="BF265" i="7"/>
  <c r="BD272" i="7"/>
  <c r="AB275" i="7"/>
  <c r="AT275" i="7"/>
  <c r="AT277" i="7"/>
  <c r="AL278" i="7"/>
  <c r="BH278" i="7"/>
  <c r="AT279" i="7"/>
  <c r="BD280" i="7"/>
  <c r="AZ281" i="7"/>
  <c r="BK281" i="7" s="1"/>
  <c r="AV286" i="7"/>
  <c r="AP297" i="7"/>
  <c r="Z297" i="7"/>
  <c r="BB297" i="7"/>
  <c r="BF298" i="7"/>
  <c r="AF247" i="7"/>
  <c r="AD248" i="7"/>
  <c r="AF255" i="7"/>
  <c r="AD256" i="7"/>
  <c r="AF263" i="7"/>
  <c r="AD264" i="7"/>
  <c r="AT274" i="7"/>
  <c r="AX275" i="7"/>
  <c r="BF276" i="7"/>
  <c r="AR277" i="7"/>
  <c r="AB277" i="7"/>
  <c r="AV279" i="7"/>
  <c r="AP282" i="7"/>
  <c r="AL283" i="7"/>
  <c r="AX286" i="7"/>
  <c r="AT287" i="7"/>
  <c r="BF288" i="7"/>
  <c r="BF295" i="7"/>
  <c r="BH295" i="7" s="1"/>
  <c r="AL295" i="7"/>
  <c r="AX295" i="7"/>
  <c r="AF264" i="7"/>
  <c r="AD265" i="7"/>
  <c r="BB270" i="7"/>
  <c r="AP272" i="7"/>
  <c r="AT273" i="7"/>
  <c r="AZ273" i="7" s="1"/>
  <c r="BK273" i="7" s="1"/>
  <c r="AV274" i="7"/>
  <c r="AL284" i="7"/>
  <c r="BF296" i="7"/>
  <c r="AR272" i="7"/>
  <c r="AP278" i="7"/>
  <c r="Z278" i="7"/>
  <c r="BF285" i="7"/>
  <c r="AL285" i="7"/>
  <c r="AR288" i="7"/>
  <c r="AB288" i="7"/>
  <c r="BD288" i="7"/>
  <c r="BF289" i="7"/>
  <c r="AL289" i="7"/>
  <c r="AX289" i="7"/>
  <c r="BD290" i="7"/>
  <c r="AR290" i="7"/>
  <c r="AB290" i="7"/>
  <c r="AL291" i="7"/>
  <c r="AX291" i="7"/>
  <c r="BF291" i="7"/>
  <c r="AX293" i="7"/>
  <c r="AZ293" i="7" s="1"/>
  <c r="BK293" i="7" s="1"/>
  <c r="BF293" i="7"/>
  <c r="AL293" i="7"/>
  <c r="BF294" i="7"/>
  <c r="AL294" i="7"/>
  <c r="AF266" i="7"/>
  <c r="AD267" i="7"/>
  <c r="AR271" i="7"/>
  <c r="AL275" i="7"/>
  <c r="AR276" i="7"/>
  <c r="BF279" i="7"/>
  <c r="BF281" i="7"/>
  <c r="AR282" i="7"/>
  <c r="AB282" i="7"/>
  <c r="Z282" i="7"/>
  <c r="AX283" i="7"/>
  <c r="AR296" i="7"/>
  <c r="AB296" i="7"/>
  <c r="BD296" i="7"/>
  <c r="BF297" i="7"/>
  <c r="AL297" i="7"/>
  <c r="AX297" i="7"/>
  <c r="BD298" i="7"/>
  <c r="AR298" i="7"/>
  <c r="AZ298" i="7" s="1"/>
  <c r="BK298" i="7" s="1"/>
  <c r="AB298" i="7"/>
  <c r="AL299" i="7"/>
  <c r="AX299" i="7"/>
  <c r="BF299" i="7"/>
  <c r="BH308" i="7"/>
  <c r="AF280" i="7"/>
  <c r="AD281" i="7"/>
  <c r="BD284" i="7"/>
  <c r="BH284" i="7" s="1"/>
  <c r="BB285" i="7"/>
  <c r="AF288" i="7"/>
  <c r="AD289" i="7"/>
  <c r="BD292" i="7"/>
  <c r="BB293" i="7"/>
  <c r="AF296" i="7"/>
  <c r="AD297" i="7"/>
  <c r="AL301" i="7"/>
  <c r="AN301" i="7" s="1"/>
  <c r="BD301" i="7"/>
  <c r="BF303" i="7"/>
  <c r="AV304" i="7"/>
  <c r="AP307" i="7"/>
  <c r="Z307" i="7"/>
  <c r="AP308" i="7"/>
  <c r="BD310" i="7"/>
  <c r="Z312" i="7"/>
  <c r="AF289" i="7"/>
  <c r="AD290" i="7"/>
  <c r="AF297" i="7"/>
  <c r="AD298" i="7"/>
  <c r="AP305" i="7"/>
  <c r="Z305" i="7"/>
  <c r="AN305" i="7" s="1"/>
  <c r="BB306" i="7"/>
  <c r="AV307" i="7"/>
  <c r="AR308" i="7"/>
  <c r="BF309" i="7"/>
  <c r="AX309" i="7"/>
  <c r="BF310" i="7"/>
  <c r="AB312" i="7"/>
  <c r="AX312" i="7"/>
  <c r="AP313" i="7"/>
  <c r="Z313" i="7"/>
  <c r="AP314" i="7"/>
  <c r="AZ314" i="7" s="1"/>
  <c r="AT320" i="7"/>
  <c r="Z321" i="7"/>
  <c r="AP321" i="7"/>
  <c r="AF282" i="7"/>
  <c r="AD283" i="7"/>
  <c r="AB284" i="7"/>
  <c r="Z285" i="7"/>
  <c r="AF290" i="7"/>
  <c r="AD291" i="7"/>
  <c r="AB292" i="7"/>
  <c r="Z293" i="7"/>
  <c r="AF298" i="7"/>
  <c r="AD299" i="7"/>
  <c r="AR301" i="7"/>
  <c r="BB302" i="7"/>
  <c r="AR303" i="7"/>
  <c r="AL306" i="7"/>
  <c r="BD306" i="7"/>
  <c r="AV308" i="7"/>
  <c r="AV313" i="7"/>
  <c r="AX315" i="7"/>
  <c r="BF315" i="7"/>
  <c r="AL317" i="7"/>
  <c r="AX317" i="7"/>
  <c r="BF323" i="7"/>
  <c r="AL323" i="7"/>
  <c r="AX323" i="7"/>
  <c r="BH337" i="7"/>
  <c r="AF275" i="7"/>
  <c r="AD276" i="7"/>
  <c r="AF283" i="7"/>
  <c r="AD284" i="7"/>
  <c r="AB285" i="7"/>
  <c r="Z286" i="7"/>
  <c r="AF291" i="7"/>
  <c r="AD292" i="7"/>
  <c r="AB293" i="7"/>
  <c r="Z294" i="7"/>
  <c r="AF299" i="7"/>
  <c r="AD300" i="7"/>
  <c r="AT301" i="7"/>
  <c r="BD302" i="7"/>
  <c r="AT303" i="7"/>
  <c r="BD304" i="7"/>
  <c r="BH304" i="7" s="1"/>
  <c r="AV305" i="7"/>
  <c r="BB307" i="7"/>
  <c r="AX308" i="7"/>
  <c r="AP309" i="7"/>
  <c r="Z309" i="7"/>
  <c r="AN309" i="7" s="1"/>
  <c r="AP310" i="7"/>
  <c r="Z314" i="7"/>
  <c r="AP316" i="7"/>
  <c r="AD318" i="7"/>
  <c r="AR319" i="7"/>
  <c r="AX320" i="7"/>
  <c r="AD285" i="7"/>
  <c r="AF292" i="7"/>
  <c r="AD293" i="7"/>
  <c r="AF300" i="7"/>
  <c r="AV301" i="7"/>
  <c r="AV303" i="7"/>
  <c r="AX305" i="7"/>
  <c r="AV309" i="7"/>
  <c r="AR310" i="7"/>
  <c r="AX311" i="7"/>
  <c r="BF311" i="7"/>
  <c r="BF312" i="7"/>
  <c r="BB313" i="7"/>
  <c r="AX314" i="7"/>
  <c r="AP315" i="7"/>
  <c r="Z315" i="7"/>
  <c r="AN315" i="7" s="1"/>
  <c r="AT315" i="7"/>
  <c r="AP317" i="7"/>
  <c r="AZ317" i="7" s="1"/>
  <c r="Z317" i="7"/>
  <c r="BB322" i="7"/>
  <c r="AP322" i="7"/>
  <c r="AX301" i="7"/>
  <c r="AP302" i="7"/>
  <c r="AZ302" i="7" s="1"/>
  <c r="AP304" i="7"/>
  <c r="AR306" i="7"/>
  <c r="AZ306" i="7" s="1"/>
  <c r="BH316" i="7"/>
  <c r="BD322" i="7"/>
  <c r="AB322" i="7"/>
  <c r="AN322" i="7" s="1"/>
  <c r="AF294" i="7"/>
  <c r="AD295" i="7"/>
  <c r="Z304" i="7"/>
  <c r="AX307" i="7"/>
  <c r="BF307" i="7"/>
  <c r="BF308" i="7"/>
  <c r="AX310" i="7"/>
  <c r="AP311" i="7"/>
  <c r="Z311" i="7"/>
  <c r="AN311" i="7" s="1"/>
  <c r="AP312" i="7"/>
  <c r="AR316" i="7"/>
  <c r="AB316" i="7"/>
  <c r="Z316" i="7"/>
  <c r="AD317" i="7"/>
  <c r="AL303" i="7"/>
  <c r="AL305" i="7"/>
  <c r="BF313" i="7"/>
  <c r="AX313" i="7"/>
  <c r="AX318" i="7"/>
  <c r="BF318" i="7"/>
  <c r="AR322" i="7"/>
  <c r="AF325" i="7"/>
  <c r="AV325" i="7"/>
  <c r="AD326" i="7"/>
  <c r="AP328" i="7"/>
  <c r="AZ328" i="7" s="1"/>
  <c r="Z328" i="7"/>
  <c r="AL337" i="7"/>
  <c r="AX337" i="7"/>
  <c r="BF338" i="7"/>
  <c r="AL338" i="7"/>
  <c r="AX338" i="7"/>
  <c r="AP340" i="7"/>
  <c r="Z340" i="7"/>
  <c r="AX348" i="7"/>
  <c r="BF348" i="7"/>
  <c r="BF355" i="7"/>
  <c r="AL355" i="7"/>
  <c r="AX355" i="7"/>
  <c r="AV322" i="7"/>
  <c r="AP323" i="7"/>
  <c r="Z323" i="7"/>
  <c r="AN323" i="7" s="1"/>
  <c r="BB323" i="7"/>
  <c r="AL330" i="7"/>
  <c r="AX330" i="7"/>
  <c r="BH333" i="7"/>
  <c r="AX336" i="7"/>
  <c r="BF336" i="7"/>
  <c r="AR337" i="7"/>
  <c r="AT338" i="7"/>
  <c r="AP339" i="7"/>
  <c r="Z339" i="7"/>
  <c r="BB339" i="7"/>
  <c r="BB340" i="7"/>
  <c r="AB341" i="7"/>
  <c r="BD341" i="7"/>
  <c r="BH341" i="7" s="1"/>
  <c r="BF347" i="7"/>
  <c r="AL347" i="7"/>
  <c r="AV349" i="7"/>
  <c r="AP350" i="7"/>
  <c r="Z350" i="7"/>
  <c r="BB350" i="7"/>
  <c r="AF351" i="7"/>
  <c r="AF354" i="7"/>
  <c r="AD308" i="7"/>
  <c r="AD312" i="7"/>
  <c r="AD316" i="7"/>
  <c r="AX319" i="7"/>
  <c r="AP320" i="7"/>
  <c r="Z320" i="7"/>
  <c r="AN320" i="7" s="1"/>
  <c r="AL321" i="7"/>
  <c r="BF321" i="7"/>
  <c r="BH321" i="7" s="1"/>
  <c r="AV323" i="7"/>
  <c r="AP324" i="7"/>
  <c r="Z324" i="7"/>
  <c r="AP325" i="7"/>
  <c r="Z329" i="7"/>
  <c r="AV329" i="7"/>
  <c r="AP330" i="7"/>
  <c r="BF335" i="7"/>
  <c r="AL335" i="7"/>
  <c r="AV336" i="7"/>
  <c r="AP338" i="7"/>
  <c r="Z338" i="7"/>
  <c r="BB338" i="7"/>
  <c r="BH338" i="7" s="1"/>
  <c r="AL345" i="7"/>
  <c r="AX345" i="7"/>
  <c r="AP345" i="7"/>
  <c r="BF346" i="7"/>
  <c r="AL346" i="7"/>
  <c r="AX346" i="7"/>
  <c r="AV347" i="7"/>
  <c r="AP348" i="7"/>
  <c r="AZ348" i="7" s="1"/>
  <c r="Z348" i="7"/>
  <c r="Z349" i="7"/>
  <c r="Z353" i="7"/>
  <c r="AZ355" i="7"/>
  <c r="AX324" i="7"/>
  <c r="AL326" i="7"/>
  <c r="AX326" i="7"/>
  <c r="BB328" i="7"/>
  <c r="BH328" i="7" s="1"/>
  <c r="BF331" i="7"/>
  <c r="AL331" i="7"/>
  <c r="AL333" i="7"/>
  <c r="AX333" i="7"/>
  <c r="AP333" i="7"/>
  <c r="BF334" i="7"/>
  <c r="AL334" i="7"/>
  <c r="AX334" i="7"/>
  <c r="AV335" i="7"/>
  <c r="AP336" i="7"/>
  <c r="Z336" i="7"/>
  <c r="AX344" i="7"/>
  <c r="BF344" i="7"/>
  <c r="AR345" i="7"/>
  <c r="AT346" i="7"/>
  <c r="AP347" i="7"/>
  <c r="Z347" i="7"/>
  <c r="BB347" i="7"/>
  <c r="BH347" i="7" s="1"/>
  <c r="AX347" i="7"/>
  <c r="AX352" i="7"/>
  <c r="BF352" i="7"/>
  <c r="AF355" i="7"/>
  <c r="Z325" i="7"/>
  <c r="AP326" i="7"/>
  <c r="Z330" i="7"/>
  <c r="AN330" i="7" s="1"/>
  <c r="AX332" i="7"/>
  <c r="BF332" i="7"/>
  <c r="AT334" i="7"/>
  <c r="AP335" i="7"/>
  <c r="Z335" i="7"/>
  <c r="BB335" i="7"/>
  <c r="BB336" i="7"/>
  <c r="BH336" i="7" s="1"/>
  <c r="AB337" i="7"/>
  <c r="BF343" i="7"/>
  <c r="AL343" i="7"/>
  <c r="AV345" i="7"/>
  <c r="AP346" i="7"/>
  <c r="Z346" i="7"/>
  <c r="BB346" i="7"/>
  <c r="AV346" i="7"/>
  <c r="AL322" i="7"/>
  <c r="AX322" i="7"/>
  <c r="BF327" i="7"/>
  <c r="AL327" i="7"/>
  <c r="AV330" i="7"/>
  <c r="AP331" i="7"/>
  <c r="Z331" i="7"/>
  <c r="BB331" i="7"/>
  <c r="AT331" i="7"/>
  <c r="AP334" i="7"/>
  <c r="Z334" i="7"/>
  <c r="AN334" i="7" s="1"/>
  <c r="BB334" i="7"/>
  <c r="BF337" i="7"/>
  <c r="AL341" i="7"/>
  <c r="AX341" i="7"/>
  <c r="AP341" i="7"/>
  <c r="AZ341" i="7" s="1"/>
  <c r="BF342" i="7"/>
  <c r="AL342" i="7"/>
  <c r="AX342" i="7"/>
  <c r="AP344" i="7"/>
  <c r="AZ344" i="7" s="1"/>
  <c r="Z344" i="7"/>
  <c r="BF351" i="7"/>
  <c r="AL351" i="7"/>
  <c r="AP352" i="7"/>
  <c r="AZ352" i="7" s="1"/>
  <c r="Z352" i="7"/>
  <c r="AD302" i="7"/>
  <c r="AN302" i="7" s="1"/>
  <c r="AD306" i="7"/>
  <c r="AD310" i="7"/>
  <c r="AD314" i="7"/>
  <c r="AP319" i="7"/>
  <c r="Z326" i="7"/>
  <c r="AL329" i="7"/>
  <c r="BF329" i="7"/>
  <c r="AP332" i="7"/>
  <c r="Z332" i="7"/>
  <c r="Z333" i="7"/>
  <c r="AX340" i="7"/>
  <c r="BF340" i="7"/>
  <c r="AP343" i="7"/>
  <c r="Z343" i="7"/>
  <c r="BB343" i="7"/>
  <c r="AX343" i="7"/>
  <c r="BB344" i="7"/>
  <c r="AB345" i="7"/>
  <c r="AL348" i="7"/>
  <c r="AP353" i="7"/>
  <c r="AP327" i="7"/>
  <c r="Z327" i="7"/>
  <c r="BB327" i="7"/>
  <c r="BH327" i="7" s="1"/>
  <c r="BF339" i="7"/>
  <c r="AL339" i="7"/>
  <c r="AP342" i="7"/>
  <c r="Z342" i="7"/>
  <c r="AN342" i="7" s="1"/>
  <c r="BB342" i="7"/>
  <c r="AL349" i="7"/>
  <c r="AX349" i="7"/>
  <c r="BF350" i="7"/>
  <c r="AL350" i="7"/>
  <c r="AX350" i="7"/>
  <c r="AP351" i="7"/>
  <c r="Z351" i="7"/>
  <c r="BB351" i="7"/>
  <c r="BH351" i="7" s="1"/>
  <c r="AX351" i="7"/>
  <c r="AD321" i="7"/>
  <c r="AD325" i="7"/>
  <c r="AD329" i="7"/>
  <c r="AD333" i="7"/>
  <c r="AD337" i="7"/>
  <c r="AD341" i="7"/>
  <c r="AD345" i="7"/>
  <c r="AD349" i="7"/>
  <c r="AD353" i="7"/>
  <c r="AX354" i="7"/>
  <c r="BB355" i="7"/>
  <c r="AF353" i="7"/>
  <c r="BD355" i="7"/>
  <c r="AD324" i="7"/>
  <c r="AD328" i="7"/>
  <c r="AD332" i="7"/>
  <c r="AD336" i="7"/>
  <c r="AD340" i="7"/>
  <c r="AD344" i="7"/>
  <c r="AD348" i="7"/>
  <c r="AD352" i="7"/>
  <c r="AX353" i="7"/>
  <c r="AL354" i="7"/>
  <c r="BB354" i="7"/>
  <c r="BH354" i="7" s="1"/>
  <c r="Z355" i="7"/>
  <c r="AF352" i="7"/>
  <c r="AB355" i="7"/>
  <c r="AD335" i="7"/>
  <c r="AD339" i="7"/>
  <c r="AD343" i="7"/>
  <c r="AD347" i="7"/>
  <c r="AD351" i="7"/>
  <c r="Z354" i="7"/>
  <c r="AD355" i="7"/>
  <c r="AZ258" i="7" l="1"/>
  <c r="BK258" i="7" s="1"/>
  <c r="AZ327" i="7"/>
  <c r="AN304" i="7"/>
  <c r="AZ65" i="7"/>
  <c r="BK65" i="7" s="1"/>
  <c r="BH48" i="7"/>
  <c r="BH287" i="7"/>
  <c r="BH342" i="7"/>
  <c r="AZ87" i="7"/>
  <c r="BK87" i="7" s="1"/>
  <c r="AN327" i="7"/>
  <c r="BH100" i="7"/>
  <c r="AZ118" i="7"/>
  <c r="BK118" i="7" s="1"/>
  <c r="BH279" i="7"/>
  <c r="BH232" i="7"/>
  <c r="BH181" i="7"/>
  <c r="AZ340" i="7"/>
  <c r="BH276" i="7"/>
  <c r="BH266" i="7"/>
  <c r="BH223" i="7"/>
  <c r="BH257" i="7"/>
  <c r="AZ183" i="7"/>
  <c r="BK183" i="7" s="1"/>
  <c r="BH113" i="7"/>
  <c r="BH157" i="7"/>
  <c r="AZ215" i="7"/>
  <c r="BK215" i="7" s="1"/>
  <c r="AN308" i="7"/>
  <c r="BH122" i="7"/>
  <c r="BH33" i="7"/>
  <c r="BH168" i="7"/>
  <c r="BH188" i="7"/>
  <c r="AZ110" i="7"/>
  <c r="BK110" i="7" s="1"/>
  <c r="AZ17" i="7"/>
  <c r="BK17" i="7" s="1"/>
  <c r="AN318" i="7"/>
  <c r="BH283" i="7"/>
  <c r="AZ217" i="7"/>
  <c r="BK217" i="7" s="1"/>
  <c r="BH121" i="7"/>
  <c r="AN306" i="7"/>
  <c r="AN191" i="7"/>
  <c r="AZ144" i="7"/>
  <c r="BK144" i="7" s="1"/>
  <c r="AN107" i="7"/>
  <c r="BH102" i="7"/>
  <c r="BH54" i="7"/>
  <c r="AZ20" i="7"/>
  <c r="BK20" i="7" s="1"/>
  <c r="BH28" i="7"/>
  <c r="AZ197" i="7"/>
  <c r="BK197" i="7" s="1"/>
  <c r="AN303" i="7"/>
  <c r="BH329" i="7"/>
  <c r="AZ131" i="7"/>
  <c r="BK131" i="7" s="1"/>
  <c r="BH69" i="7"/>
  <c r="BH22" i="7"/>
  <c r="AN251" i="7"/>
  <c r="AZ137" i="7"/>
  <c r="BK137" i="7" s="1"/>
  <c r="AN157" i="7"/>
  <c r="AZ93" i="7"/>
  <c r="BK93" i="7" s="1"/>
  <c r="BH75" i="7"/>
  <c r="AZ151" i="7"/>
  <c r="BK151" i="7" s="1"/>
  <c r="AZ332" i="7"/>
  <c r="AZ236" i="7"/>
  <c r="BK236" i="7" s="1"/>
  <c r="AN270" i="7"/>
  <c r="AZ290" i="7"/>
  <c r="BK290" i="7" s="1"/>
  <c r="AZ57" i="7"/>
  <c r="BK57" i="7" s="1"/>
  <c r="AZ284" i="7"/>
  <c r="BK284" i="7" s="1"/>
  <c r="AZ227" i="7"/>
  <c r="BK227" i="7" s="1"/>
  <c r="AZ58" i="7"/>
  <c r="BK58" i="7" s="1"/>
  <c r="BH309" i="7"/>
  <c r="AZ200" i="7"/>
  <c r="BK200" i="7" s="1"/>
  <c r="BH187" i="7"/>
  <c r="AZ121" i="7"/>
  <c r="BK121" i="7" s="1"/>
  <c r="BH52" i="7"/>
  <c r="BH61" i="7"/>
  <c r="AZ152" i="7"/>
  <c r="BK152" i="7" s="1"/>
  <c r="AZ127" i="7"/>
  <c r="BK127" i="7" s="1"/>
  <c r="AZ142" i="7"/>
  <c r="BK142" i="7" s="1"/>
  <c r="AZ52" i="7"/>
  <c r="BK52" i="7" s="1"/>
  <c r="BH31" i="7"/>
  <c r="BH238" i="7"/>
  <c r="AZ219" i="7"/>
  <c r="BK219" i="7" s="1"/>
  <c r="BH163" i="7"/>
  <c r="AN59" i="7"/>
  <c r="AZ212" i="7"/>
  <c r="BK212" i="7" s="1"/>
  <c r="AZ53" i="7"/>
  <c r="BK53" i="7" s="1"/>
  <c r="AZ123" i="7"/>
  <c r="BK123" i="7" s="1"/>
  <c r="BH250" i="7"/>
  <c r="AZ239" i="7"/>
  <c r="BK239" i="7" s="1"/>
  <c r="BH152" i="7"/>
  <c r="AZ21" i="7"/>
  <c r="BK21" i="7" s="1"/>
  <c r="BH274" i="7"/>
  <c r="AZ86" i="7"/>
  <c r="BK86" i="7" s="1"/>
  <c r="BH301" i="7"/>
  <c r="BH258" i="7"/>
  <c r="BH208" i="7"/>
  <c r="AZ106" i="7"/>
  <c r="BK106" i="7" s="1"/>
  <c r="BH233" i="7"/>
  <c r="BH38" i="7"/>
  <c r="AN230" i="7"/>
  <c r="AZ312" i="7"/>
  <c r="AZ295" i="7"/>
  <c r="BK295" i="7" s="1"/>
  <c r="BH131" i="7"/>
  <c r="AZ262" i="7"/>
  <c r="BK262" i="7" s="1"/>
  <c r="AZ174" i="7"/>
  <c r="BK174" i="7" s="1"/>
  <c r="BH150" i="7"/>
  <c r="AZ300" i="7"/>
  <c r="BK300" i="7" s="1"/>
  <c r="AZ235" i="7"/>
  <c r="BK235" i="7" s="1"/>
  <c r="BH58" i="7"/>
  <c r="AN243" i="7"/>
  <c r="AZ250" i="7"/>
  <c r="BK250" i="7" s="1"/>
  <c r="AZ234" i="7"/>
  <c r="BK234" i="7" s="1"/>
  <c r="BH156" i="7"/>
  <c r="AZ98" i="7"/>
  <c r="BK98" i="7" s="1"/>
  <c r="AN62" i="7"/>
  <c r="AZ46" i="7"/>
  <c r="BK46" i="7" s="1"/>
  <c r="AZ129" i="7"/>
  <c r="BK129" i="7" s="1"/>
  <c r="AZ329" i="7"/>
  <c r="AN350" i="7"/>
  <c r="BH311" i="7"/>
  <c r="BH210" i="7"/>
  <c r="AZ119" i="7"/>
  <c r="BK119" i="7" s="1"/>
  <c r="BH84" i="7"/>
  <c r="BH35" i="7"/>
  <c r="BH41" i="7"/>
  <c r="AN346" i="7"/>
  <c r="AN242" i="7"/>
  <c r="AZ19" i="7"/>
  <c r="BK19" i="7" s="1"/>
  <c r="AZ210" i="7"/>
  <c r="BK210" i="7" s="1"/>
  <c r="BH228" i="7"/>
  <c r="AZ90" i="7"/>
  <c r="BK90" i="7" s="1"/>
  <c r="AZ143" i="7"/>
  <c r="BK143" i="7" s="1"/>
  <c r="AZ95" i="7"/>
  <c r="BK95" i="7" s="1"/>
  <c r="AN310" i="7"/>
  <c r="AZ339" i="7"/>
  <c r="BH290" i="7"/>
  <c r="BH64" i="7"/>
  <c r="AZ294" i="7"/>
  <c r="BK294" i="7" s="1"/>
  <c r="AN64" i="7"/>
  <c r="BH303" i="7"/>
  <c r="AZ229" i="7"/>
  <c r="BK229" i="7" s="1"/>
  <c r="AZ196" i="7"/>
  <c r="BK196" i="7" s="1"/>
  <c r="BH195" i="7"/>
  <c r="BH323" i="7"/>
  <c r="AZ257" i="7"/>
  <c r="BK257" i="7" s="1"/>
  <c r="BH220" i="7"/>
  <c r="AZ193" i="7"/>
  <c r="BK193" i="7" s="1"/>
  <c r="BH60" i="7"/>
  <c r="AZ42" i="7"/>
  <c r="BK42" i="7" s="1"/>
  <c r="AN313" i="7"/>
  <c r="AN273" i="7"/>
  <c r="AZ247" i="7"/>
  <c r="BK247" i="7" s="1"/>
  <c r="AZ216" i="7"/>
  <c r="BK216" i="7" s="1"/>
  <c r="BH158" i="7"/>
  <c r="AZ267" i="7"/>
  <c r="BK267" i="7" s="1"/>
  <c r="BH173" i="7"/>
  <c r="BH112" i="7"/>
  <c r="BH109" i="7"/>
  <c r="AN105" i="7"/>
  <c r="AZ145" i="7"/>
  <c r="BK145" i="7" s="1"/>
  <c r="AN279" i="7"/>
  <c r="BH76" i="7"/>
  <c r="BH93" i="7"/>
  <c r="AZ11" i="7"/>
  <c r="BK11" i="7" s="1"/>
  <c r="AZ28" i="7"/>
  <c r="BK28" i="7" s="1"/>
  <c r="BH14" i="7"/>
  <c r="AZ47" i="7"/>
  <c r="BK47" i="7" s="1"/>
  <c r="AN186" i="7"/>
  <c r="BH335" i="7"/>
  <c r="BH292" i="7"/>
  <c r="BH294" i="7"/>
  <c r="BH141" i="7"/>
  <c r="AZ126" i="7"/>
  <c r="BK126" i="7" s="1"/>
  <c r="AZ115" i="7"/>
  <c r="BK115" i="7" s="1"/>
  <c r="AZ278" i="7"/>
  <c r="BK278" i="7" s="1"/>
  <c r="BH97" i="7"/>
  <c r="AZ209" i="7"/>
  <c r="BK209" i="7" s="1"/>
  <c r="BH57" i="7"/>
  <c r="AZ55" i="7"/>
  <c r="BK55" i="7" s="1"/>
  <c r="AZ37" i="7"/>
  <c r="BK37" i="7" s="1"/>
  <c r="BH20" i="7"/>
  <c r="AZ8" i="7"/>
  <c r="BK8" i="7" s="1"/>
  <c r="AZ15" i="7"/>
  <c r="BK15" i="7" s="1"/>
  <c r="BH51" i="7"/>
  <c r="AZ353" i="7"/>
  <c r="BH243" i="7"/>
  <c r="BH202" i="7"/>
  <c r="BH139" i="7"/>
  <c r="AZ128" i="7"/>
  <c r="BK128" i="7" s="1"/>
  <c r="BH68" i="7"/>
  <c r="AZ318" i="7"/>
  <c r="AZ321" i="7"/>
  <c r="BH236" i="7"/>
  <c r="BH174" i="7"/>
  <c r="AZ168" i="7"/>
  <c r="BK168" i="7" s="1"/>
  <c r="AZ182" i="7"/>
  <c r="BK182" i="7" s="1"/>
  <c r="AZ114" i="7"/>
  <c r="BK114" i="7" s="1"/>
  <c r="BH49" i="7"/>
  <c r="BH115" i="7"/>
  <c r="AN46" i="7"/>
  <c r="AZ27" i="7"/>
  <c r="BK27" i="7" s="1"/>
  <c r="BH42" i="7"/>
  <c r="BH200" i="7"/>
  <c r="BH198" i="7"/>
  <c r="BH169" i="7"/>
  <c r="BH194" i="7"/>
  <c r="AN150" i="7"/>
  <c r="BH114" i="7"/>
  <c r="AZ140" i="7"/>
  <c r="BK140" i="7" s="1"/>
  <c r="BH133" i="7"/>
  <c r="BH12" i="7"/>
  <c r="BH215" i="7"/>
  <c r="AN162" i="7"/>
  <c r="BH151" i="7"/>
  <c r="AN26" i="7"/>
  <c r="AZ91" i="7"/>
  <c r="BK91" i="7" s="1"/>
  <c r="AN158" i="7"/>
  <c r="AZ138" i="7"/>
  <c r="BK138" i="7" s="1"/>
  <c r="AZ172" i="7"/>
  <c r="BK172" i="7" s="1"/>
  <c r="BH235" i="7"/>
  <c r="AZ203" i="7"/>
  <c r="BK203" i="7" s="1"/>
  <c r="BH280" i="7"/>
  <c r="BH186" i="7"/>
  <c r="AZ166" i="7"/>
  <c r="BK166" i="7" s="1"/>
  <c r="BH237" i="7"/>
  <c r="AN192" i="7"/>
  <c r="AN75" i="7"/>
  <c r="AZ113" i="7"/>
  <c r="BK113" i="7" s="1"/>
  <c r="BH145" i="7"/>
  <c r="AN18" i="7"/>
  <c r="BH59" i="7"/>
  <c r="AN39" i="7"/>
  <c r="AN15" i="7"/>
  <c r="AZ149" i="7"/>
  <c r="BK149" i="7" s="1"/>
  <c r="AZ124" i="7"/>
  <c r="BK124" i="7" s="1"/>
  <c r="BH281" i="7"/>
  <c r="BH217" i="7"/>
  <c r="BH148" i="7"/>
  <c r="BH132" i="7"/>
  <c r="AN13" i="7"/>
  <c r="AN295" i="7"/>
  <c r="AZ309" i="7"/>
  <c r="AZ266" i="7"/>
  <c r="BK266" i="7" s="1"/>
  <c r="AN252" i="7"/>
  <c r="AZ38" i="7"/>
  <c r="BK38" i="7" s="1"/>
  <c r="AZ181" i="7"/>
  <c r="BK181" i="7" s="1"/>
  <c r="AZ75" i="7"/>
  <c r="BK75" i="7" s="1"/>
  <c r="AZ16" i="7"/>
  <c r="BK16" i="7" s="1"/>
  <c r="BH103" i="7"/>
  <c r="AN187" i="7"/>
  <c r="AN126" i="7"/>
  <c r="AN110" i="7"/>
  <c r="AZ73" i="7"/>
  <c r="BK73" i="7" s="1"/>
  <c r="AZ92" i="7"/>
  <c r="BK92" i="7" s="1"/>
  <c r="BH107" i="7"/>
  <c r="AZ139" i="7"/>
  <c r="BK139" i="7" s="1"/>
  <c r="AZ157" i="7"/>
  <c r="BK157" i="7" s="1"/>
  <c r="BH92" i="7"/>
  <c r="AN69" i="7"/>
  <c r="BH32" i="7"/>
  <c r="AZ204" i="7"/>
  <c r="BK204" i="7" s="1"/>
  <c r="AN182" i="7"/>
  <c r="BH185" i="7"/>
  <c r="AN139" i="7"/>
  <c r="AZ116" i="7"/>
  <c r="BK116" i="7" s="1"/>
  <c r="AN115" i="7"/>
  <c r="AN88" i="7"/>
  <c r="BH23" i="7"/>
  <c r="AZ261" i="7"/>
  <c r="BK261" i="7" s="1"/>
  <c r="AZ245" i="7"/>
  <c r="BK245" i="7" s="1"/>
  <c r="AZ59" i="7"/>
  <c r="BK59" i="7" s="1"/>
  <c r="AN253" i="7"/>
  <c r="AZ280" i="7"/>
  <c r="BK280" i="7" s="1"/>
  <c r="AN67" i="7"/>
  <c r="AZ330" i="7"/>
  <c r="AN274" i="7"/>
  <c r="AZ237" i="7"/>
  <c r="BK237" i="7" s="1"/>
  <c r="AZ202" i="7"/>
  <c r="BK202" i="7" s="1"/>
  <c r="BH209" i="7"/>
  <c r="BH180" i="7"/>
  <c r="AZ147" i="7"/>
  <c r="BK147" i="7" s="1"/>
  <c r="AZ29" i="7"/>
  <c r="BK29" i="7" s="1"/>
  <c r="BH273" i="7"/>
  <c r="BH267" i="7"/>
  <c r="BH227" i="7"/>
  <c r="BH159" i="7"/>
  <c r="AZ178" i="7"/>
  <c r="BK178" i="7" s="1"/>
  <c r="BH108" i="7"/>
  <c r="BH136" i="7"/>
  <c r="AZ71" i="7"/>
  <c r="BK71" i="7" s="1"/>
  <c r="AN37" i="7"/>
  <c r="AZ26" i="7"/>
  <c r="BK26" i="7" s="1"/>
  <c r="BH96" i="7"/>
  <c r="BH16" i="7"/>
  <c r="BH340" i="7"/>
  <c r="BH285" i="7"/>
  <c r="BH286" i="7"/>
  <c r="BH137" i="7"/>
  <c r="AZ319" i="7"/>
  <c r="AN331" i="7"/>
  <c r="BH339" i="7"/>
  <c r="AZ283" i="7"/>
  <c r="BK283" i="7" s="1"/>
  <c r="AN189" i="7"/>
  <c r="AZ226" i="7"/>
  <c r="BK226" i="7" s="1"/>
  <c r="AZ218" i="7"/>
  <c r="BK218" i="7" s="1"/>
  <c r="AZ198" i="7"/>
  <c r="BK198" i="7" s="1"/>
  <c r="BH146" i="7"/>
  <c r="BH147" i="7"/>
  <c r="BH86" i="7"/>
  <c r="BH43" i="7"/>
  <c r="AZ69" i="7"/>
  <c r="BK69" i="7" s="1"/>
  <c r="AN23" i="7"/>
  <c r="AZ24" i="7"/>
  <c r="BK24" i="7" s="1"/>
  <c r="AZ253" i="7"/>
  <c r="BK253" i="7" s="1"/>
  <c r="AZ230" i="7"/>
  <c r="BK230" i="7" s="1"/>
  <c r="AZ232" i="7"/>
  <c r="BK232" i="7" s="1"/>
  <c r="AZ205" i="7"/>
  <c r="BK205" i="7" s="1"/>
  <c r="AZ220" i="7"/>
  <c r="BK220" i="7" s="1"/>
  <c r="AZ111" i="7"/>
  <c r="BK111" i="7" s="1"/>
  <c r="AZ83" i="7"/>
  <c r="BK83" i="7" s="1"/>
  <c r="AZ68" i="7"/>
  <c r="BK68" i="7" s="1"/>
  <c r="AN33" i="7"/>
  <c r="BH104" i="7"/>
  <c r="AN31" i="7"/>
  <c r="AZ351" i="7"/>
  <c r="AZ342" i="7"/>
  <c r="AN291" i="7"/>
  <c r="AN142" i="7"/>
  <c r="AZ167" i="7"/>
  <c r="BK167" i="7" s="1"/>
  <c r="AZ173" i="7"/>
  <c r="BK173" i="7" s="1"/>
  <c r="AZ120" i="7"/>
  <c r="BK120" i="7" s="1"/>
  <c r="AZ44" i="7"/>
  <c r="BK44" i="7" s="1"/>
  <c r="BH318" i="7"/>
  <c r="AN307" i="7"/>
  <c r="AN258" i="7"/>
  <c r="BH262" i="7"/>
  <c r="AN286" i="7"/>
  <c r="BH249" i="7"/>
  <c r="AN271" i="7"/>
  <c r="BH140" i="7"/>
  <c r="AN173" i="7"/>
  <c r="AZ107" i="7"/>
  <c r="BK107" i="7" s="1"/>
  <c r="AZ18" i="7"/>
  <c r="BK18" i="7" s="1"/>
  <c r="AN293" i="7"/>
  <c r="AZ308" i="7"/>
  <c r="AZ177" i="7"/>
  <c r="BK177" i="7" s="1"/>
  <c r="AZ117" i="7"/>
  <c r="BK117" i="7" s="1"/>
  <c r="AN8" i="7"/>
  <c r="AN244" i="7"/>
  <c r="BH310" i="7"/>
  <c r="AZ269" i="7"/>
  <c r="BK269" i="7" s="1"/>
  <c r="AN118" i="7"/>
  <c r="AN65" i="7"/>
  <c r="BH99" i="7"/>
  <c r="AN174" i="7"/>
  <c r="AZ62" i="7"/>
  <c r="BK62" i="7" s="1"/>
  <c r="AN83" i="7"/>
  <c r="AZ10" i="7"/>
  <c r="BK10" i="7" s="1"/>
  <c r="AZ81" i="7"/>
  <c r="BK81" i="7" s="1"/>
  <c r="AN25" i="7"/>
  <c r="BH29" i="7"/>
  <c r="AZ32" i="7"/>
  <c r="BK32" i="7" s="1"/>
  <c r="AZ315" i="7"/>
  <c r="BH272" i="7"/>
  <c r="AN287" i="7"/>
  <c r="AZ268" i="7"/>
  <c r="BK268" i="7" s="1"/>
  <c r="AZ260" i="7"/>
  <c r="BK260" i="7" s="1"/>
  <c r="AN224" i="7"/>
  <c r="BH184" i="7"/>
  <c r="AZ160" i="7"/>
  <c r="BK160" i="7" s="1"/>
  <c r="AN147" i="7"/>
  <c r="AZ67" i="7"/>
  <c r="BK67" i="7" s="1"/>
  <c r="AN29" i="7"/>
  <c r="AZ54" i="7"/>
  <c r="BK54" i="7" s="1"/>
  <c r="AZ35" i="7"/>
  <c r="BK35" i="7" s="1"/>
  <c r="AZ228" i="7"/>
  <c r="BK228" i="7" s="1"/>
  <c r="AN166" i="7"/>
  <c r="BH89" i="7"/>
  <c r="AN53" i="7"/>
  <c r="BH78" i="7"/>
  <c r="AZ43" i="7"/>
  <c r="BK43" i="7" s="1"/>
  <c r="AN351" i="7"/>
  <c r="AZ331" i="7"/>
  <c r="AN278" i="7"/>
  <c r="AZ214" i="7"/>
  <c r="BK214" i="7" s="1"/>
  <c r="AN96" i="7"/>
  <c r="AN51" i="7"/>
  <c r="AZ88" i="7"/>
  <c r="BK88" i="7" s="1"/>
  <c r="AN93" i="7"/>
  <c r="AN246" i="7"/>
  <c r="BH24" i="7"/>
  <c r="AZ279" i="7"/>
  <c r="BK279" i="7" s="1"/>
  <c r="AZ310" i="7"/>
  <c r="AN292" i="7"/>
  <c r="AN196" i="7"/>
  <c r="BH226" i="7"/>
  <c r="AN181" i="7"/>
  <c r="BH293" i="7"/>
  <c r="BH254" i="7"/>
  <c r="AZ238" i="7"/>
  <c r="BK238" i="7" s="1"/>
  <c r="BH225" i="7"/>
  <c r="AZ208" i="7"/>
  <c r="BK208" i="7" s="1"/>
  <c r="BH269" i="7"/>
  <c r="AZ163" i="7"/>
  <c r="BK163" i="7" s="1"/>
  <c r="BH130" i="7"/>
  <c r="AN99" i="7"/>
  <c r="AZ125" i="7"/>
  <c r="BK125" i="7" s="1"/>
  <c r="AN98" i="7"/>
  <c r="AN85" i="7"/>
  <c r="AN76" i="7"/>
  <c r="AZ74" i="7"/>
  <c r="BK74" i="7" s="1"/>
  <c r="AZ190" i="7"/>
  <c r="BK190" i="7" s="1"/>
  <c r="BH172" i="7"/>
  <c r="BH201" i="7"/>
  <c r="AN151" i="7"/>
  <c r="AN120" i="7"/>
  <c r="AZ76" i="7"/>
  <c r="BK76" i="7" s="1"/>
  <c r="AN34" i="7"/>
  <c r="AZ270" i="7"/>
  <c r="BK270" i="7" s="1"/>
  <c r="AN78" i="7"/>
  <c r="AN314" i="7"/>
  <c r="AZ320" i="7"/>
  <c r="AZ322" i="7"/>
  <c r="AN284" i="7"/>
  <c r="AN264" i="7"/>
  <c r="BH299" i="7"/>
  <c r="AZ263" i="7"/>
  <c r="BK263" i="7" s="1"/>
  <c r="AZ252" i="7"/>
  <c r="BK252" i="7" s="1"/>
  <c r="AN223" i="7"/>
  <c r="AZ170" i="7"/>
  <c r="BK170" i="7" s="1"/>
  <c r="AN108" i="7"/>
  <c r="BH171" i="7"/>
  <c r="AN161" i="7"/>
  <c r="BH142" i="7"/>
  <c r="AZ141" i="7"/>
  <c r="BK141" i="7" s="1"/>
  <c r="BH161" i="7"/>
  <c r="AZ31" i="7"/>
  <c r="BK31" i="7" s="1"/>
  <c r="AZ12" i="7"/>
  <c r="BK12" i="7" s="1"/>
  <c r="AZ325" i="7"/>
  <c r="AN344" i="7"/>
  <c r="AZ337" i="7"/>
  <c r="AN300" i="7"/>
  <c r="AZ313" i="7"/>
  <c r="AZ286" i="7"/>
  <c r="BK286" i="7" s="1"/>
  <c r="BH289" i="7"/>
  <c r="AN261" i="7"/>
  <c r="AZ223" i="7"/>
  <c r="BK223" i="7" s="1"/>
  <c r="AZ188" i="7"/>
  <c r="BK188" i="7" s="1"/>
  <c r="AN167" i="7"/>
  <c r="AN121" i="7"/>
  <c r="AN138" i="7"/>
  <c r="AN94" i="7"/>
  <c r="AZ176" i="7"/>
  <c r="BK176" i="7" s="1"/>
  <c r="BH91" i="7"/>
  <c r="AN77" i="7"/>
  <c r="AZ64" i="7"/>
  <c r="BK64" i="7" s="1"/>
  <c r="AZ63" i="7"/>
  <c r="BK63" i="7" s="1"/>
  <c r="BH11" i="7"/>
  <c r="BH9" i="7"/>
  <c r="AZ316" i="7"/>
  <c r="AZ296" i="7"/>
  <c r="BK296" i="7" s="1"/>
  <c r="AZ259" i="7"/>
  <c r="BK259" i="7" s="1"/>
  <c r="AN231" i="7"/>
  <c r="AN259" i="7"/>
  <c r="AN199" i="7"/>
  <c r="BH207" i="7"/>
  <c r="AN220" i="7"/>
  <c r="AN207" i="7"/>
  <c r="BH204" i="7"/>
  <c r="AZ104" i="7"/>
  <c r="BK104" i="7" s="1"/>
  <c r="AZ80" i="7"/>
  <c r="BK80" i="7" s="1"/>
  <c r="BH306" i="7"/>
  <c r="AZ282" i="7"/>
  <c r="BK282" i="7" s="1"/>
  <c r="AN333" i="7"/>
  <c r="BH256" i="7"/>
  <c r="AZ231" i="7"/>
  <c r="BK231" i="7" s="1"/>
  <c r="AN204" i="7"/>
  <c r="AN225" i="7"/>
  <c r="BH221" i="7"/>
  <c r="BH197" i="7"/>
  <c r="AN178" i="7"/>
  <c r="BH211" i="7"/>
  <c r="AZ199" i="7"/>
  <c r="BK199" i="7" s="1"/>
  <c r="AN164" i="7"/>
  <c r="AZ156" i="7"/>
  <c r="BK156" i="7" s="1"/>
  <c r="AN114" i="7"/>
  <c r="AN149" i="7"/>
  <c r="BH105" i="7"/>
  <c r="AN61" i="7"/>
  <c r="AN40" i="7"/>
  <c r="AZ85" i="7"/>
  <c r="BK85" i="7" s="1"/>
  <c r="AN14" i="7"/>
  <c r="AN58" i="7"/>
  <c r="BH37" i="7"/>
  <c r="AZ22" i="7"/>
  <c r="BK22" i="7" s="1"/>
  <c r="AZ30" i="7"/>
  <c r="BK30" i="7" s="1"/>
  <c r="AZ34" i="7"/>
  <c r="BK34" i="7" s="1"/>
  <c r="AN12" i="7"/>
  <c r="BH45" i="7"/>
  <c r="BH230" i="7"/>
  <c r="AZ201" i="7"/>
  <c r="BK201" i="7" s="1"/>
  <c r="AN66" i="7"/>
  <c r="AN248" i="7"/>
  <c r="AN245" i="7"/>
  <c r="AN140" i="7"/>
  <c r="AZ180" i="7"/>
  <c r="BK180" i="7" s="1"/>
  <c r="AZ165" i="7"/>
  <c r="BK165" i="7" s="1"/>
  <c r="AZ108" i="7"/>
  <c r="BK108" i="7" s="1"/>
  <c r="AN91" i="7"/>
  <c r="AZ133" i="7"/>
  <c r="BK133" i="7" s="1"/>
  <c r="AZ78" i="7"/>
  <c r="BK78" i="7" s="1"/>
  <c r="AZ49" i="7"/>
  <c r="BK49" i="7" s="1"/>
  <c r="AN355" i="7"/>
  <c r="AN325" i="7"/>
  <c r="AZ307" i="7"/>
  <c r="AN256" i="7"/>
  <c r="AZ169" i="7"/>
  <c r="BK169" i="7" s="1"/>
  <c r="AN152" i="7"/>
  <c r="AN125" i="7"/>
  <c r="AN97" i="7"/>
  <c r="AZ161" i="7"/>
  <c r="BK161" i="7" s="1"/>
  <c r="AN136" i="7"/>
  <c r="BH53" i="7"/>
  <c r="BH72" i="7"/>
  <c r="BH15" i="7"/>
  <c r="AN10" i="7"/>
  <c r="AN47" i="7"/>
  <c r="AN354" i="7"/>
  <c r="AN316" i="7"/>
  <c r="AN289" i="7"/>
  <c r="AN218" i="7"/>
  <c r="AN221" i="7"/>
  <c r="AZ349" i="7"/>
  <c r="BH331" i="7"/>
  <c r="AN349" i="7"/>
  <c r="BH298" i="7"/>
  <c r="AN282" i="7"/>
  <c r="AN267" i="7"/>
  <c r="BH288" i="7"/>
  <c r="BH270" i="7"/>
  <c r="AZ289" i="7"/>
  <c r="BK289" i="7" s="1"/>
  <c r="AZ251" i="7"/>
  <c r="BK251" i="7" s="1"/>
  <c r="AN238" i="7"/>
  <c r="BH245" i="7"/>
  <c r="AN249" i="7"/>
  <c r="BH183" i="7"/>
  <c r="AN148" i="7"/>
  <c r="AN135" i="7"/>
  <c r="AN122" i="7"/>
  <c r="AN72" i="7"/>
  <c r="AN27" i="7"/>
  <c r="AZ48" i="7"/>
  <c r="BK48" i="7" s="1"/>
  <c r="AZ39" i="7"/>
  <c r="BK39" i="7" s="1"/>
  <c r="AN9" i="7"/>
  <c r="AZ45" i="7"/>
  <c r="BK45" i="7" s="1"/>
  <c r="AN272" i="7"/>
  <c r="AZ297" i="7"/>
  <c r="BK297" i="7" s="1"/>
  <c r="AN266" i="7"/>
  <c r="AZ275" i="7"/>
  <c r="BK275" i="7" s="1"/>
  <c r="BH263" i="7"/>
  <c r="AN269" i="7"/>
  <c r="AN236" i="7"/>
  <c r="AZ249" i="7"/>
  <c r="BK249" i="7" s="1"/>
  <c r="BH134" i="7"/>
  <c r="AZ136" i="7"/>
  <c r="BK136" i="7" s="1"/>
  <c r="AN73" i="7"/>
  <c r="AZ72" i="7"/>
  <c r="BK72" i="7" s="1"/>
  <c r="BH36" i="7"/>
  <c r="AN234" i="7"/>
  <c r="AN257" i="7"/>
  <c r="BH268" i="7"/>
  <c r="AN179" i="7"/>
  <c r="AZ191" i="7"/>
  <c r="BK191" i="7" s="1"/>
  <c r="BH190" i="7"/>
  <c r="BH124" i="7"/>
  <c r="AN89" i="7"/>
  <c r="AN165" i="7"/>
  <c r="AN19" i="7"/>
  <c r="AZ60" i="7"/>
  <c r="BK60" i="7" s="1"/>
  <c r="AN60" i="7"/>
  <c r="AZ96" i="7"/>
  <c r="BK96" i="7" s="1"/>
  <c r="BH40" i="7"/>
  <c r="BH355" i="7"/>
  <c r="BH322" i="7"/>
  <c r="AZ303" i="7"/>
  <c r="BH296" i="7"/>
  <c r="AZ299" i="7"/>
  <c r="BK299" i="7" s="1"/>
  <c r="BH265" i="7"/>
  <c r="BH206" i="7"/>
  <c r="AN268" i="7"/>
  <c r="BH291" i="7"/>
  <c r="AN197" i="7"/>
  <c r="AN345" i="7"/>
  <c r="AZ323" i="7"/>
  <c r="AN290" i="7"/>
  <c r="AZ288" i="7"/>
  <c r="BK288" i="7" s="1"/>
  <c r="AN255" i="7"/>
  <c r="BH224" i="7"/>
  <c r="AN299" i="7"/>
  <c r="AN280" i="7"/>
  <c r="BH252" i="7"/>
  <c r="AZ334" i="7"/>
  <c r="AZ333" i="7"/>
  <c r="AN321" i="7"/>
  <c r="AN352" i="7"/>
  <c r="AN339" i="7"/>
  <c r="AN328" i="7"/>
  <c r="AN326" i="7"/>
  <c r="AN337" i="7"/>
  <c r="AN353" i="7"/>
  <c r="AZ336" i="7"/>
  <c r="AN324" i="7"/>
  <c r="AN281" i="7"/>
  <c r="AZ271" i="7"/>
  <c r="BK271" i="7" s="1"/>
  <c r="AN227" i="7"/>
  <c r="AN212" i="7"/>
  <c r="AN198" i="7"/>
  <c r="AN235" i="7"/>
  <c r="AZ233" i="7"/>
  <c r="BK233" i="7" s="1"/>
  <c r="AN206" i="7"/>
  <c r="AN172" i="7"/>
  <c r="AN183" i="7"/>
  <c r="AZ224" i="7"/>
  <c r="BK224" i="7" s="1"/>
  <c r="AN208" i="7"/>
  <c r="BH214" i="7"/>
  <c r="AZ213" i="7"/>
  <c r="BK213" i="7" s="1"/>
  <c r="AZ192" i="7"/>
  <c r="BK192" i="7" s="1"/>
  <c r="AN145" i="7"/>
  <c r="AN113" i="7"/>
  <c r="AZ175" i="7"/>
  <c r="BK175" i="7" s="1"/>
  <c r="BH110" i="7"/>
  <c r="AN143" i="7"/>
  <c r="AN144" i="7"/>
  <c r="AN128" i="7"/>
  <c r="AN104" i="7"/>
  <c r="AN112" i="7"/>
  <c r="BH127" i="7"/>
  <c r="BH143" i="7"/>
  <c r="AZ112" i="7"/>
  <c r="BK112" i="7" s="1"/>
  <c r="AZ105" i="7"/>
  <c r="BK105" i="7" s="1"/>
  <c r="BH88" i="7"/>
  <c r="BH81" i="7"/>
  <c r="BH56" i="7"/>
  <c r="AN36" i="7"/>
  <c r="AZ61" i="7"/>
  <c r="BK61" i="7" s="1"/>
  <c r="AN21" i="7"/>
  <c r="AN82" i="7"/>
  <c r="AZ40" i="7"/>
  <c r="BK40" i="7" s="1"/>
  <c r="AN20" i="7"/>
  <c r="AN49" i="7"/>
  <c r="AN176" i="7"/>
  <c r="AN17" i="7"/>
  <c r="AN44" i="7"/>
  <c r="AN319" i="7"/>
  <c r="AN240" i="7"/>
  <c r="AN229" i="7"/>
  <c r="AN137" i="7"/>
  <c r="AN124" i="7"/>
  <c r="AN102" i="7"/>
  <c r="AN130" i="7"/>
  <c r="BH165" i="7"/>
  <c r="BH70" i="7"/>
  <c r="AZ99" i="7"/>
  <c r="BK99" i="7" s="1"/>
  <c r="AZ50" i="7"/>
  <c r="BK50" i="7" s="1"/>
  <c r="AN265" i="7"/>
  <c r="AN262" i="7"/>
  <c r="AZ246" i="7"/>
  <c r="BK246" i="7" s="1"/>
  <c r="BH255" i="7"/>
  <c r="AN260" i="7"/>
  <c r="AN228" i="7"/>
  <c r="BH239" i="7"/>
  <c r="AN202" i="7"/>
  <c r="AN232" i="7"/>
  <c r="AZ225" i="7"/>
  <c r="BK225" i="7" s="1"/>
  <c r="AN203" i="7"/>
  <c r="AZ207" i="7"/>
  <c r="BK207" i="7" s="1"/>
  <c r="AN217" i="7"/>
  <c r="AN211" i="7"/>
  <c r="AZ155" i="7"/>
  <c r="BK155" i="7" s="1"/>
  <c r="AN100" i="7"/>
  <c r="AN155" i="7"/>
  <c r="AN131" i="7"/>
  <c r="AN87" i="7"/>
  <c r="BH176" i="7"/>
  <c r="AZ130" i="7"/>
  <c r="BK130" i="7" s="1"/>
  <c r="AN70" i="7"/>
  <c r="AN90" i="7"/>
  <c r="AZ77" i="7"/>
  <c r="BK77" i="7" s="1"/>
  <c r="BH62" i="7"/>
  <c r="AN55" i="7"/>
  <c r="AZ84" i="7"/>
  <c r="BK84" i="7" s="1"/>
  <c r="AN35" i="7"/>
  <c r="BH82" i="7"/>
  <c r="AN57" i="7"/>
  <c r="AZ13" i="7"/>
  <c r="BK13" i="7" s="1"/>
  <c r="AZ36" i="7"/>
  <c r="BK36" i="7" s="1"/>
  <c r="BH44" i="7"/>
  <c r="AN341" i="7"/>
  <c r="AN340" i="7"/>
  <c r="AZ304" i="7"/>
  <c r="AN288" i="7"/>
  <c r="AZ287" i="7"/>
  <c r="BK287" i="7" s="1"/>
  <c r="AZ277" i="7"/>
  <c r="BK277" i="7" s="1"/>
  <c r="AN233" i="7"/>
  <c r="AZ244" i="7"/>
  <c r="BK244" i="7" s="1"/>
  <c r="AN215" i="7"/>
  <c r="AN226" i="7"/>
  <c r="BH199" i="7"/>
  <c r="AN180" i="7"/>
  <c r="AN159" i="7"/>
  <c r="AZ189" i="7"/>
  <c r="BK189" i="7" s="1"/>
  <c r="AN129" i="7"/>
  <c r="AN134" i="7"/>
  <c r="AZ194" i="7"/>
  <c r="BK194" i="7" s="1"/>
  <c r="AZ159" i="7"/>
  <c r="BK159" i="7" s="1"/>
  <c r="AN132" i="7"/>
  <c r="AN133" i="7"/>
  <c r="AN175" i="7"/>
  <c r="AN119" i="7"/>
  <c r="AN127" i="7"/>
  <c r="AN86" i="7"/>
  <c r="BH94" i="7"/>
  <c r="AN101" i="7"/>
  <c r="BH73" i="7"/>
  <c r="AN56" i="7"/>
  <c r="BH80" i="7"/>
  <c r="AN11" i="7"/>
  <c r="AN48" i="7"/>
  <c r="BH17" i="7"/>
  <c r="BH25" i="7"/>
  <c r="AN16" i="7"/>
  <c r="AN195" i="7"/>
  <c r="AZ222" i="7"/>
  <c r="BK222" i="7" s="1"/>
  <c r="AN214" i="7"/>
  <c r="BH179" i="7"/>
  <c r="AN171" i="7"/>
  <c r="AN190" i="7"/>
  <c r="AN117" i="7"/>
  <c r="BH135" i="7"/>
  <c r="AN103" i="7"/>
  <c r="AN38" i="7"/>
  <c r="BH83" i="7"/>
  <c r="BH18" i="7"/>
  <c r="AZ347" i="7"/>
  <c r="AN294" i="7"/>
  <c r="AN276" i="7"/>
  <c r="BH302" i="7"/>
  <c r="AN296" i="7"/>
  <c r="AZ276" i="7"/>
  <c r="BK276" i="7" s="1"/>
  <c r="AN241" i="7"/>
  <c r="AN237" i="7"/>
  <c r="AN254" i="7"/>
  <c r="AN216" i="7"/>
  <c r="AN209" i="7"/>
  <c r="AN219" i="7"/>
  <c r="BH196" i="7"/>
  <c r="AN201" i="7"/>
  <c r="AN170" i="7"/>
  <c r="AZ164" i="7"/>
  <c r="BK164" i="7" s="1"/>
  <c r="AN154" i="7"/>
  <c r="BH203" i="7"/>
  <c r="AZ103" i="7"/>
  <c r="BK103" i="7" s="1"/>
  <c r="AN22" i="7"/>
  <c r="AN43" i="7"/>
  <c r="AN24" i="7"/>
  <c r="AN45" i="7"/>
  <c r="BH46" i="7"/>
  <c r="AN285" i="7"/>
  <c r="AN298" i="7"/>
  <c r="AN275" i="7"/>
  <c r="AN283" i="7"/>
  <c r="AN210" i="7"/>
  <c r="AN200" i="7"/>
  <c r="AN250" i="7"/>
  <c r="AN188" i="7"/>
  <c r="AN205" i="7"/>
  <c r="AZ211" i="7"/>
  <c r="BK211" i="7" s="1"/>
  <c r="AN184" i="7"/>
  <c r="AN213" i="7"/>
  <c r="AN185" i="7"/>
  <c r="AN156" i="7"/>
  <c r="AN193" i="7"/>
  <c r="AN194" i="7"/>
  <c r="AZ221" i="7"/>
  <c r="BK221" i="7" s="1"/>
  <c r="AN116" i="7"/>
  <c r="AN111" i="7"/>
  <c r="AN81" i="7"/>
  <c r="AN123" i="7"/>
  <c r="AZ146" i="7"/>
  <c r="BK146" i="7" s="1"/>
  <c r="AN106" i="7"/>
  <c r="AN109" i="7"/>
  <c r="AN79" i="7"/>
  <c r="AN32" i="7"/>
  <c r="AN41" i="7"/>
  <c r="AN28" i="7"/>
  <c r="AN42" i="7"/>
  <c r="D229" i="4"/>
  <c r="J228" i="4"/>
  <c r="BH344" i="7"/>
  <c r="AN332" i="7"/>
  <c r="BH346" i="7"/>
  <c r="AN348" i="7"/>
  <c r="AZ311" i="7"/>
  <c r="BH297" i="7"/>
  <c r="AZ243" i="7"/>
  <c r="BK243" i="7" s="1"/>
  <c r="AZ186" i="7"/>
  <c r="BK186" i="7" s="1"/>
  <c r="AN168" i="7"/>
  <c r="AN141" i="7"/>
  <c r="AZ66" i="7"/>
  <c r="BK66" i="7" s="1"/>
  <c r="AN68" i="7"/>
  <c r="BH66" i="7"/>
  <c r="BH334" i="7"/>
  <c r="AN153" i="7"/>
  <c r="AN146" i="7"/>
  <c r="J173" i="4"/>
  <c r="D174" i="4"/>
  <c r="J137" i="4"/>
  <c r="D138" i="4"/>
  <c r="J10" i="4"/>
  <c r="D11" i="4"/>
  <c r="D256" i="4"/>
  <c r="J255" i="4"/>
  <c r="BH343" i="7"/>
  <c r="AZ346" i="7"/>
  <c r="AN335" i="7"/>
  <c r="AN336" i="7"/>
  <c r="AZ301" i="7"/>
  <c r="BK301" i="7" s="1"/>
  <c r="AN247" i="7"/>
  <c r="AN263" i="7"/>
  <c r="AZ187" i="7"/>
  <c r="BK187" i="7" s="1"/>
  <c r="AZ162" i="7"/>
  <c r="BK162" i="7" s="1"/>
  <c r="AN177" i="7"/>
  <c r="AZ171" i="7"/>
  <c r="BK171" i="7" s="1"/>
  <c r="AZ153" i="7"/>
  <c r="BK153" i="7" s="1"/>
  <c r="BH118" i="7"/>
  <c r="AN160" i="7"/>
  <c r="AZ23" i="7"/>
  <c r="BK23" i="7" s="1"/>
  <c r="D289" i="4"/>
  <c r="J288" i="4"/>
  <c r="H156" i="3"/>
  <c r="J156" i="3" s="1"/>
  <c r="H148" i="3"/>
  <c r="J148" i="3" s="1"/>
  <c r="H140" i="3"/>
  <c r="J140" i="3" s="1"/>
  <c r="H132" i="3"/>
  <c r="J132" i="3" s="1"/>
  <c r="H128" i="3"/>
  <c r="J128" i="3" s="1"/>
  <c r="H124" i="3"/>
  <c r="J124" i="3" s="1"/>
  <c r="H120" i="3"/>
  <c r="J120" i="3" s="1"/>
  <c r="H116" i="3"/>
  <c r="J116" i="3" s="1"/>
  <c r="H112" i="3"/>
  <c r="J112" i="3" s="1"/>
  <c r="H108" i="3"/>
  <c r="J108" i="3" s="1"/>
  <c r="H104" i="3"/>
  <c r="J104" i="3" s="1"/>
  <c r="H100" i="3"/>
  <c r="J100" i="3" s="1"/>
  <c r="H96" i="3"/>
  <c r="J96" i="3" s="1"/>
  <c r="H92" i="3"/>
  <c r="J92" i="3" s="1"/>
  <c r="H88" i="3"/>
  <c r="J88" i="3" s="1"/>
  <c r="H84" i="3"/>
  <c r="J84" i="3" s="1"/>
  <c r="H80" i="3"/>
  <c r="J80" i="3" s="1"/>
  <c r="H76" i="3"/>
  <c r="J76" i="3" s="1"/>
  <c r="H72" i="3"/>
  <c r="J72" i="3" s="1"/>
  <c r="H68" i="3"/>
  <c r="J68" i="3" s="1"/>
  <c r="H152" i="3"/>
  <c r="J152" i="3" s="1"/>
  <c r="H144" i="3"/>
  <c r="J144" i="3" s="1"/>
  <c r="H136" i="3"/>
  <c r="J136" i="3" s="1"/>
  <c r="H133" i="3"/>
  <c r="J133" i="3" s="1"/>
  <c r="H137" i="3"/>
  <c r="J137" i="3" s="1"/>
  <c r="H129" i="3"/>
  <c r="J129" i="3" s="1"/>
  <c r="H125" i="3"/>
  <c r="J125" i="3" s="1"/>
  <c r="H121" i="3"/>
  <c r="J121" i="3" s="1"/>
  <c r="H117" i="3"/>
  <c r="J117" i="3" s="1"/>
  <c r="H113" i="3"/>
  <c r="J113" i="3" s="1"/>
  <c r="H109" i="3"/>
  <c r="J109" i="3" s="1"/>
  <c r="H105" i="3"/>
  <c r="J105" i="3" s="1"/>
  <c r="H101" i="3"/>
  <c r="J101" i="3" s="1"/>
  <c r="H97" i="3"/>
  <c r="J97" i="3" s="1"/>
  <c r="H93" i="3"/>
  <c r="J93" i="3" s="1"/>
  <c r="H89" i="3"/>
  <c r="J89" i="3" s="1"/>
  <c r="H85" i="3"/>
  <c r="J85" i="3" s="1"/>
  <c r="H154" i="3"/>
  <c r="J154" i="3" s="1"/>
  <c r="H146" i="3"/>
  <c r="J146" i="3" s="1"/>
  <c r="H138" i="3"/>
  <c r="J138" i="3" s="1"/>
  <c r="H134" i="3"/>
  <c r="J134" i="3" s="1"/>
  <c r="H126" i="3"/>
  <c r="J126" i="3" s="1"/>
  <c r="H110" i="3"/>
  <c r="J110" i="3" s="1"/>
  <c r="H98" i="3"/>
  <c r="J98" i="3" s="1"/>
  <c r="H86" i="3"/>
  <c r="J86" i="3" s="1"/>
  <c r="H78" i="3"/>
  <c r="J78" i="3" s="1"/>
  <c r="H70" i="3"/>
  <c r="J70" i="3" s="1"/>
  <c r="H62" i="3"/>
  <c r="J62" i="3" s="1"/>
  <c r="H54" i="3"/>
  <c r="J54" i="3" s="1"/>
  <c r="H42" i="3"/>
  <c r="J42" i="3" s="1"/>
  <c r="H30" i="3"/>
  <c r="J30" i="3" s="1"/>
  <c r="H22" i="3"/>
  <c r="J22" i="3" s="1"/>
  <c r="H10" i="3"/>
  <c r="J10" i="3" s="1"/>
  <c r="H150" i="3"/>
  <c r="J150" i="3" s="1"/>
  <c r="H142" i="3"/>
  <c r="J142" i="3" s="1"/>
  <c r="H130" i="3"/>
  <c r="J130" i="3" s="1"/>
  <c r="H122" i="3"/>
  <c r="J122" i="3" s="1"/>
  <c r="H118" i="3"/>
  <c r="J118" i="3" s="1"/>
  <c r="H114" i="3"/>
  <c r="J114" i="3" s="1"/>
  <c r="H106" i="3"/>
  <c r="J106" i="3" s="1"/>
  <c r="H102" i="3"/>
  <c r="J102" i="3" s="1"/>
  <c r="H94" i="3"/>
  <c r="J94" i="3" s="1"/>
  <c r="H90" i="3"/>
  <c r="J90" i="3" s="1"/>
  <c r="H82" i="3"/>
  <c r="J82" i="3" s="1"/>
  <c r="H74" i="3"/>
  <c r="J74" i="3" s="1"/>
  <c r="H66" i="3"/>
  <c r="J66" i="3" s="1"/>
  <c r="H58" i="3"/>
  <c r="J58" i="3" s="1"/>
  <c r="H50" i="3"/>
  <c r="J50" i="3" s="1"/>
  <c r="H46" i="3"/>
  <c r="J46" i="3" s="1"/>
  <c r="H38" i="3"/>
  <c r="J38" i="3" s="1"/>
  <c r="H34" i="3"/>
  <c r="J34" i="3" s="1"/>
  <c r="H26" i="3"/>
  <c r="J26" i="3" s="1"/>
  <c r="H18" i="3"/>
  <c r="J18" i="3" s="1"/>
  <c r="H14" i="3"/>
  <c r="J14" i="3" s="1"/>
  <c r="H6" i="3"/>
  <c r="J6" i="3" s="1"/>
  <c r="H147" i="3"/>
  <c r="J147" i="3" s="1"/>
  <c r="H143" i="3"/>
  <c r="J143" i="3" s="1"/>
  <c r="H135" i="3"/>
  <c r="J135" i="3" s="1"/>
  <c r="H127" i="3"/>
  <c r="J127" i="3" s="1"/>
  <c r="H119" i="3"/>
  <c r="J119" i="3" s="1"/>
  <c r="H111" i="3"/>
  <c r="J111" i="3" s="1"/>
  <c r="H103" i="3"/>
  <c r="J103" i="3" s="1"/>
  <c r="H95" i="3"/>
  <c r="J95" i="3" s="1"/>
  <c r="H83" i="3"/>
  <c r="J83" i="3" s="1"/>
  <c r="H75" i="3"/>
  <c r="J75" i="3" s="1"/>
  <c r="H71" i="3"/>
  <c r="J71" i="3" s="1"/>
  <c r="H63" i="3"/>
  <c r="J63" i="3" s="1"/>
  <c r="H55" i="3"/>
  <c r="J55" i="3" s="1"/>
  <c r="H47" i="3"/>
  <c r="J47" i="3" s="1"/>
  <c r="H39" i="3"/>
  <c r="J39" i="3" s="1"/>
  <c r="H31" i="3"/>
  <c r="J31" i="3" s="1"/>
  <c r="H23" i="3"/>
  <c r="J23" i="3" s="1"/>
  <c r="H15" i="3"/>
  <c r="J15" i="3" s="1"/>
  <c r="H151" i="3"/>
  <c r="J151" i="3" s="1"/>
  <c r="H139" i="3"/>
  <c r="J139" i="3" s="1"/>
  <c r="H131" i="3"/>
  <c r="J131" i="3" s="1"/>
  <c r="H123" i="3"/>
  <c r="J123" i="3" s="1"/>
  <c r="H115" i="3"/>
  <c r="J115" i="3" s="1"/>
  <c r="H107" i="3"/>
  <c r="J107" i="3" s="1"/>
  <c r="H99" i="3"/>
  <c r="J99" i="3" s="1"/>
  <c r="H91" i="3"/>
  <c r="J91" i="3" s="1"/>
  <c r="H87" i="3"/>
  <c r="J87" i="3" s="1"/>
  <c r="H79" i="3"/>
  <c r="J79" i="3" s="1"/>
  <c r="H67" i="3"/>
  <c r="J67" i="3" s="1"/>
  <c r="H59" i="3"/>
  <c r="J59" i="3" s="1"/>
  <c r="H51" i="3"/>
  <c r="J51" i="3" s="1"/>
  <c r="H43" i="3"/>
  <c r="J43" i="3" s="1"/>
  <c r="H35" i="3"/>
  <c r="J35" i="3" s="1"/>
  <c r="H27" i="3"/>
  <c r="J27" i="3" s="1"/>
  <c r="H19" i="3"/>
  <c r="J19" i="3" s="1"/>
  <c r="H11" i="3"/>
  <c r="J11" i="3" s="1"/>
  <c r="H81" i="3"/>
  <c r="J81" i="3" s="1"/>
  <c r="H33" i="3"/>
  <c r="J33" i="3" s="1"/>
  <c r="H17" i="3"/>
  <c r="J17" i="3" s="1"/>
  <c r="H65" i="3"/>
  <c r="J65" i="3" s="1"/>
  <c r="H49" i="3"/>
  <c r="J49" i="3" s="1"/>
  <c r="H25" i="3"/>
  <c r="J25" i="3" s="1"/>
  <c r="H9" i="3"/>
  <c r="J9" i="3" s="1"/>
  <c r="H29" i="3"/>
  <c r="J29" i="3" s="1"/>
  <c r="H77" i="3"/>
  <c r="J77" i="3" s="1"/>
  <c r="H60" i="3"/>
  <c r="J60" i="3" s="1"/>
  <c r="H52" i="3"/>
  <c r="J52" i="3" s="1"/>
  <c r="H44" i="3"/>
  <c r="J44" i="3" s="1"/>
  <c r="H36" i="3"/>
  <c r="J36" i="3" s="1"/>
  <c r="H28" i="3"/>
  <c r="J28" i="3" s="1"/>
  <c r="H20" i="3"/>
  <c r="J20" i="3" s="1"/>
  <c r="H12" i="3"/>
  <c r="J12" i="3" s="1"/>
  <c r="H3" i="3"/>
  <c r="H45" i="3"/>
  <c r="J45" i="3" s="1"/>
  <c r="H21" i="3"/>
  <c r="J21" i="3" s="1"/>
  <c r="H7" i="3"/>
  <c r="J7" i="3" s="1"/>
  <c r="H37" i="3"/>
  <c r="J37" i="3" s="1"/>
  <c r="H73" i="3"/>
  <c r="J73" i="3" s="1"/>
  <c r="H53" i="3"/>
  <c r="J53" i="3" s="1"/>
  <c r="H4" i="3"/>
  <c r="J4" i="3" s="1"/>
  <c r="H69" i="3"/>
  <c r="J69" i="3" s="1"/>
  <c r="H64" i="3"/>
  <c r="J64" i="3" s="1"/>
  <c r="H56" i="3"/>
  <c r="J56" i="3" s="1"/>
  <c r="H48" i="3"/>
  <c r="J48" i="3" s="1"/>
  <c r="H40" i="3"/>
  <c r="J40" i="3" s="1"/>
  <c r="H32" i="3"/>
  <c r="J32" i="3" s="1"/>
  <c r="H24" i="3"/>
  <c r="J24" i="3" s="1"/>
  <c r="H16" i="3"/>
  <c r="J16" i="3" s="1"/>
  <c r="H61" i="3"/>
  <c r="J61" i="3" s="1"/>
  <c r="H8" i="3"/>
  <c r="J8" i="3" s="1"/>
  <c r="H5" i="3"/>
  <c r="J5" i="3" s="1"/>
  <c r="H57" i="3"/>
  <c r="J57" i="3" s="1"/>
  <c r="H41" i="3"/>
  <c r="J41" i="3" s="1"/>
  <c r="H13" i="3"/>
  <c r="J13" i="3" s="1"/>
  <c r="D37" i="4"/>
  <c r="J36" i="4"/>
  <c r="AN347" i="7"/>
  <c r="AZ272" i="7"/>
  <c r="BK272" i="7" s="1"/>
  <c r="AN297" i="7"/>
  <c r="AZ242" i="7"/>
  <c r="BK242" i="7" s="1"/>
  <c r="D305" i="4"/>
  <c r="J304" i="4"/>
  <c r="AN343" i="7"/>
  <c r="AZ335" i="7"/>
  <c r="BH350" i="7"/>
  <c r="AN317" i="7"/>
  <c r="BH307" i="7"/>
  <c r="AZ305" i="7"/>
  <c r="AN277" i="7"/>
  <c r="AZ248" i="7"/>
  <c r="BK248" i="7" s="1"/>
  <c r="AZ185" i="7"/>
  <c r="BK185" i="7" s="1"/>
  <c r="AN92" i="7"/>
  <c r="AN80" i="7"/>
  <c r="AN30" i="7"/>
  <c r="D376" i="4"/>
  <c r="J375" i="4"/>
  <c r="D378" i="4"/>
  <c r="D379" i="4" s="1"/>
  <c r="D380" i="4" s="1"/>
  <c r="D357" i="4"/>
  <c r="J356" i="4"/>
  <c r="H153" i="3"/>
  <c r="J153" i="3" s="1"/>
  <c r="AZ324" i="7"/>
  <c r="AN74" i="7"/>
  <c r="BH21" i="7"/>
  <c r="AN54" i="7"/>
  <c r="AZ82" i="7"/>
  <c r="BK82" i="7" s="1"/>
  <c r="H158" i="3"/>
  <c r="J158" i="3" s="1"/>
  <c r="J101" i="4"/>
  <c r="D102" i="4"/>
  <c r="AN329" i="7"/>
  <c r="AN222" i="7"/>
  <c r="AN95" i="7"/>
  <c r="AZ343" i="7"/>
  <c r="AZ291" i="7"/>
  <c r="BK291" i="7" s="1"/>
  <c r="AZ350" i="7"/>
  <c r="AN312" i="7"/>
  <c r="BH260" i="7"/>
  <c r="AN169" i="7"/>
  <c r="BH126" i="7"/>
  <c r="AN163" i="7"/>
  <c r="AN84" i="7"/>
  <c r="AN71" i="7"/>
  <c r="H145" i="3"/>
  <c r="J145" i="3" s="1"/>
  <c r="D340" i="4"/>
  <c r="J338" i="4"/>
  <c r="D70" i="4"/>
  <c r="J69" i="4"/>
  <c r="H157" i="3"/>
  <c r="J157" i="3" s="1"/>
  <c r="AZ326" i="7"/>
  <c r="BH313" i="7"/>
  <c r="AN338" i="7"/>
  <c r="AZ274" i="7"/>
  <c r="BK274" i="7" s="1"/>
  <c r="AN239" i="7"/>
  <c r="AZ345" i="7"/>
  <c r="AZ338" i="7"/>
  <c r="BH192" i="7"/>
  <c r="AZ150" i="7"/>
  <c r="BK150" i="7" s="1"/>
  <c r="AZ70" i="7"/>
  <c r="BK70" i="7" s="1"/>
  <c r="AN52" i="7"/>
  <c r="AZ14" i="7"/>
  <c r="BK14" i="7" s="1"/>
  <c r="H155" i="3"/>
  <c r="J155" i="3" s="1"/>
  <c r="D12" i="4" l="1"/>
  <c r="J11" i="4"/>
  <c r="J357" i="4"/>
  <c r="D358" i="4"/>
  <c r="D381" i="4"/>
  <c r="J380" i="4"/>
  <c r="D306" i="4"/>
  <c r="J305" i="4"/>
  <c r="J138" i="4"/>
  <c r="D139" i="4"/>
  <c r="D377" i="4"/>
  <c r="J377" i="4" s="1"/>
  <c r="J376" i="4"/>
  <c r="D175" i="4"/>
  <c r="J175" i="4" s="1"/>
  <c r="J174" i="4"/>
  <c r="D176" i="4"/>
  <c r="D71" i="4"/>
  <c r="J70" i="4"/>
  <c r="H159" i="3"/>
  <c r="J3" i="3"/>
  <c r="J159" i="3" s="1"/>
  <c r="D103" i="4"/>
  <c r="J102" i="4"/>
  <c r="D290" i="4"/>
  <c r="J289" i="4"/>
  <c r="D341" i="4"/>
  <c r="J340" i="4"/>
  <c r="D38" i="4"/>
  <c r="J37" i="4"/>
  <c r="J256" i="4"/>
  <c r="D257" i="4"/>
  <c r="D230" i="4"/>
  <c r="J229" i="4"/>
  <c r="J71" i="4" l="1"/>
  <c r="D72" i="4"/>
  <c r="J290" i="4"/>
  <c r="D291" i="4"/>
  <c r="D392" i="4"/>
  <c r="J392" i="4" s="1"/>
  <c r="D382" i="4"/>
  <c r="J381" i="4"/>
  <c r="J306" i="4"/>
  <c r="D307" i="4"/>
  <c r="J257" i="4"/>
  <c r="D258" i="4"/>
  <c r="D104" i="4"/>
  <c r="J103" i="4"/>
  <c r="J358" i="4"/>
  <c r="D359" i="4"/>
  <c r="D140" i="4"/>
  <c r="J139" i="4"/>
  <c r="D342" i="4"/>
  <c r="J341" i="4"/>
  <c r="D177" i="4"/>
  <c r="J176" i="4"/>
  <c r="D231" i="4"/>
  <c r="J230" i="4"/>
  <c r="J38" i="4"/>
  <c r="D39" i="4"/>
  <c r="D40" i="4" s="1"/>
  <c r="D13" i="4"/>
  <c r="J12" i="4"/>
  <c r="J104" i="4" l="1"/>
  <c r="D105" i="4"/>
  <c r="D292" i="4"/>
  <c r="J291" i="4"/>
  <c r="J231" i="4"/>
  <c r="D232" i="4"/>
  <c r="J382" i="4"/>
  <c r="D383" i="4"/>
  <c r="D141" i="4"/>
  <c r="J140" i="4"/>
  <c r="J177" i="4"/>
  <c r="D178" i="4"/>
  <c r="J13" i="4"/>
  <c r="D14" i="4"/>
  <c r="J342" i="4"/>
  <c r="D343" i="4"/>
  <c r="J72" i="4"/>
  <c r="D73" i="4"/>
  <c r="D360" i="4"/>
  <c r="J359" i="4"/>
  <c r="J258" i="4"/>
  <c r="D259" i="4"/>
  <c r="D41" i="4"/>
  <c r="J40" i="4"/>
  <c r="D308" i="4"/>
  <c r="J307" i="4"/>
  <c r="J232" i="4" l="1"/>
  <c r="D233" i="4"/>
  <c r="J343" i="4"/>
  <c r="D344" i="4"/>
  <c r="D42" i="4"/>
  <c r="J41" i="4"/>
  <c r="J14" i="4"/>
  <c r="D15" i="4"/>
  <c r="D179" i="4"/>
  <c r="J179" i="4" s="1"/>
  <c r="J178" i="4"/>
  <c r="D180" i="4"/>
  <c r="J180" i="4" s="1"/>
  <c r="D181" i="4"/>
  <c r="D361" i="4"/>
  <c r="J360" i="4"/>
  <c r="D384" i="4"/>
  <c r="J383" i="4"/>
  <c r="D293" i="4"/>
  <c r="J292" i="4"/>
  <c r="D74" i="4"/>
  <c r="J73" i="4"/>
  <c r="J105" i="4"/>
  <c r="D106" i="4"/>
  <c r="D260" i="4"/>
  <c r="J259" i="4"/>
  <c r="D309" i="4"/>
  <c r="J308" i="4"/>
  <c r="J141" i="4"/>
  <c r="D142" i="4"/>
  <c r="D143" i="4" s="1"/>
  <c r="D144" i="4" s="1"/>
  <c r="D145" i="4" s="1"/>
  <c r="D16" i="4" l="1"/>
  <c r="J15" i="4"/>
  <c r="D107" i="4"/>
  <c r="J106" i="4"/>
  <c r="J361" i="4"/>
  <c r="D362" i="4"/>
  <c r="J42" i="4"/>
  <c r="D43" i="4"/>
  <c r="J260" i="4"/>
  <c r="D261" i="4"/>
  <c r="D385" i="4"/>
  <c r="J384" i="4"/>
  <c r="D234" i="4"/>
  <c r="J233" i="4"/>
  <c r="D146" i="4"/>
  <c r="J145" i="4"/>
  <c r="J181" i="4"/>
  <c r="D182" i="4"/>
  <c r="D345" i="4"/>
  <c r="J344" i="4"/>
  <c r="D75" i="4"/>
  <c r="J74" i="4"/>
  <c r="D310" i="4"/>
  <c r="J309" i="4"/>
  <c r="J293" i="4"/>
  <c r="D294" i="4"/>
  <c r="J294" i="4" s="1"/>
  <c r="D147" i="4" l="1"/>
  <c r="J146" i="4"/>
  <c r="D108" i="4"/>
  <c r="J107" i="4"/>
  <c r="J43" i="4"/>
  <c r="D44" i="4"/>
  <c r="J362" i="4"/>
  <c r="D363" i="4"/>
  <c r="J75" i="4"/>
  <c r="D76" i="4"/>
  <c r="D183" i="4"/>
  <c r="J182" i="4"/>
  <c r="J261" i="4"/>
  <c r="D262" i="4"/>
  <c r="J310" i="4"/>
  <c r="D311" i="4"/>
  <c r="D235" i="4"/>
  <c r="J234" i="4"/>
  <c r="D346" i="4"/>
  <c r="J346" i="4" s="1"/>
  <c r="J345" i="4"/>
  <c r="D386" i="4"/>
  <c r="J385" i="4"/>
  <c r="D17" i="4"/>
  <c r="J16" i="4"/>
  <c r="J262" i="4" l="1"/>
  <c r="D263" i="4"/>
  <c r="D45" i="4"/>
  <c r="J44" i="4"/>
  <c r="D364" i="4"/>
  <c r="J363" i="4"/>
  <c r="J17" i="4"/>
  <c r="D18" i="4"/>
  <c r="J386" i="4"/>
  <c r="D387" i="4"/>
  <c r="J183" i="4"/>
  <c r="D184" i="4"/>
  <c r="D312" i="4"/>
  <c r="J311" i="4"/>
  <c r="J108" i="4"/>
  <c r="D109" i="4"/>
  <c r="J76" i="4"/>
  <c r="D77" i="4"/>
  <c r="J235" i="4"/>
  <c r="D236" i="4"/>
  <c r="D148" i="4"/>
  <c r="J147" i="4"/>
  <c r="J148" i="4" l="1"/>
  <c r="D149" i="4"/>
  <c r="D313" i="4"/>
  <c r="J312" i="4"/>
  <c r="D365" i="4"/>
  <c r="J364" i="4"/>
  <c r="J18" i="4"/>
  <c r="D19" i="4"/>
  <c r="J109" i="4"/>
  <c r="D110" i="4"/>
  <c r="J263" i="4"/>
  <c r="D264" i="4"/>
  <c r="D237" i="4"/>
  <c r="J236" i="4"/>
  <c r="D185" i="4"/>
  <c r="J184" i="4"/>
  <c r="D46" i="4"/>
  <c r="J45" i="4"/>
  <c r="D78" i="4"/>
  <c r="J77" i="4"/>
  <c r="D388" i="4"/>
  <c r="J387" i="4"/>
  <c r="J365" i="4" l="1"/>
  <c r="D366" i="4"/>
  <c r="J366" i="4" s="1"/>
  <c r="J264" i="4"/>
  <c r="D265" i="4"/>
  <c r="D20" i="4"/>
  <c r="J19" i="4"/>
  <c r="J185" i="4"/>
  <c r="D186" i="4"/>
  <c r="D389" i="4"/>
  <c r="J388" i="4"/>
  <c r="D111" i="4"/>
  <c r="J110" i="4"/>
  <c r="D150" i="4"/>
  <c r="J149" i="4"/>
  <c r="D238" i="4"/>
  <c r="J237" i="4"/>
  <c r="D79" i="4"/>
  <c r="J78" i="4"/>
  <c r="D314" i="4"/>
  <c r="J313" i="4"/>
  <c r="J46" i="4"/>
  <c r="D47" i="4"/>
  <c r="D390" i="4" l="1"/>
  <c r="J389" i="4"/>
  <c r="D239" i="4"/>
  <c r="J238" i="4"/>
  <c r="D151" i="4"/>
  <c r="J150" i="4"/>
  <c r="D21" i="4"/>
  <c r="J20" i="4"/>
  <c r="J79" i="4"/>
  <c r="D80" i="4"/>
  <c r="J314" i="4"/>
  <c r="D315" i="4"/>
  <c r="D187" i="4"/>
  <c r="J186" i="4"/>
  <c r="J47" i="4"/>
  <c r="D48" i="4"/>
  <c r="J265" i="4"/>
  <c r="D266" i="4"/>
  <c r="D112" i="4"/>
  <c r="J111" i="4"/>
  <c r="J187" i="4" l="1"/>
  <c r="D188" i="4"/>
  <c r="J151" i="4"/>
  <c r="D152" i="4"/>
  <c r="D316" i="4"/>
  <c r="J315" i="4"/>
  <c r="J112" i="4"/>
  <c r="D113" i="4"/>
  <c r="J239" i="4"/>
  <c r="D240" i="4"/>
  <c r="J266" i="4"/>
  <c r="D267" i="4"/>
  <c r="D49" i="4"/>
  <c r="J48" i="4"/>
  <c r="J21" i="4"/>
  <c r="D22" i="4"/>
  <c r="J80" i="4"/>
  <c r="D81" i="4"/>
  <c r="J390" i="4"/>
  <c r="D391" i="4"/>
  <c r="J391" i="4" s="1"/>
  <c r="J22" i="4" l="1"/>
  <c r="D23" i="4"/>
  <c r="D268" i="4"/>
  <c r="J267" i="4"/>
  <c r="D153" i="4"/>
  <c r="J152" i="4"/>
  <c r="D317" i="4"/>
  <c r="J316" i="4"/>
  <c r="D82" i="4"/>
  <c r="J81" i="4"/>
  <c r="J240" i="4"/>
  <c r="D241" i="4"/>
  <c r="D189" i="4"/>
  <c r="J188" i="4"/>
  <c r="J113" i="4"/>
  <c r="D114" i="4"/>
  <c r="D50" i="4"/>
  <c r="J49" i="4"/>
  <c r="D154" i="4" l="1"/>
  <c r="J153" i="4"/>
  <c r="D115" i="4"/>
  <c r="J114" i="4"/>
  <c r="D24" i="4"/>
  <c r="J23" i="4"/>
  <c r="D318" i="4"/>
  <c r="J317" i="4"/>
  <c r="J189" i="4"/>
  <c r="D190" i="4"/>
  <c r="J241" i="4"/>
  <c r="D242" i="4"/>
  <c r="J268" i="4"/>
  <c r="D269" i="4"/>
  <c r="J50" i="4"/>
  <c r="D51" i="4"/>
  <c r="D83" i="4"/>
  <c r="D84" i="4" s="1"/>
  <c r="J82" i="4"/>
  <c r="J318" i="4" l="1"/>
  <c r="D319" i="4"/>
  <c r="J51" i="4"/>
  <c r="D52" i="4"/>
  <c r="D25" i="4"/>
  <c r="J24" i="4"/>
  <c r="D243" i="4"/>
  <c r="J242" i="4"/>
  <c r="J269" i="4"/>
  <c r="D270" i="4"/>
  <c r="D116" i="4"/>
  <c r="J115" i="4"/>
  <c r="D191" i="4"/>
  <c r="J190" i="4"/>
  <c r="J84" i="4"/>
  <c r="D85" i="4"/>
  <c r="J154" i="4"/>
  <c r="D155" i="4"/>
  <c r="D86" i="4" l="1"/>
  <c r="J85" i="4"/>
  <c r="J25" i="4"/>
  <c r="D26" i="4"/>
  <c r="J243" i="4"/>
  <c r="D244" i="4"/>
  <c r="J191" i="4"/>
  <c r="D192" i="4"/>
  <c r="D53" i="4"/>
  <c r="J52" i="4"/>
  <c r="J116" i="4"/>
  <c r="D117" i="4"/>
  <c r="D156" i="4"/>
  <c r="J155" i="4"/>
  <c r="J270" i="4"/>
  <c r="D271" i="4"/>
  <c r="D320" i="4"/>
  <c r="J319" i="4"/>
  <c r="D193" i="4" l="1"/>
  <c r="J192" i="4"/>
  <c r="D54" i="4"/>
  <c r="D55" i="4" s="1"/>
  <c r="J53" i="4"/>
  <c r="J244" i="4"/>
  <c r="D245" i="4"/>
  <c r="D321" i="4"/>
  <c r="J320" i="4"/>
  <c r="D272" i="4"/>
  <c r="J271" i="4"/>
  <c r="D87" i="4"/>
  <c r="J86" i="4"/>
  <c r="J156" i="4"/>
  <c r="D157" i="4"/>
  <c r="J117" i="4"/>
  <c r="D118" i="4"/>
  <c r="J26" i="4"/>
  <c r="D27" i="4"/>
  <c r="J27" i="4" s="1"/>
  <c r="D322" i="4" l="1"/>
  <c r="J321" i="4"/>
  <c r="J245" i="4"/>
  <c r="D246" i="4"/>
  <c r="J246" i="4" s="1"/>
  <c r="D119" i="4"/>
  <c r="J118" i="4"/>
  <c r="J87" i="4"/>
  <c r="D88" i="4"/>
  <c r="J55" i="4"/>
  <c r="D56" i="4"/>
  <c r="J157" i="4"/>
  <c r="D159" i="4"/>
  <c r="J272" i="4"/>
  <c r="D273" i="4"/>
  <c r="J193" i="4"/>
  <c r="D194" i="4"/>
  <c r="D195" i="4" l="1"/>
  <c r="J194" i="4"/>
  <c r="D197" i="4"/>
  <c r="J273" i="4"/>
  <c r="D274" i="4"/>
  <c r="D120" i="4"/>
  <c r="J119" i="4"/>
  <c r="D160" i="4"/>
  <c r="J159" i="4"/>
  <c r="D57" i="4"/>
  <c r="J56" i="4"/>
  <c r="J88" i="4"/>
  <c r="D89" i="4"/>
  <c r="J322" i="4"/>
  <c r="D323" i="4"/>
  <c r="J160" i="4" l="1"/>
  <c r="D161" i="4"/>
  <c r="J120" i="4"/>
  <c r="D121" i="4"/>
  <c r="D90" i="4"/>
  <c r="J89" i="4"/>
  <c r="J274" i="4"/>
  <c r="D275" i="4"/>
  <c r="J197" i="4"/>
  <c r="D198" i="4"/>
  <c r="D324" i="4"/>
  <c r="J323" i="4"/>
  <c r="D58" i="4"/>
  <c r="J57" i="4"/>
  <c r="J195" i="4"/>
  <c r="D196" i="4"/>
  <c r="J196" i="4" s="1"/>
  <c r="D276" i="4" l="1"/>
  <c r="J275" i="4"/>
  <c r="D91" i="4"/>
  <c r="J91" i="4" s="1"/>
  <c r="D92" i="4"/>
  <c r="J92" i="4" s="1"/>
  <c r="J90" i="4"/>
  <c r="J121" i="4"/>
  <c r="D122" i="4"/>
  <c r="J58" i="4"/>
  <c r="D59" i="4"/>
  <c r="J59" i="4" s="1"/>
  <c r="D325" i="4"/>
  <c r="J324" i="4"/>
  <c r="D199" i="4"/>
  <c r="J198" i="4"/>
  <c r="D162" i="4"/>
  <c r="J161" i="4"/>
  <c r="J276" i="4" l="1"/>
  <c r="D277" i="4"/>
  <c r="J277" i="4" s="1"/>
  <c r="D123" i="4"/>
  <c r="J122" i="4"/>
  <c r="J162" i="4"/>
  <c r="D163" i="4"/>
  <c r="J199" i="4"/>
  <c r="D200" i="4"/>
  <c r="D326" i="4"/>
  <c r="J325" i="4"/>
  <c r="D164" i="4" l="1"/>
  <c r="J164" i="4" s="1"/>
  <c r="J163" i="4"/>
  <c r="D124" i="4"/>
  <c r="J123" i="4"/>
  <c r="D201" i="4"/>
  <c r="J200" i="4"/>
  <c r="J326" i="4"/>
  <c r="D327" i="4"/>
  <c r="J124" i="4" l="1"/>
  <c r="D125" i="4"/>
  <c r="D328" i="4"/>
  <c r="J327" i="4"/>
  <c r="J201" i="4"/>
  <c r="D202" i="4"/>
  <c r="J125" i="4" l="1"/>
  <c r="D126" i="4"/>
  <c r="D329" i="4"/>
  <c r="J328" i="4"/>
  <c r="D203" i="4"/>
  <c r="J202" i="4"/>
  <c r="D330" i="4" l="1"/>
  <c r="J330" i="4" s="1"/>
  <c r="J329" i="4"/>
  <c r="J203" i="4"/>
  <c r="D204" i="4"/>
  <c r="D127" i="4"/>
  <c r="J126" i="4"/>
  <c r="D128" i="4" l="1"/>
  <c r="J128" i="4" s="1"/>
  <c r="J127" i="4"/>
  <c r="D205" i="4"/>
  <c r="J204" i="4"/>
  <c r="J205" i="4" l="1"/>
  <c r="D206" i="4"/>
  <c r="D207" i="4" l="1"/>
  <c r="J206" i="4"/>
  <c r="J207" i="4" l="1"/>
  <c r="D208" i="4"/>
  <c r="D209" i="4" l="1"/>
  <c r="J208" i="4"/>
  <c r="J209" i="4" l="1"/>
  <c r="D210" i="4"/>
  <c r="D211" i="4" l="1"/>
  <c r="J210" i="4"/>
  <c r="J211" i="4" l="1"/>
  <c r="D212" i="4"/>
  <c r="D213" i="4" l="1"/>
  <c r="J212" i="4"/>
  <c r="J213" i="4" l="1"/>
  <c r="D214" i="4"/>
  <c r="D215" i="4" l="1"/>
  <c r="J214" i="4"/>
  <c r="J215" i="4" l="1"/>
  <c r="D216" i="4"/>
  <c r="D217" i="4" l="1"/>
  <c r="J216" i="4"/>
  <c r="J217" i="4" l="1"/>
  <c r="D218" i="4"/>
  <c r="J218" i="4" s="1"/>
</calcChain>
</file>

<file path=xl/sharedStrings.xml><?xml version="1.0" encoding="utf-8"?>
<sst xmlns="http://schemas.openxmlformats.org/spreadsheetml/2006/main" count="12036" uniqueCount="765">
  <si>
    <t>作成日：</t>
  </si>
  <si>
    <t>作戦概要</t>
  </si>
  <si>
    <t>更新日：</t>
  </si>
  <si>
    <t>作戦名</t>
  </si>
  <si>
    <t>「ら...」</t>
  </si>
  <si>
    <t>『ら...を作る作戦』(仮)</t>
  </si>
  <si>
    <t>依頼</t>
  </si>
  <si>
    <t>実施時期</t>
  </si>
  <si>
    <t>2024年XX月XX日（X）~　20XX年XX月XX日（X）</t>
  </si>
  <si>
    <t>分類</t>
  </si>
  <si>
    <t>#Ingress　＃fieldart</t>
  </si>
  <si>
    <t>概要</t>
  </si>
  <si>
    <t>米子のRESエージェントを偲んでラーメンにまつわるアートを作る</t>
  </si>
  <si>
    <t>実施</t>
  </si>
  <si>
    <t>実施予定日時</t>
  </si>
  <si>
    <t>20XX年X月XX日（X）</t>
  </si>
  <si>
    <t>集合時間</t>
  </si>
  <si>
    <t>開始時間</t>
  </si>
  <si>
    <t>集合場所</t>
  </si>
  <si>
    <t>(仮）米子駅前だんだん広場　最寄りポータルは...</t>
  </si>
  <si>
    <t>　  intelmap</t>
  </si>
  <si>
    <t>google map</t>
  </si>
  <si>
    <t>参加申込</t>
  </si>
  <si>
    <t>調整さん(現地、オペ、観戦希望者も記入してください）</t>
  </si>
  <si>
    <t>https://chouseisan.com/</t>
  </si>
  <si>
    <t>ツール</t>
  </si>
  <si>
    <t>Chat</t>
  </si>
  <si>
    <t>https://chat.google.com/room/AAAAK2uyITY?cls=7</t>
  </si>
  <si>
    <t>ら・・・を作る会</t>
  </si>
  <si>
    <t>Zello(音声)</t>
  </si>
  <si>
    <t>http://zello.me/</t>
  </si>
  <si>
    <t>・チャンネル名</t>
  </si>
  <si>
    <t>〇〇</t>
  </si>
  <si>
    <t>・パスワード</t>
  </si>
  <si>
    <t>RESWUE</t>
  </si>
  <si>
    <t>・オペレーション</t>
  </si>
  <si>
    <t>・フィールダー</t>
  </si>
  <si>
    <t>・オペレータ</t>
  </si>
  <si>
    <t>GoogleMap</t>
  </si>
  <si>
    <t>https://www.google.com/maps/d/u/0/edit?mid=1KjFkV6PKNWJ0WuqFrcibtDfdBs-AlSY&amp;usp=sharing</t>
  </si>
  <si>
    <t>ingressICE</t>
  </si>
  <si>
    <t>設定例</t>
  </si>
  <si>
    <t>minlevel=8</t>
  </si>
  <si>
    <t>maxlevel=8</t>
  </si>
  <si>
    <t>width=1500</t>
  </si>
  <si>
    <t>height=1500</t>
  </si>
  <si>
    <t>動作確認用のURL</t>
  </si>
  <si>
    <t>※このURLでICEを動作させると外形のリンクが記録されます。(確認用）</t>
  </si>
  <si>
    <t>https://intel.ingress.com/intel?ll=36.5644935,136.6620715&amp;z=17&amp;pls=36.567368,136.658904,36.56866,136.660148_36.56866,136.660148,36.569781,136.662095_36.569781,136.662095,36.567405,136.661416_36.567405,136.661416,36.566914,136.65992_36.566914,136.65992,36.566805,136.662005_36.566805,136.662005,36.568428,136.663601_36.568428,136.663601,36.568479,136.665528_36.568479,136.665528,36.56726194839843,136.66427850723267_36.56726194839843,136.66427850723267,36.566122,136.662292_36.566122,136.662292,36.56528,136.662741_36.56528,136.662741,36.564446,136.662148_36.564446,136.662148,36.563193,136.663277_36.563193,136.663277,36.563257,136.662506_36.563257,136.662506,36.562303,136.664951_36.562303,136.664951,36.566981,136.664354_36.566981,136.664354,36.566083,136.66694_36.566083,136.66694,36.561389,136.665647_36.561389,136.665647,36.56208,136.663786_36.56208,136.663786,36.561201,136.664744_36.561201,136.664744,36.560474,136.664377_36.560474,136.664377,36.559726,136.663584_36.559726,136.663584,36.55925,136.662737_36.55925,136.662737,36.55921,136.662465_36.55921,136.662465,36.559315,136.659059_36.559315,136.659059,36.559206,136.65791_36.559206,136.65791,36.560626,136.657268_36.560626,136.657268,36.561175,136.657454_36.561175,136.657454,36.560756,136.658488_36.560756,136.658488,36.56138,136.65856_36.56138,136.65856,36.562024,136.658287_36.562024,136.658287,36.563176,136.659057_36.563176,136.659057,36.563703,136.657663_36.563703,136.657663,36.564253,136.657203_36.564253,136.657203,36.564837,136.657496_36.564837,136.657496,36.565532,136.657359_36.565532,136.657359,36.566249,136.657562_36.566249,136.657562,36.566917,136.658467_36.566917,136.658467,36.567368,136.658904_36.566083,136.66694,36.566981,136.664354_36.566981,136.664354,36.562303,136.664951_36.562303,136.664951,36.563257,136.662506_36.563257,136.662506,36.560268,136.66253_36.560268,136.66253,36.56208,136.663786_36.56208,136.663786,36.561389,136.665647_36.561389,136.665647,36.566083,136.66694</t>
  </si>
  <si>
    <t>ICEの取得結果例→</t>
  </si>
  <si>
    <t>持ち物</t>
  </si>
  <si>
    <t>必須</t>
  </si>
  <si>
    <t>スキャナー</t>
  </si>
  <si>
    <t>イヤホン</t>
  </si>
  <si>
    <t>モバイルバッテリー</t>
  </si>
  <si>
    <t>自転車</t>
  </si>
  <si>
    <t>充電用ケーブル</t>
  </si>
  <si>
    <t>身分証明証（入園入館、職質対応）</t>
  </si>
  <si>
    <t>お金</t>
  </si>
  <si>
    <t>手順書（紙ベース）</t>
  </si>
  <si>
    <t>飲み物</t>
  </si>
  <si>
    <t>おやつ</t>
  </si>
  <si>
    <t>持ってて良かった</t>
  </si>
  <si>
    <t>懐中電灯</t>
  </si>
  <si>
    <t>タオル</t>
  </si>
  <si>
    <t>ティッシュ</t>
  </si>
  <si>
    <t>ナイロン袋（濡れた所に座ることもできる）</t>
  </si>
  <si>
    <t>傘</t>
  </si>
  <si>
    <t>汗だくになるので着替え</t>
  </si>
  <si>
    <t>雨天・季節により</t>
  </si>
  <si>
    <t>手袋</t>
  </si>
  <si>
    <t>マフラー</t>
  </si>
  <si>
    <t>耳あて</t>
  </si>
  <si>
    <t>カイロ</t>
  </si>
  <si>
    <t>長靴</t>
  </si>
  <si>
    <t>マスク（花粉防止）</t>
  </si>
  <si>
    <t>虫除けスプレー</t>
  </si>
  <si>
    <t>日焼け止め</t>
  </si>
  <si>
    <t>帽子（熱中症防止）</t>
  </si>
  <si>
    <t>案内文</t>
  </si>
  <si>
    <t>◆実施日 20XX年XX月XX日（X）X:00集合　X:30開始</t>
  </si>
  <si>
    <t xml:space="preserve">◆集合場所 </t>
  </si>
  <si>
    <t>◆作戦資料</t>
  </si>
  <si>
    <t>https://docs.google.com/spreadsheets/d/18PEvlObbKdT6obBvrsZU-qdG8YnbdkMUUabg28MedCc/edit?gid=372848398#gid=372848398</t>
  </si>
  <si>
    <t>◆資料置場</t>
  </si>
  <si>
    <t>https://drive.google.com/drive/folders/1JZX0fFB-yyl52P2-k4-kl8Lnb-CpvLWa?usp=sharing</t>
  </si>
  <si>
    <t>◆GoogleMap</t>
  </si>
  <si>
    <t>◆調整さん</t>
  </si>
  <si>
    <t>配置案</t>
  </si>
  <si>
    <t>参加者一覧</t>
  </si>
  <si>
    <t>＃</t>
  </si>
  <si>
    <t>陣営</t>
  </si>
  <si>
    <t>エージェント名</t>
  </si>
  <si>
    <t>呼び名</t>
  </si>
  <si>
    <t>移動手段</t>
  </si>
  <si>
    <t>役割</t>
  </si>
  <si>
    <t>備考</t>
  </si>
  <si>
    <t>image</t>
  </si>
  <si>
    <t xml:space="preserve"> </t>
  </si>
  <si>
    <t>人数</t>
  </si>
  <si>
    <t>RES</t>
  </si>
  <si>
    <t>フィールド</t>
  </si>
  <si>
    <t>徒歩</t>
  </si>
  <si>
    <t>オペレータ</t>
  </si>
  <si>
    <t>くるま</t>
  </si>
  <si>
    <t>観戦</t>
  </si>
  <si>
    <t>その他</t>
  </si>
  <si>
    <t>参加できるかも？</t>
  </si>
  <si>
    <t>スクショ</t>
  </si>
  <si>
    <t>鍵収集</t>
  </si>
  <si>
    <t>ポータル一覧</t>
  </si>
  <si>
    <t>↓この数が必要数です</t>
  </si>
  <si>
    <t>↓集めた人の名前を書いて、ポータルキーの数を入力してください。不足数は過不足数の列に表示されます。</t>
  </si>
  <si>
    <t>#</t>
  </si>
  <si>
    <t>ポータル名</t>
  </si>
  <si>
    <t>lat</t>
  </si>
  <si>
    <t>long</t>
  </si>
  <si>
    <t>faction</t>
  </si>
  <si>
    <t>作戦用ポータル名</t>
  </si>
  <si>
    <t>デプロイ
担当</t>
  </si>
  <si>
    <t>必要数合計</t>
  </si>
  <si>
    <t>収集数合計</t>
  </si>
  <si>
    <t>過不足数</t>
  </si>
  <si>
    <t>(なまえ）</t>
  </si>
  <si>
    <t>P01</t>
  </si>
  <si>
    <t>たいやきとお茶の店あんあん</t>
  </si>
  <si>
    <t>P02</t>
  </si>
  <si>
    <t>東町公園</t>
  </si>
  <si>
    <t>P03</t>
  </si>
  <si>
    <t>日本海情報ビジネス専門学校</t>
  </si>
  <si>
    <t>P04</t>
  </si>
  <si>
    <t>海鮮居酒屋 とみ家</t>
  </si>
  <si>
    <t>P05</t>
  </si>
  <si>
    <t>19.からす座</t>
  </si>
  <si>
    <t>P06</t>
  </si>
  <si>
    <t>旧法勝寺電車</t>
  </si>
  <si>
    <t>P07</t>
  </si>
  <si>
    <t>がいな太鼓時計</t>
  </si>
  <si>
    <t>P08</t>
  </si>
  <si>
    <t>米子合同庁舎</t>
  </si>
  <si>
    <t>P09</t>
  </si>
  <si>
    <t>金光教米子教会</t>
  </si>
  <si>
    <t>P10</t>
  </si>
  <si>
    <t>東京2020記念ゴールドポスト</t>
  </si>
  <si>
    <t>P11</t>
  </si>
  <si>
    <t>市営湊山球場跡地</t>
  </si>
  <si>
    <t>P12</t>
  </si>
  <si>
    <t>鳥取県西部総合事務所</t>
  </si>
  <si>
    <t>P13</t>
  </si>
  <si>
    <t>やっちゃん</t>
  </si>
  <si>
    <t>P14</t>
  </si>
  <si>
    <t>米子加茂町郵便局</t>
  </si>
  <si>
    <t>P15</t>
  </si>
  <si>
    <t>米子市役所</t>
  </si>
  <si>
    <t>P16</t>
  </si>
  <si>
    <t>延命院地蔵</t>
  </si>
  <si>
    <t>P17</t>
  </si>
  <si>
    <t>法勝寺町橋地蔵</t>
  </si>
  <si>
    <t>P18</t>
  </si>
  <si>
    <t>山陰歴史館</t>
  </si>
  <si>
    <t>P19</t>
  </si>
  <si>
    <t>天理教米城分教会</t>
  </si>
  <si>
    <t>P20</t>
  </si>
  <si>
    <t>加茂かめ</t>
  </si>
  <si>
    <t>P21</t>
  </si>
  <si>
    <t>瑜伽堂地蔵</t>
  </si>
  <si>
    <t>P22</t>
  </si>
  <si>
    <t>旭橋のステンドグラスみたいな欄干</t>
  </si>
  <si>
    <t>P23</t>
  </si>
  <si>
    <t>出現地蔵</t>
  </si>
  <si>
    <t>P24</t>
  </si>
  <si>
    <t>咲い地蔵</t>
  </si>
  <si>
    <t>P25</t>
  </si>
  <si>
    <t>カッパのコンちゃん</t>
  </si>
  <si>
    <t>P26</t>
  </si>
  <si>
    <t>宇気河口神社 鳥居</t>
  </si>
  <si>
    <t>P27</t>
  </si>
  <si>
    <t>感謝之碑</t>
  </si>
  <si>
    <t>P28</t>
  </si>
  <si>
    <t>荒魂神社</t>
  </si>
  <si>
    <t>P29</t>
  </si>
  <si>
    <t>川守り地蔵</t>
  </si>
  <si>
    <t>P30</t>
  </si>
  <si>
    <t>今井書店創業の地</t>
  </si>
  <si>
    <t>P31</t>
  </si>
  <si>
    <t>歯科医院のマスコット</t>
  </si>
  <si>
    <t>P32</t>
  </si>
  <si>
    <t>富士見2号公園</t>
  </si>
  <si>
    <t>P33</t>
  </si>
  <si>
    <t>出雲大社 米子分院</t>
  </si>
  <si>
    <t>P34</t>
  </si>
  <si>
    <t>米子 法城寺</t>
  </si>
  <si>
    <t>P35</t>
  </si>
  <si>
    <t>勝田神社の社</t>
  </si>
  <si>
    <t>P36</t>
  </si>
  <si>
    <t>お地蔵さん</t>
  </si>
  <si>
    <t>P37</t>
  </si>
  <si>
    <t>中ノ棚橋地蔵</t>
  </si>
  <si>
    <t>P38</t>
  </si>
  <si>
    <t>米子市中央隣保館</t>
  </si>
  <si>
    <t>P39</t>
  </si>
  <si>
    <t>朝日公園</t>
  </si>
  <si>
    <t>P40</t>
  </si>
  <si>
    <t>涼善寺 本堂</t>
  </si>
  <si>
    <t>P41</t>
  </si>
  <si>
    <t>米子盆踊発祥之地</t>
  </si>
  <si>
    <t>P42</t>
  </si>
  <si>
    <t>本教寺</t>
  </si>
  <si>
    <t>P43</t>
  </si>
  <si>
    <t>Big Boy 米子富士見町店</t>
  </si>
  <si>
    <t>P44</t>
  </si>
  <si>
    <t>米子城(再現イメージ)</t>
  </si>
  <si>
    <t>P45</t>
  </si>
  <si>
    <t>米子市公会堂の彫刻</t>
  </si>
  <si>
    <t>P46</t>
  </si>
  <si>
    <t>米子市公会堂</t>
  </si>
  <si>
    <t>P47</t>
  </si>
  <si>
    <t>与太郎地蔵</t>
  </si>
  <si>
    <t>P48</t>
  </si>
  <si>
    <t>囚われの馬</t>
  </si>
  <si>
    <t>P49</t>
  </si>
  <si>
    <t>天理教米府分教会</t>
  </si>
  <si>
    <t>P50</t>
  </si>
  <si>
    <t>福厳院六地蔵</t>
  </si>
  <si>
    <t>P51</t>
  </si>
  <si>
    <t>吉祥院地蔵</t>
  </si>
  <si>
    <t>P52</t>
  </si>
  <si>
    <t>博労町公園</t>
  </si>
  <si>
    <t>P53</t>
  </si>
  <si>
    <t>法蔵寺地蔵尊(みそなめ地蔵)</t>
  </si>
  <si>
    <t>P54</t>
  </si>
  <si>
    <t>心光寺 山門</t>
  </si>
  <si>
    <t>P55</t>
  </si>
  <si>
    <t>小公園</t>
  </si>
  <si>
    <t>P56</t>
  </si>
  <si>
    <t>蝉丸神社</t>
  </si>
  <si>
    <t>P57</t>
  </si>
  <si>
    <t>JR富士見町駅</t>
  </si>
  <si>
    <t>P58</t>
  </si>
  <si>
    <t>一心延命助地蔵尊</t>
  </si>
  <si>
    <t>P59</t>
  </si>
  <si>
    <t>YSP ボウル</t>
  </si>
  <si>
    <t>P60</t>
  </si>
  <si>
    <t>恒久平和 戦没者慰霊碑</t>
  </si>
  <si>
    <t>P61</t>
  </si>
  <si>
    <t>どらやき神社</t>
  </si>
  <si>
    <t>P62</t>
  </si>
  <si>
    <t>米子市役所博労町庁舎</t>
  </si>
  <si>
    <t>P63</t>
  </si>
  <si>
    <t>Rochelle Antique</t>
  </si>
  <si>
    <t>P64</t>
  </si>
  <si>
    <t>日ノ出公園</t>
  </si>
  <si>
    <t>P65</t>
  </si>
  <si>
    <t>錦町２丁目１区自治会掲示板</t>
  </si>
  <si>
    <t>P66</t>
  </si>
  <si>
    <t>真如苑 米子支部</t>
  </si>
  <si>
    <t>P67</t>
  </si>
  <si>
    <t>ちとせ</t>
  </si>
  <si>
    <t>P68</t>
  </si>
  <si>
    <t>住居表示街区案内図 米子市旗ヶ崎1丁目</t>
  </si>
  <si>
    <t>P69</t>
  </si>
  <si>
    <t>住居表示街区案内図 米子市東福原1丁目</t>
  </si>
  <si>
    <t>P70</t>
  </si>
  <si>
    <t>米川堤防のつつじ</t>
  </si>
  <si>
    <t>P71</t>
  </si>
  <si>
    <t>義方公民館</t>
  </si>
  <si>
    <t>P72</t>
  </si>
  <si>
    <t>糺神社 本殿</t>
  </si>
  <si>
    <t>P73</t>
  </si>
  <si>
    <t>三界萬霊塔</t>
  </si>
  <si>
    <t>P74</t>
  </si>
  <si>
    <t>ラッテちゃんボランティアロード</t>
  </si>
  <si>
    <t>P75</t>
  </si>
  <si>
    <t>西部建設会館</t>
  </si>
  <si>
    <t>P76</t>
  </si>
  <si>
    <t>焼肉大門</t>
  </si>
  <si>
    <t>P77</t>
  </si>
  <si>
    <t>理想教 米子法堂</t>
  </si>
  <si>
    <t>P78</t>
  </si>
  <si>
    <t>米子市中心市街地地図</t>
  </si>
  <si>
    <t>P79</t>
  </si>
  <si>
    <t>住居表示街区案内図 西福原1丁目</t>
  </si>
  <si>
    <t>P80</t>
  </si>
  <si>
    <t>JR後藤駅</t>
  </si>
  <si>
    <t>P81</t>
  </si>
  <si>
    <t>米原南土地区画整理竣工記念碑</t>
  </si>
  <si>
    <t>P82</t>
  </si>
  <si>
    <t>集会所はなみずき</t>
  </si>
  <si>
    <t>P83</t>
  </si>
  <si>
    <t>エースドライ</t>
  </si>
  <si>
    <t>P84</t>
  </si>
  <si>
    <t>環</t>
  </si>
  <si>
    <t>P85</t>
  </si>
  <si>
    <t>揺れるパンダ</t>
  </si>
  <si>
    <t>P86</t>
  </si>
  <si>
    <t>立町の遊歩道</t>
  </si>
  <si>
    <t>P87</t>
  </si>
  <si>
    <t>米原1丁目住宅案内図</t>
  </si>
  <si>
    <t>P88</t>
  </si>
  <si>
    <t>どろたぼう駅</t>
  </si>
  <si>
    <t>P89</t>
  </si>
  <si>
    <t>上場谷神社</t>
  </si>
  <si>
    <t>P90</t>
  </si>
  <si>
    <t>ラーメンつけ麺 今を粋ろ</t>
  </si>
  <si>
    <t>P91</t>
  </si>
  <si>
    <t>YONAGO SWIMING SCHOOL</t>
  </si>
  <si>
    <t>P92</t>
  </si>
  <si>
    <t>米子福音ルーテル教会</t>
  </si>
  <si>
    <t>P93</t>
  </si>
  <si>
    <t>少林寺拳法 米子東道院</t>
  </si>
  <si>
    <t>P94</t>
  </si>
  <si>
    <t>住居表示街区案内図 米子市米原3丁目</t>
  </si>
  <si>
    <t>P95</t>
  </si>
  <si>
    <t>Casa Dea</t>
  </si>
  <si>
    <t>P96</t>
  </si>
  <si>
    <t>米原のINFORMATION</t>
  </si>
  <si>
    <t>P97</t>
  </si>
  <si>
    <t>世界真光文明教団 米子センター</t>
  </si>
  <si>
    <t>P98</t>
  </si>
  <si>
    <t>公園のブランコ</t>
  </si>
  <si>
    <t>P99</t>
  </si>
  <si>
    <t>米子復活教会</t>
  </si>
  <si>
    <t>P100</t>
  </si>
  <si>
    <t>MEGAドン・キホーテ米子店の壁画</t>
  </si>
  <si>
    <t>P101</t>
  </si>
  <si>
    <t>弓ヶ浜の母なる水 米川</t>
  </si>
  <si>
    <t>P102</t>
  </si>
  <si>
    <t>西福原公園のテニスコート</t>
  </si>
  <si>
    <t>P103</t>
  </si>
  <si>
    <t>ソフトバンク米子中央</t>
  </si>
  <si>
    <t>P104</t>
  </si>
  <si>
    <t>ホリデイスポーツクラブ</t>
  </si>
  <si>
    <t>P105</t>
  </si>
  <si>
    <t>米子米原郵便局</t>
  </si>
  <si>
    <t>P201</t>
  </si>
  <si>
    <t>湊山体育館</t>
  </si>
  <si>
    <t>P202</t>
  </si>
  <si>
    <t>総泉時 本堂</t>
  </si>
  <si>
    <t>P203</t>
  </si>
  <si>
    <t>JR米子駅南口</t>
  </si>
  <si>
    <t>P204</t>
  </si>
  <si>
    <t>彫刻ロード「はる」</t>
  </si>
  <si>
    <t>P205</t>
  </si>
  <si>
    <t>大地の刻</t>
  </si>
  <si>
    <t>P206</t>
  </si>
  <si>
    <t>米子駅バス乗り場 観光案内地図</t>
  </si>
  <si>
    <t>P207</t>
  </si>
  <si>
    <t>Gravitation</t>
  </si>
  <si>
    <t>P208</t>
  </si>
  <si>
    <t>だれ</t>
  </si>
  <si>
    <t>P209</t>
  </si>
  <si>
    <t>地殻-cocoon3-</t>
  </si>
  <si>
    <t>P210</t>
  </si>
  <si>
    <t>祇園地蔵</t>
  </si>
  <si>
    <t>P211</t>
  </si>
  <si>
    <t>油そば 笑ちゃん</t>
  </si>
  <si>
    <t>P212</t>
  </si>
  <si>
    <t>彫刻ロード「光」</t>
  </si>
  <si>
    <t>P213</t>
  </si>
  <si>
    <t>白鳥</t>
  </si>
  <si>
    <t>P214</t>
  </si>
  <si>
    <t>Café ら・ぼーる</t>
  </si>
  <si>
    <t>P215</t>
  </si>
  <si>
    <t>彫刻ロード「再生」</t>
  </si>
  <si>
    <t>P216</t>
  </si>
  <si>
    <t>繁多寺</t>
  </si>
  <si>
    <t>P217</t>
  </si>
  <si>
    <t>明治第一公園のパーゴラ休憩所</t>
  </si>
  <si>
    <t>P218</t>
  </si>
  <si>
    <t>ローダンのラーメン 米子駅前店</t>
  </si>
  <si>
    <t>P219</t>
  </si>
  <si>
    <t>塩町地蔵</t>
  </si>
  <si>
    <t>P220</t>
  </si>
  <si>
    <t>焼肉ホルモン だんだん</t>
  </si>
  <si>
    <t>P221</t>
  </si>
  <si>
    <t>お食事小料理すえ</t>
  </si>
  <si>
    <t>P222</t>
  </si>
  <si>
    <t>米子城跡 上り口</t>
  </si>
  <si>
    <t>P223</t>
  </si>
  <si>
    <t>焼肉韓国料理 大力家族亭</t>
  </si>
  <si>
    <t>P224</t>
  </si>
  <si>
    <t>P225</t>
  </si>
  <si>
    <t>P301</t>
  </si>
  <si>
    <t>天理教京伯分教会</t>
  </si>
  <si>
    <t>P302</t>
  </si>
  <si>
    <t>陽田山 経王寺</t>
  </si>
  <si>
    <t>P303</t>
  </si>
  <si>
    <t>留魂碑</t>
  </si>
  <si>
    <t>P304</t>
  </si>
  <si>
    <t>犬の像</t>
  </si>
  <si>
    <t>P305</t>
  </si>
  <si>
    <t>イルカ</t>
  </si>
  <si>
    <t>P306</t>
  </si>
  <si>
    <t>どらドラパーク米子庭球場</t>
  </si>
  <si>
    <t>P307</t>
  </si>
  <si>
    <t>NPB 未来の侍プロジェクト</t>
  </si>
  <si>
    <t>P308</t>
  </si>
  <si>
    <t>どらドラパーク米子案内図</t>
  </si>
  <si>
    <t>P309</t>
  </si>
  <si>
    <t>どらドラパーク米子 案内図</t>
  </si>
  <si>
    <t>P310</t>
  </si>
  <si>
    <t>風</t>
  </si>
  <si>
    <t>P311</t>
  </si>
  <si>
    <t>彫刻作品「つまみぐい」</t>
  </si>
  <si>
    <t>P312</t>
  </si>
  <si>
    <t>ＪＲ 東山公園駅</t>
  </si>
  <si>
    <t>P313</t>
  </si>
  <si>
    <t>車尾の題目塔</t>
  </si>
  <si>
    <t>P314</t>
  </si>
  <si>
    <t>勝田東会館</t>
  </si>
  <si>
    <t>P315</t>
  </si>
  <si>
    <t>コンクリートすべり台</t>
  </si>
  <si>
    <t>P316</t>
  </si>
  <si>
    <t>住之江公園</t>
  </si>
  <si>
    <t>P317</t>
  </si>
  <si>
    <t>桜27本の碑</t>
  </si>
  <si>
    <t>P318</t>
  </si>
  <si>
    <t>米川案内板</t>
  </si>
  <si>
    <t>P319</t>
  </si>
  <si>
    <t>米子中島簡易郵便局</t>
  </si>
  <si>
    <t>合計</t>
  </si>
  <si>
    <t>最小座標</t>
  </si>
  <si>
    <t>最大座標</t>
  </si>
  <si>
    <t>中心座標</t>
  </si>
  <si>
    <t>下記の明細は手順書で使っています（消さないでね）</t>
  </si>
  <si>
    <t>X95</t>
  </si>
  <si>
    <t>反転し耐性を付けます</t>
  </si>
  <si>
    <t>X96</t>
  </si>
  <si>
    <t>MODにシールドを設置</t>
  </si>
  <si>
    <t>X97</t>
  </si>
  <si>
    <t>MODにSBULを設置</t>
  </si>
  <si>
    <t>X98</t>
  </si>
  <si>
    <t>ポータルを破壊します💣</t>
  </si>
  <si>
    <t>X99</t>
  </si>
  <si>
    <t>ポータルをキャプチャします</t>
  </si>
  <si>
    <t>X00</t>
  </si>
  <si>
    <t>オペレータに報告し指示を待つ</t>
  </si>
  <si>
    <t>ステップ</t>
  </si>
  <si>
    <t>担当</t>
  </si>
  <si>
    <t>From</t>
  </si>
  <si>
    <t>To</t>
  </si>
  <si>
    <t>リンク元</t>
  </si>
  <si>
    <t>リンク先</t>
  </si>
  <si>
    <t>コメント</t>
  </si>
  <si>
    <t>リンク先の担当者</t>
  </si>
  <si>
    <t>あおみ</t>
  </si>
  <si>
    <t>Agent01</t>
  </si>
  <si>
    <t xml:space="preserve">1.72Km  </t>
  </si>
  <si>
    <t>左側髪</t>
  </si>
  <si>
    <t xml:space="preserve">Step1: </t>
  </si>
  <si>
    <t>1.あおみ</t>
  </si>
  <si>
    <t>終了！</t>
  </si>
  <si>
    <t>Agent02</t>
  </si>
  <si>
    <t>2.81Km</t>
  </si>
  <si>
    <t>鼻、口、あご輪郭</t>
  </si>
  <si>
    <t>全て自分がキャプチャしたポータルとのリンクです</t>
  </si>
  <si>
    <t>Agent03</t>
  </si>
  <si>
    <t xml:space="preserve">2.52Km  </t>
  </si>
  <si>
    <t>左側の瞳、前髪</t>
  </si>
  <si>
    <t>Agent04</t>
  </si>
  <si>
    <t xml:space="preserve">2.14Km  </t>
  </si>
  <si>
    <t>左側の髪</t>
  </si>
  <si>
    <t>Agent05</t>
  </si>
  <si>
    <t xml:space="preserve">2.64Km  </t>
  </si>
  <si>
    <t>上側の髪</t>
  </si>
  <si>
    <t>P96:米原のINFORMATION</t>
  </si>
  <si>
    <t>P101:弓ヶ浜の母なる水 米川</t>
  </si>
  <si>
    <t>Agent06</t>
  </si>
  <si>
    <t xml:space="preserve">3.21Km  </t>
  </si>
  <si>
    <t>右側の髪</t>
  </si>
  <si>
    <t>★リンク多数！</t>
  </si>
  <si>
    <t>Agent07</t>
  </si>
  <si>
    <t xml:space="preserve">2.95Km  </t>
  </si>
  <si>
    <t>髪右下</t>
  </si>
  <si>
    <t>P56:蝉丸神社</t>
  </si>
  <si>
    <t>Agent08</t>
  </si>
  <si>
    <t xml:space="preserve">3.09Km  </t>
  </si>
  <si>
    <t>右側の瞳</t>
  </si>
  <si>
    <t>ラーメンどんぶり</t>
  </si>
  <si>
    <t>Agent21</t>
  </si>
  <si>
    <t xml:space="preserve">3.63Km  </t>
  </si>
  <si>
    <t>丼の外側</t>
  </si>
  <si>
    <t>2.ラーメン</t>
  </si>
  <si>
    <t>Agent22</t>
  </si>
  <si>
    <t xml:space="preserve">1.19Km  </t>
  </si>
  <si>
    <t>丼中央</t>
  </si>
  <si>
    <t>Agent23</t>
  </si>
  <si>
    <t xml:space="preserve">0.75Km  </t>
  </si>
  <si>
    <t>丼上部</t>
  </si>
  <si>
    <t>｢ら…｣</t>
  </si>
  <si>
    <t>Agent31</t>
  </si>
  <si>
    <t>3.ら…</t>
  </si>
  <si>
    <t>Agent32</t>
  </si>
  <si>
    <t>キーを集めたら担当別のカプセルに入れて渡す準備をしましょう</t>
  </si>
  <si>
    <t>担当別の必要キーは次のとおりです</t>
  </si>
  <si>
    <t>カプセルの名前→</t>
  </si>
  <si>
    <t>リンク元 の COUNTA</t>
  </si>
  <si>
    <t>総計</t>
  </si>
  <si>
    <t>P02:東町公園</t>
  </si>
  <si>
    <t>P04:海鮮居酒屋 とみ家</t>
  </si>
  <si>
    <t>P05:19.からす座</t>
  </si>
  <si>
    <t>P06:旧法勝寺電車</t>
  </si>
  <si>
    <t>P08:米子合同庁舎</t>
  </si>
  <si>
    <t>P09:金光教米子教会</t>
  </si>
  <si>
    <t>P10:東京2020記念ゴールドポスト</t>
  </si>
  <si>
    <t>P100:MEGAドン・キホーテ米子店の壁画</t>
  </si>
  <si>
    <t>P102:西福原公園のテニスコート</t>
  </si>
  <si>
    <t>P103:ソフトバンク米子中央</t>
  </si>
  <si>
    <t>P105:米子米原郵便局</t>
  </si>
  <si>
    <t>P11:市営湊山球場跡地</t>
  </si>
  <si>
    <t>P12:鳥取県西部総合事務所</t>
  </si>
  <si>
    <t>P13:やっちゃん</t>
  </si>
  <si>
    <t>P14:米子加茂町郵便局</t>
  </si>
  <si>
    <t>P15:米子市役所</t>
  </si>
  <si>
    <t>P16:延命院地蔵</t>
  </si>
  <si>
    <t>P18:山陰歴史館</t>
  </si>
  <si>
    <t>P19:天理教米城分教会</t>
  </si>
  <si>
    <t>P20:加茂かめ</t>
  </si>
  <si>
    <t>P21:瑜伽堂地蔵</t>
  </si>
  <si>
    <t>P23:出現地蔵</t>
  </si>
  <si>
    <t>P24:咲い地蔵</t>
  </si>
  <si>
    <t>P25:カッパのコンちゃん</t>
  </si>
  <si>
    <t>P26:宇気河口神社 鳥居</t>
  </si>
  <si>
    <t>P27:感謝之碑</t>
  </si>
  <si>
    <t>P28:荒魂神社</t>
  </si>
  <si>
    <t>P29:川守り地蔵</t>
  </si>
  <si>
    <t>P30:今井書店創業の地</t>
  </si>
  <si>
    <t>P31:歯科医院のマスコット</t>
  </si>
  <si>
    <t>P33:出雲大社 米子分院</t>
  </si>
  <si>
    <t>P34:米子 法城寺</t>
  </si>
  <si>
    <t>P37:中ノ棚橋地蔵</t>
  </si>
  <si>
    <t>P38:米子市中央隣保館</t>
  </si>
  <si>
    <t>P39:朝日公園</t>
  </si>
  <si>
    <t>P40:涼善寺 本堂</t>
  </si>
  <si>
    <t>P43:Big Boy 米子富士見町店</t>
  </si>
  <si>
    <t>P44:米子城(再現イメージ)</t>
  </si>
  <si>
    <t>P45:米子市公会堂の彫刻</t>
  </si>
  <si>
    <t>P46:米子市公会堂</t>
  </si>
  <si>
    <t>P47:与太郎地蔵</t>
  </si>
  <si>
    <t>P48:囚われの馬</t>
  </si>
  <si>
    <t>P49:天理教米府分教会</t>
  </si>
  <si>
    <t>P50:福厳院六地蔵</t>
  </si>
  <si>
    <t>P52:博労町公園</t>
  </si>
  <si>
    <t>P53:法蔵寺地蔵尊(みそなめ地蔵)</t>
  </si>
  <si>
    <t>P54:心光寺 山門</t>
  </si>
  <si>
    <t>P55:小公園</t>
  </si>
  <si>
    <t>P57:JR富士見町駅</t>
  </si>
  <si>
    <t>P58:一心延命助地蔵尊</t>
  </si>
  <si>
    <t>P59:YSP ボウル</t>
  </si>
  <si>
    <t>P60:恒久平和 戦没者慰霊碑</t>
  </si>
  <si>
    <t>P61:どらやき神社</t>
  </si>
  <si>
    <t>P62:米子市役所博労町庁舎</t>
  </si>
  <si>
    <t>P63:Rochelle Antique</t>
  </si>
  <si>
    <t>P64:日ノ出公園</t>
  </si>
  <si>
    <t>P65:錦町２丁目１区自治会掲示板</t>
  </si>
  <si>
    <t>P66:真如苑 米子支部</t>
  </si>
  <si>
    <t>P68:住居表示街区案内図 米子市旗ヶ崎1丁目</t>
  </si>
  <si>
    <t>P69:住居表示街区案内図 米子市東福原1丁目</t>
  </si>
  <si>
    <t>P70:米川堤防のつつじ</t>
  </si>
  <si>
    <t>P71:義方公民館</t>
  </si>
  <si>
    <t>P72:糺神社 本殿</t>
  </si>
  <si>
    <t>P73:三界萬霊塔</t>
  </si>
  <si>
    <t>P75:西部建設会館</t>
  </si>
  <si>
    <t>P76:焼肉大門</t>
  </si>
  <si>
    <t>P77:理想教 米子法堂</t>
  </si>
  <si>
    <t>P78:米子市中心市街地地図</t>
  </si>
  <si>
    <t>P79:住居表示街区案内図 西福原1丁目</t>
  </si>
  <si>
    <t>P80:JR後藤駅</t>
  </si>
  <si>
    <t>P81:米原南土地区画整理竣工記念碑</t>
  </si>
  <si>
    <t>P82:集会所はなみずき</t>
  </si>
  <si>
    <t>P83:エースドライ</t>
  </si>
  <si>
    <t>P85:揺れるパンダ</t>
  </si>
  <si>
    <t>P86:立町の遊歩道</t>
  </si>
  <si>
    <t>P87:米原1丁目住宅案内図</t>
  </si>
  <si>
    <t>P88:どろたぼう駅</t>
  </si>
  <si>
    <t>P89:上場谷神社</t>
  </si>
  <si>
    <t>P90:ラーメンつけ麺 今を粋ろ</t>
  </si>
  <si>
    <t>P91:YONAGO SWIMING SCHOOL</t>
  </si>
  <si>
    <t>P92:米子福音ルーテル教会</t>
  </si>
  <si>
    <t>P93:少林寺拳法 米子東道院</t>
  </si>
  <si>
    <t>P94:住居表示街区案内図 米子市米原3丁目</t>
  </si>
  <si>
    <t>P95:Casa Dea</t>
  </si>
  <si>
    <t>P97:世界真光文明教団 米子センター</t>
  </si>
  <si>
    <t>P98:公園のブランコ</t>
  </si>
  <si>
    <t>P99:米子復活教会</t>
  </si>
  <si>
    <t>1.あおみ の合計</t>
  </si>
  <si>
    <t>P201:湊山体育館</t>
  </si>
  <si>
    <t>P202:総泉時 本堂</t>
  </si>
  <si>
    <t>P203:JR米子駅南口</t>
  </si>
  <si>
    <t>P204:彫刻ロード「はる」</t>
  </si>
  <si>
    <t>P205:大地の刻</t>
  </si>
  <si>
    <t>P206:米子駅バス乗り場 観光案内地図</t>
  </si>
  <si>
    <t>P207:Gravitation</t>
  </si>
  <si>
    <t>P208:だれ</t>
  </si>
  <si>
    <t>P210:祇園地蔵</t>
  </si>
  <si>
    <t>P211:油そば 笑ちゃん</t>
  </si>
  <si>
    <t>P212:彫刻ロード「光」</t>
  </si>
  <si>
    <t>P214:Café ら・ぼーる</t>
  </si>
  <si>
    <t>P215:彫刻ロード「再生」</t>
  </si>
  <si>
    <t>P216:繁多寺</t>
  </si>
  <si>
    <t>P217:明治第一公園のパーゴラ休憩所</t>
  </si>
  <si>
    <t>P218:ローダンのラーメン 米子駅前店</t>
  </si>
  <si>
    <t>P219:塩町地蔵</t>
  </si>
  <si>
    <t>P220:焼肉ホルモン だんだん</t>
  </si>
  <si>
    <t>P221:お食事小料理すえ</t>
  </si>
  <si>
    <t>P223:焼肉韓国料理 大力家族亭</t>
  </si>
  <si>
    <t>2.ラーメン の合計</t>
  </si>
  <si>
    <t>P301:天理教京伯分教会</t>
  </si>
  <si>
    <t>P302:陽田山 経王寺</t>
  </si>
  <si>
    <t>P304:犬の像</t>
  </si>
  <si>
    <t>P305:イルカ</t>
  </si>
  <si>
    <t>P307:NPB 未来の侍プロジェクト</t>
  </si>
  <si>
    <t>P308:どらドラパーク米子案内図</t>
  </si>
  <si>
    <t>P309:どらドラパーク米子 案内図</t>
  </si>
  <si>
    <t>P310:風</t>
  </si>
  <si>
    <t>P311:彫刻作品「つまみぐい」</t>
  </si>
  <si>
    <t>P312:ＪＲ 東山公園駅</t>
  </si>
  <si>
    <t>P314:勝田東会館</t>
  </si>
  <si>
    <t>P315:コンクリートすべり台</t>
  </si>
  <si>
    <t>P316:住之江公園</t>
  </si>
  <si>
    <t>P318:米川案内板</t>
  </si>
  <si>
    <t>P319:米子中島簡易郵便局</t>
  </si>
  <si>
    <t>3.ら… の合計</t>
  </si>
  <si>
    <t>難読ポータル辞典</t>
  </si>
  <si>
    <t>難読？</t>
  </si>
  <si>
    <t>地元の方の補足が必要です！！！　初めての方やオペレータ向けの読み方など</t>
  </si>
  <si>
    <t>読み・通称</t>
  </si>
  <si>
    <t>←?　かもかめ？</t>
  </si>
  <si>
    <t>ゆうがどうじぞう</t>
  </si>
  <si>
    <t>わらい地蔵</t>
  </si>
  <si>
    <t>米子のシンボル的地蔵。昭和59年（1984）覚証院のたもとに地域の人たちの幸福を願ってまつられました。隣に「念ずれば花ひらく」の歌碑も建立されている。</t>
  </si>
  <si>
    <t>うきかわぐちじんじゃ とりい</t>
  </si>
  <si>
    <t xml:space="preserve">現在の錦公園近くに海上安全の守護神として弁財天社があり、近世初期に内町の宇氣社に移したといわれ、享保21年(1736)に境港より伊勢両宮祭神を内町に移し河口社として祀ったといわれる。明治5年に両社を合併し、宇氣・河口神社と改称した。 </t>
  </si>
  <si>
    <t>かわもりじぞう</t>
  </si>
  <si>
    <t>米子には地蔵が沢山あるらしい　https://www.city.yonago.lg.jp/secure/11336/jizoumeguri-web.pdf</t>
  </si>
  <si>
    <t>せみまるじんじゃ</t>
  </si>
  <si>
    <t>どらやきじんじゃ</t>
  </si>
  <si>
    <r>
      <t>丸京庵という和菓子店にある神社。　</t>
    </r>
    <r>
      <rPr>
        <u/>
        <sz val="10"/>
        <color rgb="FF1155CC"/>
        <rFont val="Arial"/>
        <family val="2"/>
      </rPr>
      <t>https://tottorimagazine.com/sichouson/yonagoshi/marukyoan/</t>
    </r>
  </si>
  <si>
    <t>ただすじんじゃ</t>
  </si>
  <si>
    <t>糺神社のご利益は、五穀豊穣、家内安全、厄除け、商売繁盛などです。また、糺神社には、縁結びの神様としても知られる玉依媛命（たまよりひめのみこと）が祀られているため、恋愛成就を祈願する人も多く訪れます。</t>
  </si>
  <si>
    <t>いまをいきろ</t>
  </si>
  <si>
    <t>←？</t>
  </si>
  <si>
    <t>手順書からDrawtool向けのJSONを作成</t>
  </si>
  <si>
    <t>※ポータルを3つ指定してCFを描くための補助ツール(P1,P2,P3にSEQを指定するとJSONに）</t>
  </si>
  <si>
    <t>このページは手順書から自動的に埋め込まれています。</t>
  </si>
  <si>
    <t>関数設定</t>
  </si>
  <si>
    <t>Master</t>
  </si>
  <si>
    <t>&lt;- JSONの編集</t>
  </si>
  <si>
    <t>→</t>
  </si>
  <si>
    <t>[・・・]をDrawtoolsの”PasteDrawnItem”で貼りつける</t>
  </si>
  <si>
    <t>JSON Format</t>
  </si>
  <si>
    <t>SEQ</t>
  </si>
  <si>
    <t>Name</t>
  </si>
  <si>
    <t>Lat</t>
  </si>
  <si>
    <t>Comment</t>
  </si>
  <si>
    <t>Type</t>
  </si>
  <si>
    <t>Agent</t>
  </si>
  <si>
    <t>P1</t>
  </si>
  <si>
    <t>P3</t>
  </si>
  <si>
    <t>Color</t>
  </si>
  <si>
    <t>P1Name</t>
  </si>
  <si>
    <t>P1lat</t>
  </si>
  <si>
    <t>P1Long</t>
  </si>
  <si>
    <t>P2Name</t>
  </si>
  <si>
    <t>P2lat</t>
  </si>
  <si>
    <t>P2Long</t>
  </si>
  <si>
    <t>P3Name</t>
  </si>
  <si>
    <t>P3lat</t>
  </si>
  <si>
    <t>P3Long</t>
  </si>
  <si>
    <t>カンマ区切り(ひとつ前がBegin)</t>
  </si>
  <si>
    <t>CF</t>
  </si>
  <si>
    <t>JSON-CF</t>
  </si>
  <si>
    <t>Link</t>
  </si>
  <si>
    <t>JSON-LINK</t>
  </si>
  <si>
    <t>Marker</t>
  </si>
  <si>
    <t>JSON-Marker</t>
  </si>
  <si>
    <t>JSON-Begin</t>
  </si>
  <si>
    <t>JSON-END</t>
  </si>
  <si>
    <t>JSON-text</t>
  </si>
  <si>
    <t>Format</t>
  </si>
  <si>
    <t>Begin</t>
  </si>
  <si>
    <t>-</t>
  </si>
  <si>
    <t xml:space="preserve">{"type":"polygon","latLngs":[ </t>
  </si>
  <si>
    <t>{"lat":</t>
  </si>
  <si>
    <t>,"lng":</t>
  </si>
  <si>
    <t>}, {"lat":</t>
  </si>
  <si>
    <t>},{"lat":</t>
  </si>
  <si>
    <t>}], "color":"</t>
  </si>
  <si>
    <t>"}</t>
  </si>
  <si>
    <t>{"type":"polyline","latLngs":[{"lat":</t>
  </si>
  <si>
    <t>}],"color":"</t>
  </si>
  <si>
    <t>{"type":"marker","latLng":{"lat":</t>
  </si>
  <si>
    <t>},"color":"</t>
  </si>
  <si>
    <t>[</t>
  </si>
  <si>
    <t>]</t>
  </si>
  <si>
    <t>FILTER関数</t>
  </si>
  <si>
    <t>End</t>
  </si>
  <si>
    <t>LinkColor</t>
  </si>
  <si>
    <t>dodgerblue</t>
  </si>
  <si>
    <t>OtherLinkColor</t>
  </si>
  <si>
    <t>deepskyblue</t>
  </si>
  <si>
    <t>MarkerColor</t>
  </si>
  <si>
    <t>blue</t>
  </si>
  <si>
    <t>AgentColor</t>
  </si>
  <si>
    <t>red</t>
  </si>
  <si>
    <t>CenterColor</t>
  </si>
  <si>
    <t>Agent Color</t>
  </si>
  <si>
    <t>blueviolet</t>
  </si>
  <si>
    <t xml:space="preserve">IndianRed  </t>
  </si>
  <si>
    <t xml:space="preserve">DarkSlateBlue </t>
  </si>
  <si>
    <t>coral</t>
  </si>
  <si>
    <t>teal</t>
  </si>
  <si>
    <t>DarkRed</t>
  </si>
  <si>
    <t>crimson</t>
  </si>
  <si>
    <t>Agent09</t>
  </si>
  <si>
    <t>Gold</t>
  </si>
  <si>
    <t>Agent10</t>
  </si>
  <si>
    <t>hotpink</t>
  </si>
  <si>
    <t>navy</t>
  </si>
  <si>
    <t>Agent24</t>
  </si>
  <si>
    <t>fuchsia</t>
  </si>
  <si>
    <t>Agent33</t>
  </si>
  <si>
    <t>Agent34</t>
  </si>
  <si>
    <t>lime</t>
  </si>
  <si>
    <t>Agent35</t>
  </si>
  <si>
    <t>maroon</t>
  </si>
  <si>
    <t>Agent36</t>
  </si>
  <si>
    <t>olive</t>
  </si>
  <si>
    <t>purple</t>
  </si>
  <si>
    <t>silver</t>
  </si>
  <si>
    <t>white</t>
  </si>
  <si>
    <t>及び yellow.</t>
  </si>
  <si>
    <t>1.72Km</t>
  </si>
  <si>
    <t>★</t>
  </si>
  <si>
    <t>P07:がいな太鼓時計</t>
  </si>
  <si>
    <t>P51:吉祥院地蔵</t>
  </si>
  <si>
    <t>P22:旭橋のステンドグラスみたいな欄干</t>
  </si>
  <si>
    <t>P17:法勝寺町橋地蔵</t>
  </si>
  <si>
    <t>P01:たいやきとお茶の店あんあん</t>
  </si>
  <si>
    <t>2.52Km</t>
  </si>
  <si>
    <t>P42:本教寺</t>
  </si>
  <si>
    <t>2.14Km</t>
  </si>
  <si>
    <t>P67:ちとせ</t>
  </si>
  <si>
    <t>2.64Km</t>
  </si>
  <si>
    <t>P104:ホリデイスポーツクラブ</t>
  </si>
  <si>
    <t>3.21Km</t>
  </si>
  <si>
    <t>P84:環</t>
  </si>
  <si>
    <t>P74:ラッテちゃんボランティアロード</t>
  </si>
  <si>
    <t>2.95Km</t>
  </si>
  <si>
    <t>P35:勝田神社の社</t>
  </si>
  <si>
    <t>P36:お地蔵さん</t>
  </si>
  <si>
    <t>3.09Km</t>
  </si>
  <si>
    <t>P41:米子盆踊発祥之地</t>
  </si>
  <si>
    <t>P32:富士見2号公園</t>
  </si>
  <si>
    <t>P03:日本海情報ビジネス専門学校</t>
  </si>
  <si>
    <t>3.63Km</t>
  </si>
  <si>
    <t>P222:米子城跡 上り口</t>
  </si>
  <si>
    <t>1.19Km</t>
  </si>
  <si>
    <t>P209:地殻-cocoon3-</t>
  </si>
  <si>
    <t>P213:白鳥</t>
  </si>
  <si>
    <t>0.75Km</t>
  </si>
  <si>
    <t>P306:どらドラパーク米子庭球場</t>
  </si>
  <si>
    <t>P317:桜27本の碑</t>
  </si>
  <si>
    <t>P313:車尾の題目塔</t>
  </si>
  <si>
    <t>P303:留魂碑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</si>
</sst>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m/d"/>
    <numFmt numFmtId="177" formatCode="0.000000"/>
    <numFmt numFmtId="178" formatCode="#,##0.0000000"/>
  </numFmts>
  <fonts count="75">
    <font>
      <sz val="10"/>
      <color rgb="FF000000"/>
      <name val="Arial"/>
      <scheme val="minor"/>
    </font>
    <font>
      <sz val="10"/>
      <color theme="1"/>
      <name val="Meiryo"/>
      <family val="3"/>
      <charset val="128"/>
    </font>
    <font>
      <sz val="10"/>
      <color rgb="FFEFEFEF"/>
      <name val="Meiryo"/>
      <family val="3"/>
      <charset val="128"/>
    </font>
    <font>
      <sz val="24"/>
      <color theme="1"/>
      <name val="Meiryo"/>
      <family val="3"/>
      <charset val="128"/>
    </font>
    <font>
      <sz val="10"/>
      <color rgb="FFFFFFFF"/>
      <name val="Meiryo"/>
      <family val="3"/>
      <charset val="128"/>
    </font>
    <font>
      <sz val="9"/>
      <color rgb="FFFF0000"/>
      <name val="Meiryo"/>
      <family val="3"/>
      <charset val="128"/>
    </font>
    <font>
      <sz val="10"/>
      <color rgb="FF000000"/>
      <name val="Roboto"/>
    </font>
    <font>
      <b/>
      <sz val="10"/>
      <color theme="1"/>
      <name val="Meiryo"/>
      <family val="3"/>
      <charset val="128"/>
    </font>
    <font>
      <u/>
      <sz val="10"/>
      <color rgb="FF0000FF"/>
      <name val="Arial"/>
    </font>
    <font>
      <u/>
      <sz val="10"/>
      <color rgb="FF0000FF"/>
      <name val="Meiryo"/>
      <family val="3"/>
      <charset val="128"/>
    </font>
    <font>
      <sz val="10"/>
      <color theme="1"/>
      <name val="Arial"/>
      <scheme val="minor"/>
    </font>
    <font>
      <u/>
      <sz val="11"/>
      <color rgb="FF000000"/>
      <name val="Arial"/>
    </font>
    <font>
      <sz val="10"/>
      <color theme="1"/>
      <name val="Arial"/>
    </font>
    <font>
      <u/>
      <sz val="10"/>
      <color rgb="FF0000FF"/>
      <name val="Arial"/>
    </font>
    <font>
      <sz val="10"/>
      <color rgb="FFFF0000"/>
      <name val="Meiryo"/>
      <family val="3"/>
      <charset val="128"/>
    </font>
    <font>
      <sz val="10"/>
      <name val="Arial"/>
    </font>
    <font>
      <sz val="10"/>
      <color rgb="FFF3F3F3"/>
      <name val="Meiryo"/>
      <family val="3"/>
      <charset val="128"/>
    </font>
    <font>
      <sz val="9"/>
      <color theme="1"/>
      <name val="Meiryo"/>
      <family val="3"/>
      <charset val="128"/>
    </font>
    <font>
      <sz val="9"/>
      <color theme="1"/>
      <name val="Arial"/>
      <scheme val="minor"/>
    </font>
    <font>
      <b/>
      <sz val="9"/>
      <color rgb="FFFF0000"/>
      <name val="Meiryo"/>
      <family val="3"/>
      <charset val="128"/>
    </font>
    <font>
      <sz val="10"/>
      <color rgb="FF0000FF"/>
      <name val="Arial"/>
      <scheme val="minor"/>
    </font>
    <font>
      <b/>
      <sz val="9"/>
      <color rgb="FFCC4125"/>
      <name val="Meiryo"/>
      <family val="3"/>
      <charset val="128"/>
    </font>
    <font>
      <sz val="10"/>
      <color rgb="FF263238"/>
      <name val="Roboto"/>
    </font>
    <font>
      <u/>
      <sz val="10"/>
      <color rgb="FF263238"/>
      <name val="Roboto"/>
    </font>
    <font>
      <u/>
      <sz val="10"/>
      <color rgb="FF263238"/>
      <name val="Roboto"/>
    </font>
    <font>
      <u/>
      <sz val="10"/>
      <color rgb="FF1155CC"/>
      <name val="Meiryo"/>
      <family val="3"/>
      <charset val="128"/>
    </font>
    <font>
      <b/>
      <u/>
      <sz val="10"/>
      <color rgb="FF1155CC"/>
      <name val="Meiryo"/>
      <family val="3"/>
      <charset val="128"/>
    </font>
    <font>
      <sz val="10"/>
      <color theme="1"/>
      <name val="Meiryo"/>
      <family val="3"/>
      <charset val="128"/>
    </font>
    <font>
      <sz val="18"/>
      <color theme="1"/>
      <name val="Meiryo"/>
      <family val="3"/>
      <charset val="128"/>
    </font>
    <font>
      <sz val="10"/>
      <color rgb="FFF3F3F3"/>
      <name val="Meiryo"/>
      <family val="3"/>
      <charset val="128"/>
    </font>
    <font>
      <sz val="10"/>
      <color rgb="FF373737"/>
      <name val="Meiryo"/>
      <family val="3"/>
      <charset val="128"/>
    </font>
    <font>
      <sz val="10"/>
      <color rgb="FF000000"/>
      <name val="Meiryo"/>
      <family val="3"/>
      <charset val="128"/>
    </font>
    <font>
      <sz val="11"/>
      <color rgb="FF000000"/>
      <name val="&quot;Meiryo UI&quot;"/>
    </font>
    <font>
      <sz val="11"/>
      <color rgb="FF000000"/>
      <name val="Arial"/>
      <family val="2"/>
    </font>
    <font>
      <b/>
      <sz val="18"/>
      <color theme="1"/>
      <name val="Meiryo"/>
      <family val="3"/>
      <charset val="128"/>
    </font>
    <font>
      <b/>
      <sz val="9"/>
      <color rgb="FFFFFFFF"/>
      <name val="Meiryo"/>
      <family val="3"/>
      <charset val="128"/>
    </font>
    <font>
      <sz val="9"/>
      <color rgb="FFF3F3F3"/>
      <name val="Meiryo"/>
      <family val="3"/>
      <charset val="128"/>
    </font>
    <font>
      <sz val="9"/>
      <color rgb="FFFFFFFF"/>
      <name val="Meiryo"/>
      <family val="3"/>
      <charset val="128"/>
    </font>
    <font>
      <b/>
      <sz val="11"/>
      <color rgb="FFFFFFFF"/>
      <name val="Meiryo"/>
      <family val="3"/>
      <charset val="128"/>
    </font>
    <font>
      <b/>
      <sz val="9"/>
      <color rgb="FF000000"/>
      <name val="Meiryo"/>
      <family val="3"/>
      <charset val="128"/>
    </font>
    <font>
      <b/>
      <sz val="9"/>
      <color theme="1"/>
      <name val="Meiryo"/>
      <family val="3"/>
      <charset val="128"/>
    </font>
    <font>
      <sz val="11"/>
      <color rgb="FF000000"/>
      <name val="Meiryo"/>
      <family val="3"/>
      <charset val="128"/>
    </font>
    <font>
      <sz val="11"/>
      <color rgb="FF000000"/>
      <name val="Consolas"/>
      <family val="3"/>
    </font>
    <font>
      <sz val="11"/>
      <color theme="1"/>
      <name val="Meiryo"/>
      <family val="3"/>
      <charset val="128"/>
    </font>
    <font>
      <b/>
      <sz val="11"/>
      <color theme="1"/>
      <name val="Meiryo"/>
      <family val="3"/>
      <charset val="128"/>
    </font>
    <font>
      <b/>
      <sz val="10"/>
      <color theme="1"/>
      <name val="Arial"/>
      <family val="2"/>
    </font>
    <font>
      <sz val="11"/>
      <color rgb="FFFFFFFF"/>
      <name val="Meiryo"/>
      <family val="3"/>
      <charset val="128"/>
    </font>
    <font>
      <b/>
      <sz val="10"/>
      <color rgb="FFFFFFFF"/>
      <name val="Meiryo"/>
      <family val="3"/>
      <charset val="128"/>
    </font>
    <font>
      <b/>
      <sz val="10"/>
      <color theme="1"/>
      <name val="Meiryo"/>
      <family val="3"/>
      <charset val="128"/>
    </font>
    <font>
      <sz val="11"/>
      <color theme="1"/>
      <name val="Arial"/>
      <family val="2"/>
      <scheme val="minor"/>
    </font>
    <font>
      <b/>
      <sz val="14"/>
      <color rgb="FF00B050"/>
      <name val="Arial"/>
      <family val="2"/>
    </font>
    <font>
      <sz val="10"/>
      <color rgb="FF000000"/>
      <name val="Inconsolata"/>
    </font>
    <font>
      <sz val="11"/>
      <color rgb="FF000000"/>
      <name val="Inconsolata"/>
    </font>
    <font>
      <b/>
      <sz val="10"/>
      <color rgb="FF000000"/>
      <name val="Meiryo"/>
      <family val="3"/>
      <charset val="128"/>
    </font>
    <font>
      <sz val="18"/>
      <color theme="1"/>
      <name val="Arial"/>
      <family val="2"/>
      <scheme val="minor"/>
    </font>
    <font>
      <sz val="10"/>
      <color rgb="FFFFFFFF"/>
      <name val="Arial"/>
      <family val="2"/>
      <scheme val="minor"/>
    </font>
    <font>
      <u/>
      <sz val="10"/>
      <color rgb="FF0000FF"/>
      <name val="Arial"/>
      <family val="2"/>
    </font>
    <font>
      <sz val="10"/>
      <color theme="1"/>
      <name val="Arial"/>
      <family val="2"/>
    </font>
    <font>
      <b/>
      <sz val="20"/>
      <color rgb="FF000000"/>
      <name val="Meiryo"/>
      <family val="3"/>
      <charset val="128"/>
    </font>
    <font>
      <b/>
      <sz val="10"/>
      <color rgb="FF000000"/>
      <name val="Meiryo"/>
      <family val="3"/>
      <charset val="128"/>
    </font>
    <font>
      <b/>
      <sz val="10"/>
      <color rgb="FFFFFFFF"/>
      <name val="Meiryo"/>
      <family val="3"/>
      <charset val="128"/>
    </font>
    <font>
      <b/>
      <sz val="10"/>
      <color rgb="FFFFFFFF"/>
      <name val="Arial"/>
      <family val="2"/>
    </font>
    <font>
      <b/>
      <sz val="10"/>
      <color rgb="FF9C0006"/>
      <name val="Meiryo"/>
      <family val="3"/>
      <charset val="128"/>
    </font>
    <font>
      <b/>
      <sz val="10"/>
      <color rgb="FF006100"/>
      <name val="Meiryo"/>
      <family val="3"/>
      <charset val="128"/>
    </font>
    <font>
      <sz val="10"/>
      <color rgb="FF006100"/>
      <name val="Meiryo"/>
      <family val="3"/>
      <charset val="128"/>
    </font>
    <font>
      <sz val="10"/>
      <color rgb="FF000000"/>
      <name val="Meiryo"/>
      <family val="3"/>
      <charset val="128"/>
    </font>
    <font>
      <u/>
      <sz val="10"/>
      <color theme="1"/>
      <name val="Meiryo"/>
      <family val="3"/>
      <charset val="128"/>
    </font>
    <font>
      <sz val="9"/>
      <color rgb="FF000000"/>
      <name val="Meiryo"/>
      <family val="3"/>
      <charset val="128"/>
    </font>
    <font>
      <u/>
      <sz val="10"/>
      <color rgb="FF1155CC"/>
      <name val="Arial"/>
      <family val="2"/>
    </font>
    <font>
      <b/>
      <sz val="11"/>
      <color rgb="FFC53929"/>
      <name val="Meiryo"/>
      <family val="3"/>
      <charset val="128"/>
    </font>
    <font>
      <sz val="6"/>
      <name val="Arial"/>
      <family val="3"/>
      <charset val="128"/>
      <scheme val="minor"/>
    </font>
    <font>
      <b/>
      <sz val="11"/>
      <color rgb="FF000000"/>
      <name val="Meiryo"/>
      <family val="3"/>
      <charset val="128"/>
    </font>
    <font>
      <sz val="11"/>
      <color rgb="FF000000"/>
      <name val="Arial"/>
      <family val="2"/>
      <scheme val="minor"/>
    </font>
    <font>
      <b/>
      <sz val="11"/>
      <color rgb="FF00B050"/>
      <name val="Arial"/>
      <family val="2"/>
      <scheme val="minor"/>
    </font>
    <font>
      <b/>
      <sz val="11"/>
      <color rgb="FF000000"/>
      <name val="Arial"/>
      <family val="2"/>
      <scheme val="minor"/>
    </font>
  </fonts>
  <fills count="45">
    <fill>
      <patternFill patternType="none"/>
    </fill>
    <fill>
      <patternFill patternType="gray125"/>
    </fill>
    <fill>
      <patternFill patternType="solid">
        <fgColor rgb="FF000000"/>
        <bgColor rgb="FF000000"/>
      </patternFill>
    </fill>
    <fill>
      <patternFill patternType="solid">
        <fgColor rgb="FFF3F3F3"/>
        <bgColor rgb="FFF3F3F3"/>
      </patternFill>
    </fill>
    <fill>
      <patternFill patternType="solid">
        <fgColor rgb="FFFFFFFF"/>
        <bgColor rgb="FFFFFFFF"/>
      </patternFill>
    </fill>
    <fill>
      <patternFill patternType="solid">
        <fgColor rgb="FF073763"/>
        <bgColor rgb="FF073763"/>
      </patternFill>
    </fill>
    <fill>
      <patternFill patternType="solid">
        <fgColor rgb="FF990000"/>
        <bgColor rgb="FF990000"/>
      </patternFill>
    </fill>
    <fill>
      <patternFill patternType="solid">
        <fgColor rgb="FFCFE2F3"/>
        <bgColor rgb="FFCFE2F3"/>
      </patternFill>
    </fill>
    <fill>
      <patternFill patternType="solid">
        <fgColor rgb="FFFCE5CD"/>
        <bgColor rgb="FFFCE5CD"/>
      </patternFill>
    </fill>
    <fill>
      <patternFill patternType="solid">
        <fgColor rgb="FFF1C232"/>
        <bgColor rgb="FFF1C232"/>
      </patternFill>
    </fill>
    <fill>
      <patternFill patternType="solid">
        <fgColor rgb="FF4A86E8"/>
        <bgColor rgb="FF4A86E8"/>
      </patternFill>
    </fill>
    <fill>
      <patternFill patternType="solid">
        <fgColor rgb="FF3C78D8"/>
        <bgColor rgb="FF3C78D8"/>
      </patternFill>
    </fill>
    <fill>
      <patternFill patternType="solid">
        <fgColor rgb="FFFFD966"/>
        <bgColor rgb="FFFFD966"/>
      </patternFill>
    </fill>
    <fill>
      <patternFill patternType="solid">
        <fgColor rgb="FF9FC5E8"/>
        <bgColor rgb="FF9FC5E8"/>
      </patternFill>
    </fill>
    <fill>
      <patternFill patternType="solid">
        <fgColor rgb="FFFFF2CC"/>
        <bgColor rgb="FFFFF2CC"/>
      </patternFill>
    </fill>
    <fill>
      <patternFill patternType="solid">
        <fgColor rgb="FFC9DAF8"/>
        <bgColor rgb="FFC9DAF8"/>
      </patternFill>
    </fill>
    <fill>
      <patternFill patternType="solid">
        <fgColor rgb="FFFDF2F1"/>
        <bgColor rgb="FFFDF2F1"/>
      </patternFill>
    </fill>
    <fill>
      <patternFill patternType="solid">
        <fgColor rgb="FFFBEAE8"/>
        <bgColor rgb="FFFBEAE8"/>
      </patternFill>
    </fill>
    <fill>
      <patternFill patternType="solid">
        <fgColor rgb="FFFEF7F6"/>
        <bgColor rgb="FFFEF7F6"/>
      </patternFill>
    </fill>
    <fill>
      <patternFill patternType="solid">
        <fgColor rgb="FFFFFBFB"/>
        <bgColor rgb="FFFFFBFB"/>
      </patternFill>
    </fill>
    <fill>
      <patternFill patternType="solid">
        <fgColor rgb="FFF7D4D1"/>
        <bgColor rgb="FFF7D4D1"/>
      </patternFill>
    </fill>
    <fill>
      <patternFill patternType="solid">
        <fgColor rgb="FFFCEEED"/>
        <bgColor rgb="FFFCEEED"/>
      </patternFill>
    </fill>
    <fill>
      <patternFill patternType="solid">
        <fgColor rgb="FFFAE5E3"/>
        <bgColor rgb="FFFAE5E3"/>
      </patternFill>
    </fill>
    <fill>
      <patternFill patternType="solid">
        <fgColor rgb="FFFFFCFC"/>
        <bgColor rgb="FFFFFCFC"/>
      </patternFill>
    </fill>
    <fill>
      <patternFill patternType="solid">
        <fgColor rgb="FFFEF9F8"/>
        <bgColor rgb="FFFEF9F8"/>
      </patternFill>
    </fill>
    <fill>
      <patternFill patternType="solid">
        <fgColor rgb="FFF8F9FA"/>
        <bgColor rgb="FFF8F9FA"/>
      </patternFill>
    </fill>
    <fill>
      <patternFill patternType="solid">
        <fgColor rgb="FFEAD1DC"/>
        <bgColor rgb="FFEAD1DC"/>
      </patternFill>
    </fill>
    <fill>
      <patternFill patternType="solid">
        <fgColor rgb="FFFFE599"/>
        <bgColor rgb="FFFFE599"/>
      </patternFill>
    </fill>
    <fill>
      <patternFill patternType="solid">
        <fgColor rgb="FFA4C2F4"/>
        <bgColor rgb="FFA4C2F4"/>
      </patternFill>
    </fill>
    <fill>
      <patternFill patternType="solid">
        <fgColor rgb="FFF4CCCC"/>
        <bgColor rgb="FFF4CCCC"/>
      </patternFill>
    </fill>
    <fill>
      <patternFill patternType="solid">
        <fgColor rgb="FF1C4587"/>
        <bgColor rgb="FF1C4587"/>
      </patternFill>
    </fill>
    <fill>
      <patternFill patternType="solid">
        <fgColor rgb="FF00FFFF"/>
        <bgColor rgb="FF00FFFF"/>
      </patternFill>
    </fill>
    <fill>
      <patternFill patternType="solid">
        <fgColor rgb="FF3F3151"/>
        <bgColor rgb="FF3F3151"/>
      </patternFill>
    </fill>
    <fill>
      <patternFill patternType="solid">
        <fgColor rgb="FF548DD4"/>
        <bgColor rgb="FF548DD4"/>
      </patternFill>
    </fill>
    <fill>
      <patternFill patternType="solid">
        <fgColor rgb="FF8064A2"/>
        <bgColor rgb="FF8064A2"/>
      </patternFill>
    </fill>
    <fill>
      <patternFill patternType="solid">
        <fgColor rgb="FFC0504D"/>
        <bgColor rgb="FFC0504D"/>
      </patternFill>
    </fill>
    <fill>
      <patternFill patternType="solid">
        <fgColor rgb="FF4F81BD"/>
        <bgColor rgb="FF4F81BD"/>
      </patternFill>
    </fill>
    <fill>
      <patternFill patternType="solid">
        <fgColor rgb="FF9BBB59"/>
        <bgColor rgb="FF9BBB59"/>
      </patternFill>
    </fill>
    <fill>
      <patternFill patternType="solid">
        <fgColor rgb="FF980000"/>
        <bgColor rgb="FF980000"/>
      </patternFill>
    </fill>
    <fill>
      <patternFill patternType="solid">
        <fgColor rgb="FFC6EFCE"/>
        <bgColor rgb="FFC6EFCE"/>
      </patternFill>
    </fill>
    <fill>
      <patternFill patternType="solid">
        <fgColor rgb="FFFFEB9C"/>
        <bgColor rgb="FFFFEB9C"/>
      </patternFill>
    </fill>
    <fill>
      <patternFill patternType="solid">
        <fgColor rgb="FF073763"/>
        <bgColor indexed="64"/>
      </patternFill>
    </fill>
    <fill>
      <patternFill patternType="solid">
        <fgColor rgb="FFFFFFFF"/>
        <bgColor indexed="64"/>
      </patternFill>
    </fill>
    <fill>
      <patternFill patternType="solid">
        <fgColor rgb="FFFFF2CC"/>
        <bgColor indexed="64"/>
      </patternFill>
    </fill>
    <fill>
      <patternFill patternType="solid">
        <fgColor rgb="FFA4C2F4"/>
        <bgColor indexed="64"/>
      </patternFill>
    </fill>
  </fills>
  <borders count="20">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bottom/>
      <diagonal/>
    </border>
    <border>
      <left style="thin">
        <color rgb="FF000000"/>
      </left>
      <right style="thin">
        <color rgb="FF000000"/>
      </right>
      <top/>
      <bottom style="dotted">
        <color rgb="FF000000"/>
      </bottom>
      <diagonal/>
    </border>
    <border>
      <left style="thin">
        <color rgb="FF000000"/>
      </left>
      <right style="thin">
        <color rgb="FF000000"/>
      </right>
      <top style="dotted">
        <color rgb="FF000000"/>
      </top>
      <bottom style="dotted">
        <color rgb="FF000000"/>
      </bottom>
      <diagonal/>
    </border>
    <border>
      <left style="thin">
        <color rgb="FF000000"/>
      </left>
      <right style="thin">
        <color rgb="FF000000"/>
      </right>
      <top style="dotted">
        <color rgb="FF000000"/>
      </top>
      <bottom/>
      <diagonal/>
    </border>
    <border>
      <left style="thin">
        <color rgb="FF000000"/>
      </left>
      <right style="thin">
        <color rgb="FF000000"/>
      </right>
      <top/>
      <bottom style="thin">
        <color rgb="FF000000"/>
      </bottom>
      <diagonal/>
    </border>
    <border>
      <left/>
      <right/>
      <top style="hair">
        <color auto="1"/>
      </top>
      <bottom style="hair">
        <color auto="1"/>
      </bottom>
      <diagonal/>
    </border>
  </borders>
  <cellStyleXfs count="1">
    <xf numFmtId="0" fontId="0" fillId="0" borderId="0"/>
  </cellStyleXfs>
  <cellXfs count="310">
    <xf numFmtId="0" fontId="0" fillId="0" borderId="0" xfId="0"/>
    <xf numFmtId="0" fontId="1" fillId="0" borderId="0" xfId="0" applyFont="1" applyAlignment="1">
      <alignment vertical="top"/>
    </xf>
    <xf numFmtId="0" fontId="1" fillId="0" borderId="0" xfId="0" applyFont="1" applyAlignment="1">
      <alignment vertical="center"/>
    </xf>
    <xf numFmtId="176" fontId="1" fillId="0" borderId="0" xfId="0" applyNumberFormat="1" applyFont="1" applyAlignment="1">
      <alignment vertical="top"/>
    </xf>
    <xf numFmtId="0" fontId="1" fillId="0" borderId="0" xfId="0" applyFont="1"/>
    <xf numFmtId="0" fontId="2" fillId="2" borderId="0" xfId="0" applyFont="1" applyFill="1" applyAlignment="1">
      <alignment vertical="center"/>
    </xf>
    <xf numFmtId="0" fontId="1" fillId="0" borderId="0" xfId="0" applyFont="1" applyAlignment="1">
      <alignment horizontal="left" vertical="center"/>
    </xf>
    <xf numFmtId="14" fontId="1" fillId="0" borderId="0" xfId="0" applyNumberFormat="1" applyFont="1" applyAlignment="1">
      <alignment vertical="top"/>
    </xf>
    <xf numFmtId="0" fontId="1" fillId="3" borderId="1" xfId="0" applyFont="1" applyFill="1" applyBorder="1" applyAlignment="1">
      <alignment vertical="center"/>
    </xf>
    <xf numFmtId="0" fontId="1" fillId="0" borderId="2" xfId="0" applyFont="1" applyBorder="1" applyAlignment="1">
      <alignment horizontal="left" vertical="center"/>
    </xf>
    <xf numFmtId="0" fontId="1" fillId="0" borderId="2" xfId="0" applyFont="1" applyBorder="1" applyAlignment="1">
      <alignment vertical="center"/>
    </xf>
    <xf numFmtId="0" fontId="1" fillId="0" borderId="3" xfId="0" applyFont="1" applyBorder="1" applyAlignment="1">
      <alignment vertical="top"/>
    </xf>
    <xf numFmtId="0" fontId="3" fillId="0" borderId="0" xfId="0" applyFont="1"/>
    <xf numFmtId="0" fontId="1" fillId="3" borderId="4" xfId="0" applyFont="1" applyFill="1" applyBorder="1" applyAlignment="1">
      <alignment vertical="center"/>
    </xf>
    <xf numFmtId="0" fontId="1" fillId="0" borderId="5" xfId="0" applyFont="1" applyBorder="1" applyAlignment="1">
      <alignment vertical="top"/>
    </xf>
    <xf numFmtId="0" fontId="1" fillId="3" borderId="4" xfId="0" applyFont="1" applyFill="1" applyBorder="1"/>
    <xf numFmtId="0" fontId="1" fillId="0" borderId="6" xfId="0" applyFont="1" applyBorder="1"/>
    <xf numFmtId="0" fontId="1" fillId="3" borderId="7" xfId="0" applyFont="1" applyFill="1" applyBorder="1" applyAlignment="1">
      <alignment vertical="center"/>
    </xf>
    <xf numFmtId="0" fontId="1" fillId="0" borderId="8" xfId="0" applyFont="1" applyBorder="1" applyAlignment="1">
      <alignment horizontal="left" vertical="center"/>
    </xf>
    <xf numFmtId="0" fontId="1" fillId="0" borderId="8" xfId="0" applyFont="1" applyBorder="1" applyAlignment="1">
      <alignment vertical="center"/>
    </xf>
    <xf numFmtId="0" fontId="1" fillId="0" borderId="9" xfId="0" applyFont="1" applyBorder="1" applyAlignment="1">
      <alignment vertical="top"/>
    </xf>
    <xf numFmtId="0" fontId="4" fillId="2" borderId="0" xfId="0" applyFont="1" applyFill="1" applyAlignment="1">
      <alignment vertical="center"/>
    </xf>
    <xf numFmtId="0" fontId="5" fillId="0" borderId="0" xfId="0" applyFont="1"/>
    <xf numFmtId="20" fontId="1" fillId="0" borderId="0" xfId="0" applyNumberFormat="1" applyFont="1" applyAlignment="1">
      <alignment horizontal="left" vertical="center"/>
    </xf>
    <xf numFmtId="0" fontId="6" fillId="4" borderId="0" xfId="0" applyFont="1" applyFill="1"/>
    <xf numFmtId="0" fontId="1" fillId="3" borderId="4" xfId="0" applyFont="1" applyFill="1" applyBorder="1" applyAlignment="1">
      <alignment horizontal="right" vertical="center"/>
    </xf>
    <xf numFmtId="0" fontId="7" fillId="3" borderId="7" xfId="0" applyFont="1" applyFill="1" applyBorder="1" applyAlignment="1">
      <alignment vertical="center"/>
    </xf>
    <xf numFmtId="0" fontId="8" fillId="0" borderId="8" xfId="0" applyFont="1" applyBorder="1"/>
    <xf numFmtId="0" fontId="1" fillId="3" borderId="1" xfId="0" applyFont="1" applyFill="1" applyBorder="1" applyAlignment="1">
      <alignment horizontal="left"/>
    </xf>
    <xf numFmtId="0" fontId="9" fillId="0" borderId="2" xfId="0" applyFont="1" applyBorder="1"/>
    <xf numFmtId="0" fontId="1" fillId="0" borderId="2" xfId="0" applyFont="1" applyBorder="1"/>
    <xf numFmtId="0" fontId="10" fillId="3" borderId="4" xfId="0" applyFont="1" applyFill="1" applyBorder="1"/>
    <xf numFmtId="0" fontId="10" fillId="0" borderId="0" xfId="0" applyFont="1"/>
    <xf numFmtId="0" fontId="10" fillId="3" borderId="1" xfId="0" applyFont="1" applyFill="1" applyBorder="1"/>
    <xf numFmtId="0" fontId="11" fillId="4" borderId="2" xfId="0" applyFont="1" applyFill="1" applyBorder="1"/>
    <xf numFmtId="0" fontId="10" fillId="0" borderId="2" xfId="0" applyFont="1" applyBorder="1"/>
    <xf numFmtId="0" fontId="10" fillId="0" borderId="3" xfId="0" applyFont="1" applyBorder="1"/>
    <xf numFmtId="0" fontId="10" fillId="0" borderId="5" xfId="0" applyFont="1" applyBorder="1"/>
    <xf numFmtId="0" fontId="1" fillId="3" borderId="7" xfId="0" applyFont="1" applyFill="1" applyBorder="1"/>
    <xf numFmtId="20" fontId="1" fillId="0" borderId="8" xfId="0" applyNumberFormat="1" applyFont="1" applyBorder="1" applyAlignment="1">
      <alignment horizontal="left" vertical="center"/>
    </xf>
    <xf numFmtId="0" fontId="12" fillId="0" borderId="0" xfId="0" applyFont="1"/>
    <xf numFmtId="0" fontId="12" fillId="0" borderId="5" xfId="0" applyFont="1" applyBorder="1" applyAlignment="1">
      <alignment vertical="top"/>
    </xf>
    <xf numFmtId="20" fontId="1" fillId="0" borderId="0" xfId="0" applyNumberFormat="1" applyFont="1"/>
    <xf numFmtId="0" fontId="1" fillId="3" borderId="1" xfId="0" applyFont="1" applyFill="1" applyBorder="1"/>
    <xf numFmtId="0" fontId="13" fillId="0" borderId="0" xfId="0" applyFont="1"/>
    <xf numFmtId="0" fontId="12" fillId="0" borderId="2" xfId="0" applyFont="1" applyBorder="1"/>
    <xf numFmtId="0" fontId="12" fillId="0" borderId="3" xfId="0" applyFont="1" applyBorder="1" applyAlignment="1">
      <alignment vertical="top"/>
    </xf>
    <xf numFmtId="0" fontId="14" fillId="0" borderId="0" xfId="0" applyFont="1"/>
    <xf numFmtId="0" fontId="12" fillId="3" borderId="7" xfId="0" applyFont="1" applyFill="1" applyBorder="1"/>
    <xf numFmtId="0" fontId="1" fillId="0" borderId="8" xfId="0" applyFont="1" applyBorder="1"/>
    <xf numFmtId="0" fontId="12" fillId="0" borderId="8" xfId="0" applyFont="1" applyBorder="1"/>
    <xf numFmtId="0" fontId="12" fillId="0" borderId="9" xfId="0" applyFont="1" applyBorder="1" applyAlignment="1">
      <alignment vertical="top"/>
    </xf>
    <xf numFmtId="0" fontId="10" fillId="3" borderId="7" xfId="0" applyFont="1" applyFill="1" applyBorder="1"/>
    <xf numFmtId="0" fontId="10" fillId="0" borderId="8" xfId="0" applyFont="1" applyBorder="1"/>
    <xf numFmtId="0" fontId="10" fillId="0" borderId="0" xfId="0" applyFont="1" applyAlignment="1">
      <alignment wrapText="1"/>
    </xf>
    <xf numFmtId="0" fontId="10" fillId="0" borderId="5" xfId="0" applyFont="1" applyBorder="1" applyAlignment="1">
      <alignment wrapText="1"/>
    </xf>
    <xf numFmtId="0" fontId="1" fillId="0" borderId="0" xfId="0" applyFont="1" applyAlignment="1">
      <alignment horizontal="right"/>
    </xf>
    <xf numFmtId="0" fontId="16" fillId="2" borderId="0" xfId="0" applyFont="1" applyFill="1" applyAlignment="1">
      <alignment vertical="center"/>
    </xf>
    <xf numFmtId="0" fontId="17" fillId="0" borderId="0" xfId="0" applyFont="1"/>
    <xf numFmtId="0" fontId="18" fillId="0" borderId="0" xfId="0" applyFont="1"/>
    <xf numFmtId="0" fontId="17" fillId="0" borderId="2" xfId="0" applyFont="1" applyBorder="1"/>
    <xf numFmtId="0" fontId="17" fillId="3" borderId="1" xfId="0" applyFont="1" applyFill="1" applyBorder="1"/>
    <xf numFmtId="0" fontId="19" fillId="0" borderId="2" xfId="0" applyFont="1" applyBorder="1"/>
    <xf numFmtId="0" fontId="20" fillId="0" borderId="2" xfId="0" applyFont="1" applyBorder="1"/>
    <xf numFmtId="0" fontId="19" fillId="0" borderId="8" xfId="0" applyFont="1" applyBorder="1"/>
    <xf numFmtId="0" fontId="21" fillId="0" borderId="8" xfId="0" applyFont="1" applyBorder="1"/>
    <xf numFmtId="0" fontId="18" fillId="0" borderId="8" xfId="0" applyFont="1" applyBorder="1"/>
    <xf numFmtId="0" fontId="17" fillId="0" borderId="9" xfId="0" applyFont="1" applyBorder="1"/>
    <xf numFmtId="0" fontId="17" fillId="3" borderId="4" xfId="0" applyFont="1" applyFill="1" applyBorder="1"/>
    <xf numFmtId="0" fontId="17" fillId="0" borderId="5" xfId="0" applyFont="1" applyBorder="1"/>
    <xf numFmtId="0" fontId="17" fillId="0" borderId="8" xfId="0" applyFont="1" applyBorder="1"/>
    <xf numFmtId="0" fontId="22" fillId="0" borderId="1" xfId="0" applyFont="1" applyBorder="1" applyAlignment="1">
      <alignment horizontal="left"/>
    </xf>
    <xf numFmtId="0" fontId="1" fillId="4" borderId="2" xfId="0" applyFont="1" applyFill="1" applyBorder="1"/>
    <xf numFmtId="0" fontId="7" fillId="4" borderId="2" xfId="0" applyFont="1" applyFill="1" applyBorder="1"/>
    <xf numFmtId="0" fontId="1" fillId="4" borderId="2" xfId="0" applyFont="1" applyFill="1" applyBorder="1" applyAlignment="1">
      <alignment vertical="center"/>
    </xf>
    <xf numFmtId="0" fontId="1" fillId="4" borderId="3" xfId="0" applyFont="1" applyFill="1" applyBorder="1" applyAlignment="1">
      <alignment vertical="top"/>
    </xf>
    <xf numFmtId="0" fontId="22" fillId="0" borderId="4" xfId="0" applyFont="1" applyBorder="1" applyAlignment="1">
      <alignment horizontal="left"/>
    </xf>
    <xf numFmtId="0" fontId="1" fillId="4" borderId="0" xfId="0" applyFont="1" applyFill="1"/>
    <xf numFmtId="0" fontId="7" fillId="4" borderId="0" xfId="0" applyFont="1" applyFill="1"/>
    <xf numFmtId="0" fontId="10" fillId="4" borderId="0" xfId="0" applyFont="1" applyFill="1"/>
    <xf numFmtId="0" fontId="10" fillId="4" borderId="5" xfId="0" applyFont="1" applyFill="1" applyBorder="1"/>
    <xf numFmtId="0" fontId="1" fillId="4" borderId="0" xfId="0" applyFont="1" applyFill="1" applyAlignment="1">
      <alignment vertical="center"/>
    </xf>
    <xf numFmtId="0" fontId="1" fillId="4" borderId="5" xfId="0" applyFont="1" applyFill="1" applyBorder="1" applyAlignment="1">
      <alignment vertical="top"/>
    </xf>
    <xf numFmtId="0" fontId="23" fillId="0" borderId="4" xfId="0" applyFont="1" applyBorder="1" applyAlignment="1">
      <alignment horizontal="left"/>
    </xf>
    <xf numFmtId="0" fontId="24" fillId="0" borderId="4" xfId="0" applyFont="1" applyBorder="1" applyAlignment="1">
      <alignment horizontal="left"/>
    </xf>
    <xf numFmtId="0" fontId="25" fillId="4" borderId="0" xfId="0" applyFont="1" applyFill="1"/>
    <xf numFmtId="0" fontId="26" fillId="4" borderId="0" xfId="0" applyFont="1" applyFill="1"/>
    <xf numFmtId="0" fontId="22" fillId="0" borderId="7" xfId="0" applyFont="1" applyBorder="1" applyAlignment="1">
      <alignment horizontal="left"/>
    </xf>
    <xf numFmtId="0" fontId="10" fillId="4" borderId="8" xfId="0" applyFont="1" applyFill="1" applyBorder="1"/>
    <xf numFmtId="0" fontId="1" fillId="4" borderId="9" xfId="0" applyFont="1" applyFill="1" applyBorder="1" applyAlignment="1">
      <alignment vertical="top"/>
    </xf>
    <xf numFmtId="0" fontId="1" fillId="0" borderId="1" xfId="0" applyFont="1" applyBorder="1" applyAlignment="1">
      <alignment vertical="center"/>
    </xf>
    <xf numFmtId="0" fontId="1" fillId="0" borderId="4" xfId="0" applyFont="1" applyBorder="1" applyAlignment="1">
      <alignment vertical="center"/>
    </xf>
    <xf numFmtId="0" fontId="1" fillId="0" borderId="7" xfId="0" applyFont="1" applyBorder="1" applyAlignment="1">
      <alignment vertical="center"/>
    </xf>
    <xf numFmtId="0" fontId="27" fillId="0" borderId="0" xfId="0" applyFont="1"/>
    <xf numFmtId="0" fontId="27" fillId="0" borderId="0" xfId="0" applyFont="1" applyAlignment="1">
      <alignment horizontal="center"/>
    </xf>
    <xf numFmtId="0" fontId="28" fillId="0" borderId="0" xfId="0" applyFont="1"/>
    <xf numFmtId="0" fontId="29" fillId="5" borderId="0" xfId="0" applyFont="1" applyFill="1" applyAlignment="1">
      <alignment horizontal="center"/>
    </xf>
    <xf numFmtId="0" fontId="29" fillId="6" borderId="10" xfId="0" applyFont="1" applyFill="1" applyBorder="1" applyAlignment="1">
      <alignment horizontal="center"/>
    </xf>
    <xf numFmtId="0" fontId="27" fillId="7" borderId="0" xfId="0" applyFont="1" applyFill="1" applyAlignment="1">
      <alignment horizontal="center"/>
    </xf>
    <xf numFmtId="0" fontId="27" fillId="7" borderId="0" xfId="0" applyFont="1" applyFill="1"/>
    <xf numFmtId="0" fontId="30" fillId="0" borderId="0" xfId="0" applyFont="1" applyAlignment="1">
      <alignment horizontal="left"/>
    </xf>
    <xf numFmtId="0" fontId="27" fillId="0" borderId="11" xfId="0" applyFont="1" applyBorder="1"/>
    <xf numFmtId="0" fontId="27" fillId="0" borderId="0" xfId="0" applyFont="1" applyAlignment="1">
      <alignment horizontal="left"/>
    </xf>
    <xf numFmtId="0" fontId="31" fillId="0" borderId="0" xfId="0" applyFont="1"/>
    <xf numFmtId="0" fontId="31" fillId="7" borderId="0" xfId="0" applyFont="1" applyFill="1" applyAlignment="1">
      <alignment horizontal="center"/>
    </xf>
    <xf numFmtId="0" fontId="30" fillId="4" borderId="0" xfId="0" applyFont="1" applyFill="1" applyAlignment="1">
      <alignment horizontal="left"/>
    </xf>
    <xf numFmtId="0" fontId="31" fillId="0" borderId="0" xfId="0" applyFont="1" applyAlignment="1">
      <alignment horizontal="left"/>
    </xf>
    <xf numFmtId="0" fontId="27" fillId="8" borderId="0" xfId="0" applyFont="1" applyFill="1"/>
    <xf numFmtId="0" fontId="27" fillId="9" borderId="0" xfId="0" applyFont="1" applyFill="1"/>
    <xf numFmtId="0" fontId="32" fillId="0" borderId="0" xfId="0" applyFont="1"/>
    <xf numFmtId="0" fontId="33" fillId="0" borderId="0" xfId="0" applyFont="1"/>
    <xf numFmtId="177" fontId="12" fillId="0" borderId="0" xfId="0" applyNumberFormat="1" applyFont="1"/>
    <xf numFmtId="0" fontId="34" fillId="0" borderId="0" xfId="0" applyFont="1"/>
    <xf numFmtId="0" fontId="12" fillId="4" borderId="0" xfId="0" applyFont="1" applyFill="1" applyAlignment="1">
      <alignment horizontal="left"/>
    </xf>
    <xf numFmtId="0" fontId="12" fillId="0" borderId="0" xfId="0" applyFont="1" applyAlignment="1">
      <alignment horizontal="center"/>
    </xf>
    <xf numFmtId="0" fontId="35" fillId="10" borderId="0" xfId="0" applyFont="1" applyFill="1" applyAlignment="1">
      <alignment wrapText="1"/>
    </xf>
    <xf numFmtId="177" fontId="36" fillId="11" borderId="0" xfId="0" applyNumberFormat="1" applyFont="1" applyFill="1" applyAlignment="1">
      <alignment horizontal="center" wrapText="1"/>
    </xf>
    <xf numFmtId="0" fontId="37" fillId="10" borderId="0" xfId="0" applyFont="1" applyFill="1" applyAlignment="1">
      <alignment wrapText="1"/>
    </xf>
    <xf numFmtId="0" fontId="38" fillId="10" borderId="0" xfId="0" applyFont="1" applyFill="1" applyAlignment="1">
      <alignment wrapText="1"/>
    </xf>
    <xf numFmtId="0" fontId="39" fillId="12" borderId="0" xfId="0" applyFont="1" applyFill="1" applyAlignment="1">
      <alignment horizontal="left" wrapText="1"/>
    </xf>
    <xf numFmtId="0" fontId="39" fillId="12" borderId="0" xfId="0" applyFont="1" applyFill="1" applyAlignment="1">
      <alignment horizontal="center" wrapText="1"/>
    </xf>
    <xf numFmtId="0" fontId="40" fillId="8" borderId="0" xfId="0" applyFont="1" applyFill="1" applyAlignment="1">
      <alignment horizontal="center" wrapText="1"/>
    </xf>
    <xf numFmtId="0" fontId="40" fillId="13" borderId="0" xfId="0" applyFont="1" applyFill="1" applyAlignment="1">
      <alignment horizontal="center" wrapText="1"/>
    </xf>
    <xf numFmtId="0" fontId="40" fillId="14" borderId="0" xfId="0" applyFont="1" applyFill="1" applyAlignment="1">
      <alignment horizontal="center" wrapText="1"/>
    </xf>
    <xf numFmtId="0" fontId="41" fillId="15" borderId="0" xfId="0" applyFont="1" applyFill="1"/>
    <xf numFmtId="0" fontId="42" fillId="4" borderId="0" xfId="0" applyFont="1" applyFill="1"/>
    <xf numFmtId="0" fontId="43" fillId="15" borderId="0" xfId="0" applyFont="1" applyFill="1"/>
    <xf numFmtId="0" fontId="1" fillId="14" borderId="0" xfId="0" applyFont="1" applyFill="1" applyAlignment="1">
      <alignment horizontal="left"/>
    </xf>
    <xf numFmtId="0" fontId="1" fillId="16" borderId="0" xfId="0" applyFont="1" applyFill="1" applyAlignment="1">
      <alignment horizontal="center"/>
    </xf>
    <xf numFmtId="0" fontId="1" fillId="3" borderId="0" xfId="0" applyFont="1" applyFill="1" applyAlignment="1">
      <alignment horizontal="center"/>
    </xf>
    <xf numFmtId="0" fontId="1" fillId="7" borderId="0" xfId="0" applyFont="1" applyFill="1" applyAlignment="1">
      <alignment horizontal="center"/>
    </xf>
    <xf numFmtId="0" fontId="1" fillId="0" borderId="0" xfId="0" applyFont="1" applyAlignment="1">
      <alignment horizontal="center"/>
    </xf>
    <xf numFmtId="0" fontId="41" fillId="0" borderId="0" xfId="0" applyFont="1"/>
    <xf numFmtId="0" fontId="1" fillId="17" borderId="0" xfId="0" applyFont="1" applyFill="1" applyAlignment="1">
      <alignment horizontal="center"/>
    </xf>
    <xf numFmtId="0" fontId="1" fillId="18" borderId="0" xfId="0" applyFont="1" applyFill="1" applyAlignment="1">
      <alignment horizontal="center"/>
    </xf>
    <xf numFmtId="0" fontId="1" fillId="19" borderId="0" xfId="0" applyFont="1" applyFill="1" applyAlignment="1">
      <alignment horizontal="center"/>
    </xf>
    <xf numFmtId="0" fontId="1" fillId="4" borderId="0" xfId="0" applyFont="1" applyFill="1" applyAlignment="1">
      <alignment horizontal="center"/>
    </xf>
    <xf numFmtId="0" fontId="1" fillId="20" borderId="0" xfId="0" applyFont="1" applyFill="1" applyAlignment="1">
      <alignment horizontal="center"/>
    </xf>
    <xf numFmtId="0" fontId="1" fillId="21" borderId="0" xfId="0" applyFont="1" applyFill="1" applyAlignment="1">
      <alignment horizontal="center"/>
    </xf>
    <xf numFmtId="0" fontId="1" fillId="22" borderId="0" xfId="0" applyFont="1" applyFill="1" applyAlignment="1">
      <alignment horizontal="center"/>
    </xf>
    <xf numFmtId="0" fontId="42" fillId="4" borderId="0" xfId="0" applyFont="1" applyFill="1" applyAlignment="1">
      <alignment horizontal="right"/>
    </xf>
    <xf numFmtId="0" fontId="1" fillId="23" borderId="0" xfId="0" applyFont="1" applyFill="1" applyAlignment="1">
      <alignment horizontal="center"/>
    </xf>
    <xf numFmtId="0" fontId="1" fillId="24" borderId="0" xfId="0" applyFont="1" applyFill="1" applyAlignment="1">
      <alignment horizontal="center"/>
    </xf>
    <xf numFmtId="0" fontId="12" fillId="4" borderId="0" xfId="0" applyFont="1" applyFill="1"/>
    <xf numFmtId="1" fontId="12" fillId="0" borderId="0" xfId="0" applyNumberFormat="1" applyFont="1" applyAlignment="1">
      <alignment horizontal="left"/>
    </xf>
    <xf numFmtId="0" fontId="12" fillId="0" borderId="0" xfId="0" applyFont="1" applyAlignment="1">
      <alignment horizontal="left"/>
    </xf>
    <xf numFmtId="0" fontId="7" fillId="0" borderId="0" xfId="0" applyFont="1" applyAlignment="1">
      <alignment horizontal="right"/>
    </xf>
    <xf numFmtId="178" fontId="12" fillId="0" borderId="1" xfId="0" applyNumberFormat="1" applyFont="1" applyBorder="1"/>
    <xf numFmtId="178" fontId="12" fillId="0" borderId="2" xfId="0" applyNumberFormat="1" applyFont="1" applyBorder="1" applyAlignment="1">
      <alignment horizontal="right"/>
    </xf>
    <xf numFmtId="178" fontId="12" fillId="0" borderId="3" xfId="0" applyNumberFormat="1" applyFont="1" applyBorder="1" applyAlignment="1">
      <alignment horizontal="right"/>
    </xf>
    <xf numFmtId="178" fontId="12" fillId="0" borderId="0" xfId="0" applyNumberFormat="1" applyFont="1"/>
    <xf numFmtId="178" fontId="12" fillId="0" borderId="4" xfId="0" applyNumberFormat="1" applyFont="1" applyBorder="1"/>
    <xf numFmtId="178" fontId="12" fillId="0" borderId="0" xfId="0" applyNumberFormat="1" applyFont="1" applyAlignment="1">
      <alignment horizontal="right"/>
    </xf>
    <xf numFmtId="178" fontId="12" fillId="0" borderId="5" xfId="0" applyNumberFormat="1" applyFont="1" applyBorder="1" applyAlignment="1">
      <alignment horizontal="right"/>
    </xf>
    <xf numFmtId="177" fontId="12" fillId="0" borderId="7" xfId="0" applyNumberFormat="1" applyFont="1" applyBorder="1"/>
    <xf numFmtId="177" fontId="12" fillId="0" borderId="8" xfId="0" applyNumberFormat="1" applyFont="1" applyBorder="1" applyAlignment="1">
      <alignment horizontal="right"/>
    </xf>
    <xf numFmtId="177" fontId="12" fillId="0" borderId="9" xfId="0" applyNumberFormat="1" applyFont="1" applyBorder="1" applyAlignment="1">
      <alignment horizontal="right"/>
    </xf>
    <xf numFmtId="178" fontId="12" fillId="0" borderId="6" xfId="0" applyNumberFormat="1" applyFont="1" applyBorder="1"/>
    <xf numFmtId="0" fontId="12" fillId="0" borderId="6" xfId="0" applyFont="1" applyBorder="1"/>
    <xf numFmtId="0" fontId="12" fillId="0" borderId="12" xfId="0" applyFont="1" applyBorder="1"/>
    <xf numFmtId="177" fontId="12" fillId="0" borderId="8" xfId="0" applyNumberFormat="1" applyFont="1" applyBorder="1"/>
    <xf numFmtId="0" fontId="1" fillId="0" borderId="1" xfId="0" applyFont="1" applyBorder="1"/>
    <xf numFmtId="177" fontId="1" fillId="0" borderId="2" xfId="0" applyNumberFormat="1" applyFont="1" applyBorder="1"/>
    <xf numFmtId="177" fontId="12" fillId="0" borderId="2" xfId="0" applyNumberFormat="1" applyFont="1" applyBorder="1"/>
    <xf numFmtId="0" fontId="44" fillId="0" borderId="3" xfId="0" applyFont="1" applyBorder="1"/>
    <xf numFmtId="0" fontId="1" fillId="0" borderId="4" xfId="0" applyFont="1" applyBorder="1"/>
    <xf numFmtId="177" fontId="1" fillId="0" borderId="0" xfId="0" applyNumberFormat="1" applyFont="1"/>
    <xf numFmtId="0" fontId="44" fillId="0" borderId="5" xfId="0" applyFont="1" applyBorder="1"/>
    <xf numFmtId="0" fontId="1" fillId="0" borderId="7" xfId="0" applyFont="1" applyBorder="1"/>
    <xf numFmtId="177" fontId="1" fillId="0" borderId="8" xfId="0" applyNumberFormat="1" applyFont="1" applyBorder="1"/>
    <xf numFmtId="0" fontId="44" fillId="0" borderId="9" xfId="0" applyFont="1" applyBorder="1"/>
    <xf numFmtId="0" fontId="1" fillId="0" borderId="0" xfId="0" applyFont="1" applyAlignment="1">
      <alignment horizontal="left"/>
    </xf>
    <xf numFmtId="0" fontId="45" fillId="0" borderId="0" xfId="0" applyFont="1"/>
    <xf numFmtId="0" fontId="12" fillId="25" borderId="0" xfId="0" applyFont="1" applyFill="1"/>
    <xf numFmtId="177" fontId="12" fillId="25" borderId="0" xfId="0" applyNumberFormat="1" applyFont="1" applyFill="1"/>
    <xf numFmtId="0" fontId="12" fillId="25" borderId="0" xfId="0" applyFont="1" applyFill="1" applyAlignment="1">
      <alignment horizontal="left"/>
    </xf>
    <xf numFmtId="0" fontId="12" fillId="25" borderId="0" xfId="0" applyFont="1" applyFill="1" applyAlignment="1">
      <alignment horizontal="center"/>
    </xf>
    <xf numFmtId="0" fontId="38" fillId="5" borderId="0" xfId="0" applyFont="1" applyFill="1" applyAlignment="1">
      <alignment horizontal="center" vertical="center"/>
    </xf>
    <xf numFmtId="0" fontId="38" fillId="5" borderId="0" xfId="0" applyFont="1" applyFill="1" applyAlignment="1">
      <alignment horizontal="left" vertical="center"/>
    </xf>
    <xf numFmtId="0" fontId="38" fillId="5" borderId="0" xfId="0" applyFont="1" applyFill="1" applyAlignment="1">
      <alignment vertical="center"/>
    </xf>
    <xf numFmtId="0" fontId="46" fillId="5" borderId="0" xfId="0" applyFont="1" applyFill="1" applyAlignment="1">
      <alignment horizontal="left" vertical="center"/>
    </xf>
    <xf numFmtId="0" fontId="46" fillId="5" borderId="0" xfId="0" applyFont="1" applyFill="1" applyAlignment="1">
      <alignment vertical="center"/>
    </xf>
    <xf numFmtId="0" fontId="47" fillId="5" borderId="0" xfId="0" applyFont="1" applyFill="1" applyAlignment="1">
      <alignment horizontal="right" vertical="center"/>
    </xf>
    <xf numFmtId="0" fontId="38" fillId="0" borderId="0" xfId="0" applyFont="1" applyAlignment="1">
      <alignment horizontal="center" vertical="center"/>
    </xf>
    <xf numFmtId="0" fontId="48" fillId="0" borderId="0" xfId="0" applyFont="1"/>
    <xf numFmtId="0" fontId="44" fillId="0" borderId="0" xfId="0" applyFont="1" applyAlignment="1">
      <alignment vertical="center"/>
    </xf>
    <xf numFmtId="0" fontId="12" fillId="26" borderId="0" xfId="0" applyFont="1" applyFill="1"/>
    <xf numFmtId="0" fontId="34" fillId="26" borderId="0" xfId="0" applyFont="1" applyFill="1"/>
    <xf numFmtId="0" fontId="44" fillId="0" borderId="0" xfId="0" applyFont="1" applyAlignment="1">
      <alignment horizontal="center" vertical="center"/>
    </xf>
    <xf numFmtId="0" fontId="34" fillId="0" borderId="0" xfId="0" applyFont="1" applyAlignment="1">
      <alignment horizontal="left" vertical="center"/>
    </xf>
    <xf numFmtId="0" fontId="49" fillId="0" borderId="0" xfId="0" applyFont="1" applyAlignment="1">
      <alignment horizontal="left" vertical="center"/>
    </xf>
    <xf numFmtId="0" fontId="50" fillId="0" borderId="0" xfId="0" applyFont="1" applyAlignment="1">
      <alignment horizontal="left"/>
    </xf>
    <xf numFmtId="0" fontId="44" fillId="0" borderId="0" xfId="0" applyFont="1" applyAlignment="1">
      <alignment horizontal="left" vertical="center"/>
    </xf>
    <xf numFmtId="0" fontId="43" fillId="0" borderId="0" xfId="0" applyFont="1" applyAlignment="1">
      <alignment vertical="center"/>
    </xf>
    <xf numFmtId="0" fontId="48" fillId="0" borderId="0" xfId="0" applyFont="1" applyAlignment="1">
      <alignment horizontal="right" vertical="center"/>
    </xf>
    <xf numFmtId="0" fontId="44" fillId="27" borderId="6" xfId="0" applyFont="1" applyFill="1" applyBorder="1"/>
    <xf numFmtId="0" fontId="43" fillId="27" borderId="6" xfId="0" applyFont="1" applyFill="1" applyBorder="1"/>
    <xf numFmtId="0" fontId="48" fillId="27" borderId="6" xfId="0" applyFont="1" applyFill="1" applyBorder="1" applyAlignment="1">
      <alignment horizontal="right"/>
    </xf>
    <xf numFmtId="0" fontId="43" fillId="0" borderId="0" xfId="0" applyFont="1" applyAlignment="1">
      <alignment horizontal="center" vertical="center"/>
    </xf>
    <xf numFmtId="0" fontId="41" fillId="4" borderId="0" xfId="0" applyFont="1" applyFill="1" applyAlignment="1">
      <alignment horizontal="left" vertical="center"/>
    </xf>
    <xf numFmtId="0" fontId="41" fillId="0" borderId="0" xfId="0" applyFont="1" applyAlignment="1">
      <alignment vertical="center"/>
    </xf>
    <xf numFmtId="0" fontId="43" fillId="14" borderId="0" xfId="0" applyFont="1" applyFill="1" applyAlignment="1">
      <alignment horizontal="left" vertical="center"/>
    </xf>
    <xf numFmtId="0" fontId="51" fillId="4" borderId="0" xfId="0" applyFont="1" applyFill="1" applyAlignment="1">
      <alignment horizontal="right" vertical="center"/>
    </xf>
    <xf numFmtId="0" fontId="52" fillId="4" borderId="0" xfId="0" applyFont="1" applyFill="1" applyAlignment="1">
      <alignment horizontal="left" vertical="center"/>
    </xf>
    <xf numFmtId="0" fontId="53" fillId="0" borderId="0" xfId="0" applyFont="1"/>
    <xf numFmtId="0" fontId="43" fillId="28" borderId="0" xfId="0" applyFont="1" applyFill="1" applyAlignment="1">
      <alignment horizontal="center" vertical="center"/>
    </xf>
    <xf numFmtId="0" fontId="44" fillId="28" borderId="0" xfId="0" applyFont="1" applyFill="1" applyAlignment="1">
      <alignment horizontal="left" vertical="center"/>
    </xf>
    <xf numFmtId="0" fontId="44" fillId="28" borderId="0" xfId="0" applyFont="1" applyFill="1" applyAlignment="1">
      <alignment horizontal="center" vertical="center"/>
    </xf>
    <xf numFmtId="0" fontId="41" fillId="28" borderId="0" xfId="0" applyFont="1" applyFill="1" applyAlignment="1">
      <alignment horizontal="left" vertical="center"/>
    </xf>
    <xf numFmtId="0" fontId="43" fillId="28" borderId="0" xfId="0" applyFont="1" applyFill="1" applyAlignment="1">
      <alignment vertical="center"/>
    </xf>
    <xf numFmtId="0" fontId="43" fillId="28" borderId="0" xfId="0" applyFont="1" applyFill="1" applyAlignment="1">
      <alignment horizontal="left" vertical="center"/>
    </xf>
    <xf numFmtId="0" fontId="27" fillId="28" borderId="0" xfId="0" applyFont="1" applyFill="1" applyAlignment="1">
      <alignment horizontal="right" vertical="center"/>
    </xf>
    <xf numFmtId="0" fontId="38" fillId="0" borderId="0" xfId="0" applyFont="1" applyAlignment="1">
      <alignment horizontal="left" vertical="center"/>
    </xf>
    <xf numFmtId="0" fontId="38" fillId="0" borderId="0" xfId="0" applyFont="1" applyAlignment="1">
      <alignment vertical="center"/>
    </xf>
    <xf numFmtId="0" fontId="43" fillId="0" borderId="0" xfId="0" applyFont="1" applyAlignment="1">
      <alignment horizontal="left" vertical="center"/>
    </xf>
    <xf numFmtId="0" fontId="47" fillId="0" borderId="0" xfId="0" applyFont="1" applyAlignment="1">
      <alignment horizontal="right" vertical="center"/>
    </xf>
    <xf numFmtId="0" fontId="44" fillId="15" borderId="0" xfId="0" applyFont="1" applyFill="1" applyAlignment="1">
      <alignment horizontal="center"/>
    </xf>
    <xf numFmtId="0" fontId="41" fillId="4" borderId="0" xfId="0" applyFont="1" applyFill="1"/>
    <xf numFmtId="0" fontId="43" fillId="14" borderId="0" xfId="0" applyFont="1" applyFill="1"/>
    <xf numFmtId="0" fontId="52" fillId="4" borderId="0" xfId="0" applyFont="1" applyFill="1"/>
    <xf numFmtId="0" fontId="27" fillId="0" borderId="0" xfId="0" applyFont="1" applyAlignment="1">
      <alignment horizontal="right" vertical="center"/>
    </xf>
    <xf numFmtId="0" fontId="44" fillId="26" borderId="0" xfId="0" applyFont="1" applyFill="1" applyAlignment="1">
      <alignment horizontal="center" vertical="center"/>
    </xf>
    <xf numFmtId="0" fontId="34" fillId="26" borderId="0" xfId="0" applyFont="1" applyFill="1" applyAlignment="1">
      <alignment horizontal="left" vertical="center"/>
    </xf>
    <xf numFmtId="0" fontId="49" fillId="26" borderId="0" xfId="0" applyFont="1" applyFill="1" applyAlignment="1">
      <alignment horizontal="left" vertical="center"/>
    </xf>
    <xf numFmtId="0" fontId="44" fillId="26" borderId="0" xfId="0" applyFont="1" applyFill="1" applyAlignment="1">
      <alignment vertical="center"/>
    </xf>
    <xf numFmtId="0" fontId="50" fillId="26" borderId="0" xfId="0" applyFont="1" applyFill="1" applyAlignment="1">
      <alignment horizontal="left"/>
    </xf>
    <xf numFmtId="0" fontId="44" fillId="26" borderId="0" xfId="0" applyFont="1" applyFill="1" applyAlignment="1">
      <alignment horizontal="left" vertical="center"/>
    </xf>
    <xf numFmtId="0" fontId="43" fillId="26" borderId="0" xfId="0" applyFont="1" applyFill="1" applyAlignment="1">
      <alignment vertical="center"/>
    </xf>
    <xf numFmtId="0" fontId="48" fillId="26" borderId="0" xfId="0" applyFont="1" applyFill="1" applyAlignment="1">
      <alignment horizontal="right" vertical="center"/>
    </xf>
    <xf numFmtId="0" fontId="10" fillId="0" borderId="0" xfId="0" applyFont="1" applyAlignment="1">
      <alignment horizontal="right"/>
    </xf>
    <xf numFmtId="0" fontId="10" fillId="0" borderId="13" xfId="0" applyFont="1" applyBorder="1"/>
    <xf numFmtId="0" fontId="10" fillId="0" borderId="10" xfId="0" applyFont="1" applyBorder="1"/>
    <xf numFmtId="0" fontId="10" fillId="0" borderId="14" xfId="0" applyFont="1" applyBorder="1"/>
    <xf numFmtId="0" fontId="10" fillId="0" borderId="15" xfId="0" applyFont="1" applyBorder="1"/>
    <xf numFmtId="0" fontId="10" fillId="0" borderId="16" xfId="0" applyFont="1" applyBorder="1"/>
    <xf numFmtId="0" fontId="10" fillId="0" borderId="17" xfId="0" applyFont="1" applyBorder="1"/>
    <xf numFmtId="0" fontId="10" fillId="0" borderId="18" xfId="0" applyFont="1" applyBorder="1"/>
    <xf numFmtId="0" fontId="54" fillId="0" borderId="0" xfId="0" applyFont="1"/>
    <xf numFmtId="0" fontId="10" fillId="29" borderId="0" xfId="0" applyFont="1" applyFill="1"/>
    <xf numFmtId="0" fontId="55" fillId="30" borderId="0" xfId="0" applyFont="1" applyFill="1"/>
    <xf numFmtId="0" fontId="43" fillId="15" borderId="0" xfId="0" applyFont="1" applyFill="1" applyAlignment="1">
      <alignment horizontal="left"/>
    </xf>
    <xf numFmtId="0" fontId="56" fillId="0" borderId="0" xfId="0" applyFont="1"/>
    <xf numFmtId="0" fontId="57" fillId="0" borderId="0" xfId="0" applyFont="1"/>
    <xf numFmtId="0" fontId="58" fillId="0" borderId="6" xfId="0" applyFont="1" applyBorder="1"/>
    <xf numFmtId="14" fontId="12" fillId="0" borderId="0" xfId="0" applyNumberFormat="1" applyFont="1"/>
    <xf numFmtId="0" fontId="41" fillId="31" borderId="0" xfId="0" applyFont="1" applyFill="1" applyAlignment="1">
      <alignment horizontal="left"/>
    </xf>
    <xf numFmtId="0" fontId="59" fillId="0" borderId="0" xfId="0" applyFont="1"/>
    <xf numFmtId="0" fontId="60" fillId="32" borderId="0" xfId="0" applyFont="1" applyFill="1" applyAlignment="1">
      <alignment horizontal="center"/>
    </xf>
    <xf numFmtId="0" fontId="4" fillId="32" borderId="0" xfId="0" applyFont="1" applyFill="1" applyAlignment="1">
      <alignment horizontal="left"/>
    </xf>
    <xf numFmtId="0" fontId="47" fillId="32" borderId="0" xfId="0" applyFont="1" applyFill="1" applyAlignment="1">
      <alignment horizontal="center"/>
    </xf>
    <xf numFmtId="0" fontId="61" fillId="32" borderId="0" xfId="0" applyFont="1" applyFill="1" applyAlignment="1">
      <alignment horizontal="center"/>
    </xf>
    <xf numFmtId="0" fontId="59" fillId="33" borderId="0" xfId="0" applyFont="1" applyFill="1" applyAlignment="1">
      <alignment horizontal="center"/>
    </xf>
    <xf numFmtId="0" fontId="4" fillId="34" borderId="0" xfId="0" applyFont="1" applyFill="1"/>
    <xf numFmtId="0" fontId="60" fillId="35" borderId="0" xfId="0" applyFont="1" applyFill="1"/>
    <xf numFmtId="0" fontId="12" fillId="35" borderId="0" xfId="0" applyFont="1" applyFill="1"/>
    <xf numFmtId="0" fontId="4" fillId="35" borderId="0" xfId="0" applyFont="1" applyFill="1"/>
    <xf numFmtId="0" fontId="4" fillId="36" borderId="0" xfId="0" applyFont="1" applyFill="1"/>
    <xf numFmtId="0" fontId="12" fillId="36" borderId="0" xfId="0" applyFont="1" applyFill="1"/>
    <xf numFmtId="0" fontId="4" fillId="37" borderId="0" xfId="0" applyFont="1" applyFill="1"/>
    <xf numFmtId="0" fontId="60" fillId="38" borderId="0" xfId="0" applyFont="1" applyFill="1" applyAlignment="1">
      <alignment horizontal="center"/>
    </xf>
    <xf numFmtId="0" fontId="62" fillId="14" borderId="0" xfId="0" applyFont="1" applyFill="1" applyAlignment="1">
      <alignment horizontal="center" wrapText="1"/>
    </xf>
    <xf numFmtId="0" fontId="12" fillId="15" borderId="0" xfId="0" applyFont="1" applyFill="1"/>
    <xf numFmtId="0" fontId="63" fillId="39" borderId="0" xfId="0" applyFont="1" applyFill="1" applyAlignment="1">
      <alignment horizontal="center"/>
    </xf>
    <xf numFmtId="0" fontId="1" fillId="40" borderId="0" xfId="0" applyFont="1" applyFill="1" applyAlignment="1">
      <alignment horizontal="center"/>
    </xf>
    <xf numFmtId="0" fontId="64" fillId="39" borderId="0" xfId="0" applyFont="1" applyFill="1"/>
    <xf numFmtId="0" fontId="64" fillId="39" borderId="0" xfId="0" applyFont="1" applyFill="1" applyAlignment="1">
      <alignment horizontal="center"/>
    </xf>
    <xf numFmtId="0" fontId="65" fillId="0" borderId="0" xfId="0" applyFont="1"/>
    <xf numFmtId="0" fontId="41" fillId="14" borderId="0" xfId="0" applyFont="1" applyFill="1"/>
    <xf numFmtId="0" fontId="59" fillId="14" borderId="0" xfId="0" applyFont="1" applyFill="1" applyAlignment="1">
      <alignment horizontal="center"/>
    </xf>
    <xf numFmtId="0" fontId="12" fillId="14" borderId="0" xfId="0" applyFont="1" applyFill="1"/>
    <xf numFmtId="0" fontId="66" fillId="0" borderId="0" xfId="0" applyFont="1"/>
    <xf numFmtId="0" fontId="41" fillId="0" borderId="0" xfId="0" applyFont="1" applyAlignment="1">
      <alignment horizontal="left"/>
    </xf>
    <xf numFmtId="0" fontId="63" fillId="39" borderId="11" xfId="0" applyFont="1" applyFill="1" applyBorder="1" applyAlignment="1">
      <alignment horizontal="center"/>
    </xf>
    <xf numFmtId="0" fontId="43" fillId="0" borderId="0" xfId="0" applyFont="1"/>
    <xf numFmtId="0" fontId="67" fillId="14" borderId="0" xfId="0" applyFont="1" applyFill="1"/>
    <xf numFmtId="0" fontId="67" fillId="4" borderId="0" xfId="0" applyFont="1" applyFill="1"/>
    <xf numFmtId="0" fontId="10" fillId="14" borderId="0" xfId="0" applyFont="1" applyFill="1"/>
    <xf numFmtId="0" fontId="59" fillId="0" borderId="0" xfId="0" applyFont="1" applyAlignment="1">
      <alignment horizontal="center"/>
    </xf>
    <xf numFmtId="0" fontId="65" fillId="0" borderId="0" xfId="0" applyFont="1" applyAlignment="1">
      <alignment horizontal="right"/>
    </xf>
    <xf numFmtId="177" fontId="43" fillId="0" borderId="0" xfId="0" applyNumberFormat="1" applyFont="1"/>
    <xf numFmtId="0" fontId="10" fillId="0" borderId="0" xfId="0" applyFont="1" applyAlignment="1">
      <alignment wrapText="1"/>
    </xf>
    <xf numFmtId="0" fontId="0" fillId="0" borderId="0" xfId="0"/>
    <xf numFmtId="0" fontId="15" fillId="0" borderId="5" xfId="0" applyFont="1" applyBorder="1"/>
    <xf numFmtId="0" fontId="71" fillId="0" borderId="19" xfId="0" applyFont="1" applyBorder="1" applyAlignment="1">
      <alignment vertical="center" wrapText="1"/>
    </xf>
    <xf numFmtId="0" fontId="38" fillId="41" borderId="19" xfId="0" applyFont="1" applyFill="1" applyBorder="1" applyAlignment="1">
      <alignment vertical="center" wrapText="1"/>
    </xf>
    <xf numFmtId="0" fontId="41" fillId="0" borderId="19" xfId="0" applyFont="1" applyBorder="1" applyAlignment="1">
      <alignment horizontal="center" vertical="center" wrapText="1"/>
    </xf>
    <xf numFmtId="0" fontId="41" fillId="42" borderId="19" xfId="0" applyFont="1" applyFill="1" applyBorder="1" applyAlignment="1">
      <alignment vertical="center" wrapText="1"/>
    </xf>
    <xf numFmtId="0" fontId="41" fillId="0" borderId="19" xfId="0" applyFont="1" applyBorder="1" applyAlignment="1">
      <alignment vertical="center" wrapText="1"/>
    </xf>
    <xf numFmtId="0" fontId="41" fillId="43" borderId="19" xfId="0" applyFont="1" applyFill="1" applyBorder="1" applyAlignment="1">
      <alignment vertical="center" wrapText="1"/>
    </xf>
    <xf numFmtId="0" fontId="69" fillId="43" borderId="19" xfId="0" applyFont="1" applyFill="1" applyBorder="1" applyAlignment="1">
      <alignment vertical="center" wrapText="1"/>
    </xf>
    <xf numFmtId="0" fontId="52" fillId="42" borderId="19" xfId="0" applyFont="1" applyFill="1" applyBorder="1" applyAlignment="1">
      <alignment vertical="center" wrapText="1"/>
    </xf>
    <xf numFmtId="0" fontId="41" fillId="43" borderId="19" xfId="0" applyFont="1" applyFill="1" applyBorder="1" applyAlignment="1">
      <alignment vertical="center"/>
    </xf>
    <xf numFmtId="0" fontId="41" fillId="0" borderId="19" xfId="0" applyFont="1" applyBorder="1" applyAlignment="1">
      <alignment vertical="center"/>
    </xf>
    <xf numFmtId="0" fontId="46" fillId="41" borderId="19" xfId="0" applyFont="1" applyFill="1" applyBorder="1" applyAlignment="1">
      <alignment vertical="center" wrapText="1"/>
    </xf>
    <xf numFmtId="0" fontId="41" fillId="42" borderId="19" xfId="0" applyFont="1" applyFill="1" applyBorder="1" applyAlignment="1">
      <alignment wrapText="1"/>
    </xf>
    <xf numFmtId="0" fontId="41" fillId="43" borderId="19" xfId="0" applyFont="1" applyFill="1" applyBorder="1" applyAlignment="1">
      <alignment wrapText="1"/>
    </xf>
    <xf numFmtId="0" fontId="52" fillId="42" borderId="19" xfId="0" applyFont="1" applyFill="1" applyBorder="1" applyAlignment="1">
      <alignment wrapText="1"/>
    </xf>
    <xf numFmtId="0" fontId="72" fillId="0" borderId="19" xfId="0" applyFont="1" applyBorder="1" applyAlignment="1">
      <alignment vertical="center" wrapText="1"/>
    </xf>
    <xf numFmtId="0" fontId="73" fillId="0" borderId="19" xfId="0" applyFont="1" applyBorder="1" applyAlignment="1">
      <alignment wrapText="1"/>
    </xf>
    <xf numFmtId="0" fontId="72" fillId="0" borderId="19" xfId="0" applyFont="1" applyBorder="1" applyAlignment="1">
      <alignment wrapText="1"/>
    </xf>
    <xf numFmtId="0" fontId="74" fillId="41" borderId="19" xfId="0" applyFont="1" applyFill="1" applyBorder="1" applyAlignment="1">
      <alignment vertical="center" wrapText="1"/>
    </xf>
    <xf numFmtId="0" fontId="74" fillId="0" borderId="19" xfId="0" applyFont="1" applyBorder="1" applyAlignment="1">
      <alignment wrapText="1"/>
    </xf>
    <xf numFmtId="0" fontId="74" fillId="0" borderId="19" xfId="0" applyFont="1" applyBorder="1" applyAlignment="1">
      <alignment vertical="center" wrapText="1"/>
    </xf>
    <xf numFmtId="0" fontId="74" fillId="0" borderId="19" xfId="0" applyFont="1" applyBorder="1"/>
    <xf numFmtId="0" fontId="52" fillId="42" borderId="19" xfId="0" applyFont="1" applyFill="1" applyBorder="1" applyAlignment="1">
      <alignment horizontal="right" vertical="center" wrapText="1"/>
    </xf>
    <xf numFmtId="0" fontId="72" fillId="42" borderId="19" xfId="0" applyFont="1" applyFill="1" applyBorder="1" applyAlignment="1">
      <alignment vertical="center" wrapText="1"/>
    </xf>
    <xf numFmtId="0" fontId="72" fillId="44" borderId="19" xfId="0" applyFont="1" applyFill="1" applyBorder="1" applyAlignment="1">
      <alignment vertical="center" wrapText="1"/>
    </xf>
    <xf numFmtId="0" fontId="72" fillId="41" borderId="19" xfId="0" applyFont="1" applyFill="1" applyBorder="1" applyAlignment="1">
      <alignment vertical="center" wrapText="1"/>
    </xf>
    <xf numFmtId="0" fontId="72" fillId="42" borderId="19" xfId="0" applyFont="1" applyFill="1" applyBorder="1" applyAlignment="1">
      <alignment wrapText="1"/>
    </xf>
    <xf numFmtId="0" fontId="72" fillId="0" borderId="19" xfId="0" applyFont="1" applyBorder="1"/>
  </cellXfs>
  <cellStyles count="1">
    <cellStyle name="標準" xfId="0" builtinId="0"/>
  </cellStyles>
  <dxfs count="11">
    <dxf>
      <fill>
        <patternFill patternType="solid">
          <fgColor rgb="FFB7E1CD"/>
          <bgColor rgb="FFB7E1CD"/>
        </patternFill>
      </fill>
    </dxf>
    <dxf>
      <font>
        <b/>
      </font>
      <fill>
        <patternFill patternType="solid">
          <fgColor rgb="FFB7E1CD"/>
          <bgColor rgb="FFB7E1CD"/>
        </patternFill>
      </fill>
    </dxf>
    <dxf>
      <font>
        <b/>
      </font>
      <fill>
        <patternFill patternType="solid">
          <fgColor rgb="FFFCE8B2"/>
          <bgColor rgb="FFFCE8B2"/>
        </patternFill>
      </fill>
    </dxf>
    <dxf>
      <font>
        <b/>
      </font>
      <fill>
        <patternFill patternType="solid">
          <fgColor rgb="FFF4C7C3"/>
          <bgColor rgb="FFF4C7C3"/>
        </patternFill>
      </fill>
    </dxf>
    <dxf>
      <font>
        <b/>
        <color rgb="FFC53929"/>
      </font>
      <fill>
        <patternFill patternType="none"/>
      </fill>
    </dxf>
    <dxf>
      <font>
        <b/>
      </font>
      <fill>
        <patternFill patternType="solid">
          <fgColor rgb="FFF4C7C3"/>
          <bgColor rgb="FFF4C7C3"/>
        </patternFill>
      </fill>
    </dxf>
    <dxf>
      <font>
        <b/>
      </font>
      <fill>
        <patternFill patternType="solid">
          <fgColor rgb="FFF4C7C3"/>
          <bgColor rgb="FFF4C7C3"/>
        </patternFill>
      </fill>
    </dxf>
    <dxf>
      <font>
        <b/>
      </font>
      <fill>
        <patternFill patternType="solid">
          <fgColor rgb="FFC9DAF8"/>
          <bgColor rgb="FFC9DAF8"/>
        </patternFill>
      </fill>
    </dxf>
    <dxf>
      <fill>
        <patternFill patternType="solid">
          <fgColor rgb="FFB7E1CD"/>
          <bgColor rgb="FFB7E1CD"/>
        </patternFill>
      </fill>
    </dxf>
    <dxf>
      <fill>
        <patternFill patternType="solid">
          <fgColor rgb="FFFCE5CD"/>
          <bgColor rgb="FFFCE5CD"/>
        </patternFill>
      </fill>
    </dxf>
    <dxf>
      <fill>
        <patternFill patternType="solid">
          <fgColor rgb="FFFCE8B2"/>
          <bgColor rgb="FFFCE8B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800100</xdr:colOff>
      <xdr:row>73</xdr:row>
      <xdr:rowOff>47625</xdr:rowOff>
    </xdr:from>
    <xdr:ext cx="5343525" cy="4800600"/>
    <xdr:pic>
      <xdr:nvPicPr>
        <xdr:cNvPr id="2" name="image1.png" title="画像">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zello.me/k/fSoog" TargetMode="External"/><Relationship Id="rId2" Type="http://schemas.openxmlformats.org/officeDocument/2006/relationships/hyperlink" Target="https://chat.google.com/room/AAAAK2uyITY?cls=7" TargetMode="External"/><Relationship Id="rId1" Type="http://schemas.openxmlformats.org/officeDocument/2006/relationships/hyperlink" Target="https://chouseisan.com/s?h=e1d078e26b8c46b3b460e9bc1edb6702" TargetMode="External"/><Relationship Id="rId6" Type="http://schemas.openxmlformats.org/officeDocument/2006/relationships/drawing" Target="../drawings/drawing1.xml"/><Relationship Id="rId5" Type="http://schemas.openxmlformats.org/officeDocument/2006/relationships/hyperlink" Target="https://drive.google.com/drive/folders/1JZX0fFB-yyl52P2-k4-kl8Lnb-CpvLWa?usp=sharing" TargetMode="External"/><Relationship Id="rId4" Type="http://schemas.openxmlformats.org/officeDocument/2006/relationships/hyperlink" Target="https://www.google.com/maps/d/u/0/edit?mid=1KjFkV6PKNWJ0WuqFrcibtDfdBs-AlSY&amp;usp=sharing"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tottorimagazine.com/sichouson/yonagoshi/marukyoa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22BE1-7EDF-4DE6-99C9-A6A7B5CD9D7E}">
  <sheetPr>
    <pageSetUpPr fitToPage="1"/>
  </sheetPr>
  <dimension ref="A1:L360"/>
  <sheetViews>
    <sheetView showGridLines="0" tabSelected="1" view="pageBreakPreview" zoomScale="95" zoomScaleNormal="100" zoomScaleSheetLayoutView="95" workbookViewId="0"/>
  </sheetViews>
  <sheetFormatPr defaultRowHeight="14"/>
  <cols>
    <col min="1" max="1" width="4.81640625" style="309" bestFit="1" customWidth="1"/>
    <col min="2" max="2" width="9.90625" style="309" bestFit="1" customWidth="1"/>
    <col min="3" max="3" width="45.36328125" style="309" bestFit="1" customWidth="1"/>
    <col min="4" max="4" width="44.453125" style="309" bestFit="1" customWidth="1"/>
    <col min="5" max="5" width="2.81640625" style="309" bestFit="1" customWidth="1"/>
    <col min="6" max="6" width="10.6328125" style="309" customWidth="1"/>
    <col min="7" max="7" width="21" style="309" customWidth="1"/>
    <col min="8" max="16384" width="8.7265625" style="309"/>
  </cols>
  <sheetData>
    <row r="1" spans="1:12" ht="17.5">
      <c r="A1" s="297"/>
      <c r="B1" s="302" t="str">
        <f>B3</f>
        <v>Agent01</v>
      </c>
      <c r="C1" s="298" t="s">
        <v>732</v>
      </c>
      <c r="D1" s="283" t="s">
        <v>448</v>
      </c>
      <c r="E1" s="297"/>
      <c r="F1" s="297"/>
      <c r="G1" s="297"/>
      <c r="H1" s="299"/>
      <c r="I1" s="297"/>
      <c r="J1" s="297"/>
      <c r="K1" s="297"/>
      <c r="L1" s="297"/>
    </row>
    <row r="2" spans="1:12" s="303" customFormat="1" ht="35">
      <c r="A2" s="300"/>
      <c r="B2" s="284" t="s">
        <v>438</v>
      </c>
      <c r="C2" s="284" t="s">
        <v>441</v>
      </c>
      <c r="D2" s="284" t="s">
        <v>442</v>
      </c>
      <c r="E2" s="300"/>
      <c r="F2" s="284" t="s">
        <v>444</v>
      </c>
      <c r="G2" s="284" t="s">
        <v>443</v>
      </c>
      <c r="H2" s="301"/>
      <c r="I2" s="301"/>
      <c r="J2" s="302"/>
      <c r="K2" s="302"/>
      <c r="L2" s="302"/>
    </row>
    <row r="3" spans="1:12" ht="17.5">
      <c r="A3" s="285">
        <v>1</v>
      </c>
      <c r="B3" s="286" t="s">
        <v>446</v>
      </c>
      <c r="C3" s="288" t="s">
        <v>498</v>
      </c>
      <c r="D3" s="289" t="s">
        <v>434</v>
      </c>
      <c r="E3" s="304"/>
      <c r="F3" s="305"/>
      <c r="G3" s="297"/>
      <c r="H3" s="299"/>
      <c r="I3" s="299"/>
      <c r="J3" s="297"/>
      <c r="K3" s="297"/>
      <c r="L3" s="297"/>
    </row>
    <row r="4" spans="1:12" ht="17.5">
      <c r="A4" s="285">
        <v>2</v>
      </c>
      <c r="B4" s="286" t="s">
        <v>446</v>
      </c>
      <c r="C4" s="288" t="s">
        <v>500</v>
      </c>
      <c r="D4" s="288" t="s">
        <v>499</v>
      </c>
      <c r="E4" s="304" t="s">
        <v>733</v>
      </c>
      <c r="F4" s="290" t="s">
        <v>452</v>
      </c>
      <c r="G4" s="297"/>
      <c r="H4" s="299"/>
      <c r="I4" s="299"/>
      <c r="J4" s="297"/>
      <c r="K4" s="297"/>
      <c r="L4" s="297"/>
    </row>
    <row r="5" spans="1:12" ht="17.5">
      <c r="A5" s="285">
        <v>3</v>
      </c>
      <c r="B5" s="286" t="s">
        <v>446</v>
      </c>
      <c r="C5" s="288" t="s">
        <v>734</v>
      </c>
      <c r="D5" s="288" t="s">
        <v>499</v>
      </c>
      <c r="E5" s="304" t="s">
        <v>733</v>
      </c>
      <c r="F5" s="290" t="s">
        <v>452</v>
      </c>
      <c r="G5" s="297"/>
      <c r="H5" s="299"/>
      <c r="I5" s="299"/>
      <c r="J5" s="297"/>
      <c r="K5" s="297"/>
      <c r="L5" s="297"/>
    </row>
    <row r="6" spans="1:12" ht="17.5">
      <c r="A6" s="285">
        <v>4</v>
      </c>
      <c r="B6" s="286" t="s">
        <v>446</v>
      </c>
      <c r="C6" s="288" t="s">
        <v>734</v>
      </c>
      <c r="D6" s="288" t="s">
        <v>500</v>
      </c>
      <c r="E6" s="305"/>
      <c r="F6" s="290" t="s">
        <v>446</v>
      </c>
      <c r="G6" s="297"/>
      <c r="H6" s="299"/>
      <c r="I6" s="299"/>
      <c r="J6" s="297"/>
      <c r="K6" s="297"/>
      <c r="L6" s="297"/>
    </row>
    <row r="7" spans="1:12" ht="17.5">
      <c r="A7" s="285">
        <v>5</v>
      </c>
      <c r="B7" s="286" t="s">
        <v>446</v>
      </c>
      <c r="C7" s="288" t="s">
        <v>503</v>
      </c>
      <c r="D7" s="288" t="s">
        <v>498</v>
      </c>
      <c r="E7" s="305"/>
      <c r="F7" s="290" t="s">
        <v>446</v>
      </c>
      <c r="G7" s="297"/>
      <c r="H7" s="299"/>
      <c r="I7" s="299"/>
      <c r="J7" s="297"/>
      <c r="K7" s="297"/>
      <c r="L7" s="297"/>
    </row>
    <row r="8" spans="1:12" ht="17.5">
      <c r="A8" s="285">
        <v>6</v>
      </c>
      <c r="B8" s="286" t="s">
        <v>446</v>
      </c>
      <c r="C8" s="288" t="s">
        <v>512</v>
      </c>
      <c r="D8" s="288" t="s">
        <v>503</v>
      </c>
      <c r="E8" s="305"/>
      <c r="F8" s="290" t="s">
        <v>446</v>
      </c>
      <c r="G8" s="297"/>
      <c r="H8" s="299"/>
      <c r="I8" s="299"/>
      <c r="J8" s="297"/>
      <c r="K8" s="297"/>
      <c r="L8" s="297"/>
    </row>
    <row r="9" spans="1:12" ht="17.5">
      <c r="A9" s="285">
        <v>7</v>
      </c>
      <c r="B9" s="286" t="s">
        <v>446</v>
      </c>
      <c r="C9" s="288" t="s">
        <v>509</v>
      </c>
      <c r="D9" s="288" t="s">
        <v>498</v>
      </c>
      <c r="E9" s="305"/>
      <c r="F9" s="290" t="s">
        <v>446</v>
      </c>
      <c r="G9" s="297"/>
      <c r="H9" s="299"/>
      <c r="I9" s="299"/>
      <c r="J9" s="297"/>
      <c r="K9" s="297"/>
      <c r="L9" s="297"/>
    </row>
    <row r="10" spans="1:12" ht="17.5">
      <c r="A10" s="285">
        <v>8</v>
      </c>
      <c r="B10" s="286" t="s">
        <v>446</v>
      </c>
      <c r="C10" s="288" t="s">
        <v>509</v>
      </c>
      <c r="D10" s="288" t="s">
        <v>503</v>
      </c>
      <c r="E10" s="305"/>
      <c r="F10" s="290" t="s">
        <v>446</v>
      </c>
      <c r="G10" s="297"/>
      <c r="H10" s="299"/>
      <c r="I10" s="297"/>
      <c r="J10" s="297"/>
      <c r="K10" s="297"/>
      <c r="L10" s="297"/>
    </row>
    <row r="11" spans="1:12" ht="17.5">
      <c r="A11" s="285">
        <v>9</v>
      </c>
      <c r="B11" s="286" t="s">
        <v>446</v>
      </c>
      <c r="C11" s="288" t="s">
        <v>509</v>
      </c>
      <c r="D11" s="288" t="s">
        <v>512</v>
      </c>
      <c r="E11" s="305"/>
      <c r="F11" s="290" t="s">
        <v>446</v>
      </c>
      <c r="G11" s="297"/>
      <c r="H11" s="299"/>
      <c r="I11" s="297"/>
      <c r="J11" s="297"/>
      <c r="K11" s="297"/>
      <c r="L11" s="297"/>
    </row>
    <row r="12" spans="1:12" ht="17.5">
      <c r="A12" s="285">
        <v>10</v>
      </c>
      <c r="B12" s="286" t="s">
        <v>446</v>
      </c>
      <c r="C12" s="288" t="s">
        <v>522</v>
      </c>
      <c r="D12" s="288" t="s">
        <v>509</v>
      </c>
      <c r="E12" s="305"/>
      <c r="F12" s="290" t="s">
        <v>446</v>
      </c>
      <c r="G12" s="297"/>
      <c r="H12" s="299"/>
      <c r="I12" s="297"/>
      <c r="J12" s="297"/>
      <c r="K12" s="297"/>
      <c r="L12" s="297"/>
    </row>
    <row r="13" spans="1:12" ht="17.5">
      <c r="A13" s="285">
        <v>11</v>
      </c>
      <c r="B13" s="286" t="s">
        <v>446</v>
      </c>
      <c r="C13" s="288" t="s">
        <v>522</v>
      </c>
      <c r="D13" s="288" t="s">
        <v>512</v>
      </c>
      <c r="E13" s="305"/>
      <c r="F13" s="290" t="s">
        <v>446</v>
      </c>
      <c r="G13" s="297"/>
      <c r="H13" s="299"/>
      <c r="I13" s="297"/>
      <c r="J13" s="297"/>
      <c r="K13" s="297"/>
      <c r="L13" s="297"/>
    </row>
    <row r="14" spans="1:12" ht="17.5">
      <c r="A14" s="285">
        <v>12</v>
      </c>
      <c r="B14" s="286" t="s">
        <v>446</v>
      </c>
      <c r="C14" s="288" t="s">
        <v>535</v>
      </c>
      <c r="D14" s="288" t="s">
        <v>512</v>
      </c>
      <c r="E14" s="305"/>
      <c r="F14" s="290" t="s">
        <v>446</v>
      </c>
      <c r="G14" s="297"/>
      <c r="H14" s="299"/>
      <c r="I14" s="297"/>
      <c r="J14" s="297"/>
      <c r="K14" s="297"/>
      <c r="L14" s="297"/>
    </row>
    <row r="15" spans="1:12" ht="17.5">
      <c r="A15" s="285">
        <v>13</v>
      </c>
      <c r="B15" s="286" t="s">
        <v>446</v>
      </c>
      <c r="C15" s="288" t="s">
        <v>535</v>
      </c>
      <c r="D15" s="288" t="s">
        <v>522</v>
      </c>
      <c r="E15" s="305"/>
      <c r="F15" s="290" t="s">
        <v>446</v>
      </c>
      <c r="G15" s="297"/>
      <c r="H15" s="299"/>
      <c r="I15" s="297"/>
      <c r="J15" s="297"/>
      <c r="K15" s="297"/>
      <c r="L15" s="297"/>
    </row>
    <row r="16" spans="1:12" ht="17.5">
      <c r="A16" s="285">
        <v>14</v>
      </c>
      <c r="B16" s="286" t="s">
        <v>446</v>
      </c>
      <c r="C16" s="288" t="s">
        <v>535</v>
      </c>
      <c r="D16" s="288" t="s">
        <v>530</v>
      </c>
      <c r="E16" s="304" t="s">
        <v>733</v>
      </c>
      <c r="F16" s="290" t="s">
        <v>456</v>
      </c>
      <c r="G16" s="297"/>
      <c r="H16" s="299"/>
      <c r="I16" s="297"/>
      <c r="J16" s="297"/>
      <c r="K16" s="297"/>
      <c r="L16" s="297"/>
    </row>
    <row r="17" spans="1:12" ht="17.5">
      <c r="A17" s="285">
        <v>15</v>
      </c>
      <c r="B17" s="286" t="s">
        <v>446</v>
      </c>
      <c r="C17" s="288" t="s">
        <v>535</v>
      </c>
      <c r="D17" s="288" t="s">
        <v>544</v>
      </c>
      <c r="E17" s="304" t="s">
        <v>733</v>
      </c>
      <c r="F17" s="290" t="s">
        <v>459</v>
      </c>
      <c r="G17" s="297"/>
      <c r="H17" s="299"/>
      <c r="I17" s="297"/>
      <c r="J17" s="297"/>
      <c r="K17" s="297"/>
      <c r="L17" s="297"/>
    </row>
    <row r="18" spans="1:12" ht="17.5">
      <c r="A18" s="285">
        <v>15</v>
      </c>
      <c r="B18" s="286" t="s">
        <v>446</v>
      </c>
      <c r="C18" s="288" t="s">
        <v>735</v>
      </c>
      <c r="D18" s="288" t="s">
        <v>522</v>
      </c>
      <c r="E18" s="305"/>
      <c r="F18" s="290" t="s">
        <v>446</v>
      </c>
      <c r="G18" s="297"/>
      <c r="H18" s="299"/>
      <c r="I18" s="297"/>
      <c r="J18" s="297"/>
      <c r="K18" s="297"/>
      <c r="L18" s="297"/>
    </row>
    <row r="19" spans="1:12" ht="17.5">
      <c r="A19" s="285">
        <v>16</v>
      </c>
      <c r="B19" s="286" t="s">
        <v>446</v>
      </c>
      <c r="C19" s="288" t="s">
        <v>735</v>
      </c>
      <c r="D19" s="288" t="s">
        <v>535</v>
      </c>
      <c r="E19" s="305"/>
      <c r="F19" s="290" t="s">
        <v>446</v>
      </c>
      <c r="G19" s="297"/>
      <c r="H19" s="299"/>
      <c r="I19" s="297"/>
      <c r="J19" s="297"/>
      <c r="K19" s="297"/>
      <c r="L19" s="297"/>
    </row>
    <row r="20" spans="1:12" ht="17.5">
      <c r="A20" s="285">
        <v>17</v>
      </c>
      <c r="B20" s="286" t="s">
        <v>446</v>
      </c>
      <c r="C20" s="288" t="s">
        <v>735</v>
      </c>
      <c r="D20" s="288" t="s">
        <v>544</v>
      </c>
      <c r="E20" s="304" t="s">
        <v>733</v>
      </c>
      <c r="F20" s="290" t="s">
        <v>459</v>
      </c>
      <c r="G20" s="297"/>
      <c r="H20" s="299"/>
      <c r="I20" s="297"/>
      <c r="J20" s="297"/>
      <c r="K20" s="297"/>
      <c r="L20" s="297"/>
    </row>
    <row r="21" spans="1:12" ht="17.5">
      <c r="A21" s="285">
        <v>18</v>
      </c>
      <c r="B21" s="286" t="s">
        <v>446</v>
      </c>
      <c r="C21" s="288" t="s">
        <v>735</v>
      </c>
      <c r="D21" s="288" t="s">
        <v>552</v>
      </c>
      <c r="E21" s="304" t="s">
        <v>733</v>
      </c>
      <c r="F21" s="290" t="s">
        <v>459</v>
      </c>
      <c r="G21" s="297"/>
      <c r="H21" s="299"/>
      <c r="I21" s="297"/>
      <c r="J21" s="297"/>
      <c r="K21" s="297"/>
      <c r="L21" s="297"/>
    </row>
    <row r="22" spans="1:12" ht="17.5">
      <c r="A22" s="285">
        <v>19</v>
      </c>
      <c r="B22" s="286" t="s">
        <v>446</v>
      </c>
      <c r="C22" s="288" t="s">
        <v>735</v>
      </c>
      <c r="D22" s="288" t="s">
        <v>550</v>
      </c>
      <c r="E22" s="304" t="s">
        <v>733</v>
      </c>
      <c r="F22" s="290" t="s">
        <v>459</v>
      </c>
      <c r="G22" s="297"/>
      <c r="H22" s="299"/>
      <c r="I22" s="297"/>
      <c r="J22" s="297"/>
      <c r="K22" s="297"/>
      <c r="L22" s="297"/>
    </row>
    <row r="23" spans="1:12" ht="17.5">
      <c r="A23" s="285">
        <v>20</v>
      </c>
      <c r="B23" s="286" t="s">
        <v>446</v>
      </c>
      <c r="C23" s="288" t="s">
        <v>735</v>
      </c>
      <c r="D23" s="291" t="s">
        <v>556</v>
      </c>
      <c r="E23" s="304" t="s">
        <v>733</v>
      </c>
      <c r="F23" s="290" t="s">
        <v>459</v>
      </c>
      <c r="G23" s="297"/>
      <c r="H23" s="299"/>
      <c r="I23" s="297"/>
      <c r="J23" s="297"/>
      <c r="K23" s="297"/>
      <c r="L23" s="297"/>
    </row>
    <row r="24" spans="1:12">
      <c r="A24" s="306"/>
      <c r="B24" s="306"/>
      <c r="C24" s="306"/>
      <c r="D24" s="306"/>
      <c r="E24" s="306"/>
      <c r="F24" s="306"/>
      <c r="G24" s="306"/>
      <c r="H24" s="299"/>
      <c r="I24" s="297"/>
      <c r="J24" s="297"/>
      <c r="K24" s="297"/>
      <c r="L24" s="297"/>
    </row>
    <row r="25" spans="1:12" ht="17.5">
      <c r="A25" s="297"/>
      <c r="B25" s="302" t="str">
        <f>B27</f>
        <v>Agent02</v>
      </c>
      <c r="C25" s="298" t="s">
        <v>453</v>
      </c>
      <c r="D25" s="283" t="s">
        <v>454</v>
      </c>
      <c r="E25" s="297"/>
      <c r="F25" s="297"/>
      <c r="G25" s="292" t="s">
        <v>455</v>
      </c>
      <c r="H25" s="299"/>
      <c r="I25" s="297"/>
      <c r="J25" s="297"/>
      <c r="K25" s="297"/>
      <c r="L25" s="297"/>
    </row>
    <row r="26" spans="1:12" ht="35">
      <c r="A26" s="307"/>
      <c r="B26" s="284" t="s">
        <v>438</v>
      </c>
      <c r="C26" s="284" t="s">
        <v>441</v>
      </c>
      <c r="D26" s="293" t="s">
        <v>442</v>
      </c>
      <c r="E26" s="307"/>
      <c r="F26" s="284" t="s">
        <v>444</v>
      </c>
      <c r="G26" s="293" t="s">
        <v>443</v>
      </c>
      <c r="H26" s="299"/>
      <c r="I26" s="299"/>
      <c r="J26" s="297"/>
      <c r="K26" s="297"/>
      <c r="L26" s="297"/>
    </row>
    <row r="27" spans="1:12" ht="17.5">
      <c r="A27" s="285">
        <v>1</v>
      </c>
      <c r="B27" s="286" t="s">
        <v>452</v>
      </c>
      <c r="C27" s="288" t="s">
        <v>511</v>
      </c>
      <c r="D27" s="289" t="s">
        <v>434</v>
      </c>
      <c r="E27" s="304"/>
      <c r="F27" s="305"/>
      <c r="G27" s="297"/>
      <c r="H27" s="299"/>
      <c r="I27" s="299"/>
      <c r="J27" s="297"/>
      <c r="K27" s="297"/>
      <c r="L27" s="297"/>
    </row>
    <row r="28" spans="1:12" ht="17.5">
      <c r="A28" s="285">
        <v>2</v>
      </c>
      <c r="B28" s="286" t="s">
        <v>452</v>
      </c>
      <c r="C28" s="288" t="s">
        <v>502</v>
      </c>
      <c r="D28" s="288" t="s">
        <v>511</v>
      </c>
      <c r="E28" s="305"/>
      <c r="F28" s="290" t="s">
        <v>452</v>
      </c>
      <c r="G28" s="297"/>
      <c r="H28" s="299"/>
      <c r="I28" s="299"/>
      <c r="J28" s="297"/>
      <c r="K28" s="297"/>
      <c r="L28" s="297"/>
    </row>
    <row r="29" spans="1:12" ht="17.5">
      <c r="A29" s="285">
        <v>3</v>
      </c>
      <c r="B29" s="286" t="s">
        <v>452</v>
      </c>
      <c r="C29" s="288" t="s">
        <v>499</v>
      </c>
      <c r="D29" s="289" t="s">
        <v>434</v>
      </c>
      <c r="E29" s="304"/>
      <c r="F29" s="305"/>
      <c r="G29" s="297"/>
      <c r="H29" s="299"/>
      <c r="I29" s="299"/>
      <c r="J29" s="297"/>
      <c r="K29" s="297"/>
      <c r="L29" s="297"/>
    </row>
    <row r="30" spans="1:12" ht="17.5">
      <c r="A30" s="285">
        <v>4</v>
      </c>
      <c r="B30" s="286" t="s">
        <v>452</v>
      </c>
      <c r="C30" s="288" t="s">
        <v>504</v>
      </c>
      <c r="D30" s="288" t="s">
        <v>502</v>
      </c>
      <c r="E30" s="305"/>
      <c r="F30" s="290" t="s">
        <v>452</v>
      </c>
      <c r="G30" s="297"/>
      <c r="H30" s="299"/>
      <c r="I30" s="299"/>
      <c r="J30" s="297"/>
      <c r="K30" s="297"/>
      <c r="L30" s="297"/>
    </row>
    <row r="31" spans="1:12" ht="17.5">
      <c r="A31" s="285">
        <v>5</v>
      </c>
      <c r="B31" s="286" t="s">
        <v>452</v>
      </c>
      <c r="C31" s="288" t="s">
        <v>513</v>
      </c>
      <c r="D31" s="288" t="s">
        <v>504</v>
      </c>
      <c r="E31" s="305"/>
      <c r="F31" s="290" t="s">
        <v>452</v>
      </c>
      <c r="G31" s="297"/>
      <c r="H31" s="299"/>
      <c r="I31" s="299"/>
      <c r="J31" s="297"/>
      <c r="K31" s="297"/>
      <c r="L31" s="297"/>
    </row>
    <row r="32" spans="1:12" ht="17.5">
      <c r="A32" s="285">
        <v>6</v>
      </c>
      <c r="B32" s="286" t="s">
        <v>452</v>
      </c>
      <c r="C32" s="288" t="s">
        <v>515</v>
      </c>
      <c r="D32" s="288" t="s">
        <v>513</v>
      </c>
      <c r="E32" s="305"/>
      <c r="F32" s="290" t="s">
        <v>452</v>
      </c>
      <c r="G32" s="297"/>
      <c r="H32" s="299"/>
      <c r="I32" s="299"/>
      <c r="J32" s="297"/>
      <c r="K32" s="297"/>
      <c r="L32" s="297"/>
    </row>
    <row r="33" spans="1:12" ht="17.5">
      <c r="A33" s="285">
        <v>7</v>
      </c>
      <c r="B33" s="286" t="s">
        <v>452</v>
      </c>
      <c r="C33" s="288" t="s">
        <v>519</v>
      </c>
      <c r="D33" s="289" t="s">
        <v>434</v>
      </c>
      <c r="E33" s="304"/>
      <c r="F33" s="305"/>
      <c r="G33" s="297"/>
      <c r="H33" s="299"/>
      <c r="I33" s="299"/>
      <c r="J33" s="297"/>
      <c r="K33" s="297"/>
      <c r="L33" s="297"/>
    </row>
    <row r="34" spans="1:12" ht="17.5">
      <c r="A34" s="285">
        <v>8</v>
      </c>
      <c r="B34" s="286" t="s">
        <v>452</v>
      </c>
      <c r="C34" s="288" t="s">
        <v>520</v>
      </c>
      <c r="D34" s="288" t="s">
        <v>519</v>
      </c>
      <c r="E34" s="305"/>
      <c r="F34" s="290" t="s">
        <v>452</v>
      </c>
      <c r="G34" s="297"/>
      <c r="H34" s="299"/>
      <c r="I34" s="297"/>
      <c r="J34" s="297"/>
      <c r="K34" s="297"/>
      <c r="L34" s="297"/>
    </row>
    <row r="35" spans="1:12" ht="17.5">
      <c r="A35" s="285">
        <v>9</v>
      </c>
      <c r="B35" s="286" t="s">
        <v>452</v>
      </c>
      <c r="C35" s="288" t="s">
        <v>736</v>
      </c>
      <c r="D35" s="288" t="s">
        <v>519</v>
      </c>
      <c r="E35" s="305"/>
      <c r="F35" s="290" t="s">
        <v>452</v>
      </c>
      <c r="G35" s="297"/>
      <c r="H35" s="299"/>
      <c r="I35" s="297"/>
      <c r="J35" s="297"/>
      <c r="K35" s="297"/>
      <c r="L35" s="297"/>
    </row>
    <row r="36" spans="1:12" ht="17.5">
      <c r="A36" s="285">
        <v>10</v>
      </c>
      <c r="B36" s="286" t="s">
        <v>452</v>
      </c>
      <c r="C36" s="288" t="s">
        <v>736</v>
      </c>
      <c r="D36" s="288" t="s">
        <v>520</v>
      </c>
      <c r="E36" s="305"/>
      <c r="F36" s="290" t="s">
        <v>452</v>
      </c>
      <c r="G36" s="297"/>
      <c r="H36" s="299"/>
      <c r="I36" s="297"/>
      <c r="J36" s="297"/>
      <c r="K36" s="297"/>
      <c r="L36" s="297"/>
    </row>
    <row r="37" spans="1:12" ht="17.5">
      <c r="A37" s="285">
        <v>11</v>
      </c>
      <c r="B37" s="286" t="s">
        <v>452</v>
      </c>
      <c r="C37" s="288" t="s">
        <v>517</v>
      </c>
      <c r="D37" s="288" t="s">
        <v>515</v>
      </c>
      <c r="E37" s="305"/>
      <c r="F37" s="290" t="s">
        <v>452</v>
      </c>
      <c r="G37" s="297"/>
      <c r="H37" s="299"/>
      <c r="I37" s="297"/>
      <c r="J37" s="297"/>
      <c r="K37" s="297"/>
      <c r="L37" s="297"/>
    </row>
    <row r="38" spans="1:12" ht="17.5">
      <c r="A38" s="285">
        <v>12</v>
      </c>
      <c r="B38" s="286" t="s">
        <v>452</v>
      </c>
      <c r="C38" s="288" t="s">
        <v>518</v>
      </c>
      <c r="D38" s="288" t="s">
        <v>517</v>
      </c>
      <c r="E38" s="305"/>
      <c r="F38" s="290" t="s">
        <v>452</v>
      </c>
      <c r="G38" s="297"/>
      <c r="H38" s="299"/>
      <c r="I38" s="297"/>
      <c r="J38" s="297"/>
      <c r="K38" s="297"/>
      <c r="L38" s="297"/>
    </row>
    <row r="39" spans="1:12" ht="17.5">
      <c r="A39" s="285">
        <v>13</v>
      </c>
      <c r="B39" s="286" t="s">
        <v>452</v>
      </c>
      <c r="C39" s="288" t="s">
        <v>516</v>
      </c>
      <c r="D39" s="288" t="s">
        <v>518</v>
      </c>
      <c r="E39" s="305"/>
      <c r="F39" s="290" t="s">
        <v>452</v>
      </c>
      <c r="G39" s="297"/>
      <c r="H39" s="299"/>
      <c r="I39" s="297"/>
      <c r="J39" s="297"/>
      <c r="K39" s="297"/>
      <c r="L39" s="297"/>
    </row>
    <row r="40" spans="1:12" ht="17.5">
      <c r="A40" s="285">
        <v>14</v>
      </c>
      <c r="B40" s="286" t="s">
        <v>452</v>
      </c>
      <c r="C40" s="288" t="s">
        <v>737</v>
      </c>
      <c r="D40" s="288" t="s">
        <v>516</v>
      </c>
      <c r="E40" s="305"/>
      <c r="F40" s="290" t="s">
        <v>452</v>
      </c>
      <c r="G40" s="297"/>
      <c r="H40" s="299"/>
      <c r="I40" s="297"/>
      <c r="J40" s="297"/>
      <c r="K40" s="297"/>
      <c r="L40" s="297"/>
    </row>
    <row r="41" spans="1:12" ht="17.5">
      <c r="A41" s="285">
        <v>15</v>
      </c>
      <c r="B41" s="286" t="s">
        <v>452</v>
      </c>
      <c r="C41" s="288" t="s">
        <v>737</v>
      </c>
      <c r="D41" s="288" t="s">
        <v>518</v>
      </c>
      <c r="E41" s="305"/>
      <c r="F41" s="290" t="s">
        <v>452</v>
      </c>
      <c r="G41" s="297"/>
      <c r="H41" s="299"/>
      <c r="I41" s="297"/>
      <c r="J41" s="297"/>
      <c r="K41" s="297"/>
      <c r="L41" s="297"/>
    </row>
    <row r="42" spans="1:12" ht="17.5">
      <c r="A42" s="285">
        <v>16</v>
      </c>
      <c r="B42" s="286" t="s">
        <v>452</v>
      </c>
      <c r="C42" s="288" t="s">
        <v>737</v>
      </c>
      <c r="D42" s="288" t="s">
        <v>517</v>
      </c>
      <c r="E42" s="305"/>
      <c r="F42" s="290" t="s">
        <v>452</v>
      </c>
      <c r="G42" s="297"/>
      <c r="H42" s="299"/>
      <c r="I42" s="297"/>
      <c r="J42" s="297"/>
      <c r="K42" s="297"/>
      <c r="L42" s="297"/>
    </row>
    <row r="43" spans="1:12" ht="17.5">
      <c r="A43" s="285">
        <v>17</v>
      </c>
      <c r="B43" s="286" t="s">
        <v>452</v>
      </c>
      <c r="C43" s="288" t="s">
        <v>737</v>
      </c>
      <c r="D43" s="288" t="s">
        <v>515</v>
      </c>
      <c r="E43" s="305"/>
      <c r="F43" s="290" t="s">
        <v>452</v>
      </c>
      <c r="G43" s="297"/>
      <c r="H43" s="299"/>
      <c r="I43" s="297"/>
      <c r="J43" s="297"/>
      <c r="K43" s="297"/>
      <c r="L43" s="297"/>
    </row>
    <row r="44" spans="1:12" ht="17.5">
      <c r="A44" s="285">
        <v>18</v>
      </c>
      <c r="B44" s="286" t="s">
        <v>452</v>
      </c>
      <c r="C44" s="288" t="s">
        <v>737</v>
      </c>
      <c r="D44" s="288" t="s">
        <v>513</v>
      </c>
      <c r="E44" s="305"/>
      <c r="F44" s="290" t="s">
        <v>452</v>
      </c>
      <c r="G44" s="297"/>
      <c r="H44" s="299"/>
      <c r="I44" s="297"/>
      <c r="J44" s="297"/>
      <c r="K44" s="297"/>
      <c r="L44" s="297"/>
    </row>
    <row r="45" spans="1:12" ht="17.5">
      <c r="A45" s="285">
        <v>19</v>
      </c>
      <c r="B45" s="286" t="s">
        <v>452</v>
      </c>
      <c r="C45" s="288" t="s">
        <v>737</v>
      </c>
      <c r="D45" s="288" t="s">
        <v>504</v>
      </c>
      <c r="E45" s="305"/>
      <c r="F45" s="290" t="s">
        <v>452</v>
      </c>
      <c r="G45" s="297"/>
      <c r="H45" s="299"/>
      <c r="I45" s="297"/>
      <c r="J45" s="297"/>
      <c r="K45" s="297"/>
      <c r="L45" s="297"/>
    </row>
    <row r="46" spans="1:12" ht="17.5">
      <c r="A46" s="285">
        <v>20</v>
      </c>
      <c r="B46" s="286" t="s">
        <v>452</v>
      </c>
      <c r="C46" s="288" t="s">
        <v>737</v>
      </c>
      <c r="D46" s="288" t="s">
        <v>502</v>
      </c>
      <c r="E46" s="305"/>
      <c r="F46" s="290" t="s">
        <v>452</v>
      </c>
      <c r="G46" s="297"/>
      <c r="H46" s="299"/>
      <c r="I46" s="297"/>
      <c r="J46" s="297"/>
      <c r="K46" s="297"/>
      <c r="L46" s="297"/>
    </row>
    <row r="47" spans="1:12" ht="17.5">
      <c r="A47" s="285">
        <v>21</v>
      </c>
      <c r="B47" s="286" t="s">
        <v>452</v>
      </c>
      <c r="C47" s="288" t="s">
        <v>737</v>
      </c>
      <c r="D47" s="288" t="s">
        <v>511</v>
      </c>
      <c r="E47" s="305"/>
      <c r="F47" s="290" t="s">
        <v>452</v>
      </c>
      <c r="G47" s="297"/>
      <c r="H47" s="299"/>
      <c r="I47" s="297"/>
      <c r="J47" s="297"/>
      <c r="K47" s="297"/>
      <c r="L47" s="297"/>
    </row>
    <row r="48" spans="1:12" ht="17.5">
      <c r="A48" s="285">
        <v>22</v>
      </c>
      <c r="B48" s="286" t="s">
        <v>452</v>
      </c>
      <c r="C48" s="288" t="s">
        <v>514</v>
      </c>
      <c r="D48" s="289" t="s">
        <v>434</v>
      </c>
      <c r="E48" s="304"/>
      <c r="F48" s="305"/>
      <c r="G48" s="297"/>
      <c r="H48" s="299"/>
      <c r="I48" s="297"/>
      <c r="J48" s="297"/>
      <c r="K48" s="297"/>
      <c r="L48" s="297"/>
    </row>
    <row r="49" spans="1:12" ht="17.5">
      <c r="A49" s="285">
        <v>23</v>
      </c>
      <c r="B49" s="286" t="s">
        <v>452</v>
      </c>
      <c r="C49" s="288" t="s">
        <v>501</v>
      </c>
      <c r="D49" s="288" t="s">
        <v>514</v>
      </c>
      <c r="E49" s="305"/>
      <c r="F49" s="290" t="s">
        <v>452</v>
      </c>
      <c r="G49" s="297"/>
      <c r="H49" s="299"/>
      <c r="I49" s="297"/>
      <c r="J49" s="297"/>
      <c r="K49" s="297"/>
      <c r="L49" s="297"/>
    </row>
    <row r="50" spans="1:12" ht="17.5">
      <c r="A50" s="285">
        <v>24</v>
      </c>
      <c r="B50" s="286" t="s">
        <v>452</v>
      </c>
      <c r="C50" s="288" t="s">
        <v>501</v>
      </c>
      <c r="D50" s="288" t="s">
        <v>499</v>
      </c>
      <c r="E50" s="305"/>
      <c r="F50" s="290" t="s">
        <v>452</v>
      </c>
      <c r="G50" s="297"/>
      <c r="H50" s="299"/>
      <c r="I50" s="297"/>
      <c r="J50" s="297"/>
      <c r="K50" s="297"/>
      <c r="L50" s="297"/>
    </row>
    <row r="51" spans="1:12" ht="17.5">
      <c r="A51" s="285">
        <v>25</v>
      </c>
      <c r="B51" s="286" t="s">
        <v>452</v>
      </c>
      <c r="C51" s="288" t="s">
        <v>738</v>
      </c>
      <c r="D51" s="288" t="s">
        <v>499</v>
      </c>
      <c r="E51" s="305"/>
      <c r="F51" s="290" t="s">
        <v>452</v>
      </c>
      <c r="G51" s="297"/>
      <c r="H51" s="299"/>
      <c r="I51" s="297"/>
      <c r="J51" s="297"/>
      <c r="K51" s="297"/>
      <c r="L51" s="297"/>
    </row>
    <row r="52" spans="1:12" ht="17.5">
      <c r="A52" s="285">
        <v>26</v>
      </c>
      <c r="B52" s="286" t="s">
        <v>452</v>
      </c>
      <c r="C52" s="288" t="s">
        <v>738</v>
      </c>
      <c r="D52" s="288" t="s">
        <v>501</v>
      </c>
      <c r="E52" s="305"/>
      <c r="F52" s="290" t="s">
        <v>452</v>
      </c>
      <c r="G52" s="297"/>
      <c r="H52" s="299"/>
      <c r="I52" s="297"/>
      <c r="J52" s="297"/>
      <c r="K52" s="297"/>
      <c r="L52" s="297"/>
    </row>
    <row r="53" spans="1:12" ht="17.5">
      <c r="A53" s="285">
        <v>27</v>
      </c>
      <c r="B53" s="286" t="s">
        <v>452</v>
      </c>
      <c r="C53" s="288" t="s">
        <v>738</v>
      </c>
      <c r="D53" s="288" t="s">
        <v>514</v>
      </c>
      <c r="E53" s="305"/>
      <c r="F53" s="290" t="s">
        <v>452</v>
      </c>
      <c r="G53" s="297"/>
      <c r="H53" s="299"/>
      <c r="I53" s="297"/>
      <c r="J53" s="297"/>
      <c r="K53" s="297"/>
      <c r="L53" s="297"/>
    </row>
    <row r="54" spans="1:12">
      <c r="A54" s="306"/>
      <c r="B54" s="306"/>
      <c r="C54" s="306"/>
      <c r="D54" s="306"/>
      <c r="E54" s="306"/>
      <c r="F54" s="306"/>
      <c r="G54" s="306"/>
      <c r="H54" s="299"/>
      <c r="I54" s="297"/>
      <c r="J54" s="297"/>
      <c r="K54" s="297"/>
      <c r="L54" s="297"/>
    </row>
    <row r="55" spans="1:12" ht="17.5">
      <c r="A55" s="297"/>
      <c r="B55" s="302" t="str">
        <f>B57</f>
        <v>Agent03</v>
      </c>
      <c r="C55" s="298" t="s">
        <v>739</v>
      </c>
      <c r="D55" s="283" t="s">
        <v>458</v>
      </c>
      <c r="E55" s="297"/>
      <c r="F55" s="297"/>
      <c r="G55" s="297"/>
      <c r="H55" s="299"/>
      <c r="I55" s="297"/>
      <c r="J55" s="297"/>
      <c r="K55" s="297"/>
      <c r="L55" s="297"/>
    </row>
    <row r="56" spans="1:12" ht="35">
      <c r="A56" s="307"/>
      <c r="B56" s="284" t="s">
        <v>438</v>
      </c>
      <c r="C56" s="284" t="s">
        <v>441</v>
      </c>
      <c r="D56" s="293" t="s">
        <v>442</v>
      </c>
      <c r="E56" s="307"/>
      <c r="F56" s="284" t="s">
        <v>444</v>
      </c>
      <c r="G56" s="293" t="s">
        <v>443</v>
      </c>
      <c r="H56" s="299"/>
      <c r="I56" s="299"/>
      <c r="J56" s="297"/>
      <c r="K56" s="297"/>
      <c r="L56" s="297"/>
    </row>
    <row r="57" spans="1:12" ht="17.5">
      <c r="A57" s="285">
        <v>1</v>
      </c>
      <c r="B57" s="286" t="s">
        <v>456</v>
      </c>
      <c r="C57" s="288" t="s">
        <v>530</v>
      </c>
      <c r="D57" s="289" t="s">
        <v>434</v>
      </c>
      <c r="E57" s="304"/>
      <c r="F57" s="305"/>
      <c r="G57" s="297"/>
      <c r="H57" s="299"/>
      <c r="I57" s="299"/>
      <c r="J57" s="297"/>
      <c r="K57" s="297"/>
      <c r="L57" s="297"/>
    </row>
    <row r="58" spans="1:12" ht="17.5">
      <c r="A58" s="285">
        <v>2</v>
      </c>
      <c r="B58" s="286" t="s">
        <v>456</v>
      </c>
      <c r="C58" s="288" t="s">
        <v>523</v>
      </c>
      <c r="D58" s="289" t="s">
        <v>434</v>
      </c>
      <c r="E58" s="304"/>
      <c r="F58" s="305"/>
      <c r="G58" s="297"/>
      <c r="H58" s="299"/>
      <c r="I58" s="299"/>
      <c r="J58" s="297"/>
      <c r="K58" s="297"/>
      <c r="L58" s="297"/>
    </row>
    <row r="59" spans="1:12" ht="17.5">
      <c r="A59" s="285">
        <v>3</v>
      </c>
      <c r="B59" s="286" t="s">
        <v>456</v>
      </c>
      <c r="C59" s="288" t="s">
        <v>521</v>
      </c>
      <c r="D59" s="288" t="s">
        <v>523</v>
      </c>
      <c r="E59" s="305"/>
      <c r="F59" s="290" t="s">
        <v>456</v>
      </c>
      <c r="G59" s="297"/>
      <c r="H59" s="299"/>
      <c r="I59" s="299"/>
      <c r="J59" s="297"/>
      <c r="K59" s="297"/>
      <c r="L59" s="297"/>
    </row>
    <row r="60" spans="1:12" ht="17.5">
      <c r="A60" s="285">
        <v>4</v>
      </c>
      <c r="B60" s="286" t="s">
        <v>456</v>
      </c>
      <c r="C60" s="288" t="s">
        <v>526</v>
      </c>
      <c r="D60" s="289" t="s">
        <v>434</v>
      </c>
      <c r="E60" s="304"/>
      <c r="F60" s="305"/>
      <c r="G60" s="297"/>
      <c r="H60" s="299"/>
      <c r="I60" s="299"/>
      <c r="J60" s="297"/>
      <c r="K60" s="297"/>
      <c r="L60" s="297"/>
    </row>
    <row r="61" spans="1:12" ht="17.5">
      <c r="A61" s="285">
        <v>5</v>
      </c>
      <c r="B61" s="286" t="s">
        <v>456</v>
      </c>
      <c r="C61" s="288" t="s">
        <v>533</v>
      </c>
      <c r="D61" s="288" t="s">
        <v>523</v>
      </c>
      <c r="E61" s="305"/>
      <c r="F61" s="290" t="s">
        <v>456</v>
      </c>
      <c r="G61" s="297"/>
      <c r="H61" s="299"/>
      <c r="I61" s="299"/>
      <c r="J61" s="297"/>
      <c r="K61" s="297"/>
      <c r="L61" s="297"/>
    </row>
    <row r="62" spans="1:12" ht="17.5">
      <c r="A62" s="285">
        <v>6</v>
      </c>
      <c r="B62" s="286" t="s">
        <v>456</v>
      </c>
      <c r="C62" s="288" t="s">
        <v>533</v>
      </c>
      <c r="D62" s="288" t="s">
        <v>521</v>
      </c>
      <c r="E62" s="305"/>
      <c r="F62" s="290" t="s">
        <v>456</v>
      </c>
      <c r="G62" s="297"/>
      <c r="H62" s="299"/>
      <c r="I62" s="299"/>
      <c r="J62" s="297"/>
      <c r="K62" s="297"/>
      <c r="L62" s="297"/>
    </row>
    <row r="63" spans="1:12" ht="17.5">
      <c r="A63" s="285">
        <v>7</v>
      </c>
      <c r="B63" s="286" t="s">
        <v>456</v>
      </c>
      <c r="C63" s="288" t="s">
        <v>533</v>
      </c>
      <c r="D63" s="288" t="s">
        <v>526</v>
      </c>
      <c r="E63" s="305"/>
      <c r="F63" s="290" t="s">
        <v>456</v>
      </c>
      <c r="G63" s="297"/>
      <c r="H63" s="299"/>
      <c r="I63" s="299"/>
      <c r="J63" s="297"/>
      <c r="K63" s="297"/>
      <c r="L63" s="297"/>
    </row>
    <row r="64" spans="1:12" ht="17.5">
      <c r="A64" s="285">
        <v>8</v>
      </c>
      <c r="B64" s="286" t="s">
        <v>456</v>
      </c>
      <c r="C64" s="288" t="s">
        <v>525</v>
      </c>
      <c r="D64" s="288" t="s">
        <v>521</v>
      </c>
      <c r="E64" s="305"/>
      <c r="F64" s="290" t="s">
        <v>456</v>
      </c>
      <c r="G64" s="297"/>
      <c r="H64" s="299"/>
      <c r="I64" s="297"/>
      <c r="J64" s="297"/>
      <c r="K64" s="297"/>
      <c r="L64" s="297"/>
    </row>
    <row r="65" spans="1:12" ht="17.5">
      <c r="A65" s="285">
        <v>9</v>
      </c>
      <c r="B65" s="286" t="s">
        <v>456</v>
      </c>
      <c r="C65" s="288" t="s">
        <v>532</v>
      </c>
      <c r="D65" s="288" t="s">
        <v>533</v>
      </c>
      <c r="E65" s="305"/>
      <c r="F65" s="290" t="s">
        <v>456</v>
      </c>
      <c r="G65" s="297"/>
      <c r="H65" s="299"/>
      <c r="I65" s="297"/>
      <c r="J65" s="297"/>
      <c r="K65" s="297"/>
      <c r="L65" s="297"/>
    </row>
    <row r="66" spans="1:12" ht="17.5">
      <c r="A66" s="285">
        <v>10</v>
      </c>
      <c r="B66" s="286" t="s">
        <v>456</v>
      </c>
      <c r="C66" s="288" t="s">
        <v>532</v>
      </c>
      <c r="D66" s="288" t="s">
        <v>526</v>
      </c>
      <c r="E66" s="305"/>
      <c r="F66" s="290" t="s">
        <v>456</v>
      </c>
      <c r="G66" s="297"/>
      <c r="H66" s="299"/>
      <c r="I66" s="297"/>
      <c r="J66" s="297"/>
      <c r="K66" s="297"/>
      <c r="L66" s="297"/>
    </row>
    <row r="67" spans="1:12" ht="17.5">
      <c r="A67" s="285">
        <v>11</v>
      </c>
      <c r="B67" s="286" t="s">
        <v>456</v>
      </c>
      <c r="C67" s="288" t="s">
        <v>532</v>
      </c>
      <c r="D67" s="288" t="s">
        <v>521</v>
      </c>
      <c r="E67" s="305"/>
      <c r="F67" s="290" t="s">
        <v>456</v>
      </c>
      <c r="G67" s="297"/>
      <c r="H67" s="299"/>
      <c r="I67" s="297"/>
      <c r="J67" s="297"/>
      <c r="K67" s="297"/>
      <c r="L67" s="297"/>
    </row>
    <row r="68" spans="1:12" ht="17.5">
      <c r="A68" s="285">
        <v>12</v>
      </c>
      <c r="B68" s="286" t="s">
        <v>456</v>
      </c>
      <c r="C68" s="288" t="s">
        <v>532</v>
      </c>
      <c r="D68" s="288" t="s">
        <v>525</v>
      </c>
      <c r="E68" s="305"/>
      <c r="F68" s="290" t="s">
        <v>456</v>
      </c>
      <c r="G68" s="297"/>
      <c r="H68" s="299"/>
      <c r="I68" s="297"/>
      <c r="J68" s="297"/>
      <c r="K68" s="297"/>
      <c r="L68" s="297"/>
    </row>
    <row r="69" spans="1:12" ht="17.5">
      <c r="A69" s="285">
        <v>13</v>
      </c>
      <c r="B69" s="286" t="s">
        <v>456</v>
      </c>
      <c r="C69" s="288" t="s">
        <v>538</v>
      </c>
      <c r="D69" s="288" t="s">
        <v>532</v>
      </c>
      <c r="E69" s="305"/>
      <c r="F69" s="290" t="s">
        <v>456</v>
      </c>
      <c r="G69" s="297"/>
      <c r="H69" s="299"/>
      <c r="I69" s="297"/>
      <c r="J69" s="297"/>
      <c r="K69" s="297"/>
      <c r="L69" s="297"/>
    </row>
    <row r="70" spans="1:12" ht="17.5">
      <c r="A70" s="285">
        <v>14</v>
      </c>
      <c r="B70" s="286" t="s">
        <v>456</v>
      </c>
      <c r="C70" s="288" t="s">
        <v>538</v>
      </c>
      <c r="D70" s="288" t="s">
        <v>530</v>
      </c>
      <c r="E70" s="305"/>
      <c r="F70" s="290" t="s">
        <v>456</v>
      </c>
      <c r="G70" s="297"/>
      <c r="H70" s="299"/>
      <c r="I70" s="297"/>
      <c r="J70" s="297"/>
      <c r="K70" s="297"/>
      <c r="L70" s="297"/>
    </row>
    <row r="71" spans="1:12" ht="17.5">
      <c r="A71" s="285">
        <v>15</v>
      </c>
      <c r="B71" s="286" t="s">
        <v>456</v>
      </c>
      <c r="C71" s="288" t="s">
        <v>538</v>
      </c>
      <c r="D71" s="288" t="s">
        <v>543</v>
      </c>
      <c r="E71" s="304" t="s">
        <v>733</v>
      </c>
      <c r="F71" s="290" t="s">
        <v>459</v>
      </c>
      <c r="G71" s="297"/>
      <c r="H71" s="299"/>
      <c r="I71" s="297"/>
      <c r="J71" s="297"/>
      <c r="K71" s="297"/>
      <c r="L71" s="297"/>
    </row>
    <row r="72" spans="1:12" ht="17.5">
      <c r="A72" s="285">
        <v>16</v>
      </c>
      <c r="B72" s="286" t="s">
        <v>456</v>
      </c>
      <c r="C72" s="288" t="s">
        <v>740</v>
      </c>
      <c r="D72" s="288" t="s">
        <v>532</v>
      </c>
      <c r="E72" s="305"/>
      <c r="F72" s="290" t="s">
        <v>456</v>
      </c>
      <c r="G72" s="297"/>
      <c r="H72" s="299"/>
      <c r="I72" s="297"/>
      <c r="J72" s="297"/>
      <c r="K72" s="297"/>
      <c r="L72" s="297"/>
    </row>
    <row r="73" spans="1:12" ht="17.5">
      <c r="A73" s="285">
        <v>17</v>
      </c>
      <c r="B73" s="286" t="s">
        <v>456</v>
      </c>
      <c r="C73" s="288" t="s">
        <v>740</v>
      </c>
      <c r="D73" s="288" t="s">
        <v>530</v>
      </c>
      <c r="E73" s="305"/>
      <c r="F73" s="290" t="s">
        <v>456</v>
      </c>
      <c r="G73" s="297"/>
      <c r="H73" s="299"/>
      <c r="I73" s="297"/>
      <c r="J73" s="297"/>
      <c r="K73" s="297"/>
      <c r="L73" s="297"/>
    </row>
    <row r="74" spans="1:12" ht="17.5">
      <c r="A74" s="285">
        <v>18</v>
      </c>
      <c r="B74" s="286" t="s">
        <v>456</v>
      </c>
      <c r="C74" s="288" t="s">
        <v>740</v>
      </c>
      <c r="D74" s="288" t="s">
        <v>538</v>
      </c>
      <c r="E74" s="305"/>
      <c r="F74" s="290" t="s">
        <v>456</v>
      </c>
      <c r="G74" s="297"/>
      <c r="H74" s="299"/>
      <c r="I74" s="297"/>
      <c r="J74" s="297"/>
      <c r="K74" s="297"/>
      <c r="L74" s="297"/>
    </row>
    <row r="75" spans="1:12" ht="17.5">
      <c r="A75" s="285">
        <v>19</v>
      </c>
      <c r="B75" s="286" t="s">
        <v>456</v>
      </c>
      <c r="C75" s="288" t="s">
        <v>541</v>
      </c>
      <c r="D75" s="289" t="s">
        <v>434</v>
      </c>
      <c r="E75" s="304"/>
      <c r="F75" s="305"/>
      <c r="G75" s="297"/>
      <c r="H75" s="299"/>
      <c r="I75" s="297"/>
      <c r="J75" s="297"/>
      <c r="K75" s="297"/>
      <c r="L75" s="297"/>
    </row>
    <row r="76" spans="1:12" ht="17.5">
      <c r="A76" s="285">
        <v>20</v>
      </c>
      <c r="B76" s="286" t="s">
        <v>456</v>
      </c>
      <c r="C76" s="288" t="s">
        <v>549</v>
      </c>
      <c r="D76" s="288" t="s">
        <v>541</v>
      </c>
      <c r="E76" s="305"/>
      <c r="F76" s="290" t="s">
        <v>456</v>
      </c>
      <c r="G76" s="297"/>
      <c r="H76" s="299"/>
      <c r="I76" s="297"/>
      <c r="J76" s="297"/>
      <c r="K76" s="297"/>
      <c r="L76" s="297"/>
    </row>
    <row r="77" spans="1:12" ht="17.5">
      <c r="A77" s="285">
        <v>21</v>
      </c>
      <c r="B77" s="286" t="s">
        <v>456</v>
      </c>
      <c r="C77" s="288" t="s">
        <v>549</v>
      </c>
      <c r="D77" s="288" t="s">
        <v>568</v>
      </c>
      <c r="E77" s="304" t="s">
        <v>733</v>
      </c>
      <c r="F77" s="290" t="s">
        <v>467</v>
      </c>
      <c r="G77" s="297"/>
      <c r="H77" s="299"/>
      <c r="I77" s="297"/>
      <c r="J77" s="297"/>
      <c r="K77" s="297"/>
      <c r="L77" s="297"/>
    </row>
    <row r="78" spans="1:12" ht="17.5">
      <c r="A78" s="285">
        <v>22</v>
      </c>
      <c r="B78" s="286" t="s">
        <v>456</v>
      </c>
      <c r="C78" s="288" t="s">
        <v>554</v>
      </c>
      <c r="D78" s="288" t="s">
        <v>549</v>
      </c>
      <c r="E78" s="305"/>
      <c r="F78" s="290" t="s">
        <v>456</v>
      </c>
      <c r="G78" s="297"/>
      <c r="H78" s="299"/>
      <c r="I78" s="297"/>
      <c r="J78" s="297"/>
      <c r="K78" s="297"/>
      <c r="L78" s="297"/>
    </row>
    <row r="79" spans="1:12" ht="17.5">
      <c r="A79" s="285">
        <v>23</v>
      </c>
      <c r="B79" s="286" t="s">
        <v>456</v>
      </c>
      <c r="C79" s="288" t="s">
        <v>554</v>
      </c>
      <c r="D79" s="288" t="s">
        <v>541</v>
      </c>
      <c r="E79" s="305"/>
      <c r="F79" s="290" t="s">
        <v>456</v>
      </c>
      <c r="G79" s="297"/>
      <c r="H79" s="299"/>
      <c r="I79" s="297"/>
      <c r="J79" s="297"/>
      <c r="K79" s="297"/>
      <c r="L79" s="297"/>
    </row>
    <row r="80" spans="1:12" ht="17.5">
      <c r="A80" s="285">
        <v>24</v>
      </c>
      <c r="B80" s="286" t="s">
        <v>456</v>
      </c>
      <c r="C80" s="288" t="s">
        <v>554</v>
      </c>
      <c r="D80" s="288" t="s">
        <v>538</v>
      </c>
      <c r="E80" s="305"/>
      <c r="F80" s="290" t="s">
        <v>456</v>
      </c>
      <c r="G80" s="297"/>
      <c r="H80" s="299"/>
      <c r="I80" s="297"/>
      <c r="J80" s="297"/>
      <c r="K80" s="297"/>
      <c r="L80" s="297"/>
    </row>
    <row r="81" spans="1:12" ht="17.5">
      <c r="A81" s="285">
        <v>25</v>
      </c>
      <c r="B81" s="286" t="s">
        <v>456</v>
      </c>
      <c r="C81" s="288" t="s">
        <v>554</v>
      </c>
      <c r="D81" s="288" t="s">
        <v>543</v>
      </c>
      <c r="E81" s="304" t="s">
        <v>733</v>
      </c>
      <c r="F81" s="290" t="s">
        <v>459</v>
      </c>
      <c r="G81" s="297"/>
      <c r="H81" s="299"/>
      <c r="I81" s="297"/>
      <c r="J81" s="297"/>
      <c r="K81" s="297"/>
      <c r="L81" s="297"/>
    </row>
    <row r="82" spans="1:12" ht="17.5">
      <c r="A82" s="285">
        <v>26</v>
      </c>
      <c r="B82" s="286" t="s">
        <v>456</v>
      </c>
      <c r="C82" s="288" t="s">
        <v>554</v>
      </c>
      <c r="D82" s="288" t="s">
        <v>565</v>
      </c>
      <c r="E82" s="304" t="s">
        <v>733</v>
      </c>
      <c r="F82" s="290" t="s">
        <v>462</v>
      </c>
      <c r="G82" s="297"/>
      <c r="H82" s="299"/>
      <c r="I82" s="297"/>
      <c r="J82" s="297"/>
      <c r="K82" s="297"/>
      <c r="L82" s="297"/>
    </row>
    <row r="83" spans="1:12" ht="17.5">
      <c r="A83" s="285">
        <v>27</v>
      </c>
      <c r="B83" s="294" t="s">
        <v>456</v>
      </c>
      <c r="C83" s="295" t="s">
        <v>554</v>
      </c>
      <c r="D83" s="291" t="s">
        <v>580</v>
      </c>
      <c r="E83" s="304" t="s">
        <v>733</v>
      </c>
      <c r="F83" s="308" t="s">
        <v>467</v>
      </c>
      <c r="G83" s="299"/>
      <c r="H83" s="299"/>
      <c r="I83" s="299"/>
      <c r="J83" s="299"/>
      <c r="K83" s="299"/>
      <c r="L83" s="299"/>
    </row>
    <row r="84" spans="1:12" ht="17.5">
      <c r="A84" s="285">
        <v>28</v>
      </c>
      <c r="B84" s="286" t="s">
        <v>456</v>
      </c>
      <c r="C84" s="288" t="s">
        <v>554</v>
      </c>
      <c r="D84" s="288" t="s">
        <v>568</v>
      </c>
      <c r="E84" s="304" t="s">
        <v>733</v>
      </c>
      <c r="F84" s="290" t="s">
        <v>467</v>
      </c>
      <c r="G84" s="297"/>
      <c r="H84" s="299"/>
      <c r="I84" s="297"/>
      <c r="J84" s="297"/>
      <c r="K84" s="297"/>
      <c r="L84" s="297"/>
    </row>
    <row r="85" spans="1:12">
      <c r="A85" s="306"/>
      <c r="B85" s="306"/>
      <c r="C85" s="306"/>
      <c r="D85" s="306"/>
      <c r="E85" s="306"/>
      <c r="F85" s="306"/>
      <c r="G85" s="306"/>
      <c r="H85" s="299"/>
      <c r="I85" s="297"/>
      <c r="J85" s="297"/>
      <c r="K85" s="297"/>
      <c r="L85" s="297"/>
    </row>
    <row r="86" spans="1:12" ht="17.5">
      <c r="A86" s="297"/>
      <c r="B86" s="302" t="str">
        <f>B88</f>
        <v>Agent04</v>
      </c>
      <c r="C86" s="298" t="s">
        <v>741</v>
      </c>
      <c r="D86" s="283" t="s">
        <v>461</v>
      </c>
      <c r="E86" s="297"/>
      <c r="F86" s="297"/>
      <c r="G86" s="297"/>
      <c r="H86" s="299"/>
      <c r="I86" s="297"/>
      <c r="J86" s="297"/>
      <c r="K86" s="297"/>
      <c r="L86" s="297"/>
    </row>
    <row r="87" spans="1:12" ht="35">
      <c r="A87" s="307"/>
      <c r="B87" s="284" t="s">
        <v>438</v>
      </c>
      <c r="C87" s="284" t="s">
        <v>441</v>
      </c>
      <c r="D87" s="293" t="s">
        <v>442</v>
      </c>
      <c r="E87" s="307"/>
      <c r="F87" s="284" t="s">
        <v>444</v>
      </c>
      <c r="G87" s="293" t="s">
        <v>443</v>
      </c>
      <c r="H87" s="299"/>
      <c r="I87" s="299"/>
      <c r="J87" s="297"/>
      <c r="K87" s="297"/>
      <c r="L87" s="297"/>
    </row>
    <row r="88" spans="1:12" ht="17.5">
      <c r="A88" s="285">
        <v>1</v>
      </c>
      <c r="B88" s="286" t="s">
        <v>459</v>
      </c>
      <c r="C88" s="288" t="s">
        <v>543</v>
      </c>
      <c r="D88" s="289" t="s">
        <v>434</v>
      </c>
      <c r="E88" s="304"/>
      <c r="F88" s="305"/>
      <c r="G88" s="297"/>
      <c r="H88" s="299"/>
      <c r="I88" s="299"/>
      <c r="J88" s="297"/>
      <c r="K88" s="297"/>
      <c r="L88" s="297"/>
    </row>
    <row r="89" spans="1:12" ht="17.5">
      <c r="A89" s="285">
        <v>2</v>
      </c>
      <c r="B89" s="286" t="s">
        <v>459</v>
      </c>
      <c r="C89" s="288" t="s">
        <v>544</v>
      </c>
      <c r="D89" s="288" t="s">
        <v>530</v>
      </c>
      <c r="E89" s="304" t="s">
        <v>733</v>
      </c>
      <c r="F89" s="290" t="s">
        <v>456</v>
      </c>
      <c r="G89" s="297"/>
      <c r="H89" s="299"/>
      <c r="I89" s="299"/>
      <c r="J89" s="297"/>
      <c r="K89" s="297"/>
      <c r="L89" s="297"/>
    </row>
    <row r="90" spans="1:12" ht="17.5">
      <c r="A90" s="285">
        <v>3</v>
      </c>
      <c r="B90" s="286" t="s">
        <v>459</v>
      </c>
      <c r="C90" s="288" t="s">
        <v>552</v>
      </c>
      <c r="D90" s="288" t="s">
        <v>544</v>
      </c>
      <c r="E90" s="305"/>
      <c r="F90" s="290" t="s">
        <v>459</v>
      </c>
      <c r="G90" s="297"/>
      <c r="H90" s="299"/>
      <c r="I90" s="299"/>
      <c r="J90" s="297"/>
      <c r="K90" s="297"/>
      <c r="L90" s="297"/>
    </row>
    <row r="91" spans="1:12" ht="17.5">
      <c r="A91" s="285">
        <v>4</v>
      </c>
      <c r="B91" s="286" t="s">
        <v>459</v>
      </c>
      <c r="C91" s="288" t="s">
        <v>550</v>
      </c>
      <c r="D91" s="288" t="s">
        <v>552</v>
      </c>
      <c r="E91" s="305"/>
      <c r="F91" s="290" t="s">
        <v>459</v>
      </c>
      <c r="G91" s="297"/>
      <c r="H91" s="299"/>
      <c r="I91" s="299"/>
      <c r="J91" s="297"/>
      <c r="K91" s="297"/>
      <c r="L91" s="297"/>
    </row>
    <row r="92" spans="1:12" ht="17.5">
      <c r="A92" s="285">
        <v>5</v>
      </c>
      <c r="B92" s="286" t="s">
        <v>459</v>
      </c>
      <c r="C92" s="288" t="s">
        <v>556</v>
      </c>
      <c r="D92" s="288" t="s">
        <v>552</v>
      </c>
      <c r="E92" s="305"/>
      <c r="F92" s="290" t="s">
        <v>459</v>
      </c>
      <c r="G92" s="297"/>
      <c r="H92" s="299"/>
      <c r="I92" s="299"/>
      <c r="J92" s="297"/>
      <c r="K92" s="297"/>
      <c r="L92" s="297"/>
    </row>
    <row r="93" spans="1:12" ht="17.5">
      <c r="A93" s="285">
        <v>6</v>
      </c>
      <c r="B93" s="286" t="s">
        <v>459</v>
      </c>
      <c r="C93" s="288" t="s">
        <v>556</v>
      </c>
      <c r="D93" s="288" t="s">
        <v>550</v>
      </c>
      <c r="E93" s="305"/>
      <c r="F93" s="290" t="s">
        <v>459</v>
      </c>
      <c r="G93" s="297"/>
      <c r="H93" s="299"/>
      <c r="I93" s="299"/>
      <c r="J93" s="297"/>
      <c r="K93" s="297"/>
      <c r="L93" s="297"/>
    </row>
    <row r="94" spans="1:12" ht="17.5">
      <c r="A94" s="285">
        <v>7</v>
      </c>
      <c r="B94" s="286" t="s">
        <v>459</v>
      </c>
      <c r="C94" s="288" t="s">
        <v>570</v>
      </c>
      <c r="D94" s="288" t="s">
        <v>578</v>
      </c>
      <c r="E94" s="304" t="s">
        <v>733</v>
      </c>
      <c r="F94" s="290" t="s">
        <v>462</v>
      </c>
      <c r="G94" s="297"/>
      <c r="H94" s="299"/>
      <c r="I94" s="299"/>
      <c r="J94" s="297"/>
      <c r="K94" s="297"/>
      <c r="L94" s="297"/>
    </row>
    <row r="95" spans="1:12" ht="17.5">
      <c r="A95" s="285">
        <v>8</v>
      </c>
      <c r="B95" s="286" t="s">
        <v>459</v>
      </c>
      <c r="C95" s="288" t="s">
        <v>570</v>
      </c>
      <c r="D95" s="288" t="s">
        <v>564</v>
      </c>
      <c r="E95" s="304" t="s">
        <v>733</v>
      </c>
      <c r="F95" s="290" t="s">
        <v>462</v>
      </c>
      <c r="G95" s="297"/>
      <c r="H95" s="299"/>
      <c r="I95" s="297"/>
      <c r="J95" s="297"/>
      <c r="K95" s="297"/>
      <c r="L95" s="297"/>
    </row>
    <row r="96" spans="1:12" ht="17.5">
      <c r="A96" s="285">
        <v>9</v>
      </c>
      <c r="B96" s="286" t="s">
        <v>459</v>
      </c>
      <c r="C96" s="288" t="s">
        <v>559</v>
      </c>
      <c r="D96" s="291" t="s">
        <v>556</v>
      </c>
      <c r="E96" s="305"/>
      <c r="F96" s="290" t="s">
        <v>459</v>
      </c>
      <c r="G96" s="297"/>
      <c r="H96" s="299"/>
      <c r="I96" s="297"/>
      <c r="J96" s="297"/>
      <c r="K96" s="297"/>
      <c r="L96" s="297"/>
    </row>
    <row r="97" spans="1:12" ht="17.5">
      <c r="A97" s="285">
        <v>10</v>
      </c>
      <c r="B97" s="286" t="s">
        <v>459</v>
      </c>
      <c r="C97" s="288" t="s">
        <v>559</v>
      </c>
      <c r="D97" s="288" t="s">
        <v>552</v>
      </c>
      <c r="E97" s="305"/>
      <c r="F97" s="290" t="s">
        <v>459</v>
      </c>
      <c r="G97" s="297"/>
      <c r="H97" s="299"/>
      <c r="I97" s="297"/>
      <c r="J97" s="297"/>
      <c r="K97" s="297"/>
      <c r="L97" s="297"/>
    </row>
    <row r="98" spans="1:12" ht="17.5">
      <c r="A98" s="285">
        <v>11</v>
      </c>
      <c r="B98" s="286" t="s">
        <v>459</v>
      </c>
      <c r="C98" s="288" t="s">
        <v>561</v>
      </c>
      <c r="D98" s="291" t="s">
        <v>556</v>
      </c>
      <c r="E98" s="305"/>
      <c r="F98" s="290" t="s">
        <v>459</v>
      </c>
      <c r="G98" s="297"/>
      <c r="H98" s="299"/>
      <c r="I98" s="297"/>
      <c r="J98" s="297"/>
      <c r="K98" s="297"/>
      <c r="L98" s="297"/>
    </row>
    <row r="99" spans="1:12" ht="17.5">
      <c r="A99" s="285">
        <v>12</v>
      </c>
      <c r="B99" s="286" t="s">
        <v>459</v>
      </c>
      <c r="C99" s="288" t="s">
        <v>561</v>
      </c>
      <c r="D99" s="288" t="s">
        <v>552</v>
      </c>
      <c r="E99" s="305"/>
      <c r="F99" s="290" t="s">
        <v>459</v>
      </c>
      <c r="G99" s="297"/>
      <c r="H99" s="299"/>
      <c r="I99" s="297"/>
      <c r="J99" s="297"/>
      <c r="K99" s="297"/>
      <c r="L99" s="297"/>
    </row>
    <row r="100" spans="1:12" ht="17.5">
      <c r="A100" s="285">
        <v>13</v>
      </c>
      <c r="B100" s="286" t="s">
        <v>459</v>
      </c>
      <c r="C100" s="288" t="s">
        <v>561</v>
      </c>
      <c r="D100" s="288" t="s">
        <v>559</v>
      </c>
      <c r="E100" s="305"/>
      <c r="F100" s="290" t="s">
        <v>459</v>
      </c>
      <c r="G100" s="297"/>
      <c r="H100" s="299"/>
      <c r="I100" s="297"/>
      <c r="J100" s="297"/>
      <c r="K100" s="297"/>
      <c r="L100" s="297"/>
    </row>
    <row r="101" spans="1:12" ht="17.5">
      <c r="A101" s="285">
        <v>14</v>
      </c>
      <c r="B101" s="286" t="s">
        <v>459</v>
      </c>
      <c r="C101" s="288" t="s">
        <v>561</v>
      </c>
      <c r="D101" s="288" t="s">
        <v>570</v>
      </c>
      <c r="E101" s="305"/>
      <c r="F101" s="290" t="s">
        <v>459</v>
      </c>
      <c r="G101" s="297"/>
      <c r="H101" s="299"/>
      <c r="I101" s="297"/>
      <c r="J101" s="297"/>
      <c r="K101" s="297"/>
      <c r="L101" s="297"/>
    </row>
    <row r="102" spans="1:12" ht="17.5">
      <c r="A102" s="285">
        <v>15</v>
      </c>
      <c r="B102" s="286" t="s">
        <v>459</v>
      </c>
      <c r="C102" s="288" t="s">
        <v>560</v>
      </c>
      <c r="D102" s="288" t="s">
        <v>561</v>
      </c>
      <c r="E102" s="305"/>
      <c r="F102" s="290" t="s">
        <v>459</v>
      </c>
      <c r="G102" s="297"/>
      <c r="H102" s="299"/>
      <c r="I102" s="297"/>
      <c r="J102" s="297"/>
      <c r="K102" s="297"/>
      <c r="L102" s="297"/>
    </row>
    <row r="103" spans="1:12" ht="17.5">
      <c r="A103" s="285">
        <v>16</v>
      </c>
      <c r="B103" s="286" t="s">
        <v>459</v>
      </c>
      <c r="C103" s="288" t="s">
        <v>560</v>
      </c>
      <c r="D103" s="288" t="s">
        <v>552</v>
      </c>
      <c r="E103" s="305"/>
      <c r="F103" s="290" t="s">
        <v>459</v>
      </c>
      <c r="G103" s="297"/>
      <c r="H103" s="299"/>
      <c r="I103" s="297"/>
      <c r="J103" s="297"/>
      <c r="K103" s="297"/>
      <c r="L103" s="297"/>
    </row>
    <row r="104" spans="1:12" ht="17.5">
      <c r="A104" s="285">
        <v>17</v>
      </c>
      <c r="B104" s="286" t="s">
        <v>459</v>
      </c>
      <c r="C104" s="288" t="s">
        <v>563</v>
      </c>
      <c r="D104" s="288" t="s">
        <v>561</v>
      </c>
      <c r="E104" s="305"/>
      <c r="F104" s="290" t="s">
        <v>459</v>
      </c>
      <c r="G104" s="297"/>
      <c r="H104" s="299"/>
      <c r="I104" s="297"/>
      <c r="J104" s="297"/>
      <c r="K104" s="297"/>
      <c r="L104" s="297"/>
    </row>
    <row r="105" spans="1:12" ht="17.5">
      <c r="A105" s="285">
        <v>18</v>
      </c>
      <c r="B105" s="286" t="s">
        <v>459</v>
      </c>
      <c r="C105" s="288" t="s">
        <v>563</v>
      </c>
      <c r="D105" s="288" t="s">
        <v>552</v>
      </c>
      <c r="E105" s="305"/>
      <c r="F105" s="290" t="s">
        <v>459</v>
      </c>
      <c r="G105" s="297"/>
      <c r="H105" s="299"/>
      <c r="I105" s="297"/>
      <c r="J105" s="297"/>
      <c r="K105" s="297"/>
      <c r="L105" s="297"/>
    </row>
    <row r="106" spans="1:12" ht="17.5">
      <c r="A106" s="285">
        <v>19</v>
      </c>
      <c r="B106" s="286" t="s">
        <v>459</v>
      </c>
      <c r="C106" s="288" t="s">
        <v>563</v>
      </c>
      <c r="D106" s="288" t="s">
        <v>560</v>
      </c>
      <c r="E106" s="305"/>
      <c r="F106" s="290" t="s">
        <v>459</v>
      </c>
      <c r="G106" s="297"/>
      <c r="H106" s="299"/>
      <c r="I106" s="297"/>
      <c r="J106" s="297"/>
      <c r="K106" s="297"/>
      <c r="L106" s="297"/>
    </row>
    <row r="107" spans="1:12" ht="17.5">
      <c r="A107" s="285">
        <v>20</v>
      </c>
      <c r="B107" s="286" t="s">
        <v>459</v>
      </c>
      <c r="C107" s="288" t="s">
        <v>563</v>
      </c>
      <c r="D107" s="288" t="s">
        <v>570</v>
      </c>
      <c r="E107" s="305"/>
      <c r="F107" s="290" t="s">
        <v>459</v>
      </c>
      <c r="G107" s="297"/>
      <c r="H107" s="299"/>
      <c r="I107" s="297"/>
      <c r="J107" s="297"/>
      <c r="K107" s="297"/>
      <c r="L107" s="297"/>
    </row>
    <row r="108" spans="1:12" ht="17.5">
      <c r="A108" s="285">
        <v>21</v>
      </c>
      <c r="B108" s="286" t="s">
        <v>459</v>
      </c>
      <c r="C108" s="288" t="s">
        <v>563</v>
      </c>
      <c r="D108" s="288" t="s">
        <v>578</v>
      </c>
      <c r="E108" s="304" t="s">
        <v>733</v>
      </c>
      <c r="F108" s="290" t="s">
        <v>462</v>
      </c>
      <c r="G108" s="297"/>
      <c r="H108" s="299"/>
      <c r="I108" s="297"/>
      <c r="J108" s="297"/>
      <c r="K108" s="297"/>
      <c r="L108" s="297"/>
    </row>
    <row r="109" spans="1:12" ht="17.5">
      <c r="A109" s="285">
        <v>22</v>
      </c>
      <c r="B109" s="286" t="s">
        <v>459</v>
      </c>
      <c r="C109" s="288" t="s">
        <v>563</v>
      </c>
      <c r="D109" s="288" t="s">
        <v>564</v>
      </c>
      <c r="E109" s="304" t="s">
        <v>733</v>
      </c>
      <c r="F109" s="290" t="s">
        <v>462</v>
      </c>
      <c r="G109" s="297"/>
      <c r="H109" s="299"/>
      <c r="I109" s="297"/>
      <c r="J109" s="297"/>
      <c r="K109" s="297"/>
      <c r="L109" s="297"/>
    </row>
    <row r="110" spans="1:12" ht="17.5">
      <c r="A110" s="285">
        <v>23</v>
      </c>
      <c r="B110" s="286" t="s">
        <v>459</v>
      </c>
      <c r="C110" s="288" t="s">
        <v>563</v>
      </c>
      <c r="D110" s="288" t="s">
        <v>572</v>
      </c>
      <c r="E110" s="304" t="s">
        <v>733</v>
      </c>
      <c r="F110" s="290" t="s">
        <v>462</v>
      </c>
      <c r="G110" s="297"/>
      <c r="H110" s="299"/>
      <c r="I110" s="297"/>
      <c r="J110" s="297"/>
      <c r="K110" s="297"/>
      <c r="L110" s="297"/>
    </row>
    <row r="111" spans="1:12" ht="17.5">
      <c r="A111" s="285">
        <v>24</v>
      </c>
      <c r="B111" s="286" t="s">
        <v>459</v>
      </c>
      <c r="C111" s="288" t="s">
        <v>563</v>
      </c>
      <c r="D111" s="288" t="s">
        <v>571</v>
      </c>
      <c r="E111" s="304" t="s">
        <v>733</v>
      </c>
      <c r="F111" s="290" t="s">
        <v>462</v>
      </c>
      <c r="G111" s="297"/>
      <c r="H111" s="299"/>
      <c r="I111" s="297"/>
      <c r="J111" s="297"/>
      <c r="K111" s="297"/>
      <c r="L111" s="297"/>
    </row>
    <row r="112" spans="1:12" ht="17.5">
      <c r="A112" s="285">
        <v>25</v>
      </c>
      <c r="B112" s="286" t="s">
        <v>459</v>
      </c>
      <c r="C112" s="288" t="s">
        <v>742</v>
      </c>
      <c r="D112" s="288" t="s">
        <v>563</v>
      </c>
      <c r="E112" s="305"/>
      <c r="F112" s="290" t="s">
        <v>459</v>
      </c>
      <c r="G112" s="297"/>
      <c r="H112" s="299"/>
      <c r="I112" s="297"/>
      <c r="J112" s="297"/>
      <c r="K112" s="297"/>
      <c r="L112" s="297"/>
    </row>
    <row r="113" spans="1:12" ht="17.5">
      <c r="A113" s="285">
        <v>26</v>
      </c>
      <c r="B113" s="286" t="s">
        <v>459</v>
      </c>
      <c r="C113" s="288" t="s">
        <v>742</v>
      </c>
      <c r="D113" s="288" t="s">
        <v>552</v>
      </c>
      <c r="E113" s="305"/>
      <c r="F113" s="290" t="s">
        <v>459</v>
      </c>
      <c r="G113" s="297"/>
      <c r="H113" s="299"/>
      <c r="I113" s="297"/>
      <c r="J113" s="297"/>
      <c r="K113" s="297"/>
      <c r="L113" s="297"/>
    </row>
    <row r="114" spans="1:12" ht="17.5">
      <c r="A114" s="285">
        <v>27</v>
      </c>
      <c r="B114" s="286" t="s">
        <v>459</v>
      </c>
      <c r="C114" s="288" t="s">
        <v>742</v>
      </c>
      <c r="D114" s="288" t="s">
        <v>544</v>
      </c>
      <c r="E114" s="305"/>
      <c r="F114" s="290" t="s">
        <v>459</v>
      </c>
      <c r="G114" s="297"/>
      <c r="H114" s="299"/>
      <c r="I114" s="297"/>
      <c r="J114" s="297"/>
      <c r="K114" s="297"/>
      <c r="L114" s="297"/>
    </row>
    <row r="115" spans="1:12" ht="17.5">
      <c r="A115" s="285">
        <v>28</v>
      </c>
      <c r="B115" s="286" t="s">
        <v>459</v>
      </c>
      <c r="C115" s="288" t="s">
        <v>742</v>
      </c>
      <c r="D115" s="288" t="s">
        <v>543</v>
      </c>
      <c r="E115" s="305"/>
      <c r="F115" s="290" t="s">
        <v>459</v>
      </c>
      <c r="G115" s="297"/>
      <c r="H115" s="299"/>
      <c r="I115" s="297"/>
      <c r="J115" s="297"/>
      <c r="K115" s="297"/>
      <c r="L115" s="297"/>
    </row>
    <row r="116" spans="1:12" ht="17.5">
      <c r="A116" s="285">
        <v>29</v>
      </c>
      <c r="B116" s="286" t="s">
        <v>459</v>
      </c>
      <c r="C116" s="288" t="s">
        <v>742</v>
      </c>
      <c r="D116" s="288" t="s">
        <v>554</v>
      </c>
      <c r="E116" s="304" t="s">
        <v>733</v>
      </c>
      <c r="F116" s="290" t="s">
        <v>456</v>
      </c>
      <c r="G116" s="297"/>
      <c r="H116" s="299"/>
      <c r="I116" s="297"/>
      <c r="J116" s="297"/>
      <c r="K116" s="297"/>
      <c r="L116" s="297"/>
    </row>
    <row r="117" spans="1:12" ht="17.5">
      <c r="A117" s="285">
        <v>30</v>
      </c>
      <c r="B117" s="286" t="s">
        <v>459</v>
      </c>
      <c r="C117" s="288" t="s">
        <v>742</v>
      </c>
      <c r="D117" s="288" t="s">
        <v>571</v>
      </c>
      <c r="E117" s="304" t="s">
        <v>733</v>
      </c>
      <c r="F117" s="290" t="s">
        <v>462</v>
      </c>
      <c r="G117" s="297"/>
      <c r="H117" s="299"/>
      <c r="I117" s="297"/>
      <c r="J117" s="297"/>
      <c r="K117" s="297"/>
      <c r="L117" s="297"/>
    </row>
    <row r="118" spans="1:12" ht="17.5">
      <c r="A118" s="285">
        <v>31</v>
      </c>
      <c r="B118" s="286" t="s">
        <v>459</v>
      </c>
      <c r="C118" s="288" t="s">
        <v>742</v>
      </c>
      <c r="D118" s="288" t="s">
        <v>565</v>
      </c>
      <c r="E118" s="304" t="s">
        <v>733</v>
      </c>
      <c r="F118" s="290" t="s">
        <v>462</v>
      </c>
      <c r="G118" s="297"/>
      <c r="H118" s="299"/>
      <c r="I118" s="297"/>
      <c r="J118" s="297"/>
      <c r="K118" s="297"/>
      <c r="L118" s="297"/>
    </row>
    <row r="119" spans="1:12">
      <c r="A119" s="306"/>
      <c r="B119" s="306"/>
      <c r="C119" s="306"/>
      <c r="D119" s="306"/>
      <c r="E119" s="306"/>
      <c r="F119" s="306"/>
      <c r="G119" s="306"/>
      <c r="H119" s="299"/>
      <c r="I119" s="297"/>
      <c r="J119" s="297"/>
      <c r="K119" s="297"/>
      <c r="L119" s="297"/>
    </row>
    <row r="120" spans="1:12" ht="17.5">
      <c r="A120" s="297"/>
      <c r="B120" s="302" t="str">
        <f>B122</f>
        <v>Agent05</v>
      </c>
      <c r="C120" s="298" t="s">
        <v>743</v>
      </c>
      <c r="D120" s="283" t="s">
        <v>464</v>
      </c>
      <c r="E120" s="297"/>
      <c r="F120" s="297"/>
      <c r="G120" s="297"/>
      <c r="H120" s="299"/>
      <c r="I120" s="297"/>
      <c r="J120" s="297"/>
      <c r="K120" s="297"/>
      <c r="L120" s="297"/>
    </row>
    <row r="121" spans="1:12" ht="35">
      <c r="A121" s="307"/>
      <c r="B121" s="284" t="s">
        <v>438</v>
      </c>
      <c r="C121" s="284" t="s">
        <v>441</v>
      </c>
      <c r="D121" s="293" t="s">
        <v>442</v>
      </c>
      <c r="E121" s="307"/>
      <c r="F121" s="284" t="s">
        <v>444</v>
      </c>
      <c r="G121" s="293" t="s">
        <v>443</v>
      </c>
      <c r="H121" s="299"/>
      <c r="I121" s="299"/>
      <c r="J121" s="297"/>
      <c r="K121" s="297"/>
      <c r="L121" s="297"/>
    </row>
    <row r="122" spans="1:12" ht="17.5">
      <c r="A122" s="285">
        <v>1</v>
      </c>
      <c r="B122" s="286" t="s">
        <v>462</v>
      </c>
      <c r="C122" s="288" t="s">
        <v>574</v>
      </c>
      <c r="D122" s="289" t="s">
        <v>434</v>
      </c>
      <c r="E122" s="304"/>
      <c r="F122" s="305"/>
      <c r="G122" s="297"/>
      <c r="H122" s="299"/>
      <c r="I122" s="299"/>
      <c r="J122" s="297"/>
      <c r="K122" s="297"/>
      <c r="L122" s="297"/>
    </row>
    <row r="123" spans="1:12" ht="17.5">
      <c r="A123" s="285">
        <v>2</v>
      </c>
      <c r="B123" s="286" t="s">
        <v>462</v>
      </c>
      <c r="C123" s="288" t="s">
        <v>567</v>
      </c>
      <c r="D123" s="289" t="s">
        <v>434</v>
      </c>
      <c r="E123" s="304"/>
      <c r="F123" s="305"/>
      <c r="G123" s="297"/>
      <c r="H123" s="299"/>
      <c r="I123" s="299"/>
      <c r="J123" s="297"/>
      <c r="K123" s="297"/>
      <c r="L123" s="297"/>
    </row>
    <row r="124" spans="1:12" ht="17.5">
      <c r="A124" s="285">
        <v>3</v>
      </c>
      <c r="B124" s="286" t="s">
        <v>462</v>
      </c>
      <c r="C124" s="288" t="s">
        <v>565</v>
      </c>
      <c r="D124" s="288" t="s">
        <v>574</v>
      </c>
      <c r="E124" s="305"/>
      <c r="F124" s="290" t="s">
        <v>462</v>
      </c>
      <c r="G124" s="297"/>
      <c r="H124" s="299"/>
      <c r="I124" s="299"/>
      <c r="J124" s="297"/>
      <c r="K124" s="297"/>
      <c r="L124" s="297"/>
    </row>
    <row r="125" spans="1:12" ht="17.5">
      <c r="A125" s="285">
        <v>4</v>
      </c>
      <c r="B125" s="286" t="s">
        <v>462</v>
      </c>
      <c r="C125" s="288" t="s">
        <v>565</v>
      </c>
      <c r="D125" s="288" t="s">
        <v>567</v>
      </c>
      <c r="E125" s="305"/>
      <c r="F125" s="290" t="s">
        <v>462</v>
      </c>
      <c r="G125" s="297"/>
      <c r="H125" s="299"/>
      <c r="I125" s="299"/>
      <c r="J125" s="297"/>
      <c r="K125" s="297"/>
      <c r="L125" s="297"/>
    </row>
    <row r="126" spans="1:12" ht="17.5">
      <c r="A126" s="285">
        <v>5</v>
      </c>
      <c r="B126" s="286" t="s">
        <v>462</v>
      </c>
      <c r="C126" s="288" t="s">
        <v>565</v>
      </c>
      <c r="D126" s="288" t="s">
        <v>574</v>
      </c>
      <c r="E126" s="305"/>
      <c r="F126" s="290" t="s">
        <v>462</v>
      </c>
      <c r="G126" s="297"/>
      <c r="H126" s="299"/>
      <c r="I126" s="299"/>
      <c r="J126" s="297"/>
      <c r="K126" s="297"/>
      <c r="L126" s="297"/>
    </row>
    <row r="127" spans="1:12" ht="17.5">
      <c r="A127" s="285">
        <v>6</v>
      </c>
      <c r="B127" s="286" t="s">
        <v>462</v>
      </c>
      <c r="C127" s="288" t="s">
        <v>573</v>
      </c>
      <c r="D127" s="288" t="s">
        <v>565</v>
      </c>
      <c r="E127" s="305"/>
      <c r="F127" s="290" t="s">
        <v>462</v>
      </c>
      <c r="G127" s="297"/>
      <c r="H127" s="299"/>
      <c r="I127" s="299"/>
      <c r="J127" s="297"/>
      <c r="K127" s="297"/>
      <c r="L127" s="297"/>
    </row>
    <row r="128" spans="1:12" ht="17.5">
      <c r="A128" s="285">
        <v>7</v>
      </c>
      <c r="B128" s="286" t="s">
        <v>462</v>
      </c>
      <c r="C128" s="288" t="s">
        <v>571</v>
      </c>
      <c r="D128" s="288" t="s">
        <v>573</v>
      </c>
      <c r="E128" s="305"/>
      <c r="F128" s="290" t="s">
        <v>462</v>
      </c>
      <c r="G128" s="297"/>
      <c r="H128" s="299"/>
      <c r="I128" s="299"/>
      <c r="J128" s="297"/>
      <c r="K128" s="297"/>
      <c r="L128" s="297"/>
    </row>
    <row r="129" spans="1:12" ht="17.5">
      <c r="A129" s="285">
        <v>8</v>
      </c>
      <c r="B129" s="286" t="s">
        <v>462</v>
      </c>
      <c r="C129" s="288" t="s">
        <v>571</v>
      </c>
      <c r="D129" s="288" t="s">
        <v>565</v>
      </c>
      <c r="E129" s="305"/>
      <c r="F129" s="290" t="s">
        <v>462</v>
      </c>
      <c r="G129" s="297"/>
      <c r="H129" s="299"/>
      <c r="I129" s="297"/>
      <c r="J129" s="297"/>
      <c r="K129" s="297"/>
      <c r="L129" s="297"/>
    </row>
    <row r="130" spans="1:12" ht="17.5">
      <c r="A130" s="285">
        <v>9</v>
      </c>
      <c r="B130" s="286" t="s">
        <v>462</v>
      </c>
      <c r="C130" s="288" t="s">
        <v>572</v>
      </c>
      <c r="D130" s="289" t="s">
        <v>434</v>
      </c>
      <c r="E130" s="304"/>
      <c r="F130" s="305"/>
      <c r="G130" s="297"/>
      <c r="H130" s="299"/>
      <c r="I130" s="297"/>
      <c r="J130" s="297"/>
      <c r="K130" s="297"/>
      <c r="L130" s="297"/>
    </row>
    <row r="131" spans="1:12" ht="17.5">
      <c r="A131" s="285">
        <v>10</v>
      </c>
      <c r="B131" s="286" t="s">
        <v>462</v>
      </c>
      <c r="C131" s="288" t="s">
        <v>564</v>
      </c>
      <c r="D131" s="289" t="s">
        <v>434</v>
      </c>
      <c r="E131" s="304"/>
      <c r="F131" s="305"/>
      <c r="G131" s="297"/>
      <c r="H131" s="299"/>
      <c r="I131" s="297"/>
      <c r="J131" s="297"/>
      <c r="K131" s="297"/>
      <c r="L131" s="297"/>
    </row>
    <row r="132" spans="1:12" ht="17.5">
      <c r="A132" s="285">
        <v>11</v>
      </c>
      <c r="B132" s="286" t="s">
        <v>462</v>
      </c>
      <c r="C132" s="288" t="s">
        <v>581</v>
      </c>
      <c r="D132" s="289" t="s">
        <v>434</v>
      </c>
      <c r="E132" s="304"/>
      <c r="F132" s="305"/>
      <c r="G132" s="297"/>
      <c r="H132" s="299"/>
      <c r="I132" s="297"/>
      <c r="J132" s="297"/>
      <c r="K132" s="297"/>
      <c r="L132" s="297"/>
    </row>
    <row r="133" spans="1:12" ht="17.5">
      <c r="A133" s="285">
        <v>12</v>
      </c>
      <c r="B133" s="286" t="s">
        <v>462</v>
      </c>
      <c r="C133" s="288" t="s">
        <v>583</v>
      </c>
      <c r="D133" s="288" t="s">
        <v>581</v>
      </c>
      <c r="E133" s="305"/>
      <c r="F133" s="290" t="s">
        <v>462</v>
      </c>
      <c r="G133" s="297"/>
      <c r="H133" s="299"/>
      <c r="I133" s="297"/>
      <c r="J133" s="297"/>
      <c r="K133" s="297"/>
      <c r="L133" s="297"/>
    </row>
    <row r="134" spans="1:12" ht="17.5">
      <c r="A134" s="285">
        <v>13</v>
      </c>
      <c r="B134" s="286" t="s">
        <v>462</v>
      </c>
      <c r="C134" s="288" t="s">
        <v>578</v>
      </c>
      <c r="D134" s="288" t="s">
        <v>581</v>
      </c>
      <c r="E134" s="305"/>
      <c r="F134" s="290" t="s">
        <v>462</v>
      </c>
      <c r="G134" s="297"/>
      <c r="H134" s="299"/>
      <c r="I134" s="297"/>
      <c r="J134" s="297"/>
      <c r="K134" s="297"/>
      <c r="L134" s="297"/>
    </row>
    <row r="135" spans="1:12" ht="17.5">
      <c r="A135" s="285">
        <v>14</v>
      </c>
      <c r="B135" s="286" t="s">
        <v>462</v>
      </c>
      <c r="C135" s="288" t="s">
        <v>578</v>
      </c>
      <c r="D135" s="288" t="s">
        <v>564</v>
      </c>
      <c r="E135" s="305"/>
      <c r="F135" s="290" t="s">
        <v>462</v>
      </c>
      <c r="G135" s="297"/>
      <c r="H135" s="299"/>
      <c r="I135" s="297"/>
      <c r="J135" s="297"/>
      <c r="K135" s="297"/>
      <c r="L135" s="297"/>
    </row>
    <row r="136" spans="1:12" ht="17.5">
      <c r="A136" s="285">
        <v>15</v>
      </c>
      <c r="B136" s="286" t="s">
        <v>462</v>
      </c>
      <c r="C136" s="288" t="s">
        <v>578</v>
      </c>
      <c r="D136" s="288" t="s">
        <v>572</v>
      </c>
      <c r="E136" s="305"/>
      <c r="F136" s="290" t="s">
        <v>462</v>
      </c>
      <c r="G136" s="297"/>
      <c r="H136" s="299"/>
      <c r="I136" s="297"/>
      <c r="J136" s="297"/>
      <c r="K136" s="297"/>
      <c r="L136" s="297"/>
    </row>
    <row r="137" spans="1:12" ht="17.5">
      <c r="A137" s="285">
        <v>16</v>
      </c>
      <c r="B137" s="286" t="s">
        <v>462</v>
      </c>
      <c r="C137" s="288" t="s">
        <v>465</v>
      </c>
      <c r="D137" s="288" t="s">
        <v>581</v>
      </c>
      <c r="E137" s="305"/>
      <c r="F137" s="290" t="s">
        <v>462</v>
      </c>
      <c r="G137" s="297"/>
      <c r="H137" s="299"/>
      <c r="I137" s="297"/>
      <c r="J137" s="297"/>
      <c r="K137" s="297"/>
      <c r="L137" s="297"/>
    </row>
    <row r="138" spans="1:12" ht="17.5">
      <c r="A138" s="285">
        <v>17</v>
      </c>
      <c r="B138" s="286" t="s">
        <v>462</v>
      </c>
      <c r="C138" s="288" t="s">
        <v>465</v>
      </c>
      <c r="D138" s="288" t="s">
        <v>583</v>
      </c>
      <c r="E138" s="305"/>
      <c r="F138" s="290" t="s">
        <v>462</v>
      </c>
      <c r="G138" s="297"/>
      <c r="H138" s="299"/>
      <c r="I138" s="297"/>
      <c r="J138" s="297"/>
      <c r="K138" s="297"/>
      <c r="L138" s="297"/>
    </row>
    <row r="139" spans="1:12" ht="17.5">
      <c r="A139" s="285">
        <v>18</v>
      </c>
      <c r="B139" s="286" t="s">
        <v>462</v>
      </c>
      <c r="C139" s="288" t="s">
        <v>465</v>
      </c>
      <c r="D139" s="288" t="s">
        <v>578</v>
      </c>
      <c r="E139" s="305"/>
      <c r="F139" s="290" t="s">
        <v>462</v>
      </c>
      <c r="G139" s="297"/>
      <c r="H139" s="299"/>
      <c r="I139" s="297"/>
      <c r="J139" s="297"/>
      <c r="K139" s="297"/>
      <c r="L139" s="297"/>
    </row>
    <row r="140" spans="1:12" ht="17.5">
      <c r="A140" s="285">
        <v>19</v>
      </c>
      <c r="B140" s="286" t="s">
        <v>462</v>
      </c>
      <c r="C140" s="288" t="s">
        <v>465</v>
      </c>
      <c r="D140" s="288" t="s">
        <v>572</v>
      </c>
      <c r="E140" s="305"/>
      <c r="F140" s="290" t="s">
        <v>462</v>
      </c>
      <c r="G140" s="297"/>
      <c r="H140" s="299"/>
      <c r="I140" s="297"/>
      <c r="J140" s="297"/>
      <c r="K140" s="297"/>
      <c r="L140" s="297"/>
    </row>
    <row r="141" spans="1:12" ht="17.5">
      <c r="A141" s="285">
        <v>20</v>
      </c>
      <c r="B141" s="286" t="s">
        <v>462</v>
      </c>
      <c r="C141" s="288" t="s">
        <v>465</v>
      </c>
      <c r="D141" s="288" t="s">
        <v>571</v>
      </c>
      <c r="E141" s="305"/>
      <c r="F141" s="290" t="s">
        <v>462</v>
      </c>
      <c r="G141" s="297"/>
      <c r="H141" s="299"/>
      <c r="I141" s="297"/>
      <c r="J141" s="297"/>
      <c r="K141" s="297"/>
      <c r="L141" s="297"/>
    </row>
    <row r="142" spans="1:12" ht="17.5">
      <c r="A142" s="285">
        <v>21</v>
      </c>
      <c r="B142" s="286" t="s">
        <v>462</v>
      </c>
      <c r="C142" s="288" t="s">
        <v>465</v>
      </c>
      <c r="D142" s="288" t="s">
        <v>565</v>
      </c>
      <c r="E142" s="305"/>
      <c r="F142" s="290" t="s">
        <v>462</v>
      </c>
      <c r="G142" s="297"/>
      <c r="H142" s="299"/>
      <c r="I142" s="297"/>
      <c r="J142" s="297"/>
      <c r="K142" s="297"/>
      <c r="L142" s="297"/>
    </row>
    <row r="143" spans="1:12" ht="17.5">
      <c r="A143" s="285">
        <v>22</v>
      </c>
      <c r="B143" s="286" t="s">
        <v>462</v>
      </c>
      <c r="C143" s="288" t="s">
        <v>465</v>
      </c>
      <c r="D143" s="288" t="s">
        <v>573</v>
      </c>
      <c r="E143" s="305"/>
      <c r="F143" s="290" t="s">
        <v>462</v>
      </c>
      <c r="G143" s="297"/>
      <c r="H143" s="299"/>
      <c r="I143" s="297"/>
      <c r="J143" s="297"/>
      <c r="K143" s="297"/>
      <c r="L143" s="297"/>
    </row>
    <row r="144" spans="1:12" ht="17.5">
      <c r="A144" s="285">
        <v>23</v>
      </c>
      <c r="B144" s="286" t="s">
        <v>462</v>
      </c>
      <c r="C144" s="288" t="s">
        <v>465</v>
      </c>
      <c r="D144" s="288" t="s">
        <v>574</v>
      </c>
      <c r="E144" s="305"/>
      <c r="F144" s="290" t="s">
        <v>462</v>
      </c>
      <c r="G144" s="297"/>
      <c r="H144" s="299"/>
      <c r="I144" s="297"/>
      <c r="J144" s="297"/>
      <c r="K144" s="297"/>
      <c r="L144" s="297"/>
    </row>
    <row r="145" spans="1:12" ht="17.5">
      <c r="A145" s="285">
        <v>24</v>
      </c>
      <c r="B145" s="286" t="s">
        <v>462</v>
      </c>
      <c r="C145" s="288" t="s">
        <v>465</v>
      </c>
      <c r="D145" s="291" t="s">
        <v>505</v>
      </c>
      <c r="E145" s="304" t="s">
        <v>733</v>
      </c>
      <c r="F145" s="290" t="s">
        <v>467</v>
      </c>
      <c r="G145" s="297"/>
      <c r="H145" s="299"/>
      <c r="I145" s="297"/>
      <c r="J145" s="297"/>
      <c r="K145" s="297"/>
      <c r="L145" s="297"/>
    </row>
    <row r="146" spans="1:12" ht="17.5">
      <c r="A146" s="285">
        <v>25</v>
      </c>
      <c r="B146" s="286" t="s">
        <v>462</v>
      </c>
      <c r="C146" s="288" t="s">
        <v>465</v>
      </c>
      <c r="D146" s="288" t="s">
        <v>466</v>
      </c>
      <c r="E146" s="304" t="s">
        <v>733</v>
      </c>
      <c r="F146" s="290" t="s">
        <v>467</v>
      </c>
      <c r="G146" s="297"/>
      <c r="H146" s="299"/>
      <c r="I146" s="297"/>
      <c r="J146" s="297"/>
      <c r="K146" s="297"/>
      <c r="L146" s="297"/>
    </row>
    <row r="147" spans="1:12" ht="17.5">
      <c r="A147" s="285">
        <v>26</v>
      </c>
      <c r="B147" s="286" t="s">
        <v>462</v>
      </c>
      <c r="C147" s="288" t="s">
        <v>465</v>
      </c>
      <c r="D147" s="288" t="s">
        <v>563</v>
      </c>
      <c r="E147" s="304" t="s">
        <v>733</v>
      </c>
      <c r="F147" s="290" t="s">
        <v>459</v>
      </c>
      <c r="G147" s="297"/>
      <c r="H147" s="299"/>
      <c r="I147" s="297"/>
      <c r="J147" s="297"/>
      <c r="K147" s="297"/>
      <c r="L147" s="297"/>
    </row>
    <row r="148" spans="1:12" ht="17.5">
      <c r="A148" s="285">
        <v>27</v>
      </c>
      <c r="B148" s="286" t="s">
        <v>462</v>
      </c>
      <c r="C148" s="288" t="s">
        <v>744</v>
      </c>
      <c r="D148" s="288" t="s">
        <v>465</v>
      </c>
      <c r="E148" s="305"/>
      <c r="F148" s="290" t="s">
        <v>462</v>
      </c>
      <c r="G148" s="297"/>
      <c r="H148" s="299"/>
      <c r="I148" s="297"/>
      <c r="J148" s="297"/>
      <c r="K148" s="297"/>
      <c r="L148" s="297"/>
    </row>
    <row r="149" spans="1:12" ht="17.5">
      <c r="A149" s="285">
        <v>28</v>
      </c>
      <c r="B149" s="286" t="s">
        <v>462</v>
      </c>
      <c r="C149" s="288" t="s">
        <v>744</v>
      </c>
      <c r="D149" s="288" t="s">
        <v>581</v>
      </c>
      <c r="E149" s="305"/>
      <c r="F149" s="290" t="s">
        <v>462</v>
      </c>
      <c r="G149" s="297"/>
      <c r="H149" s="299"/>
      <c r="I149" s="297"/>
      <c r="J149" s="297"/>
      <c r="K149" s="297"/>
      <c r="L149" s="297"/>
    </row>
    <row r="150" spans="1:12" ht="17.5">
      <c r="A150" s="285">
        <v>29</v>
      </c>
      <c r="B150" s="286" t="s">
        <v>462</v>
      </c>
      <c r="C150" s="288" t="s">
        <v>744</v>
      </c>
      <c r="D150" s="288" t="s">
        <v>583</v>
      </c>
      <c r="E150" s="305"/>
      <c r="F150" s="290" t="s">
        <v>462</v>
      </c>
      <c r="G150" s="297"/>
      <c r="H150" s="299"/>
      <c r="I150" s="297"/>
      <c r="J150" s="297"/>
      <c r="K150" s="297"/>
      <c r="L150" s="297"/>
    </row>
    <row r="151" spans="1:12" ht="17.5">
      <c r="A151" s="285">
        <v>30</v>
      </c>
      <c r="B151" s="286" t="s">
        <v>462</v>
      </c>
      <c r="C151" s="288" t="s">
        <v>744</v>
      </c>
      <c r="D151" s="288" t="s">
        <v>466</v>
      </c>
      <c r="E151" s="304" t="s">
        <v>733</v>
      </c>
      <c r="F151" s="290" t="s">
        <v>467</v>
      </c>
      <c r="G151" s="297"/>
      <c r="H151" s="299"/>
      <c r="I151" s="297"/>
      <c r="J151" s="297"/>
      <c r="K151" s="297"/>
      <c r="L151" s="297"/>
    </row>
    <row r="152" spans="1:12" ht="17.5">
      <c r="A152" s="285">
        <v>31</v>
      </c>
      <c r="B152" s="286" t="s">
        <v>462</v>
      </c>
      <c r="C152" s="288" t="s">
        <v>744</v>
      </c>
      <c r="D152" s="291" t="s">
        <v>505</v>
      </c>
      <c r="E152" s="304" t="s">
        <v>733</v>
      </c>
      <c r="F152" s="290" t="s">
        <v>467</v>
      </c>
      <c r="G152" s="297"/>
      <c r="H152" s="299"/>
      <c r="I152" s="297"/>
      <c r="J152" s="297"/>
      <c r="K152" s="297"/>
      <c r="L152" s="297"/>
    </row>
    <row r="153" spans="1:12">
      <c r="A153" s="306"/>
      <c r="B153" s="306"/>
      <c r="C153" s="306"/>
      <c r="D153" s="306"/>
      <c r="E153" s="306"/>
      <c r="F153" s="306"/>
      <c r="G153" s="306"/>
      <c r="H153" s="299"/>
      <c r="I153" s="297"/>
      <c r="J153" s="297"/>
      <c r="K153" s="297"/>
      <c r="L153" s="297"/>
    </row>
    <row r="154" spans="1:12" ht="17.5">
      <c r="A154" s="297"/>
      <c r="B154" s="302" t="str">
        <f>B156</f>
        <v>Agent06</v>
      </c>
      <c r="C154" s="298" t="s">
        <v>745</v>
      </c>
      <c r="D154" s="283" t="s">
        <v>469</v>
      </c>
      <c r="E154" s="297"/>
      <c r="F154" s="297"/>
      <c r="G154" s="287" t="s">
        <v>470</v>
      </c>
      <c r="H154" s="299"/>
      <c r="I154" s="297"/>
      <c r="J154" s="297"/>
      <c r="K154" s="297"/>
      <c r="L154" s="297"/>
    </row>
    <row r="155" spans="1:12" ht="35">
      <c r="A155" s="307"/>
      <c r="B155" s="284" t="s">
        <v>438</v>
      </c>
      <c r="C155" s="284" t="s">
        <v>441</v>
      </c>
      <c r="D155" s="293" t="s">
        <v>442</v>
      </c>
      <c r="E155" s="307"/>
      <c r="F155" s="284" t="s">
        <v>444</v>
      </c>
      <c r="G155" s="293" t="s">
        <v>443</v>
      </c>
      <c r="H155" s="299"/>
      <c r="I155" s="299"/>
      <c r="J155" s="297"/>
      <c r="K155" s="297"/>
      <c r="L155" s="297"/>
    </row>
    <row r="156" spans="1:12" ht="17.5">
      <c r="A156" s="285">
        <v>1</v>
      </c>
      <c r="B156" s="286" t="s">
        <v>467</v>
      </c>
      <c r="C156" s="288" t="s">
        <v>505</v>
      </c>
      <c r="D156" s="289" t="s">
        <v>434</v>
      </c>
      <c r="E156" s="304"/>
      <c r="F156" s="305"/>
      <c r="G156" s="297"/>
      <c r="H156" s="299"/>
      <c r="I156" s="299"/>
      <c r="J156" s="297"/>
      <c r="K156" s="297"/>
      <c r="L156" s="297"/>
    </row>
    <row r="157" spans="1:12" ht="17.5">
      <c r="A157" s="285">
        <v>2</v>
      </c>
      <c r="B157" s="286" t="s">
        <v>467</v>
      </c>
      <c r="C157" s="288" t="s">
        <v>466</v>
      </c>
      <c r="D157" s="291" t="s">
        <v>505</v>
      </c>
      <c r="E157" s="305"/>
      <c r="F157" s="290" t="s">
        <v>467</v>
      </c>
      <c r="G157" s="297"/>
      <c r="H157" s="299"/>
      <c r="I157" s="299"/>
      <c r="J157" s="297"/>
      <c r="K157" s="297"/>
      <c r="L157" s="297"/>
    </row>
    <row r="158" spans="1:12" ht="17.5">
      <c r="A158" s="285">
        <v>3</v>
      </c>
      <c r="B158" s="286" t="s">
        <v>467</v>
      </c>
      <c r="C158" s="288" t="s">
        <v>466</v>
      </c>
      <c r="D158" s="288" t="s">
        <v>574</v>
      </c>
      <c r="E158" s="304" t="s">
        <v>733</v>
      </c>
      <c r="F158" s="290" t="s">
        <v>462</v>
      </c>
      <c r="G158" s="297"/>
      <c r="H158" s="299"/>
      <c r="I158" s="299"/>
      <c r="J158" s="297"/>
      <c r="K158" s="297"/>
      <c r="L158" s="297"/>
    </row>
    <row r="159" spans="1:12" ht="17.5">
      <c r="A159" s="285">
        <v>4</v>
      </c>
      <c r="B159" s="286" t="s">
        <v>467</v>
      </c>
      <c r="C159" s="288" t="s">
        <v>466</v>
      </c>
      <c r="D159" s="288" t="s">
        <v>567</v>
      </c>
      <c r="E159" s="304" t="s">
        <v>733</v>
      </c>
      <c r="F159" s="290" t="s">
        <v>462</v>
      </c>
      <c r="G159" s="297"/>
      <c r="H159" s="299"/>
      <c r="I159" s="299"/>
      <c r="J159" s="297"/>
      <c r="K159" s="297"/>
      <c r="L159" s="297"/>
    </row>
    <row r="160" spans="1:12" ht="17.5">
      <c r="A160" s="285">
        <v>5</v>
      </c>
      <c r="B160" s="286" t="s">
        <v>467</v>
      </c>
      <c r="C160" s="288" t="s">
        <v>466</v>
      </c>
      <c r="D160" s="288" t="s">
        <v>565</v>
      </c>
      <c r="E160" s="304" t="s">
        <v>733</v>
      </c>
      <c r="F160" s="290" t="s">
        <v>462</v>
      </c>
      <c r="G160" s="297"/>
      <c r="H160" s="299"/>
      <c r="I160" s="299"/>
      <c r="J160" s="297"/>
      <c r="K160" s="297"/>
      <c r="L160" s="297"/>
    </row>
    <row r="161" spans="1:12" ht="17.5">
      <c r="A161" s="285">
        <v>6</v>
      </c>
      <c r="B161" s="286" t="s">
        <v>467</v>
      </c>
      <c r="C161" s="288" t="s">
        <v>508</v>
      </c>
      <c r="D161" s="288" t="s">
        <v>466</v>
      </c>
      <c r="E161" s="305"/>
      <c r="F161" s="290" t="s">
        <v>467</v>
      </c>
      <c r="G161" s="297"/>
      <c r="H161" s="299"/>
      <c r="I161" s="299"/>
      <c r="J161" s="297"/>
      <c r="K161" s="297"/>
      <c r="L161" s="297"/>
    </row>
    <row r="162" spans="1:12" ht="17.5">
      <c r="A162" s="285">
        <v>7</v>
      </c>
      <c r="B162" s="286" t="s">
        <v>467</v>
      </c>
      <c r="C162" s="288" t="s">
        <v>507</v>
      </c>
      <c r="D162" s="288" t="s">
        <v>508</v>
      </c>
      <c r="E162" s="305"/>
      <c r="F162" s="290" t="s">
        <v>467</v>
      </c>
      <c r="G162" s="297"/>
      <c r="H162" s="299"/>
      <c r="I162" s="299"/>
      <c r="J162" s="297"/>
      <c r="K162" s="297"/>
      <c r="L162" s="297"/>
    </row>
    <row r="163" spans="1:12" ht="17.5">
      <c r="A163" s="285">
        <v>8</v>
      </c>
      <c r="B163" s="286" t="s">
        <v>467</v>
      </c>
      <c r="C163" s="288" t="s">
        <v>582</v>
      </c>
      <c r="D163" s="288" t="s">
        <v>508</v>
      </c>
      <c r="E163" s="305"/>
      <c r="F163" s="290" t="s">
        <v>467</v>
      </c>
      <c r="G163" s="297"/>
      <c r="H163" s="299"/>
      <c r="I163" s="299"/>
      <c r="J163" s="297"/>
      <c r="K163" s="297"/>
      <c r="L163" s="297"/>
    </row>
    <row r="164" spans="1:12" ht="17.5">
      <c r="A164" s="285">
        <v>9</v>
      </c>
      <c r="B164" s="286" t="s">
        <v>467</v>
      </c>
      <c r="C164" s="288" t="s">
        <v>582</v>
      </c>
      <c r="D164" s="288" t="s">
        <v>507</v>
      </c>
      <c r="E164" s="305"/>
      <c r="F164" s="290" t="s">
        <v>467</v>
      </c>
      <c r="G164" s="297"/>
      <c r="H164" s="299"/>
      <c r="I164" s="297"/>
      <c r="J164" s="297"/>
      <c r="K164" s="297"/>
      <c r="L164" s="297"/>
    </row>
    <row r="165" spans="1:12" ht="17.5">
      <c r="A165" s="285">
        <v>10</v>
      </c>
      <c r="B165" s="286" t="s">
        <v>467</v>
      </c>
      <c r="C165" s="288" t="s">
        <v>584</v>
      </c>
      <c r="D165" s="288" t="s">
        <v>582</v>
      </c>
      <c r="E165" s="305"/>
      <c r="F165" s="290" t="s">
        <v>467</v>
      </c>
      <c r="G165" s="297"/>
      <c r="H165" s="299"/>
      <c r="I165" s="297"/>
      <c r="J165" s="297"/>
      <c r="K165" s="297"/>
      <c r="L165" s="297"/>
    </row>
    <row r="166" spans="1:12" ht="17.5">
      <c r="A166" s="285">
        <v>11</v>
      </c>
      <c r="B166" s="286" t="s">
        <v>467</v>
      </c>
      <c r="C166" s="288" t="s">
        <v>577</v>
      </c>
      <c r="D166" s="288" t="s">
        <v>582</v>
      </c>
      <c r="E166" s="305"/>
      <c r="F166" s="290" t="s">
        <v>467</v>
      </c>
      <c r="G166" s="297"/>
      <c r="H166" s="299"/>
      <c r="I166" s="297"/>
      <c r="J166" s="297"/>
      <c r="K166" s="297"/>
      <c r="L166" s="297"/>
    </row>
    <row r="167" spans="1:12" ht="17.5">
      <c r="A167" s="285">
        <v>12</v>
      </c>
      <c r="B167" s="286" t="s">
        <v>467</v>
      </c>
      <c r="C167" s="288" t="s">
        <v>580</v>
      </c>
      <c r="D167" s="288" t="s">
        <v>582</v>
      </c>
      <c r="E167" s="305"/>
      <c r="F167" s="290" t="s">
        <v>467</v>
      </c>
      <c r="G167" s="297"/>
      <c r="H167" s="299"/>
      <c r="I167" s="297"/>
      <c r="J167" s="297"/>
      <c r="K167" s="297"/>
      <c r="L167" s="297"/>
    </row>
    <row r="168" spans="1:12" ht="17.5">
      <c r="A168" s="285">
        <v>13</v>
      </c>
      <c r="B168" s="286" t="s">
        <v>467</v>
      </c>
      <c r="C168" s="295" t="s">
        <v>580</v>
      </c>
      <c r="D168" s="295" t="s">
        <v>577</v>
      </c>
      <c r="E168" s="305"/>
      <c r="F168" s="308" t="s">
        <v>467</v>
      </c>
      <c r="G168" s="299"/>
      <c r="H168" s="299"/>
      <c r="I168" s="299"/>
      <c r="J168" s="299"/>
      <c r="K168" s="299"/>
      <c r="L168" s="299"/>
    </row>
    <row r="169" spans="1:12" ht="17.5">
      <c r="A169" s="285">
        <v>14</v>
      </c>
      <c r="B169" s="286" t="s">
        <v>467</v>
      </c>
      <c r="C169" s="288" t="s">
        <v>580</v>
      </c>
      <c r="D169" s="288" t="s">
        <v>508</v>
      </c>
      <c r="E169" s="305"/>
      <c r="F169" s="290" t="s">
        <v>467</v>
      </c>
      <c r="G169" s="297"/>
      <c r="H169" s="299"/>
      <c r="I169" s="297"/>
      <c r="J169" s="297"/>
      <c r="K169" s="297"/>
      <c r="L169" s="297"/>
    </row>
    <row r="170" spans="1:12" ht="17.5">
      <c r="A170" s="285">
        <v>15</v>
      </c>
      <c r="B170" s="286" t="s">
        <v>467</v>
      </c>
      <c r="C170" s="288" t="s">
        <v>580</v>
      </c>
      <c r="D170" s="288" t="s">
        <v>507</v>
      </c>
      <c r="E170" s="305"/>
      <c r="F170" s="290" t="s">
        <v>467</v>
      </c>
      <c r="G170" s="297"/>
      <c r="H170" s="299"/>
      <c r="I170" s="297"/>
      <c r="J170" s="297"/>
      <c r="K170" s="297"/>
      <c r="L170" s="297"/>
    </row>
    <row r="171" spans="1:12" ht="17.5">
      <c r="A171" s="285">
        <v>16</v>
      </c>
      <c r="B171" s="286" t="s">
        <v>467</v>
      </c>
      <c r="C171" s="288" t="s">
        <v>580</v>
      </c>
      <c r="D171" s="288" t="s">
        <v>466</v>
      </c>
      <c r="E171" s="305"/>
      <c r="F171" s="290" t="s">
        <v>467</v>
      </c>
      <c r="G171" s="297"/>
      <c r="H171" s="299"/>
      <c r="I171" s="297"/>
      <c r="J171" s="297"/>
      <c r="K171" s="297"/>
      <c r="L171" s="297"/>
    </row>
    <row r="172" spans="1:12" ht="17.5">
      <c r="A172" s="285">
        <v>17</v>
      </c>
      <c r="B172" s="286" t="s">
        <v>467</v>
      </c>
      <c r="C172" s="288" t="s">
        <v>580</v>
      </c>
      <c r="D172" s="288" t="s">
        <v>565</v>
      </c>
      <c r="E172" s="304" t="s">
        <v>733</v>
      </c>
      <c r="F172" s="290" t="s">
        <v>462</v>
      </c>
      <c r="G172" s="297"/>
      <c r="H172" s="299"/>
      <c r="I172" s="297"/>
      <c r="J172" s="297"/>
      <c r="K172" s="297"/>
      <c r="L172" s="297"/>
    </row>
    <row r="173" spans="1:12" ht="17.5">
      <c r="A173" s="285">
        <v>18</v>
      </c>
      <c r="B173" s="286" t="s">
        <v>467</v>
      </c>
      <c r="C173" s="288" t="s">
        <v>580</v>
      </c>
      <c r="D173" s="288" t="s">
        <v>567</v>
      </c>
      <c r="E173" s="304" t="s">
        <v>733</v>
      </c>
      <c r="F173" s="290" t="s">
        <v>462</v>
      </c>
      <c r="G173" s="297"/>
      <c r="H173" s="299"/>
      <c r="I173" s="297"/>
      <c r="J173" s="297"/>
      <c r="K173" s="297"/>
      <c r="L173" s="297"/>
    </row>
    <row r="174" spans="1:12" ht="17.5">
      <c r="A174" s="285">
        <v>19</v>
      </c>
      <c r="B174" s="286" t="s">
        <v>467</v>
      </c>
      <c r="C174" s="295" t="s">
        <v>568</v>
      </c>
      <c r="D174" s="291" t="s">
        <v>580</v>
      </c>
      <c r="E174" s="305"/>
      <c r="F174" s="308" t="s">
        <v>467</v>
      </c>
      <c r="G174" s="299"/>
      <c r="H174" s="299"/>
      <c r="I174" s="299"/>
      <c r="J174" s="299"/>
      <c r="K174" s="299"/>
      <c r="L174" s="299"/>
    </row>
    <row r="175" spans="1:12" ht="17.5">
      <c r="A175" s="285">
        <v>20</v>
      </c>
      <c r="B175" s="286" t="s">
        <v>467</v>
      </c>
      <c r="C175" s="288" t="s">
        <v>568</v>
      </c>
      <c r="D175" s="288" t="s">
        <v>553</v>
      </c>
      <c r="E175" s="304" t="s">
        <v>733</v>
      </c>
      <c r="F175" s="290" t="s">
        <v>471</v>
      </c>
      <c r="G175" s="297"/>
      <c r="H175" s="299"/>
      <c r="I175" s="297"/>
      <c r="J175" s="297"/>
      <c r="K175" s="297"/>
      <c r="L175" s="297"/>
    </row>
    <row r="176" spans="1:12" ht="17.5">
      <c r="A176" s="285">
        <v>21</v>
      </c>
      <c r="B176" s="286" t="s">
        <v>467</v>
      </c>
      <c r="C176" s="288" t="s">
        <v>568</v>
      </c>
      <c r="D176" s="288" t="s">
        <v>555</v>
      </c>
      <c r="E176" s="304" t="s">
        <v>733</v>
      </c>
      <c r="F176" s="290" t="s">
        <v>471</v>
      </c>
      <c r="G176" s="297"/>
      <c r="H176" s="299"/>
      <c r="I176" s="297"/>
      <c r="J176" s="297"/>
      <c r="K176" s="297"/>
      <c r="L176" s="297"/>
    </row>
    <row r="177" spans="1:12" ht="17.5">
      <c r="A177" s="285">
        <v>22</v>
      </c>
      <c r="B177" s="286" t="s">
        <v>467</v>
      </c>
      <c r="C177" s="288" t="s">
        <v>569</v>
      </c>
      <c r="D177" s="288" t="s">
        <v>568</v>
      </c>
      <c r="E177" s="305"/>
      <c r="F177" s="290" t="s">
        <v>467</v>
      </c>
      <c r="G177" s="297"/>
      <c r="H177" s="299"/>
      <c r="I177" s="297"/>
      <c r="J177" s="297"/>
      <c r="K177" s="297"/>
      <c r="L177" s="297"/>
    </row>
    <row r="178" spans="1:12" ht="17.5">
      <c r="A178" s="285">
        <v>23</v>
      </c>
      <c r="B178" s="286" t="s">
        <v>467</v>
      </c>
      <c r="C178" s="288" t="s">
        <v>569</v>
      </c>
      <c r="D178" s="291" t="s">
        <v>580</v>
      </c>
      <c r="E178" s="305"/>
      <c r="F178" s="290" t="s">
        <v>467</v>
      </c>
      <c r="G178" s="297"/>
      <c r="H178" s="299"/>
      <c r="I178" s="297"/>
      <c r="J178" s="297"/>
      <c r="K178" s="297"/>
      <c r="L178" s="297"/>
    </row>
    <row r="179" spans="1:12" ht="17.5">
      <c r="A179" s="285">
        <v>24</v>
      </c>
      <c r="B179" s="286" t="s">
        <v>467</v>
      </c>
      <c r="C179" s="288" t="s">
        <v>566</v>
      </c>
      <c r="D179" s="288" t="s">
        <v>568</v>
      </c>
      <c r="E179" s="305"/>
      <c r="F179" s="290" t="s">
        <v>467</v>
      </c>
      <c r="G179" s="297"/>
      <c r="H179" s="299"/>
      <c r="I179" s="297"/>
      <c r="J179" s="297"/>
      <c r="K179" s="297"/>
      <c r="L179" s="297"/>
    </row>
    <row r="180" spans="1:12" ht="17.5">
      <c r="A180" s="285">
        <v>25</v>
      </c>
      <c r="B180" s="286" t="s">
        <v>467</v>
      </c>
      <c r="C180" s="288" t="s">
        <v>566</v>
      </c>
      <c r="D180" s="291" t="s">
        <v>580</v>
      </c>
      <c r="E180" s="305"/>
      <c r="F180" s="290" t="s">
        <v>467</v>
      </c>
      <c r="G180" s="297"/>
      <c r="H180" s="299"/>
      <c r="I180" s="297"/>
      <c r="J180" s="297"/>
      <c r="K180" s="297"/>
      <c r="L180" s="297"/>
    </row>
    <row r="181" spans="1:12" ht="17.5">
      <c r="A181" s="285">
        <v>26</v>
      </c>
      <c r="B181" s="286" t="s">
        <v>467</v>
      </c>
      <c r="C181" s="288" t="s">
        <v>566</v>
      </c>
      <c r="D181" s="288" t="s">
        <v>582</v>
      </c>
      <c r="E181" s="305"/>
      <c r="F181" s="290" t="s">
        <v>467</v>
      </c>
      <c r="G181" s="297"/>
      <c r="H181" s="299"/>
      <c r="I181" s="297"/>
      <c r="J181" s="297"/>
      <c r="K181" s="297"/>
      <c r="L181" s="297"/>
    </row>
    <row r="182" spans="1:12" ht="17.5">
      <c r="A182" s="285">
        <v>27</v>
      </c>
      <c r="B182" s="286" t="s">
        <v>467</v>
      </c>
      <c r="C182" s="288" t="s">
        <v>566</v>
      </c>
      <c r="D182" s="288" t="s">
        <v>577</v>
      </c>
      <c r="E182" s="305"/>
      <c r="F182" s="290" t="s">
        <v>467</v>
      </c>
      <c r="G182" s="297"/>
      <c r="H182" s="299"/>
      <c r="I182" s="297"/>
      <c r="J182" s="297"/>
      <c r="K182" s="297"/>
      <c r="L182" s="297"/>
    </row>
    <row r="183" spans="1:12" ht="17.5">
      <c r="A183" s="285">
        <v>28</v>
      </c>
      <c r="B183" s="286" t="s">
        <v>467</v>
      </c>
      <c r="C183" s="288" t="s">
        <v>566</v>
      </c>
      <c r="D183" s="288" t="s">
        <v>569</v>
      </c>
      <c r="E183" s="305"/>
      <c r="F183" s="290" t="s">
        <v>467</v>
      </c>
      <c r="G183" s="297"/>
      <c r="H183" s="299"/>
      <c r="I183" s="297"/>
      <c r="J183" s="297"/>
      <c r="K183" s="297"/>
      <c r="L183" s="297"/>
    </row>
    <row r="184" spans="1:12" ht="17.5">
      <c r="A184" s="285">
        <v>29</v>
      </c>
      <c r="B184" s="286" t="s">
        <v>467</v>
      </c>
      <c r="C184" s="288" t="s">
        <v>566</v>
      </c>
      <c r="D184" s="288" t="s">
        <v>555</v>
      </c>
      <c r="E184" s="304" t="s">
        <v>733</v>
      </c>
      <c r="F184" s="290" t="s">
        <v>471</v>
      </c>
      <c r="G184" s="297"/>
      <c r="H184" s="299"/>
      <c r="I184" s="297"/>
      <c r="J184" s="297"/>
      <c r="K184" s="297"/>
      <c r="L184" s="297"/>
    </row>
    <row r="185" spans="1:12" ht="17.5">
      <c r="A185" s="285">
        <v>30</v>
      </c>
      <c r="B185" s="286" t="s">
        <v>467</v>
      </c>
      <c r="C185" s="288" t="s">
        <v>566</v>
      </c>
      <c r="D185" s="288" t="s">
        <v>562</v>
      </c>
      <c r="E185" s="304" t="s">
        <v>733</v>
      </c>
      <c r="F185" s="290" t="s">
        <v>471</v>
      </c>
      <c r="G185" s="297"/>
      <c r="H185" s="299"/>
      <c r="I185" s="297"/>
      <c r="J185" s="297"/>
      <c r="K185" s="297"/>
      <c r="L185" s="297"/>
    </row>
    <row r="186" spans="1:12" ht="17.5">
      <c r="A186" s="285">
        <v>31</v>
      </c>
      <c r="B186" s="286" t="s">
        <v>467</v>
      </c>
      <c r="C186" s="288" t="s">
        <v>566</v>
      </c>
      <c r="D186" s="288" t="s">
        <v>558</v>
      </c>
      <c r="E186" s="304" t="s">
        <v>733</v>
      </c>
      <c r="F186" s="290" t="s">
        <v>471</v>
      </c>
      <c r="G186" s="297"/>
      <c r="H186" s="299"/>
      <c r="I186" s="297"/>
      <c r="J186" s="297"/>
      <c r="K186" s="297"/>
      <c r="L186" s="297"/>
    </row>
    <row r="187" spans="1:12" ht="17.5">
      <c r="A187" s="285">
        <v>32</v>
      </c>
      <c r="B187" s="286" t="s">
        <v>467</v>
      </c>
      <c r="C187" s="288" t="s">
        <v>575</v>
      </c>
      <c r="D187" s="288" t="s">
        <v>566</v>
      </c>
      <c r="E187" s="305"/>
      <c r="F187" s="290" t="s">
        <v>467</v>
      </c>
      <c r="G187" s="297"/>
      <c r="H187" s="299"/>
      <c r="I187" s="297"/>
      <c r="J187" s="297"/>
      <c r="K187" s="297"/>
      <c r="L187" s="297"/>
    </row>
    <row r="188" spans="1:12" ht="17.5">
      <c r="A188" s="285">
        <v>33</v>
      </c>
      <c r="B188" s="286" t="s">
        <v>467</v>
      </c>
      <c r="C188" s="288" t="s">
        <v>575</v>
      </c>
      <c r="D188" s="288" t="s">
        <v>582</v>
      </c>
      <c r="E188" s="305"/>
      <c r="F188" s="290" t="s">
        <v>467</v>
      </c>
      <c r="G188" s="297"/>
      <c r="H188" s="299"/>
      <c r="I188" s="297"/>
      <c r="J188" s="297"/>
      <c r="K188" s="297"/>
      <c r="L188" s="297"/>
    </row>
    <row r="189" spans="1:12" ht="17.5">
      <c r="A189" s="285">
        <v>34</v>
      </c>
      <c r="B189" s="286" t="s">
        <v>467</v>
      </c>
      <c r="C189" s="288" t="s">
        <v>579</v>
      </c>
      <c r="D189" s="288" t="s">
        <v>566</v>
      </c>
      <c r="E189" s="305"/>
      <c r="F189" s="290" t="s">
        <v>467</v>
      </c>
      <c r="G189" s="297"/>
      <c r="H189" s="299"/>
      <c r="I189" s="297"/>
      <c r="J189" s="297"/>
      <c r="K189" s="297"/>
      <c r="L189" s="297"/>
    </row>
    <row r="190" spans="1:12" ht="17.5">
      <c r="A190" s="285">
        <v>35</v>
      </c>
      <c r="B190" s="286" t="s">
        <v>467</v>
      </c>
      <c r="C190" s="288" t="s">
        <v>579</v>
      </c>
      <c r="D190" s="288" t="s">
        <v>582</v>
      </c>
      <c r="E190" s="305"/>
      <c r="F190" s="290" t="s">
        <v>467</v>
      </c>
      <c r="G190" s="297"/>
      <c r="H190" s="299"/>
      <c r="I190" s="297"/>
      <c r="J190" s="297"/>
      <c r="K190" s="297"/>
      <c r="L190" s="297"/>
    </row>
    <row r="191" spans="1:12" ht="17.5">
      <c r="A191" s="285">
        <v>36</v>
      </c>
      <c r="B191" s="286" t="s">
        <v>467</v>
      </c>
      <c r="C191" s="288" t="s">
        <v>579</v>
      </c>
      <c r="D191" s="288" t="s">
        <v>575</v>
      </c>
      <c r="E191" s="305"/>
      <c r="F191" s="290" t="s">
        <v>467</v>
      </c>
      <c r="G191" s="297"/>
      <c r="H191" s="299"/>
      <c r="I191" s="297"/>
      <c r="J191" s="297"/>
      <c r="K191" s="297"/>
      <c r="L191" s="297"/>
    </row>
    <row r="192" spans="1:12" ht="17.5">
      <c r="A192" s="285">
        <v>37</v>
      </c>
      <c r="B192" s="286" t="s">
        <v>467</v>
      </c>
      <c r="C192" s="288" t="s">
        <v>579</v>
      </c>
      <c r="D192" s="288" t="s">
        <v>558</v>
      </c>
      <c r="E192" s="304" t="s">
        <v>733</v>
      </c>
      <c r="F192" s="290" t="s">
        <v>471</v>
      </c>
      <c r="G192" s="297"/>
      <c r="H192" s="299"/>
      <c r="I192" s="297"/>
      <c r="J192" s="297"/>
      <c r="K192" s="297"/>
      <c r="L192" s="297"/>
    </row>
    <row r="193" spans="1:12" ht="17.5">
      <c r="A193" s="285">
        <v>38</v>
      </c>
      <c r="B193" s="286" t="s">
        <v>467</v>
      </c>
      <c r="C193" s="288" t="s">
        <v>579</v>
      </c>
      <c r="D193" s="288" t="s">
        <v>584</v>
      </c>
      <c r="E193" s="305"/>
      <c r="F193" s="290" t="s">
        <v>467</v>
      </c>
      <c r="G193" s="297"/>
      <c r="H193" s="299"/>
      <c r="I193" s="297"/>
      <c r="J193" s="297"/>
      <c r="K193" s="297"/>
      <c r="L193" s="297"/>
    </row>
    <row r="194" spans="1:12" ht="17.5">
      <c r="A194" s="285">
        <v>39</v>
      </c>
      <c r="B194" s="286" t="s">
        <v>467</v>
      </c>
      <c r="C194" s="288" t="s">
        <v>576</v>
      </c>
      <c r="D194" s="288" t="s">
        <v>579</v>
      </c>
      <c r="E194" s="305"/>
      <c r="F194" s="290" t="s">
        <v>467</v>
      </c>
      <c r="G194" s="297"/>
      <c r="H194" s="299"/>
      <c r="I194" s="297"/>
      <c r="J194" s="297"/>
      <c r="K194" s="297"/>
      <c r="L194" s="297"/>
    </row>
    <row r="195" spans="1:12" ht="17.5">
      <c r="A195" s="285">
        <v>40</v>
      </c>
      <c r="B195" s="286" t="s">
        <v>467</v>
      </c>
      <c r="C195" s="295" t="s">
        <v>506</v>
      </c>
      <c r="D195" s="295" t="s">
        <v>579</v>
      </c>
      <c r="E195" s="305"/>
      <c r="F195" s="296" t="s">
        <v>467</v>
      </c>
      <c r="G195" s="299"/>
      <c r="H195" s="299"/>
      <c r="I195" s="299"/>
      <c r="J195" s="299"/>
      <c r="K195" s="299"/>
      <c r="L195" s="299"/>
    </row>
    <row r="196" spans="1:12" ht="17.5">
      <c r="A196" s="285">
        <v>41</v>
      </c>
      <c r="B196" s="286" t="s">
        <v>467</v>
      </c>
      <c r="C196" s="295" t="s">
        <v>506</v>
      </c>
      <c r="D196" s="295" t="s">
        <v>582</v>
      </c>
      <c r="E196" s="305"/>
      <c r="F196" s="296" t="s">
        <v>467</v>
      </c>
      <c r="G196" s="299"/>
      <c r="H196" s="299"/>
      <c r="I196" s="299"/>
      <c r="J196" s="299"/>
      <c r="K196" s="299"/>
      <c r="L196" s="299"/>
    </row>
    <row r="197" spans="1:12" ht="17.5">
      <c r="A197" s="285">
        <v>42</v>
      </c>
      <c r="B197" s="286" t="s">
        <v>467</v>
      </c>
      <c r="C197" s="295" t="s">
        <v>506</v>
      </c>
      <c r="D197" s="295" t="s">
        <v>584</v>
      </c>
      <c r="E197" s="305"/>
      <c r="F197" s="296" t="s">
        <v>467</v>
      </c>
      <c r="G197" s="299"/>
      <c r="H197" s="299"/>
      <c r="I197" s="299"/>
      <c r="J197" s="299"/>
      <c r="K197" s="299"/>
      <c r="L197" s="299"/>
    </row>
    <row r="198" spans="1:12" ht="17.5">
      <c r="A198" s="285">
        <v>43</v>
      </c>
      <c r="B198" s="286" t="s">
        <v>467</v>
      </c>
      <c r="C198" s="295" t="s">
        <v>506</v>
      </c>
      <c r="D198" s="295" t="s">
        <v>576</v>
      </c>
      <c r="E198" s="305"/>
      <c r="F198" s="296" t="s">
        <v>467</v>
      </c>
      <c r="G198" s="299"/>
      <c r="H198" s="299"/>
      <c r="I198" s="299"/>
      <c r="J198" s="299"/>
      <c r="K198" s="299"/>
      <c r="L198" s="299"/>
    </row>
    <row r="199" spans="1:12" ht="17.5">
      <c r="A199" s="285">
        <v>44</v>
      </c>
      <c r="B199" s="286" t="s">
        <v>467</v>
      </c>
      <c r="C199" s="295" t="s">
        <v>746</v>
      </c>
      <c r="D199" s="295" t="s">
        <v>558</v>
      </c>
      <c r="E199" s="304" t="s">
        <v>733</v>
      </c>
      <c r="F199" s="296" t="s">
        <v>471</v>
      </c>
      <c r="G199" s="299"/>
      <c r="H199" s="299"/>
      <c r="I199" s="299"/>
      <c r="J199" s="299"/>
      <c r="K199" s="299"/>
      <c r="L199" s="299"/>
    </row>
    <row r="200" spans="1:12" ht="17.5">
      <c r="A200" s="285">
        <v>45</v>
      </c>
      <c r="B200" s="286" t="s">
        <v>467</v>
      </c>
      <c r="C200" s="295" t="s">
        <v>746</v>
      </c>
      <c r="D200" s="295" t="s">
        <v>551</v>
      </c>
      <c r="E200" s="304" t="s">
        <v>733</v>
      </c>
      <c r="F200" s="296" t="s">
        <v>471</v>
      </c>
      <c r="G200" s="299"/>
      <c r="H200" s="299"/>
      <c r="I200" s="299"/>
      <c r="J200" s="299"/>
      <c r="K200" s="299"/>
      <c r="L200" s="299"/>
    </row>
    <row r="201" spans="1:12" ht="17.5">
      <c r="A201" s="285">
        <v>46</v>
      </c>
      <c r="B201" s="286" t="s">
        <v>467</v>
      </c>
      <c r="C201" s="295" t="s">
        <v>746</v>
      </c>
      <c r="D201" s="291" t="s">
        <v>557</v>
      </c>
      <c r="E201" s="304" t="s">
        <v>733</v>
      </c>
      <c r="F201" s="296" t="s">
        <v>471</v>
      </c>
      <c r="G201" s="299"/>
      <c r="H201" s="299"/>
      <c r="I201" s="299"/>
      <c r="J201" s="299"/>
      <c r="K201" s="299"/>
      <c r="L201" s="299"/>
    </row>
    <row r="202" spans="1:12" ht="17.5">
      <c r="A202" s="285">
        <v>47</v>
      </c>
      <c r="B202" s="286" t="s">
        <v>467</v>
      </c>
      <c r="C202" s="295" t="s">
        <v>747</v>
      </c>
      <c r="D202" s="295" t="s">
        <v>506</v>
      </c>
      <c r="E202" s="305"/>
      <c r="F202" s="296" t="s">
        <v>467</v>
      </c>
      <c r="G202" s="299"/>
      <c r="H202" s="299"/>
      <c r="I202" s="299"/>
      <c r="J202" s="299"/>
      <c r="K202" s="299"/>
      <c r="L202" s="299"/>
    </row>
    <row r="203" spans="1:12" ht="17.5">
      <c r="A203" s="285">
        <v>48</v>
      </c>
      <c r="B203" s="286" t="s">
        <v>467</v>
      </c>
      <c r="C203" s="295" t="s">
        <v>747</v>
      </c>
      <c r="D203" s="295" t="s">
        <v>579</v>
      </c>
      <c r="E203" s="305"/>
      <c r="F203" s="296" t="s">
        <v>467</v>
      </c>
      <c r="G203" s="299"/>
      <c r="H203" s="299"/>
      <c r="I203" s="299"/>
      <c r="J203" s="299"/>
      <c r="K203" s="299"/>
      <c r="L203" s="299"/>
    </row>
    <row r="204" spans="1:12" ht="17.5">
      <c r="A204" s="285">
        <v>49</v>
      </c>
      <c r="B204" s="286" t="s">
        <v>467</v>
      </c>
      <c r="C204" s="295" t="s">
        <v>747</v>
      </c>
      <c r="D204" s="295" t="s">
        <v>576</v>
      </c>
      <c r="E204" s="305"/>
      <c r="F204" s="296" t="s">
        <v>467</v>
      </c>
      <c r="G204" s="299"/>
      <c r="H204" s="299"/>
      <c r="I204" s="299"/>
      <c r="J204" s="299"/>
      <c r="K204" s="299"/>
      <c r="L204" s="299"/>
    </row>
    <row r="205" spans="1:12">
      <c r="A205" s="306"/>
      <c r="B205" s="306"/>
      <c r="C205" s="306"/>
      <c r="D205" s="306"/>
      <c r="E205" s="306"/>
      <c r="F205" s="306"/>
      <c r="G205" s="306"/>
      <c r="H205" s="299"/>
      <c r="I205" s="297"/>
      <c r="J205" s="297"/>
      <c r="K205" s="297"/>
      <c r="L205" s="297"/>
    </row>
    <row r="206" spans="1:12" ht="17.5">
      <c r="A206" s="297"/>
      <c r="B206" s="302" t="str">
        <f>B208</f>
        <v>Agent07</v>
      </c>
      <c r="C206" s="298" t="s">
        <v>748</v>
      </c>
      <c r="D206" s="283" t="s">
        <v>473</v>
      </c>
      <c r="E206" s="297"/>
      <c r="F206" s="297"/>
      <c r="G206" s="297"/>
      <c r="H206" s="299"/>
      <c r="I206" s="297"/>
      <c r="J206" s="297"/>
      <c r="K206" s="297"/>
      <c r="L206" s="297"/>
    </row>
    <row r="207" spans="1:12" ht="35">
      <c r="A207" s="307"/>
      <c r="B207" s="284" t="s">
        <v>438</v>
      </c>
      <c r="C207" s="284" t="s">
        <v>441</v>
      </c>
      <c r="D207" s="293" t="s">
        <v>442</v>
      </c>
      <c r="E207" s="307"/>
      <c r="F207" s="284" t="s">
        <v>444</v>
      </c>
      <c r="G207" s="293" t="s">
        <v>443</v>
      </c>
      <c r="H207" s="299"/>
      <c r="I207" s="299"/>
      <c r="J207" s="297"/>
      <c r="K207" s="297"/>
      <c r="L207" s="297"/>
    </row>
    <row r="208" spans="1:12" ht="17.5">
      <c r="A208" s="285">
        <v>1</v>
      </c>
      <c r="B208" s="286" t="s">
        <v>471</v>
      </c>
      <c r="C208" s="288" t="s">
        <v>542</v>
      </c>
      <c r="D208" s="289" t="s">
        <v>434</v>
      </c>
      <c r="E208" s="304"/>
      <c r="F208" s="305"/>
      <c r="G208" s="297"/>
      <c r="H208" s="299"/>
      <c r="I208" s="299"/>
      <c r="J208" s="297"/>
      <c r="K208" s="297"/>
      <c r="L208" s="297"/>
    </row>
    <row r="209" spans="1:12" ht="17.5">
      <c r="A209" s="285">
        <v>2</v>
      </c>
      <c r="B209" s="286" t="s">
        <v>471</v>
      </c>
      <c r="C209" s="288" t="s">
        <v>474</v>
      </c>
      <c r="D209" s="289" t="s">
        <v>434</v>
      </c>
      <c r="E209" s="304"/>
      <c r="F209" s="305"/>
      <c r="G209" s="297"/>
      <c r="H209" s="299"/>
      <c r="I209" s="299"/>
      <c r="J209" s="297"/>
      <c r="K209" s="297"/>
      <c r="L209" s="297"/>
    </row>
    <row r="210" spans="1:12" ht="17.5">
      <c r="A210" s="285">
        <v>3</v>
      </c>
      <c r="B210" s="286" t="s">
        <v>471</v>
      </c>
      <c r="C210" s="288" t="s">
        <v>548</v>
      </c>
      <c r="D210" s="289" t="s">
        <v>434</v>
      </c>
      <c r="E210" s="304"/>
      <c r="F210" s="305"/>
      <c r="G210" s="297"/>
      <c r="H210" s="299"/>
      <c r="I210" s="299"/>
      <c r="J210" s="297"/>
      <c r="K210" s="297"/>
      <c r="L210" s="297"/>
    </row>
    <row r="211" spans="1:12" ht="17.5">
      <c r="A211" s="285">
        <v>4</v>
      </c>
      <c r="B211" s="286" t="s">
        <v>471</v>
      </c>
      <c r="C211" s="288" t="s">
        <v>553</v>
      </c>
      <c r="D211" s="288" t="s">
        <v>548</v>
      </c>
      <c r="E211" s="305"/>
      <c r="F211" s="290" t="s">
        <v>471</v>
      </c>
      <c r="G211" s="297"/>
      <c r="H211" s="299"/>
      <c r="I211" s="299"/>
      <c r="J211" s="297"/>
      <c r="K211" s="297"/>
      <c r="L211" s="297"/>
    </row>
    <row r="212" spans="1:12" ht="17.5">
      <c r="A212" s="285">
        <v>5</v>
      </c>
      <c r="B212" s="286" t="s">
        <v>471</v>
      </c>
      <c r="C212" s="288" t="s">
        <v>555</v>
      </c>
      <c r="D212" s="288" t="s">
        <v>553</v>
      </c>
      <c r="E212" s="305"/>
      <c r="F212" s="290" t="s">
        <v>471</v>
      </c>
      <c r="G212" s="297"/>
      <c r="H212" s="299"/>
      <c r="I212" s="299"/>
      <c r="J212" s="297"/>
      <c r="K212" s="297"/>
      <c r="L212" s="297"/>
    </row>
    <row r="213" spans="1:12" ht="17.5">
      <c r="A213" s="285">
        <v>6</v>
      </c>
      <c r="B213" s="286" t="s">
        <v>471</v>
      </c>
      <c r="C213" s="288" t="s">
        <v>555</v>
      </c>
      <c r="D213" s="288" t="s">
        <v>548</v>
      </c>
      <c r="E213" s="305"/>
      <c r="F213" s="290" t="s">
        <v>471</v>
      </c>
      <c r="G213" s="297"/>
      <c r="H213" s="299"/>
      <c r="I213" s="299"/>
      <c r="J213" s="297"/>
      <c r="K213" s="297"/>
      <c r="L213" s="297"/>
    </row>
    <row r="214" spans="1:12" ht="17.5">
      <c r="A214" s="285">
        <v>7</v>
      </c>
      <c r="B214" s="286" t="s">
        <v>471</v>
      </c>
      <c r="C214" s="288" t="s">
        <v>555</v>
      </c>
      <c r="D214" s="288" t="s">
        <v>474</v>
      </c>
      <c r="E214" s="305"/>
      <c r="F214" s="290" t="s">
        <v>471</v>
      </c>
      <c r="G214" s="297"/>
      <c r="H214" s="299"/>
      <c r="I214" s="299"/>
      <c r="J214" s="297"/>
      <c r="K214" s="297"/>
      <c r="L214" s="297"/>
    </row>
    <row r="215" spans="1:12" ht="17.5">
      <c r="A215" s="285">
        <v>8</v>
      </c>
      <c r="B215" s="286" t="s">
        <v>471</v>
      </c>
      <c r="C215" s="288" t="s">
        <v>562</v>
      </c>
      <c r="D215" s="288" t="s">
        <v>555</v>
      </c>
      <c r="E215" s="305"/>
      <c r="F215" s="290" t="s">
        <v>471</v>
      </c>
      <c r="G215" s="297"/>
      <c r="H215" s="299"/>
      <c r="I215" s="299"/>
      <c r="J215" s="297"/>
      <c r="K215" s="297"/>
      <c r="L215" s="297"/>
    </row>
    <row r="216" spans="1:12" ht="17.5">
      <c r="A216" s="285">
        <v>9</v>
      </c>
      <c r="B216" s="286" t="s">
        <v>471</v>
      </c>
      <c r="C216" s="288" t="s">
        <v>558</v>
      </c>
      <c r="D216" s="288" t="s">
        <v>562</v>
      </c>
      <c r="E216" s="305"/>
      <c r="F216" s="290" t="s">
        <v>471</v>
      </c>
      <c r="G216" s="297"/>
      <c r="H216" s="299"/>
      <c r="I216" s="297"/>
      <c r="J216" s="297"/>
      <c r="K216" s="297"/>
      <c r="L216" s="297"/>
    </row>
    <row r="217" spans="1:12" ht="17.5">
      <c r="A217" s="285">
        <v>10</v>
      </c>
      <c r="B217" s="286" t="s">
        <v>471</v>
      </c>
      <c r="C217" s="288" t="s">
        <v>558</v>
      </c>
      <c r="D217" s="288" t="s">
        <v>555</v>
      </c>
      <c r="E217" s="305"/>
      <c r="F217" s="290" t="s">
        <v>471</v>
      </c>
      <c r="G217" s="297"/>
      <c r="H217" s="299"/>
      <c r="I217" s="297"/>
      <c r="J217" s="297"/>
      <c r="K217" s="297"/>
      <c r="L217" s="297"/>
    </row>
    <row r="218" spans="1:12" ht="17.5">
      <c r="A218" s="285">
        <v>11</v>
      </c>
      <c r="B218" s="286" t="s">
        <v>471</v>
      </c>
      <c r="C218" s="288" t="s">
        <v>558</v>
      </c>
      <c r="D218" s="288" t="s">
        <v>474</v>
      </c>
      <c r="E218" s="305"/>
      <c r="F218" s="290" t="s">
        <v>471</v>
      </c>
      <c r="G218" s="297"/>
      <c r="H218" s="299"/>
      <c r="I218" s="297"/>
      <c r="J218" s="297"/>
      <c r="K218" s="297"/>
      <c r="L218" s="297"/>
    </row>
    <row r="219" spans="1:12" ht="17.5">
      <c r="A219" s="285">
        <v>12</v>
      </c>
      <c r="B219" s="286" t="s">
        <v>471</v>
      </c>
      <c r="C219" s="288" t="s">
        <v>557</v>
      </c>
      <c r="D219" s="288" t="s">
        <v>558</v>
      </c>
      <c r="E219" s="305"/>
      <c r="F219" s="290" t="s">
        <v>471</v>
      </c>
      <c r="G219" s="297"/>
      <c r="H219" s="299"/>
      <c r="I219" s="297"/>
      <c r="J219" s="297"/>
      <c r="K219" s="297"/>
      <c r="L219" s="297"/>
    </row>
    <row r="220" spans="1:12" ht="17.5">
      <c r="A220" s="285">
        <v>13</v>
      </c>
      <c r="B220" s="286" t="s">
        <v>471</v>
      </c>
      <c r="C220" s="288" t="s">
        <v>551</v>
      </c>
      <c r="D220" s="291" t="s">
        <v>557</v>
      </c>
      <c r="E220" s="305"/>
      <c r="F220" s="290" t="s">
        <v>471</v>
      </c>
      <c r="G220" s="297"/>
      <c r="H220" s="299"/>
      <c r="I220" s="297"/>
      <c r="J220" s="297"/>
      <c r="K220" s="297"/>
      <c r="L220" s="297"/>
    </row>
    <row r="221" spans="1:12" ht="17.5">
      <c r="A221" s="285">
        <v>14</v>
      </c>
      <c r="B221" s="286" t="s">
        <v>471</v>
      </c>
      <c r="C221" s="288" t="s">
        <v>551</v>
      </c>
      <c r="D221" s="288" t="s">
        <v>558</v>
      </c>
      <c r="E221" s="305"/>
      <c r="F221" s="290" t="s">
        <v>471</v>
      </c>
      <c r="G221" s="297"/>
      <c r="H221" s="299"/>
      <c r="I221" s="297"/>
      <c r="J221" s="297"/>
      <c r="K221" s="297"/>
      <c r="L221" s="297"/>
    </row>
    <row r="222" spans="1:12" ht="17.5">
      <c r="A222" s="285">
        <v>15</v>
      </c>
      <c r="B222" s="286" t="s">
        <v>471</v>
      </c>
      <c r="C222" s="288" t="s">
        <v>529</v>
      </c>
      <c r="D222" s="288" t="s">
        <v>558</v>
      </c>
      <c r="E222" s="305"/>
      <c r="F222" s="290" t="s">
        <v>471</v>
      </c>
      <c r="G222" s="297"/>
      <c r="H222" s="299"/>
      <c r="I222" s="297"/>
      <c r="J222" s="297"/>
      <c r="K222" s="297"/>
      <c r="L222" s="297"/>
    </row>
    <row r="223" spans="1:12" ht="17.5">
      <c r="A223" s="285">
        <v>16</v>
      </c>
      <c r="B223" s="286" t="s">
        <v>471</v>
      </c>
      <c r="C223" s="288" t="s">
        <v>749</v>
      </c>
      <c r="D223" s="288" t="s">
        <v>529</v>
      </c>
      <c r="E223" s="305"/>
      <c r="F223" s="290" t="s">
        <v>471</v>
      </c>
      <c r="G223" s="297"/>
      <c r="H223" s="299"/>
      <c r="I223" s="297"/>
      <c r="J223" s="297"/>
      <c r="K223" s="297"/>
      <c r="L223" s="297"/>
    </row>
    <row r="224" spans="1:12" ht="17.5">
      <c r="A224" s="285">
        <v>17</v>
      </c>
      <c r="B224" s="286" t="s">
        <v>471</v>
      </c>
      <c r="C224" s="288" t="s">
        <v>749</v>
      </c>
      <c r="D224" s="288" t="s">
        <v>558</v>
      </c>
      <c r="E224" s="305"/>
      <c r="F224" s="290" t="s">
        <v>471</v>
      </c>
      <c r="G224" s="297"/>
      <c r="H224" s="299"/>
      <c r="I224" s="297"/>
      <c r="J224" s="297"/>
      <c r="K224" s="297"/>
      <c r="L224" s="297"/>
    </row>
    <row r="225" spans="1:12" ht="17.5">
      <c r="A225" s="285">
        <v>18</v>
      </c>
      <c r="B225" s="286" t="s">
        <v>471</v>
      </c>
      <c r="C225" s="288" t="s">
        <v>528</v>
      </c>
      <c r="D225" s="288" t="s">
        <v>558</v>
      </c>
      <c r="E225" s="305"/>
      <c r="F225" s="290" t="s">
        <v>471</v>
      </c>
      <c r="G225" s="297"/>
      <c r="H225" s="299"/>
      <c r="I225" s="299"/>
      <c r="J225" s="297"/>
      <c r="K225" s="297"/>
      <c r="L225" s="297"/>
    </row>
    <row r="226" spans="1:12" ht="17.5">
      <c r="A226" s="285">
        <v>19</v>
      </c>
      <c r="B226" s="286" t="s">
        <v>471</v>
      </c>
      <c r="C226" s="288" t="s">
        <v>750</v>
      </c>
      <c r="D226" s="288" t="s">
        <v>558</v>
      </c>
      <c r="E226" s="305"/>
      <c r="F226" s="290" t="s">
        <v>471</v>
      </c>
      <c r="G226" s="297"/>
      <c r="H226" s="299"/>
      <c r="I226" s="299"/>
      <c r="J226" s="297"/>
      <c r="K226" s="297"/>
      <c r="L226" s="297"/>
    </row>
    <row r="227" spans="1:12" ht="17.5">
      <c r="A227" s="285">
        <v>20</v>
      </c>
      <c r="B227" s="286" t="s">
        <v>471</v>
      </c>
      <c r="C227" s="288" t="s">
        <v>750</v>
      </c>
      <c r="D227" s="288" t="s">
        <v>528</v>
      </c>
      <c r="E227" s="305"/>
      <c r="F227" s="290" t="s">
        <v>471</v>
      </c>
      <c r="G227" s="297"/>
      <c r="H227" s="299"/>
      <c r="I227" s="297"/>
      <c r="J227" s="297"/>
      <c r="K227" s="297"/>
      <c r="L227" s="297"/>
    </row>
    <row r="228" spans="1:12" ht="17.5">
      <c r="A228" s="285">
        <v>21</v>
      </c>
      <c r="B228" s="286" t="s">
        <v>471</v>
      </c>
      <c r="C228" s="288" t="s">
        <v>524</v>
      </c>
      <c r="D228" s="288" t="s">
        <v>529</v>
      </c>
      <c r="E228" s="305"/>
      <c r="F228" s="290" t="s">
        <v>471</v>
      </c>
      <c r="G228" s="297"/>
      <c r="H228" s="299"/>
      <c r="I228" s="297"/>
      <c r="J228" s="297"/>
      <c r="K228" s="297"/>
      <c r="L228" s="297"/>
    </row>
    <row r="229" spans="1:12" ht="17.5">
      <c r="A229" s="285">
        <v>22</v>
      </c>
      <c r="B229" s="286" t="s">
        <v>471</v>
      </c>
      <c r="C229" s="288" t="s">
        <v>524</v>
      </c>
      <c r="D229" s="288" t="s">
        <v>558</v>
      </c>
      <c r="E229" s="305"/>
      <c r="F229" s="290" t="s">
        <v>471</v>
      </c>
      <c r="G229" s="297"/>
      <c r="H229" s="299"/>
      <c r="I229" s="297"/>
      <c r="J229" s="297"/>
      <c r="K229" s="297"/>
      <c r="L229" s="297"/>
    </row>
    <row r="230" spans="1:12" ht="17.5">
      <c r="A230" s="285">
        <v>23</v>
      </c>
      <c r="B230" s="286" t="s">
        <v>471</v>
      </c>
      <c r="C230" s="288" t="s">
        <v>524</v>
      </c>
      <c r="D230" s="288" t="s">
        <v>555</v>
      </c>
      <c r="E230" s="305"/>
      <c r="F230" s="290" t="s">
        <v>471</v>
      </c>
      <c r="G230" s="297"/>
      <c r="H230" s="299"/>
      <c r="I230" s="297"/>
      <c r="J230" s="297"/>
      <c r="K230" s="297"/>
      <c r="L230" s="297"/>
    </row>
    <row r="231" spans="1:12">
      <c r="A231" s="306"/>
      <c r="B231" s="306"/>
      <c r="C231" s="306"/>
      <c r="D231" s="306"/>
      <c r="E231" s="306"/>
      <c r="F231" s="306"/>
      <c r="G231" s="306"/>
      <c r="H231" s="299"/>
      <c r="I231" s="297"/>
      <c r="J231" s="297"/>
      <c r="K231" s="297"/>
      <c r="L231" s="297"/>
    </row>
    <row r="232" spans="1:12" ht="17.5">
      <c r="A232" s="297"/>
      <c r="B232" s="302" t="str">
        <f>B234</f>
        <v>Agent08</v>
      </c>
      <c r="C232" s="298" t="s">
        <v>751</v>
      </c>
      <c r="D232" s="283" t="s">
        <v>477</v>
      </c>
      <c r="E232" s="297"/>
      <c r="F232" s="297"/>
      <c r="G232" s="297"/>
      <c r="H232" s="299"/>
      <c r="I232" s="297"/>
      <c r="J232" s="297"/>
      <c r="K232" s="297"/>
      <c r="L232" s="297"/>
    </row>
    <row r="233" spans="1:12" ht="35">
      <c r="A233" s="307"/>
      <c r="B233" s="284" t="s">
        <v>438</v>
      </c>
      <c r="C233" s="284" t="s">
        <v>441</v>
      </c>
      <c r="D233" s="293" t="s">
        <v>442</v>
      </c>
      <c r="E233" s="307"/>
      <c r="F233" s="284" t="s">
        <v>444</v>
      </c>
      <c r="G233" s="293" t="s">
        <v>443</v>
      </c>
      <c r="H233" s="299"/>
      <c r="I233" s="299"/>
      <c r="J233" s="297"/>
      <c r="K233" s="297"/>
      <c r="L233" s="297"/>
    </row>
    <row r="234" spans="1:12" ht="17.5">
      <c r="A234" s="285">
        <v>1</v>
      </c>
      <c r="B234" s="286" t="s">
        <v>475</v>
      </c>
      <c r="C234" s="288" t="s">
        <v>540</v>
      </c>
      <c r="D234" s="289" t="s">
        <v>434</v>
      </c>
      <c r="E234" s="304"/>
      <c r="F234" s="305"/>
      <c r="G234" s="297"/>
      <c r="H234" s="299"/>
      <c r="I234" s="299"/>
      <c r="J234" s="297"/>
      <c r="K234" s="297"/>
      <c r="L234" s="297"/>
    </row>
    <row r="235" spans="1:12" ht="17.5">
      <c r="A235" s="285">
        <v>2</v>
      </c>
      <c r="B235" s="286" t="s">
        <v>475</v>
      </c>
      <c r="C235" s="288" t="s">
        <v>534</v>
      </c>
      <c r="D235" s="288" t="s">
        <v>540</v>
      </c>
      <c r="E235" s="305"/>
      <c r="F235" s="290" t="s">
        <v>475</v>
      </c>
      <c r="G235" s="297"/>
      <c r="H235" s="299"/>
      <c r="I235" s="299"/>
      <c r="J235" s="297"/>
      <c r="K235" s="297"/>
      <c r="L235" s="297"/>
    </row>
    <row r="236" spans="1:12" ht="17.5">
      <c r="A236" s="285">
        <v>3</v>
      </c>
      <c r="B236" s="286" t="s">
        <v>475</v>
      </c>
      <c r="C236" s="288" t="s">
        <v>536</v>
      </c>
      <c r="D236" s="289" t="s">
        <v>434</v>
      </c>
      <c r="E236" s="304"/>
      <c r="F236" s="305"/>
      <c r="G236" s="297"/>
      <c r="H236" s="299"/>
      <c r="I236" s="299"/>
      <c r="J236" s="297"/>
      <c r="K236" s="297"/>
      <c r="L236" s="297"/>
    </row>
    <row r="237" spans="1:12" ht="17.5">
      <c r="A237" s="285">
        <v>4</v>
      </c>
      <c r="B237" s="286" t="s">
        <v>475</v>
      </c>
      <c r="C237" s="288" t="s">
        <v>537</v>
      </c>
      <c r="D237" s="288" t="s">
        <v>536</v>
      </c>
      <c r="E237" s="305"/>
      <c r="F237" s="290" t="s">
        <v>475</v>
      </c>
      <c r="G237" s="297"/>
      <c r="H237" s="299"/>
      <c r="I237" s="299"/>
      <c r="J237" s="297"/>
      <c r="K237" s="297"/>
      <c r="L237" s="297"/>
    </row>
    <row r="238" spans="1:12" ht="17.5">
      <c r="A238" s="285">
        <v>5</v>
      </c>
      <c r="B238" s="286" t="s">
        <v>475</v>
      </c>
      <c r="C238" s="288" t="s">
        <v>545</v>
      </c>
      <c r="D238" s="288" t="s">
        <v>537</v>
      </c>
      <c r="E238" s="305"/>
      <c r="F238" s="290" t="s">
        <v>475</v>
      </c>
      <c r="G238" s="297"/>
      <c r="H238" s="299"/>
      <c r="I238" s="299"/>
      <c r="J238" s="297"/>
      <c r="K238" s="297"/>
      <c r="L238" s="297"/>
    </row>
    <row r="239" spans="1:12" ht="17.5">
      <c r="A239" s="285">
        <v>6</v>
      </c>
      <c r="B239" s="286" t="s">
        <v>475</v>
      </c>
      <c r="C239" s="288" t="s">
        <v>545</v>
      </c>
      <c r="D239" s="288" t="s">
        <v>536</v>
      </c>
      <c r="E239" s="305"/>
      <c r="F239" s="290" t="s">
        <v>475</v>
      </c>
      <c r="G239" s="297"/>
      <c r="H239" s="299"/>
      <c r="I239" s="299"/>
      <c r="J239" s="297"/>
      <c r="K239" s="297"/>
      <c r="L239" s="297"/>
    </row>
    <row r="240" spans="1:12" ht="17.5">
      <c r="A240" s="285">
        <v>7</v>
      </c>
      <c r="B240" s="286" t="s">
        <v>475</v>
      </c>
      <c r="C240" s="288" t="s">
        <v>547</v>
      </c>
      <c r="D240" s="288" t="s">
        <v>545</v>
      </c>
      <c r="E240" s="305"/>
      <c r="F240" s="290" t="s">
        <v>475</v>
      </c>
      <c r="G240" s="297"/>
      <c r="H240" s="299"/>
      <c r="I240" s="299"/>
      <c r="J240" s="297"/>
      <c r="K240" s="297"/>
      <c r="L240" s="297"/>
    </row>
    <row r="241" spans="1:12" ht="17.5">
      <c r="A241" s="285">
        <v>8</v>
      </c>
      <c r="B241" s="286" t="s">
        <v>475</v>
      </c>
      <c r="C241" s="288" t="s">
        <v>546</v>
      </c>
      <c r="D241" s="288" t="s">
        <v>545</v>
      </c>
      <c r="E241" s="305"/>
      <c r="F241" s="290" t="s">
        <v>475</v>
      </c>
      <c r="G241" s="297"/>
      <c r="H241" s="299"/>
      <c r="I241" s="297"/>
      <c r="J241" s="297"/>
      <c r="K241" s="297"/>
      <c r="L241" s="297"/>
    </row>
    <row r="242" spans="1:12" ht="17.5">
      <c r="A242" s="285">
        <v>9</v>
      </c>
      <c r="B242" s="286" t="s">
        <v>475</v>
      </c>
      <c r="C242" s="288" t="s">
        <v>546</v>
      </c>
      <c r="D242" s="288" t="s">
        <v>547</v>
      </c>
      <c r="E242" s="305"/>
      <c r="F242" s="290" t="s">
        <v>475</v>
      </c>
      <c r="G242" s="297"/>
      <c r="H242" s="299"/>
      <c r="I242" s="297"/>
      <c r="J242" s="297"/>
      <c r="K242" s="297"/>
      <c r="L242" s="297"/>
    </row>
    <row r="243" spans="1:12" ht="17.5">
      <c r="A243" s="285">
        <v>10</v>
      </c>
      <c r="B243" s="286" t="s">
        <v>475</v>
      </c>
      <c r="C243" s="288" t="s">
        <v>546</v>
      </c>
      <c r="D243" s="288" t="s">
        <v>542</v>
      </c>
      <c r="E243" s="304" t="s">
        <v>733</v>
      </c>
      <c r="F243" s="290" t="s">
        <v>471</v>
      </c>
      <c r="G243" s="297"/>
      <c r="H243" s="299"/>
      <c r="I243" s="297"/>
      <c r="J243" s="297"/>
      <c r="K243" s="297"/>
      <c r="L243" s="297"/>
    </row>
    <row r="244" spans="1:12" ht="17.5">
      <c r="A244" s="285">
        <v>11</v>
      </c>
      <c r="B244" s="286" t="s">
        <v>475</v>
      </c>
      <c r="C244" s="288" t="s">
        <v>539</v>
      </c>
      <c r="D244" s="288" t="s">
        <v>540</v>
      </c>
      <c r="E244" s="305"/>
      <c r="F244" s="290" t="s">
        <v>475</v>
      </c>
      <c r="G244" s="297"/>
      <c r="H244" s="299"/>
      <c r="I244" s="297"/>
      <c r="J244" s="297"/>
      <c r="K244" s="297"/>
      <c r="L244" s="297"/>
    </row>
    <row r="245" spans="1:12" ht="17.5">
      <c r="A245" s="285">
        <v>12</v>
      </c>
      <c r="B245" s="286" t="s">
        <v>475</v>
      </c>
      <c r="C245" s="288" t="s">
        <v>752</v>
      </c>
      <c r="D245" s="288" t="s">
        <v>539</v>
      </c>
      <c r="E245" s="305"/>
      <c r="F245" s="290" t="s">
        <v>475</v>
      </c>
      <c r="G245" s="297"/>
      <c r="H245" s="299"/>
      <c r="I245" s="297"/>
      <c r="J245" s="297"/>
      <c r="K245" s="297"/>
      <c r="L245" s="297"/>
    </row>
    <row r="246" spans="1:12" ht="17.5">
      <c r="A246" s="285">
        <v>13</v>
      </c>
      <c r="B246" s="286" t="s">
        <v>475</v>
      </c>
      <c r="C246" s="288" t="s">
        <v>752</v>
      </c>
      <c r="D246" s="288" t="s">
        <v>540</v>
      </c>
      <c r="E246" s="305"/>
      <c r="F246" s="290" t="s">
        <v>475</v>
      </c>
      <c r="G246" s="297"/>
      <c r="H246" s="299"/>
      <c r="I246" s="297"/>
      <c r="J246" s="297"/>
      <c r="K246" s="297"/>
      <c r="L246" s="297"/>
    </row>
    <row r="247" spans="1:12" ht="17.5">
      <c r="A247" s="285">
        <v>14</v>
      </c>
      <c r="B247" s="286" t="s">
        <v>475</v>
      </c>
      <c r="C247" s="288" t="s">
        <v>531</v>
      </c>
      <c r="D247" s="288" t="s">
        <v>546</v>
      </c>
      <c r="E247" s="305"/>
      <c r="F247" s="290" t="s">
        <v>475</v>
      </c>
      <c r="G247" s="297"/>
      <c r="H247" s="299"/>
      <c r="I247" s="297"/>
      <c r="J247" s="297"/>
      <c r="K247" s="297"/>
      <c r="L247" s="297"/>
    </row>
    <row r="248" spans="1:12" ht="17.5">
      <c r="A248" s="285">
        <v>15</v>
      </c>
      <c r="B248" s="286" t="s">
        <v>475</v>
      </c>
      <c r="C248" s="288" t="s">
        <v>531</v>
      </c>
      <c r="D248" s="288" t="s">
        <v>542</v>
      </c>
      <c r="E248" s="304" t="s">
        <v>733</v>
      </c>
      <c r="F248" s="290" t="s">
        <v>471</v>
      </c>
      <c r="G248" s="297"/>
      <c r="H248" s="299"/>
      <c r="I248" s="297"/>
      <c r="J248" s="297"/>
      <c r="K248" s="297"/>
      <c r="L248" s="297"/>
    </row>
    <row r="249" spans="1:12" ht="17.5">
      <c r="A249" s="285">
        <v>16</v>
      </c>
      <c r="B249" s="286" t="s">
        <v>475</v>
      </c>
      <c r="C249" s="288" t="s">
        <v>531</v>
      </c>
      <c r="D249" s="288" t="s">
        <v>539</v>
      </c>
      <c r="E249" s="305"/>
      <c r="F249" s="290" t="s">
        <v>475</v>
      </c>
      <c r="G249" s="297"/>
      <c r="H249" s="299"/>
      <c r="I249" s="297"/>
      <c r="J249" s="297"/>
      <c r="K249" s="297"/>
      <c r="L249" s="297"/>
    </row>
    <row r="250" spans="1:12" ht="17.5">
      <c r="A250" s="285">
        <v>17</v>
      </c>
      <c r="B250" s="286" t="s">
        <v>475</v>
      </c>
      <c r="C250" s="288" t="s">
        <v>527</v>
      </c>
      <c r="D250" s="288" t="s">
        <v>539</v>
      </c>
      <c r="E250" s="305"/>
      <c r="F250" s="290" t="s">
        <v>475</v>
      </c>
      <c r="G250" s="297"/>
      <c r="H250" s="299"/>
      <c r="I250" s="297"/>
      <c r="J250" s="297"/>
      <c r="K250" s="297"/>
      <c r="L250" s="297"/>
    </row>
    <row r="251" spans="1:12" ht="17.5">
      <c r="A251" s="285">
        <v>18</v>
      </c>
      <c r="B251" s="286" t="s">
        <v>475</v>
      </c>
      <c r="C251" s="288" t="s">
        <v>527</v>
      </c>
      <c r="D251" s="288" t="s">
        <v>540</v>
      </c>
      <c r="E251" s="305"/>
      <c r="F251" s="290" t="s">
        <v>475</v>
      </c>
      <c r="G251" s="297"/>
      <c r="H251" s="299"/>
      <c r="I251" s="297"/>
      <c r="J251" s="297"/>
      <c r="K251" s="297"/>
      <c r="L251" s="297"/>
    </row>
    <row r="252" spans="1:12" ht="17.5">
      <c r="A252" s="285">
        <v>19</v>
      </c>
      <c r="B252" s="286" t="s">
        <v>475</v>
      </c>
      <c r="C252" s="288" t="s">
        <v>527</v>
      </c>
      <c r="D252" s="288" t="s">
        <v>531</v>
      </c>
      <c r="E252" s="305"/>
      <c r="F252" s="290" t="s">
        <v>475</v>
      </c>
      <c r="G252" s="297"/>
      <c r="H252" s="299"/>
      <c r="I252" s="297"/>
      <c r="J252" s="297"/>
      <c r="K252" s="297"/>
      <c r="L252" s="297"/>
    </row>
    <row r="253" spans="1:12" ht="17.5">
      <c r="A253" s="285">
        <v>20</v>
      </c>
      <c r="B253" s="286" t="s">
        <v>475</v>
      </c>
      <c r="C253" s="288" t="s">
        <v>753</v>
      </c>
      <c r="D253" s="288" t="s">
        <v>527</v>
      </c>
      <c r="E253" s="305"/>
      <c r="F253" s="290" t="s">
        <v>475</v>
      </c>
      <c r="G253" s="297"/>
      <c r="H253" s="299"/>
      <c r="I253" s="297"/>
      <c r="J253" s="297"/>
      <c r="K253" s="297"/>
      <c r="L253" s="297"/>
    </row>
    <row r="254" spans="1:12" ht="17.5">
      <c r="A254" s="285">
        <v>21</v>
      </c>
      <c r="B254" s="286" t="s">
        <v>475</v>
      </c>
      <c r="C254" s="288" t="s">
        <v>753</v>
      </c>
      <c r="D254" s="288" t="s">
        <v>540</v>
      </c>
      <c r="E254" s="305"/>
      <c r="F254" s="290" t="s">
        <v>475</v>
      </c>
      <c r="G254" s="297"/>
      <c r="H254" s="299"/>
      <c r="I254" s="297"/>
      <c r="J254" s="297"/>
      <c r="K254" s="297"/>
      <c r="L254" s="297"/>
    </row>
    <row r="255" spans="1:12" ht="17.5">
      <c r="A255" s="285">
        <v>22</v>
      </c>
      <c r="B255" s="286" t="s">
        <v>475</v>
      </c>
      <c r="C255" s="288" t="s">
        <v>753</v>
      </c>
      <c r="D255" s="288" t="s">
        <v>534</v>
      </c>
      <c r="E255" s="305"/>
      <c r="F255" s="290" t="s">
        <v>475</v>
      </c>
      <c r="G255" s="297"/>
      <c r="H255" s="299"/>
      <c r="I255" s="297"/>
      <c r="J255" s="297"/>
      <c r="K255" s="297"/>
      <c r="L255" s="297"/>
    </row>
    <row r="256" spans="1:12" ht="17.5">
      <c r="A256" s="285">
        <v>23</v>
      </c>
      <c r="B256" s="286" t="s">
        <v>475</v>
      </c>
      <c r="C256" s="288" t="s">
        <v>510</v>
      </c>
      <c r="D256" s="288" t="s">
        <v>529</v>
      </c>
      <c r="E256" s="304" t="s">
        <v>733</v>
      </c>
      <c r="F256" s="290" t="s">
        <v>471</v>
      </c>
      <c r="G256" s="297"/>
      <c r="H256" s="299"/>
      <c r="I256" s="297"/>
      <c r="J256" s="297"/>
      <c r="K256" s="297"/>
      <c r="L256" s="297"/>
    </row>
    <row r="257" spans="1:12" ht="17.5">
      <c r="A257" s="285">
        <v>24</v>
      </c>
      <c r="B257" s="286" t="s">
        <v>475</v>
      </c>
      <c r="C257" s="288" t="s">
        <v>510</v>
      </c>
      <c r="D257" s="288" t="s">
        <v>524</v>
      </c>
      <c r="E257" s="304" t="s">
        <v>733</v>
      </c>
      <c r="F257" s="290" t="s">
        <v>471</v>
      </c>
      <c r="G257" s="297"/>
      <c r="H257" s="299"/>
      <c r="I257" s="297"/>
      <c r="J257" s="297"/>
      <c r="K257" s="297"/>
      <c r="L257" s="297"/>
    </row>
    <row r="258" spans="1:12" ht="17.5">
      <c r="A258" s="285">
        <v>25</v>
      </c>
      <c r="B258" s="286" t="s">
        <v>475</v>
      </c>
      <c r="C258" s="288" t="s">
        <v>754</v>
      </c>
      <c r="D258" s="288" t="s">
        <v>510</v>
      </c>
      <c r="E258" s="305"/>
      <c r="F258" s="290" t="s">
        <v>475</v>
      </c>
      <c r="G258" s="297"/>
      <c r="H258" s="299"/>
      <c r="I258" s="297"/>
      <c r="J258" s="297"/>
      <c r="K258" s="297"/>
      <c r="L258" s="297"/>
    </row>
    <row r="259" spans="1:12" ht="17.5">
      <c r="A259" s="285">
        <v>26</v>
      </c>
      <c r="B259" s="286" t="s">
        <v>475</v>
      </c>
      <c r="C259" s="288" t="s">
        <v>754</v>
      </c>
      <c r="D259" s="288" t="s">
        <v>524</v>
      </c>
      <c r="E259" s="304" t="s">
        <v>733</v>
      </c>
      <c r="F259" s="290" t="s">
        <v>471</v>
      </c>
      <c r="G259" s="297"/>
      <c r="H259" s="299"/>
      <c r="I259" s="297"/>
      <c r="J259" s="297"/>
      <c r="K259" s="297"/>
      <c r="L259" s="297"/>
    </row>
    <row r="260" spans="1:12">
      <c r="A260" s="306"/>
      <c r="B260" s="306"/>
      <c r="C260" s="306"/>
      <c r="D260" s="306"/>
      <c r="E260" s="306"/>
      <c r="F260" s="306"/>
      <c r="G260" s="306"/>
      <c r="H260" s="299"/>
      <c r="I260" s="297"/>
      <c r="J260" s="297"/>
      <c r="K260" s="297"/>
      <c r="L260" s="297"/>
    </row>
    <row r="261" spans="1:12" ht="17.5">
      <c r="A261" s="297"/>
      <c r="B261" s="302" t="str">
        <f>B263</f>
        <v>Agent21</v>
      </c>
      <c r="C261" s="298" t="s">
        <v>755</v>
      </c>
      <c r="D261" s="283" t="s">
        <v>481</v>
      </c>
      <c r="E261" s="297"/>
      <c r="F261" s="297"/>
      <c r="G261" s="297"/>
      <c r="H261" s="299"/>
      <c r="I261" s="297"/>
      <c r="J261" s="297"/>
      <c r="K261" s="297"/>
      <c r="L261" s="297"/>
    </row>
    <row r="262" spans="1:12" ht="35">
      <c r="A262" s="307"/>
      <c r="B262" s="284" t="s">
        <v>438</v>
      </c>
      <c r="C262" s="284" t="s">
        <v>441</v>
      </c>
      <c r="D262" s="293" t="s">
        <v>442</v>
      </c>
      <c r="E262" s="307"/>
      <c r="F262" s="284" t="s">
        <v>444</v>
      </c>
      <c r="G262" s="293" t="s">
        <v>443</v>
      </c>
      <c r="H262" s="299"/>
      <c r="I262" s="299"/>
      <c r="J262" s="297"/>
      <c r="K262" s="297"/>
      <c r="L262" s="297"/>
    </row>
    <row r="263" spans="1:12" ht="17.5">
      <c r="A263" s="285">
        <v>1</v>
      </c>
      <c r="B263" s="286" t="s">
        <v>479</v>
      </c>
      <c r="C263" s="288" t="s">
        <v>588</v>
      </c>
      <c r="D263" s="289" t="s">
        <v>434</v>
      </c>
      <c r="E263" s="304"/>
      <c r="F263" s="305"/>
      <c r="G263" s="297"/>
      <c r="H263" s="299"/>
      <c r="I263" s="299"/>
      <c r="J263" s="297"/>
      <c r="K263" s="297"/>
      <c r="L263" s="297"/>
    </row>
    <row r="264" spans="1:12" ht="17.5">
      <c r="A264" s="285">
        <v>2</v>
      </c>
      <c r="B264" s="286" t="s">
        <v>479</v>
      </c>
      <c r="C264" s="288" t="s">
        <v>586</v>
      </c>
      <c r="D264" s="288" t="s">
        <v>588</v>
      </c>
      <c r="E264" s="305"/>
      <c r="F264" s="290" t="s">
        <v>479</v>
      </c>
      <c r="G264" s="297"/>
      <c r="H264" s="299"/>
      <c r="I264" s="299"/>
      <c r="J264" s="297"/>
      <c r="K264" s="297"/>
      <c r="L264" s="297"/>
    </row>
    <row r="265" spans="1:12" ht="17.5">
      <c r="A265" s="285">
        <v>4</v>
      </c>
      <c r="B265" s="286" t="s">
        <v>479</v>
      </c>
      <c r="C265" s="288" t="s">
        <v>587</v>
      </c>
      <c r="D265" s="288" t="s">
        <v>586</v>
      </c>
      <c r="E265" s="305"/>
      <c r="F265" s="290" t="s">
        <v>479</v>
      </c>
      <c r="G265" s="297"/>
      <c r="H265" s="299"/>
      <c r="I265" s="299"/>
      <c r="J265" s="297"/>
      <c r="K265" s="297"/>
      <c r="L265" s="297"/>
    </row>
    <row r="266" spans="1:12" ht="17.5">
      <c r="A266" s="285">
        <v>5</v>
      </c>
      <c r="B266" s="286" t="s">
        <v>479</v>
      </c>
      <c r="C266" s="288" t="s">
        <v>594</v>
      </c>
      <c r="D266" s="288" t="s">
        <v>600</v>
      </c>
      <c r="E266" s="304" t="s">
        <v>733</v>
      </c>
      <c r="F266" s="290" t="s">
        <v>486</v>
      </c>
      <c r="G266" s="297"/>
      <c r="H266" s="299"/>
      <c r="I266" s="299"/>
      <c r="J266" s="297"/>
      <c r="K266" s="297"/>
      <c r="L266" s="297"/>
    </row>
    <row r="267" spans="1:12" ht="17.5">
      <c r="A267" s="285">
        <v>6</v>
      </c>
      <c r="B267" s="286" t="s">
        <v>479</v>
      </c>
      <c r="C267" s="288" t="s">
        <v>599</v>
      </c>
      <c r="D267" s="288" t="s">
        <v>587</v>
      </c>
      <c r="E267" s="305"/>
      <c r="F267" s="290" t="s">
        <v>479</v>
      </c>
      <c r="G267" s="297"/>
      <c r="H267" s="299"/>
      <c r="I267" s="299"/>
      <c r="J267" s="297"/>
      <c r="K267" s="297"/>
      <c r="L267" s="297"/>
    </row>
    <row r="268" spans="1:12" ht="17.5">
      <c r="A268" s="285">
        <v>7</v>
      </c>
      <c r="B268" s="286" t="s">
        <v>479</v>
      </c>
      <c r="C268" s="288" t="s">
        <v>599</v>
      </c>
      <c r="D268" s="288" t="s">
        <v>596</v>
      </c>
      <c r="E268" s="304" t="s">
        <v>733</v>
      </c>
      <c r="F268" s="290" t="s">
        <v>483</v>
      </c>
      <c r="G268" s="297"/>
      <c r="H268" s="299"/>
      <c r="I268" s="299"/>
      <c r="J268" s="297"/>
      <c r="K268" s="297"/>
      <c r="L268" s="297"/>
    </row>
    <row r="269" spans="1:12" ht="17.5">
      <c r="A269" s="285">
        <v>8</v>
      </c>
      <c r="B269" s="286" t="s">
        <v>479</v>
      </c>
      <c r="C269" s="288" t="s">
        <v>756</v>
      </c>
      <c r="D269" s="288" t="s">
        <v>599</v>
      </c>
      <c r="E269" s="305"/>
      <c r="F269" s="290" t="s">
        <v>479</v>
      </c>
      <c r="G269" s="297"/>
      <c r="H269" s="299"/>
      <c r="I269" s="297"/>
      <c r="J269" s="297"/>
      <c r="K269" s="297"/>
      <c r="L269" s="297"/>
    </row>
    <row r="270" spans="1:12" ht="17.5">
      <c r="A270" s="285">
        <v>9</v>
      </c>
      <c r="B270" s="286" t="s">
        <v>479</v>
      </c>
      <c r="C270" s="288" t="s">
        <v>756</v>
      </c>
      <c r="D270" s="288" t="s">
        <v>605</v>
      </c>
      <c r="E270" s="304" t="s">
        <v>733</v>
      </c>
      <c r="F270" s="290" t="s">
        <v>486</v>
      </c>
      <c r="G270" s="297"/>
      <c r="H270" s="299"/>
      <c r="I270" s="297"/>
      <c r="J270" s="297"/>
      <c r="K270" s="297"/>
      <c r="L270" s="297"/>
    </row>
    <row r="271" spans="1:12" ht="17.5">
      <c r="A271" s="285">
        <v>10</v>
      </c>
      <c r="B271" s="286" t="s">
        <v>479</v>
      </c>
      <c r="C271" s="288" t="s">
        <v>756</v>
      </c>
      <c r="D271" s="288" t="s">
        <v>596</v>
      </c>
      <c r="E271" s="304" t="s">
        <v>733</v>
      </c>
      <c r="F271" s="290" t="s">
        <v>483</v>
      </c>
      <c r="G271" s="297"/>
      <c r="H271" s="299"/>
      <c r="I271" s="297"/>
      <c r="J271" s="297"/>
      <c r="K271" s="297"/>
      <c r="L271" s="297"/>
    </row>
    <row r="272" spans="1:12">
      <c r="A272" s="306"/>
      <c r="B272" s="306"/>
      <c r="C272" s="306"/>
      <c r="D272" s="306"/>
      <c r="E272" s="306"/>
      <c r="F272" s="306"/>
      <c r="G272" s="306"/>
      <c r="H272" s="299"/>
      <c r="I272" s="297"/>
      <c r="J272" s="297"/>
      <c r="K272" s="297"/>
      <c r="L272" s="297"/>
    </row>
    <row r="273" spans="1:12" ht="17.5">
      <c r="A273" s="297"/>
      <c r="B273" s="302" t="str">
        <f>B275</f>
        <v>Agent22</v>
      </c>
      <c r="C273" s="298" t="s">
        <v>757</v>
      </c>
      <c r="D273" s="283" t="s">
        <v>485</v>
      </c>
      <c r="E273" s="297"/>
      <c r="F273" s="297"/>
      <c r="G273" s="297"/>
      <c r="H273" s="299"/>
      <c r="I273" s="297"/>
      <c r="J273" s="297"/>
      <c r="K273" s="297"/>
      <c r="L273" s="297"/>
    </row>
    <row r="274" spans="1:12" ht="35">
      <c r="A274" s="307"/>
      <c r="B274" s="284" t="s">
        <v>438</v>
      </c>
      <c r="C274" s="284" t="s">
        <v>441</v>
      </c>
      <c r="D274" s="293" t="s">
        <v>442</v>
      </c>
      <c r="E274" s="307"/>
      <c r="F274" s="284" t="s">
        <v>444</v>
      </c>
      <c r="G274" s="293" t="s">
        <v>443</v>
      </c>
      <c r="H274" s="299"/>
      <c r="I274" s="299"/>
      <c r="J274" s="297"/>
      <c r="K274" s="297"/>
      <c r="L274" s="297"/>
    </row>
    <row r="275" spans="1:12" ht="17.5">
      <c r="A275" s="285">
        <v>1</v>
      </c>
      <c r="B275" s="286" t="s">
        <v>483</v>
      </c>
      <c r="C275" s="288" t="s">
        <v>591</v>
      </c>
      <c r="D275" s="288" t="s">
        <v>588</v>
      </c>
      <c r="E275" s="304" t="s">
        <v>733</v>
      </c>
      <c r="F275" s="290" t="s">
        <v>479</v>
      </c>
      <c r="G275" s="297"/>
      <c r="H275" s="299"/>
      <c r="I275" s="299"/>
      <c r="J275" s="297"/>
      <c r="K275" s="297"/>
      <c r="L275" s="297"/>
    </row>
    <row r="276" spans="1:12" ht="17.5">
      <c r="A276" s="285">
        <v>2</v>
      </c>
      <c r="B276" s="286" t="s">
        <v>483</v>
      </c>
      <c r="C276" s="288" t="s">
        <v>591</v>
      </c>
      <c r="D276" s="288" t="s">
        <v>600</v>
      </c>
      <c r="E276" s="304" t="s">
        <v>733</v>
      </c>
      <c r="F276" s="290" t="s">
        <v>486</v>
      </c>
      <c r="G276" s="297"/>
      <c r="H276" s="299"/>
      <c r="I276" s="299"/>
      <c r="J276" s="297"/>
      <c r="K276" s="297"/>
      <c r="L276" s="297"/>
    </row>
    <row r="277" spans="1:12" ht="17.5">
      <c r="A277" s="285">
        <v>3</v>
      </c>
      <c r="B277" s="286" t="s">
        <v>483</v>
      </c>
      <c r="C277" s="288" t="s">
        <v>593</v>
      </c>
      <c r="D277" s="288" t="s">
        <v>600</v>
      </c>
      <c r="E277" s="304" t="s">
        <v>733</v>
      </c>
      <c r="F277" s="290" t="s">
        <v>486</v>
      </c>
      <c r="G277" s="297"/>
      <c r="H277" s="299"/>
      <c r="I277" s="299"/>
      <c r="J277" s="297"/>
      <c r="K277" s="297"/>
      <c r="L277" s="297"/>
    </row>
    <row r="278" spans="1:12" ht="17.5">
      <c r="A278" s="285">
        <v>4</v>
      </c>
      <c r="B278" s="286" t="s">
        <v>483</v>
      </c>
      <c r="C278" s="288" t="s">
        <v>595</v>
      </c>
      <c r="D278" s="288" t="s">
        <v>600</v>
      </c>
      <c r="E278" s="304" t="s">
        <v>733</v>
      </c>
      <c r="F278" s="290" t="s">
        <v>486</v>
      </c>
      <c r="G278" s="297"/>
      <c r="H278" s="299"/>
      <c r="I278" s="299"/>
      <c r="J278" s="297"/>
      <c r="K278" s="297"/>
      <c r="L278" s="297"/>
    </row>
    <row r="279" spans="1:12" ht="17.5">
      <c r="A279" s="285">
        <v>5</v>
      </c>
      <c r="B279" s="286" t="s">
        <v>483</v>
      </c>
      <c r="C279" s="288" t="s">
        <v>589</v>
      </c>
      <c r="D279" s="288" t="s">
        <v>588</v>
      </c>
      <c r="E279" s="304" t="s">
        <v>733</v>
      </c>
      <c r="F279" s="290" t="s">
        <v>479</v>
      </c>
      <c r="G279" s="297"/>
      <c r="H279" s="299"/>
      <c r="I279" s="299"/>
      <c r="J279" s="297"/>
      <c r="K279" s="297"/>
      <c r="L279" s="297"/>
    </row>
    <row r="280" spans="1:12" ht="17.5">
      <c r="A280" s="285">
        <v>6</v>
      </c>
      <c r="B280" s="286" t="s">
        <v>483</v>
      </c>
      <c r="C280" s="288" t="s">
        <v>589</v>
      </c>
      <c r="D280" s="288" t="s">
        <v>591</v>
      </c>
      <c r="E280" s="305"/>
      <c r="F280" s="290" t="s">
        <v>483</v>
      </c>
      <c r="G280" s="297"/>
      <c r="H280" s="299"/>
      <c r="I280" s="299"/>
      <c r="J280" s="297"/>
      <c r="K280" s="297"/>
      <c r="L280" s="297"/>
    </row>
    <row r="281" spans="1:12" ht="17.5">
      <c r="A281" s="285">
        <v>7</v>
      </c>
      <c r="B281" s="286" t="s">
        <v>483</v>
      </c>
      <c r="C281" s="288" t="s">
        <v>589</v>
      </c>
      <c r="D281" s="288" t="s">
        <v>586</v>
      </c>
      <c r="E281" s="304" t="s">
        <v>733</v>
      </c>
      <c r="F281" s="290" t="s">
        <v>479</v>
      </c>
      <c r="G281" s="297"/>
      <c r="H281" s="299"/>
      <c r="I281" s="299"/>
      <c r="J281" s="297"/>
      <c r="K281" s="297"/>
      <c r="L281" s="297"/>
    </row>
    <row r="282" spans="1:12" ht="17.5">
      <c r="A282" s="285">
        <v>8</v>
      </c>
      <c r="B282" s="286" t="s">
        <v>483</v>
      </c>
      <c r="C282" s="288" t="s">
        <v>590</v>
      </c>
      <c r="D282" s="288" t="s">
        <v>591</v>
      </c>
      <c r="E282" s="305"/>
      <c r="F282" s="290" t="s">
        <v>483</v>
      </c>
      <c r="G282" s="297"/>
      <c r="H282" s="299"/>
      <c r="I282" s="297"/>
      <c r="J282" s="297"/>
      <c r="K282" s="297"/>
      <c r="L282" s="297"/>
    </row>
    <row r="283" spans="1:12" ht="17.5">
      <c r="A283" s="285">
        <v>9</v>
      </c>
      <c r="B283" s="286" t="s">
        <v>483</v>
      </c>
      <c r="C283" s="288" t="s">
        <v>597</v>
      </c>
      <c r="D283" s="288" t="s">
        <v>600</v>
      </c>
      <c r="E283" s="304" t="s">
        <v>733</v>
      </c>
      <c r="F283" s="290" t="s">
        <v>486</v>
      </c>
      <c r="G283" s="297"/>
      <c r="H283" s="299"/>
      <c r="I283" s="297"/>
      <c r="J283" s="297"/>
      <c r="K283" s="297"/>
      <c r="L283" s="297"/>
    </row>
    <row r="284" spans="1:12" ht="17.5">
      <c r="A284" s="285">
        <v>10</v>
      </c>
      <c r="B284" s="286" t="s">
        <v>483</v>
      </c>
      <c r="C284" s="288" t="s">
        <v>592</v>
      </c>
      <c r="D284" s="288" t="s">
        <v>600</v>
      </c>
      <c r="E284" s="304" t="s">
        <v>733</v>
      </c>
      <c r="F284" s="290" t="s">
        <v>486</v>
      </c>
      <c r="G284" s="297"/>
      <c r="H284" s="299"/>
      <c r="I284" s="297"/>
      <c r="J284" s="297"/>
      <c r="K284" s="297"/>
      <c r="L284" s="297"/>
    </row>
    <row r="285" spans="1:12" ht="17.5">
      <c r="A285" s="285">
        <v>11</v>
      </c>
      <c r="B285" s="286" t="s">
        <v>483</v>
      </c>
      <c r="C285" s="288" t="s">
        <v>592</v>
      </c>
      <c r="D285" s="288" t="s">
        <v>597</v>
      </c>
      <c r="E285" s="305"/>
      <c r="F285" s="290" t="s">
        <v>483</v>
      </c>
      <c r="G285" s="297"/>
      <c r="H285" s="299"/>
      <c r="I285" s="297"/>
      <c r="J285" s="297"/>
      <c r="K285" s="297"/>
      <c r="L285" s="297"/>
    </row>
    <row r="286" spans="1:12" ht="17.5">
      <c r="A286" s="285">
        <v>12</v>
      </c>
      <c r="B286" s="286" t="s">
        <v>483</v>
      </c>
      <c r="C286" s="288" t="s">
        <v>592</v>
      </c>
      <c r="D286" s="288" t="s">
        <v>595</v>
      </c>
      <c r="E286" s="305"/>
      <c r="F286" s="290" t="s">
        <v>483</v>
      </c>
      <c r="G286" s="297"/>
      <c r="H286" s="299"/>
      <c r="I286" s="297"/>
      <c r="J286" s="297"/>
      <c r="K286" s="297"/>
      <c r="L286" s="297"/>
    </row>
    <row r="287" spans="1:12" ht="17.5">
      <c r="A287" s="285">
        <v>13</v>
      </c>
      <c r="B287" s="286" t="s">
        <v>483</v>
      </c>
      <c r="C287" s="288" t="s">
        <v>592</v>
      </c>
      <c r="D287" s="288" t="s">
        <v>593</v>
      </c>
      <c r="E287" s="305"/>
      <c r="F287" s="290" t="s">
        <v>483</v>
      </c>
      <c r="G287" s="297"/>
      <c r="H287" s="299"/>
      <c r="I287" s="297"/>
      <c r="J287" s="297"/>
      <c r="K287" s="297"/>
      <c r="L287" s="297"/>
    </row>
    <row r="288" spans="1:12" ht="17.5">
      <c r="A288" s="285">
        <v>14</v>
      </c>
      <c r="B288" s="286" t="s">
        <v>483</v>
      </c>
      <c r="C288" s="288" t="s">
        <v>592</v>
      </c>
      <c r="D288" s="288" t="s">
        <v>591</v>
      </c>
      <c r="E288" s="305"/>
      <c r="F288" s="290" t="s">
        <v>483</v>
      </c>
      <c r="G288" s="297"/>
      <c r="H288" s="299"/>
      <c r="I288" s="297"/>
      <c r="J288" s="297"/>
      <c r="K288" s="297"/>
      <c r="L288" s="297"/>
    </row>
    <row r="289" spans="1:12" ht="17.5">
      <c r="A289" s="285">
        <v>15</v>
      </c>
      <c r="B289" s="286" t="s">
        <v>483</v>
      </c>
      <c r="C289" s="288" t="s">
        <v>592</v>
      </c>
      <c r="D289" s="288" t="s">
        <v>590</v>
      </c>
      <c r="E289" s="305"/>
      <c r="F289" s="290" t="s">
        <v>483</v>
      </c>
      <c r="G289" s="297"/>
      <c r="H289" s="299"/>
      <c r="I289" s="297"/>
      <c r="J289" s="297"/>
      <c r="K289" s="297"/>
      <c r="L289" s="297"/>
    </row>
    <row r="290" spans="1:12" ht="17.5">
      <c r="A290" s="285">
        <v>16</v>
      </c>
      <c r="B290" s="286" t="s">
        <v>483</v>
      </c>
      <c r="C290" s="288" t="s">
        <v>592</v>
      </c>
      <c r="D290" s="288" t="s">
        <v>589</v>
      </c>
      <c r="E290" s="305"/>
      <c r="F290" s="290" t="s">
        <v>483</v>
      </c>
      <c r="G290" s="297"/>
      <c r="H290" s="299"/>
      <c r="I290" s="297"/>
      <c r="J290" s="297"/>
      <c r="K290" s="297"/>
      <c r="L290" s="297"/>
    </row>
    <row r="291" spans="1:12" ht="17.5">
      <c r="A291" s="285">
        <v>17</v>
      </c>
      <c r="B291" s="286" t="s">
        <v>483</v>
      </c>
      <c r="C291" s="288" t="s">
        <v>592</v>
      </c>
      <c r="D291" s="288" t="s">
        <v>594</v>
      </c>
      <c r="E291" s="304" t="s">
        <v>733</v>
      </c>
      <c r="F291" s="290" t="s">
        <v>479</v>
      </c>
      <c r="G291" s="297"/>
      <c r="H291" s="299"/>
      <c r="I291" s="297"/>
      <c r="J291" s="297"/>
      <c r="K291" s="297"/>
      <c r="L291" s="297"/>
    </row>
    <row r="292" spans="1:12" ht="17.5">
      <c r="A292" s="285">
        <v>18</v>
      </c>
      <c r="B292" s="286" t="s">
        <v>483</v>
      </c>
      <c r="C292" s="288" t="s">
        <v>592</v>
      </c>
      <c r="D292" s="288" t="s">
        <v>586</v>
      </c>
      <c r="E292" s="304" t="s">
        <v>733</v>
      </c>
      <c r="F292" s="290" t="s">
        <v>479</v>
      </c>
      <c r="G292" s="297"/>
      <c r="H292" s="299"/>
      <c r="I292" s="297"/>
      <c r="J292" s="297"/>
      <c r="K292" s="297"/>
      <c r="L292" s="297"/>
    </row>
    <row r="293" spans="1:12" ht="17.5">
      <c r="A293" s="285">
        <v>19</v>
      </c>
      <c r="B293" s="286" t="s">
        <v>483</v>
      </c>
      <c r="C293" s="288" t="s">
        <v>758</v>
      </c>
      <c r="D293" s="288" t="s">
        <v>592</v>
      </c>
      <c r="E293" s="305"/>
      <c r="F293" s="290" t="s">
        <v>483</v>
      </c>
      <c r="G293" s="297"/>
      <c r="H293" s="299"/>
      <c r="I293" s="297"/>
      <c r="J293" s="297"/>
      <c r="K293" s="297"/>
      <c r="L293" s="297"/>
    </row>
    <row r="294" spans="1:12" ht="17.5">
      <c r="A294" s="285">
        <v>20</v>
      </c>
      <c r="B294" s="286" t="s">
        <v>483</v>
      </c>
      <c r="C294" s="288" t="s">
        <v>758</v>
      </c>
      <c r="D294" s="288" t="s">
        <v>600</v>
      </c>
      <c r="E294" s="304" t="s">
        <v>733</v>
      </c>
      <c r="F294" s="290" t="s">
        <v>486</v>
      </c>
      <c r="G294" s="297"/>
      <c r="H294" s="299"/>
      <c r="I294" s="297"/>
      <c r="J294" s="297"/>
      <c r="K294" s="297"/>
      <c r="L294" s="297"/>
    </row>
    <row r="295" spans="1:12" ht="17.5">
      <c r="A295" s="285">
        <v>21</v>
      </c>
      <c r="B295" s="286" t="s">
        <v>483</v>
      </c>
      <c r="C295" s="288" t="s">
        <v>759</v>
      </c>
      <c r="D295" s="288" t="s">
        <v>592</v>
      </c>
      <c r="E295" s="305"/>
      <c r="F295" s="290" t="s">
        <v>483</v>
      </c>
      <c r="G295" s="297"/>
      <c r="H295" s="299"/>
      <c r="I295" s="297"/>
      <c r="J295" s="297"/>
      <c r="K295" s="297"/>
      <c r="L295" s="297"/>
    </row>
    <row r="296" spans="1:12" ht="17.5">
      <c r="A296" s="285">
        <v>22</v>
      </c>
      <c r="B296" s="286" t="s">
        <v>483</v>
      </c>
      <c r="C296" s="288" t="s">
        <v>759</v>
      </c>
      <c r="D296" s="288" t="s">
        <v>600</v>
      </c>
      <c r="E296" s="304" t="s">
        <v>733</v>
      </c>
      <c r="F296" s="290" t="s">
        <v>486</v>
      </c>
      <c r="G296" s="297"/>
      <c r="H296" s="299"/>
      <c r="I296" s="297"/>
      <c r="J296" s="297"/>
      <c r="K296" s="297"/>
      <c r="L296" s="297"/>
    </row>
    <row r="297" spans="1:12" ht="17.5">
      <c r="A297" s="285">
        <v>23</v>
      </c>
      <c r="B297" s="286" t="s">
        <v>483</v>
      </c>
      <c r="C297" s="288" t="s">
        <v>598</v>
      </c>
      <c r="D297" s="288" t="s">
        <v>602</v>
      </c>
      <c r="E297" s="304" t="s">
        <v>733</v>
      </c>
      <c r="F297" s="290" t="s">
        <v>486</v>
      </c>
      <c r="G297" s="297"/>
      <c r="H297" s="299"/>
      <c r="I297" s="297"/>
      <c r="J297" s="297"/>
      <c r="K297" s="297"/>
      <c r="L297" s="297"/>
    </row>
    <row r="298" spans="1:12" ht="17.5">
      <c r="A298" s="285">
        <v>24</v>
      </c>
      <c r="B298" s="286" t="s">
        <v>483</v>
      </c>
      <c r="C298" s="288" t="s">
        <v>596</v>
      </c>
      <c r="D298" s="288" t="s">
        <v>600</v>
      </c>
      <c r="E298" s="304" t="s">
        <v>733</v>
      </c>
      <c r="F298" s="290" t="s">
        <v>486</v>
      </c>
      <c r="G298" s="297"/>
      <c r="H298" s="299"/>
      <c r="I298" s="297"/>
      <c r="J298" s="297"/>
      <c r="K298" s="297"/>
      <c r="L298" s="297"/>
    </row>
    <row r="299" spans="1:12" ht="17.5">
      <c r="A299" s="285">
        <v>25</v>
      </c>
      <c r="B299" s="286" t="s">
        <v>483</v>
      </c>
      <c r="C299" s="288" t="s">
        <v>596</v>
      </c>
      <c r="D299" s="288" t="s">
        <v>601</v>
      </c>
      <c r="E299" s="304" t="s">
        <v>733</v>
      </c>
      <c r="F299" s="290" t="s">
        <v>486</v>
      </c>
      <c r="G299" s="297"/>
      <c r="H299" s="299"/>
      <c r="I299" s="297"/>
      <c r="J299" s="297"/>
      <c r="K299" s="297"/>
      <c r="L299" s="297"/>
    </row>
    <row r="300" spans="1:12" ht="17.5">
      <c r="A300" s="285">
        <v>26</v>
      </c>
      <c r="B300" s="286" t="s">
        <v>483</v>
      </c>
      <c r="C300" s="288" t="s">
        <v>596</v>
      </c>
      <c r="D300" s="288" t="s">
        <v>598</v>
      </c>
      <c r="E300" s="305"/>
      <c r="F300" s="290" t="s">
        <v>483</v>
      </c>
      <c r="G300" s="297"/>
      <c r="H300" s="299"/>
      <c r="I300" s="297"/>
      <c r="J300" s="297"/>
      <c r="K300" s="297"/>
      <c r="L300" s="297"/>
    </row>
    <row r="301" spans="1:12" ht="17.5">
      <c r="A301" s="285">
        <v>27</v>
      </c>
      <c r="B301" s="286" t="s">
        <v>483</v>
      </c>
      <c r="C301" s="288" t="s">
        <v>596</v>
      </c>
      <c r="D301" s="288" t="s">
        <v>602</v>
      </c>
      <c r="E301" s="304" t="s">
        <v>733</v>
      </c>
      <c r="F301" s="290" t="s">
        <v>486</v>
      </c>
      <c r="G301" s="297"/>
      <c r="H301" s="299"/>
      <c r="I301" s="297"/>
      <c r="J301" s="297"/>
      <c r="K301" s="297"/>
      <c r="L301" s="297"/>
    </row>
    <row r="302" spans="1:12" ht="17.5">
      <c r="A302" s="285">
        <v>28</v>
      </c>
      <c r="B302" s="286" t="s">
        <v>483</v>
      </c>
      <c r="C302" s="288" t="s">
        <v>596</v>
      </c>
      <c r="D302" s="288" t="s">
        <v>605</v>
      </c>
      <c r="E302" s="304" t="s">
        <v>733</v>
      </c>
      <c r="F302" s="290" t="s">
        <v>486</v>
      </c>
      <c r="G302" s="297"/>
      <c r="H302" s="299"/>
      <c r="I302" s="297"/>
      <c r="J302" s="297"/>
      <c r="K302" s="297"/>
      <c r="L302" s="297"/>
    </row>
    <row r="303" spans="1:12" ht="17.5">
      <c r="A303" s="285">
        <v>29</v>
      </c>
      <c r="B303" s="286" t="s">
        <v>483</v>
      </c>
      <c r="C303" s="288" t="s">
        <v>596</v>
      </c>
      <c r="D303" s="288" t="s">
        <v>586</v>
      </c>
      <c r="E303" s="304" t="s">
        <v>733</v>
      </c>
      <c r="F303" s="290" t="s">
        <v>479</v>
      </c>
      <c r="G303" s="297"/>
      <c r="H303" s="299"/>
      <c r="I303" s="297"/>
      <c r="J303" s="297"/>
      <c r="K303" s="297"/>
      <c r="L303" s="297"/>
    </row>
    <row r="304" spans="1:12" ht="17.5">
      <c r="A304" s="285">
        <v>30</v>
      </c>
      <c r="B304" s="286" t="s">
        <v>483</v>
      </c>
      <c r="C304" s="288" t="s">
        <v>596</v>
      </c>
      <c r="D304" s="288" t="s">
        <v>587</v>
      </c>
      <c r="E304" s="304" t="s">
        <v>733</v>
      </c>
      <c r="F304" s="290" t="s">
        <v>479</v>
      </c>
      <c r="G304" s="297"/>
      <c r="H304" s="299"/>
      <c r="I304" s="297"/>
      <c r="J304" s="297"/>
      <c r="K304" s="297"/>
      <c r="L304" s="297"/>
    </row>
    <row r="305" spans="1:12" ht="17.5">
      <c r="A305" s="285">
        <v>31</v>
      </c>
      <c r="B305" s="286" t="s">
        <v>483</v>
      </c>
      <c r="C305" s="288" t="s">
        <v>596</v>
      </c>
      <c r="D305" s="288" t="s">
        <v>592</v>
      </c>
      <c r="E305" s="305"/>
      <c r="F305" s="290" t="s">
        <v>483</v>
      </c>
      <c r="G305" s="297"/>
      <c r="H305" s="299"/>
      <c r="I305" s="297"/>
      <c r="J305" s="297"/>
      <c r="K305" s="297"/>
      <c r="L305" s="297"/>
    </row>
    <row r="306" spans="1:12">
      <c r="A306" s="306"/>
      <c r="B306" s="306"/>
      <c r="C306" s="306"/>
      <c r="D306" s="306"/>
      <c r="E306" s="306"/>
      <c r="F306" s="306"/>
      <c r="G306" s="306"/>
      <c r="H306" s="299"/>
      <c r="I306" s="297"/>
      <c r="J306" s="297"/>
      <c r="K306" s="297"/>
      <c r="L306" s="297"/>
    </row>
    <row r="307" spans="1:12" ht="17.5">
      <c r="A307" s="297"/>
      <c r="B307" s="302" t="str">
        <f>B309</f>
        <v>Agent23</v>
      </c>
      <c r="C307" s="298" t="s">
        <v>760</v>
      </c>
      <c r="D307" s="283" t="s">
        <v>488</v>
      </c>
      <c r="E307" s="297"/>
      <c r="F307" s="297"/>
      <c r="G307" s="297"/>
      <c r="H307" s="299"/>
      <c r="I307" s="297"/>
      <c r="J307" s="297"/>
      <c r="K307" s="297"/>
      <c r="L307" s="297"/>
    </row>
    <row r="308" spans="1:12" ht="35">
      <c r="A308" s="307"/>
      <c r="B308" s="284" t="s">
        <v>438</v>
      </c>
      <c r="C308" s="284" t="s">
        <v>441</v>
      </c>
      <c r="D308" s="293" t="s">
        <v>442</v>
      </c>
      <c r="E308" s="307"/>
      <c r="F308" s="284" t="s">
        <v>444</v>
      </c>
      <c r="G308" s="293" t="s">
        <v>443</v>
      </c>
      <c r="H308" s="299"/>
      <c r="I308" s="299"/>
      <c r="J308" s="297"/>
      <c r="K308" s="297"/>
      <c r="L308" s="297"/>
    </row>
    <row r="309" spans="1:12" ht="17.5">
      <c r="A309" s="285">
        <v>1</v>
      </c>
      <c r="B309" s="286" t="s">
        <v>486</v>
      </c>
      <c r="C309" s="288" t="s">
        <v>600</v>
      </c>
      <c r="D309" s="289" t="s">
        <v>434</v>
      </c>
      <c r="E309" s="304"/>
      <c r="F309" s="305"/>
      <c r="G309" s="297"/>
      <c r="H309" s="299"/>
      <c r="I309" s="299"/>
      <c r="J309" s="297"/>
      <c r="K309" s="297"/>
      <c r="L309" s="297"/>
    </row>
    <row r="310" spans="1:12" ht="17.5">
      <c r="A310" s="285">
        <v>2</v>
      </c>
      <c r="B310" s="286" t="s">
        <v>486</v>
      </c>
      <c r="C310" s="288" t="s">
        <v>603</v>
      </c>
      <c r="D310" s="288" t="s">
        <v>591</v>
      </c>
      <c r="E310" s="304" t="s">
        <v>733</v>
      </c>
      <c r="F310" s="290" t="s">
        <v>483</v>
      </c>
      <c r="G310" s="297"/>
      <c r="H310" s="299"/>
      <c r="I310" s="299"/>
      <c r="J310" s="297"/>
      <c r="K310" s="297"/>
      <c r="L310" s="297"/>
    </row>
    <row r="311" spans="1:12" ht="17.5">
      <c r="A311" s="285">
        <v>3</v>
      </c>
      <c r="B311" s="286" t="s">
        <v>486</v>
      </c>
      <c r="C311" s="288" t="s">
        <v>603</v>
      </c>
      <c r="D311" s="288" t="s">
        <v>600</v>
      </c>
      <c r="E311" s="305"/>
      <c r="F311" s="290" t="s">
        <v>486</v>
      </c>
      <c r="G311" s="297"/>
      <c r="H311" s="299"/>
      <c r="I311" s="299"/>
      <c r="J311" s="297"/>
      <c r="K311" s="297"/>
      <c r="L311" s="297"/>
    </row>
    <row r="312" spans="1:12" ht="17.5">
      <c r="A312" s="285">
        <v>4</v>
      </c>
      <c r="B312" s="286" t="s">
        <v>486</v>
      </c>
      <c r="C312" s="288" t="s">
        <v>603</v>
      </c>
      <c r="D312" s="288" t="s">
        <v>588</v>
      </c>
      <c r="E312" s="304" t="s">
        <v>733</v>
      </c>
      <c r="F312" s="290" t="s">
        <v>479</v>
      </c>
      <c r="G312" s="297"/>
      <c r="H312" s="299"/>
      <c r="I312" s="299"/>
      <c r="J312" s="297"/>
      <c r="K312" s="297"/>
      <c r="L312" s="297"/>
    </row>
    <row r="313" spans="1:12" ht="17.5">
      <c r="A313" s="285">
        <v>5</v>
      </c>
      <c r="B313" s="286" t="s">
        <v>486</v>
      </c>
      <c r="C313" s="288" t="s">
        <v>601</v>
      </c>
      <c r="D313" s="288" t="s">
        <v>600</v>
      </c>
      <c r="E313" s="305"/>
      <c r="F313" s="290" t="s">
        <v>486</v>
      </c>
      <c r="G313" s="297"/>
      <c r="H313" s="299"/>
      <c r="I313" s="299"/>
      <c r="J313" s="297"/>
      <c r="K313" s="297"/>
      <c r="L313" s="297"/>
    </row>
    <row r="314" spans="1:12" ht="17.5">
      <c r="A314" s="285">
        <v>6</v>
      </c>
      <c r="B314" s="286" t="s">
        <v>486</v>
      </c>
      <c r="C314" s="288" t="s">
        <v>602</v>
      </c>
      <c r="D314" s="288" t="s">
        <v>600</v>
      </c>
      <c r="E314" s="305"/>
      <c r="F314" s="290" t="s">
        <v>486</v>
      </c>
      <c r="G314" s="297"/>
      <c r="H314" s="299"/>
      <c r="I314" s="299"/>
      <c r="J314" s="297"/>
      <c r="K314" s="297"/>
      <c r="L314" s="297"/>
    </row>
    <row r="315" spans="1:12" ht="17.5">
      <c r="A315" s="285">
        <v>7</v>
      </c>
      <c r="B315" s="286" t="s">
        <v>486</v>
      </c>
      <c r="C315" s="288" t="s">
        <v>604</v>
      </c>
      <c r="D315" s="288" t="s">
        <v>602</v>
      </c>
      <c r="E315" s="305"/>
      <c r="F315" s="290" t="s">
        <v>486</v>
      </c>
      <c r="G315" s="297"/>
      <c r="H315" s="299"/>
      <c r="I315" s="299"/>
      <c r="J315" s="297"/>
      <c r="K315" s="297"/>
      <c r="L315" s="297"/>
    </row>
    <row r="316" spans="1:12" ht="17.5">
      <c r="A316" s="285">
        <v>8</v>
      </c>
      <c r="B316" s="286" t="s">
        <v>486</v>
      </c>
      <c r="C316" s="288" t="s">
        <v>604</v>
      </c>
      <c r="D316" s="288" t="s">
        <v>600</v>
      </c>
      <c r="E316" s="305"/>
      <c r="F316" s="290" t="s">
        <v>486</v>
      </c>
      <c r="G316" s="297"/>
      <c r="H316" s="299"/>
      <c r="I316" s="299"/>
      <c r="J316" s="297"/>
      <c r="K316" s="297"/>
      <c r="L316" s="297"/>
    </row>
    <row r="317" spans="1:12" ht="17.5">
      <c r="A317" s="285">
        <v>9</v>
      </c>
      <c r="B317" s="286" t="s">
        <v>486</v>
      </c>
      <c r="C317" s="288" t="s">
        <v>604</v>
      </c>
      <c r="D317" s="288" t="s">
        <v>603</v>
      </c>
      <c r="E317" s="305"/>
      <c r="F317" s="290" t="s">
        <v>486</v>
      </c>
      <c r="G317" s="297"/>
      <c r="H317" s="299"/>
      <c r="I317" s="297"/>
      <c r="J317" s="297"/>
      <c r="K317" s="297"/>
      <c r="L317" s="297"/>
    </row>
    <row r="318" spans="1:12" ht="17.5">
      <c r="A318" s="285">
        <v>10</v>
      </c>
      <c r="B318" s="286" t="s">
        <v>486</v>
      </c>
      <c r="C318" s="288" t="s">
        <v>605</v>
      </c>
      <c r="D318" s="288" t="s">
        <v>604</v>
      </c>
      <c r="E318" s="305"/>
      <c r="F318" s="290" t="s">
        <v>486</v>
      </c>
      <c r="G318" s="297"/>
      <c r="H318" s="299"/>
      <c r="I318" s="297"/>
      <c r="J318" s="297"/>
      <c r="K318" s="297"/>
      <c r="L318" s="297"/>
    </row>
    <row r="319" spans="1:12" ht="17.5">
      <c r="A319" s="285">
        <v>11</v>
      </c>
      <c r="B319" s="286" t="s">
        <v>486</v>
      </c>
      <c r="C319" s="288" t="s">
        <v>605</v>
      </c>
      <c r="D319" s="288" t="s">
        <v>602</v>
      </c>
      <c r="E319" s="305"/>
      <c r="F319" s="290" t="s">
        <v>486</v>
      </c>
      <c r="G319" s="297"/>
      <c r="H319" s="299"/>
      <c r="I319" s="297"/>
      <c r="J319" s="297"/>
      <c r="K319" s="297"/>
      <c r="L319" s="297"/>
    </row>
    <row r="320" spans="1:12">
      <c r="A320" s="306"/>
      <c r="B320" s="306"/>
      <c r="C320" s="306"/>
      <c r="D320" s="306"/>
      <c r="E320" s="306"/>
      <c r="F320" s="306"/>
      <c r="G320" s="306"/>
      <c r="H320" s="299"/>
      <c r="I320" s="297"/>
      <c r="J320" s="297"/>
      <c r="K320" s="297"/>
      <c r="L320" s="297"/>
    </row>
    <row r="321" spans="1:12" ht="17.5">
      <c r="A321" s="297"/>
      <c r="B321" s="302" t="str">
        <f>B323</f>
        <v>Agent31</v>
      </c>
      <c r="C321" s="298" t="s">
        <v>755</v>
      </c>
      <c r="D321" s="283" t="s">
        <v>481</v>
      </c>
      <c r="E321" s="297"/>
      <c r="F321" s="297"/>
      <c r="G321" s="297"/>
      <c r="H321" s="299"/>
      <c r="I321" s="297"/>
      <c r="J321" s="297"/>
      <c r="K321" s="297"/>
      <c r="L321" s="297"/>
    </row>
    <row r="322" spans="1:12" ht="35">
      <c r="A322" s="307"/>
      <c r="B322" s="284" t="s">
        <v>438</v>
      </c>
      <c r="C322" s="284" t="s">
        <v>441</v>
      </c>
      <c r="D322" s="293" t="s">
        <v>442</v>
      </c>
      <c r="E322" s="307"/>
      <c r="F322" s="284" t="s">
        <v>444</v>
      </c>
      <c r="G322" s="293" t="s">
        <v>443</v>
      </c>
      <c r="H322" s="299"/>
      <c r="I322" s="299"/>
      <c r="J322" s="297"/>
      <c r="K322" s="297"/>
      <c r="L322" s="297"/>
    </row>
    <row r="323" spans="1:12" ht="17.5">
      <c r="A323" s="285">
        <v>1</v>
      </c>
      <c r="B323" s="286" t="s">
        <v>490</v>
      </c>
      <c r="C323" s="288" t="s">
        <v>609</v>
      </c>
      <c r="D323" s="289" t="s">
        <v>434</v>
      </c>
      <c r="E323" s="304"/>
      <c r="F323" s="305"/>
      <c r="G323" s="297"/>
      <c r="H323" s="299"/>
      <c r="I323" s="299"/>
      <c r="J323" s="297"/>
      <c r="K323" s="297"/>
      <c r="L323" s="297"/>
    </row>
    <row r="324" spans="1:12" ht="17.5">
      <c r="A324" s="285">
        <v>2</v>
      </c>
      <c r="B324" s="286" t="s">
        <v>490</v>
      </c>
      <c r="C324" s="288" t="s">
        <v>610</v>
      </c>
      <c r="D324" s="288" t="s">
        <v>609</v>
      </c>
      <c r="E324" s="305"/>
      <c r="F324" s="290" t="s">
        <v>490</v>
      </c>
      <c r="G324" s="297"/>
      <c r="H324" s="299"/>
      <c r="I324" s="299"/>
      <c r="J324" s="297"/>
      <c r="K324" s="297"/>
      <c r="L324" s="297"/>
    </row>
    <row r="325" spans="1:12" ht="17.5">
      <c r="A325" s="285">
        <v>3</v>
      </c>
      <c r="B325" s="286" t="s">
        <v>490</v>
      </c>
      <c r="C325" s="288" t="s">
        <v>612</v>
      </c>
      <c r="D325" s="288" t="s">
        <v>617</v>
      </c>
      <c r="E325" s="304" t="s">
        <v>733</v>
      </c>
      <c r="F325" s="290" t="s">
        <v>492</v>
      </c>
      <c r="G325" s="297"/>
      <c r="H325" s="299"/>
      <c r="I325" s="299"/>
      <c r="J325" s="297"/>
      <c r="K325" s="297"/>
      <c r="L325" s="297"/>
    </row>
    <row r="326" spans="1:12" ht="17.5">
      <c r="A326" s="285">
        <v>4</v>
      </c>
      <c r="B326" s="286" t="s">
        <v>490</v>
      </c>
      <c r="C326" s="288" t="s">
        <v>614</v>
      </c>
      <c r="D326" s="288" t="s">
        <v>612</v>
      </c>
      <c r="E326" s="305"/>
      <c r="F326" s="290" t="s">
        <v>490</v>
      </c>
      <c r="G326" s="297"/>
      <c r="H326" s="299"/>
      <c r="I326" s="299"/>
      <c r="J326" s="297"/>
      <c r="K326" s="297"/>
      <c r="L326" s="297"/>
    </row>
    <row r="327" spans="1:12" ht="17.5">
      <c r="A327" s="285">
        <v>5</v>
      </c>
      <c r="B327" s="286" t="s">
        <v>490</v>
      </c>
      <c r="C327" s="288" t="s">
        <v>614</v>
      </c>
      <c r="D327" s="288" t="s">
        <v>617</v>
      </c>
      <c r="E327" s="304" t="s">
        <v>733</v>
      </c>
      <c r="F327" s="290" t="s">
        <v>492</v>
      </c>
      <c r="G327" s="297"/>
      <c r="H327" s="299"/>
      <c r="I327" s="299"/>
      <c r="J327" s="297"/>
      <c r="K327" s="297"/>
      <c r="L327" s="297"/>
    </row>
    <row r="328" spans="1:12" ht="17.5">
      <c r="A328" s="285">
        <v>6</v>
      </c>
      <c r="B328" s="286" t="s">
        <v>490</v>
      </c>
      <c r="C328" s="288" t="s">
        <v>615</v>
      </c>
      <c r="D328" s="288" t="s">
        <v>614</v>
      </c>
      <c r="E328" s="305"/>
      <c r="F328" s="290" t="s">
        <v>490</v>
      </c>
      <c r="G328" s="297"/>
      <c r="H328" s="299"/>
      <c r="I328" s="299"/>
      <c r="J328" s="297"/>
      <c r="K328" s="297"/>
      <c r="L328" s="297"/>
    </row>
    <row r="329" spans="1:12" ht="17.5">
      <c r="A329" s="285">
        <v>7</v>
      </c>
      <c r="B329" s="286" t="s">
        <v>490</v>
      </c>
      <c r="C329" s="288" t="s">
        <v>611</v>
      </c>
      <c r="D329" s="288" t="s">
        <v>612</v>
      </c>
      <c r="E329" s="305"/>
      <c r="F329" s="290" t="s">
        <v>490</v>
      </c>
      <c r="G329" s="297"/>
      <c r="H329" s="299"/>
      <c r="I329" s="297"/>
      <c r="J329" s="297"/>
      <c r="K329" s="297"/>
      <c r="L329" s="297"/>
    </row>
    <row r="330" spans="1:12" ht="17.5">
      <c r="A330" s="285">
        <v>8</v>
      </c>
      <c r="B330" s="286" t="s">
        <v>490</v>
      </c>
      <c r="C330" s="288" t="s">
        <v>611</v>
      </c>
      <c r="D330" s="288" t="s">
        <v>614</v>
      </c>
      <c r="E330" s="305"/>
      <c r="F330" s="290" t="s">
        <v>490</v>
      </c>
      <c r="G330" s="297"/>
      <c r="H330" s="299"/>
      <c r="I330" s="297"/>
      <c r="J330" s="297"/>
      <c r="K330" s="297"/>
      <c r="L330" s="297"/>
    </row>
    <row r="331" spans="1:12" ht="17.5">
      <c r="A331" s="285">
        <v>9</v>
      </c>
      <c r="B331" s="286" t="s">
        <v>490</v>
      </c>
      <c r="C331" s="288" t="s">
        <v>611</v>
      </c>
      <c r="D331" s="288" t="s">
        <v>615</v>
      </c>
      <c r="E331" s="305"/>
      <c r="F331" s="290" t="s">
        <v>490</v>
      </c>
      <c r="G331" s="297"/>
      <c r="H331" s="299"/>
      <c r="I331" s="297"/>
      <c r="J331" s="297"/>
      <c r="K331" s="297"/>
      <c r="L331" s="297"/>
    </row>
    <row r="332" spans="1:12" ht="17.5">
      <c r="A332" s="285">
        <v>10</v>
      </c>
      <c r="B332" s="286" t="s">
        <v>490</v>
      </c>
      <c r="C332" s="288" t="s">
        <v>611</v>
      </c>
      <c r="D332" s="288" t="s">
        <v>608</v>
      </c>
      <c r="E332" s="304" t="s">
        <v>733</v>
      </c>
      <c r="F332" s="290" t="s">
        <v>492</v>
      </c>
      <c r="G332" s="297"/>
      <c r="H332" s="299"/>
      <c r="I332" s="297"/>
      <c r="J332" s="297"/>
      <c r="K332" s="297"/>
      <c r="L332" s="297"/>
    </row>
    <row r="333" spans="1:12" ht="17.5">
      <c r="A333" s="285">
        <v>11</v>
      </c>
      <c r="B333" s="286" t="s">
        <v>490</v>
      </c>
      <c r="C333" s="288" t="s">
        <v>761</v>
      </c>
      <c r="D333" s="288" t="s">
        <v>611</v>
      </c>
      <c r="E333" s="305"/>
      <c r="F333" s="290" t="s">
        <v>490</v>
      </c>
      <c r="G333" s="297"/>
      <c r="H333" s="299"/>
      <c r="I333" s="297"/>
      <c r="J333" s="297"/>
      <c r="K333" s="297"/>
      <c r="L333" s="297"/>
    </row>
    <row r="334" spans="1:12" ht="17.5">
      <c r="A334" s="285">
        <v>12</v>
      </c>
      <c r="B334" s="286" t="s">
        <v>490</v>
      </c>
      <c r="C334" s="288" t="s">
        <v>761</v>
      </c>
      <c r="D334" s="288" t="s">
        <v>608</v>
      </c>
      <c r="E334" s="304" t="s">
        <v>733</v>
      </c>
      <c r="F334" s="290" t="s">
        <v>492</v>
      </c>
      <c r="G334" s="297"/>
      <c r="H334" s="299"/>
      <c r="I334" s="297"/>
      <c r="J334" s="297"/>
      <c r="K334" s="297"/>
      <c r="L334" s="297"/>
    </row>
    <row r="335" spans="1:12" ht="17.5">
      <c r="A335" s="285">
        <v>13</v>
      </c>
      <c r="B335" s="286" t="s">
        <v>490</v>
      </c>
      <c r="C335" s="288" t="s">
        <v>761</v>
      </c>
      <c r="D335" s="288" t="s">
        <v>615</v>
      </c>
      <c r="E335" s="305"/>
      <c r="F335" s="290" t="s">
        <v>490</v>
      </c>
      <c r="G335" s="297"/>
      <c r="H335" s="299"/>
      <c r="I335" s="297"/>
      <c r="J335" s="297"/>
      <c r="K335" s="297"/>
      <c r="L335" s="297"/>
    </row>
    <row r="336" spans="1:12">
      <c r="A336" s="306"/>
      <c r="B336" s="306"/>
      <c r="C336" s="306"/>
      <c r="D336" s="306"/>
      <c r="E336" s="306"/>
      <c r="F336" s="306"/>
      <c r="G336" s="306"/>
      <c r="H336" s="299"/>
      <c r="I336" s="297"/>
      <c r="J336" s="297"/>
      <c r="K336" s="297"/>
      <c r="L336" s="297"/>
    </row>
    <row r="337" spans="1:12" ht="17.5">
      <c r="A337" s="297"/>
      <c r="B337" s="302" t="str">
        <f>B339</f>
        <v>Agent32</v>
      </c>
      <c r="C337" s="298" t="s">
        <v>755</v>
      </c>
      <c r="D337" s="283" t="s">
        <v>481</v>
      </c>
      <c r="E337" s="297"/>
      <c r="F337" s="297"/>
      <c r="G337" s="297"/>
      <c r="H337" s="299"/>
      <c r="I337" s="297"/>
      <c r="J337" s="297"/>
      <c r="K337" s="297"/>
      <c r="L337" s="297"/>
    </row>
    <row r="338" spans="1:12" ht="35">
      <c r="A338" s="307"/>
      <c r="B338" s="284" t="s">
        <v>438</v>
      </c>
      <c r="C338" s="284" t="s">
        <v>441</v>
      </c>
      <c r="D338" s="293" t="s">
        <v>442</v>
      </c>
      <c r="E338" s="307"/>
      <c r="F338" s="284" t="s">
        <v>444</v>
      </c>
      <c r="G338" s="293" t="s">
        <v>443</v>
      </c>
      <c r="H338" s="299"/>
      <c r="I338" s="299"/>
      <c r="J338" s="297"/>
      <c r="K338" s="297"/>
      <c r="L338" s="297"/>
    </row>
    <row r="339" spans="1:12" ht="17.5">
      <c r="A339" s="285">
        <v>1</v>
      </c>
      <c r="B339" s="286" t="s">
        <v>492</v>
      </c>
      <c r="C339" s="288" t="s">
        <v>621</v>
      </c>
      <c r="D339" s="289" t="s">
        <v>434</v>
      </c>
      <c r="E339" s="304"/>
      <c r="F339" s="305"/>
      <c r="G339" s="297"/>
      <c r="H339" s="299"/>
      <c r="I339" s="299"/>
      <c r="J339" s="297"/>
      <c r="K339" s="297"/>
      <c r="L339" s="297"/>
    </row>
    <row r="340" spans="1:12" ht="17.5">
      <c r="A340" s="285">
        <v>2</v>
      </c>
      <c r="B340" s="286" t="s">
        <v>492</v>
      </c>
      <c r="C340" s="288" t="s">
        <v>620</v>
      </c>
      <c r="D340" s="288" t="s">
        <v>621</v>
      </c>
      <c r="E340" s="305"/>
      <c r="F340" s="290" t="s">
        <v>492</v>
      </c>
      <c r="G340" s="297"/>
      <c r="H340" s="299"/>
      <c r="I340" s="299"/>
      <c r="J340" s="297"/>
      <c r="K340" s="297"/>
      <c r="L340" s="297"/>
    </row>
    <row r="341" spans="1:12" ht="17.5">
      <c r="A341" s="285">
        <v>3</v>
      </c>
      <c r="B341" s="286" t="s">
        <v>492</v>
      </c>
      <c r="C341" s="288" t="s">
        <v>762</v>
      </c>
      <c r="D341" s="288" t="s">
        <v>620</v>
      </c>
      <c r="E341" s="305"/>
      <c r="F341" s="290" t="s">
        <v>492</v>
      </c>
      <c r="G341" s="297"/>
      <c r="H341" s="299"/>
      <c r="I341" s="299"/>
      <c r="J341" s="297"/>
      <c r="K341" s="297"/>
      <c r="L341" s="297"/>
    </row>
    <row r="342" spans="1:12" ht="17.5">
      <c r="A342" s="285">
        <v>4</v>
      </c>
      <c r="B342" s="286" t="s">
        <v>492</v>
      </c>
      <c r="C342" s="288" t="s">
        <v>762</v>
      </c>
      <c r="D342" s="288" t="s">
        <v>621</v>
      </c>
      <c r="E342" s="305"/>
      <c r="F342" s="290" t="s">
        <v>492</v>
      </c>
      <c r="G342" s="297"/>
      <c r="H342" s="299"/>
      <c r="I342" s="299"/>
      <c r="J342" s="297"/>
      <c r="K342" s="297"/>
      <c r="L342" s="297"/>
    </row>
    <row r="343" spans="1:12" ht="17.5">
      <c r="A343" s="285">
        <v>5</v>
      </c>
      <c r="B343" s="286" t="s">
        <v>492</v>
      </c>
      <c r="C343" s="288" t="s">
        <v>762</v>
      </c>
      <c r="D343" s="288" t="s">
        <v>609</v>
      </c>
      <c r="E343" s="304" t="s">
        <v>733</v>
      </c>
      <c r="F343" s="290" t="s">
        <v>490</v>
      </c>
      <c r="G343" s="297"/>
      <c r="H343" s="299"/>
      <c r="I343" s="299"/>
      <c r="J343" s="297"/>
      <c r="K343" s="297"/>
      <c r="L343" s="297"/>
    </row>
    <row r="344" spans="1:12" ht="17.5">
      <c r="A344" s="285">
        <v>6</v>
      </c>
      <c r="B344" s="286" t="s">
        <v>492</v>
      </c>
      <c r="C344" s="288" t="s">
        <v>762</v>
      </c>
      <c r="D344" s="288" t="s">
        <v>610</v>
      </c>
      <c r="E344" s="304" t="s">
        <v>733</v>
      </c>
      <c r="F344" s="290" t="s">
        <v>490</v>
      </c>
      <c r="G344" s="297"/>
      <c r="H344" s="299"/>
      <c r="I344" s="299"/>
      <c r="J344" s="297"/>
      <c r="K344" s="297"/>
      <c r="L344" s="297"/>
    </row>
    <row r="345" spans="1:12" ht="17.5">
      <c r="A345" s="285">
        <v>7</v>
      </c>
      <c r="B345" s="286" t="s">
        <v>492</v>
      </c>
      <c r="C345" s="288" t="s">
        <v>618</v>
      </c>
      <c r="D345" s="289" t="s">
        <v>434</v>
      </c>
      <c r="E345" s="304"/>
      <c r="F345" s="305"/>
      <c r="G345" s="297"/>
      <c r="H345" s="299"/>
      <c r="I345" s="299"/>
      <c r="J345" s="297"/>
      <c r="K345" s="297"/>
      <c r="L345" s="297"/>
    </row>
    <row r="346" spans="1:12" ht="17.5">
      <c r="A346" s="285">
        <v>8</v>
      </c>
      <c r="B346" s="286" t="s">
        <v>492</v>
      </c>
      <c r="C346" s="288" t="s">
        <v>617</v>
      </c>
      <c r="D346" s="289" t="s">
        <v>434</v>
      </c>
      <c r="E346" s="304"/>
      <c r="F346" s="305"/>
      <c r="G346" s="297"/>
      <c r="H346" s="299"/>
      <c r="I346" s="299"/>
      <c r="J346" s="297"/>
      <c r="K346" s="297"/>
      <c r="L346" s="297"/>
    </row>
    <row r="347" spans="1:12" ht="17.5">
      <c r="A347" s="285">
        <v>9</v>
      </c>
      <c r="B347" s="286" t="s">
        <v>492</v>
      </c>
      <c r="C347" s="288" t="s">
        <v>619</v>
      </c>
      <c r="D347" s="288" t="s">
        <v>618</v>
      </c>
      <c r="E347" s="305"/>
      <c r="F347" s="290" t="s">
        <v>492</v>
      </c>
      <c r="G347" s="297"/>
      <c r="H347" s="299"/>
      <c r="I347" s="297"/>
      <c r="J347" s="297"/>
      <c r="K347" s="297"/>
      <c r="L347" s="297"/>
    </row>
    <row r="348" spans="1:12" ht="17.5">
      <c r="A348" s="285">
        <v>10</v>
      </c>
      <c r="B348" s="286" t="s">
        <v>492</v>
      </c>
      <c r="C348" s="288" t="s">
        <v>763</v>
      </c>
      <c r="D348" s="288" t="s">
        <v>618</v>
      </c>
      <c r="E348" s="305"/>
      <c r="F348" s="290" t="s">
        <v>492</v>
      </c>
      <c r="G348" s="297"/>
      <c r="H348" s="299"/>
      <c r="I348" s="297"/>
      <c r="J348" s="297"/>
      <c r="K348" s="297"/>
      <c r="L348" s="297"/>
    </row>
    <row r="349" spans="1:12" ht="17.5">
      <c r="A349" s="285">
        <v>11</v>
      </c>
      <c r="B349" s="286" t="s">
        <v>492</v>
      </c>
      <c r="C349" s="288" t="s">
        <v>763</v>
      </c>
      <c r="D349" s="288" t="s">
        <v>619</v>
      </c>
      <c r="E349" s="305"/>
      <c r="F349" s="290" t="s">
        <v>492</v>
      </c>
      <c r="G349" s="297"/>
      <c r="H349" s="299"/>
      <c r="I349" s="297"/>
      <c r="J349" s="297"/>
      <c r="K349" s="297"/>
      <c r="L349" s="297"/>
    </row>
    <row r="350" spans="1:12" ht="17.5">
      <c r="A350" s="285">
        <v>12</v>
      </c>
      <c r="B350" s="286" t="s">
        <v>492</v>
      </c>
      <c r="C350" s="288" t="s">
        <v>616</v>
      </c>
      <c r="D350" s="288" t="s">
        <v>621</v>
      </c>
      <c r="E350" s="305"/>
      <c r="F350" s="290" t="s">
        <v>492</v>
      </c>
      <c r="G350" s="297"/>
      <c r="H350" s="299"/>
      <c r="I350" s="297"/>
      <c r="J350" s="297"/>
      <c r="K350" s="297"/>
      <c r="L350" s="297"/>
    </row>
    <row r="351" spans="1:12" ht="17.5">
      <c r="A351" s="285">
        <v>13</v>
      </c>
      <c r="B351" s="286" t="s">
        <v>492</v>
      </c>
      <c r="C351" s="288" t="s">
        <v>613</v>
      </c>
      <c r="D351" s="288" t="s">
        <v>616</v>
      </c>
      <c r="E351" s="305"/>
      <c r="F351" s="290" t="s">
        <v>492</v>
      </c>
      <c r="G351" s="297"/>
      <c r="H351" s="299"/>
      <c r="I351" s="297"/>
      <c r="J351" s="297"/>
      <c r="K351" s="297"/>
      <c r="L351" s="297"/>
    </row>
    <row r="352" spans="1:12" ht="17.5">
      <c r="A352" s="285">
        <v>14</v>
      </c>
      <c r="B352" s="286" t="s">
        <v>492</v>
      </c>
      <c r="C352" s="288" t="s">
        <v>613</v>
      </c>
      <c r="D352" s="288" t="s">
        <v>621</v>
      </c>
      <c r="E352" s="305"/>
      <c r="F352" s="290" t="s">
        <v>492</v>
      </c>
      <c r="G352" s="297"/>
      <c r="H352" s="299"/>
      <c r="I352" s="297"/>
      <c r="J352" s="297"/>
      <c r="K352" s="297"/>
      <c r="L352" s="297"/>
    </row>
    <row r="353" spans="1:12" ht="17.5">
      <c r="A353" s="285">
        <v>15</v>
      </c>
      <c r="B353" s="286" t="s">
        <v>492</v>
      </c>
      <c r="C353" s="288" t="s">
        <v>607</v>
      </c>
      <c r="D353" s="288" t="s">
        <v>613</v>
      </c>
      <c r="E353" s="305"/>
      <c r="F353" s="290" t="s">
        <v>492</v>
      </c>
      <c r="G353" s="297"/>
      <c r="H353" s="299"/>
      <c r="I353" s="297"/>
      <c r="J353" s="297"/>
      <c r="K353" s="297"/>
      <c r="L353" s="297"/>
    </row>
    <row r="354" spans="1:12" ht="17.5">
      <c r="A354" s="285">
        <v>16</v>
      </c>
      <c r="B354" s="286" t="s">
        <v>492</v>
      </c>
      <c r="C354" s="288" t="s">
        <v>607</v>
      </c>
      <c r="D354" s="288" t="s">
        <v>616</v>
      </c>
      <c r="E354" s="305"/>
      <c r="F354" s="290" t="s">
        <v>492</v>
      </c>
      <c r="G354" s="297"/>
      <c r="H354" s="299"/>
      <c r="I354" s="297"/>
      <c r="J354" s="297"/>
      <c r="K354" s="297"/>
      <c r="L354" s="297"/>
    </row>
    <row r="355" spans="1:12" ht="17.5">
      <c r="A355" s="285">
        <v>17</v>
      </c>
      <c r="B355" s="286" t="s">
        <v>492</v>
      </c>
      <c r="C355" s="288" t="s">
        <v>608</v>
      </c>
      <c r="D355" s="288" t="s">
        <v>607</v>
      </c>
      <c r="E355" s="305"/>
      <c r="F355" s="290" t="s">
        <v>492</v>
      </c>
      <c r="G355" s="297"/>
      <c r="H355" s="299"/>
      <c r="I355" s="297"/>
      <c r="J355" s="297"/>
      <c r="K355" s="297"/>
      <c r="L355" s="297"/>
    </row>
    <row r="356" spans="1:12" ht="17.5">
      <c r="A356" s="285">
        <v>18</v>
      </c>
      <c r="B356" s="286" t="s">
        <v>492</v>
      </c>
      <c r="C356" s="288" t="s">
        <v>764</v>
      </c>
      <c r="D356" s="288" t="s">
        <v>608</v>
      </c>
      <c r="E356" s="305"/>
      <c r="F356" s="290" t="s">
        <v>492</v>
      </c>
      <c r="G356" s="297"/>
      <c r="H356" s="299"/>
      <c r="I356" s="297"/>
      <c r="J356" s="297"/>
      <c r="K356" s="297"/>
      <c r="L356" s="297"/>
    </row>
    <row r="357" spans="1:12" ht="17.5">
      <c r="A357" s="285">
        <v>19</v>
      </c>
      <c r="B357" s="286" t="s">
        <v>492</v>
      </c>
      <c r="C357" s="288" t="s">
        <v>764</v>
      </c>
      <c r="D357" s="288" t="s">
        <v>607</v>
      </c>
      <c r="E357" s="305"/>
      <c r="F357" s="290" t="s">
        <v>492</v>
      </c>
      <c r="G357" s="297"/>
      <c r="H357" s="299"/>
      <c r="I357" s="297"/>
      <c r="J357" s="297"/>
      <c r="K357" s="297"/>
      <c r="L357" s="297"/>
    </row>
    <row r="358" spans="1:12" ht="17.5">
      <c r="A358" s="285">
        <v>20</v>
      </c>
      <c r="B358" s="286" t="s">
        <v>492</v>
      </c>
      <c r="C358" s="288" t="s">
        <v>764</v>
      </c>
      <c r="D358" s="288" t="s">
        <v>609</v>
      </c>
      <c r="E358" s="304" t="s">
        <v>733</v>
      </c>
      <c r="F358" s="290" t="s">
        <v>490</v>
      </c>
      <c r="G358" s="297"/>
      <c r="H358" s="299"/>
      <c r="I358" s="297"/>
      <c r="J358" s="297"/>
      <c r="K358" s="297"/>
      <c r="L358" s="297"/>
    </row>
    <row r="359" spans="1:12" ht="17.5">
      <c r="A359" s="285">
        <v>21</v>
      </c>
      <c r="B359" s="286" t="s">
        <v>492</v>
      </c>
      <c r="C359" s="288" t="s">
        <v>764</v>
      </c>
      <c r="D359" s="288" t="s">
        <v>610</v>
      </c>
      <c r="E359" s="304" t="s">
        <v>733</v>
      </c>
      <c r="F359" s="290" t="s">
        <v>490</v>
      </c>
      <c r="G359" s="297"/>
      <c r="H359" s="299"/>
      <c r="I359" s="297"/>
      <c r="J359" s="297"/>
      <c r="K359" s="297"/>
      <c r="L359" s="297"/>
    </row>
    <row r="360" spans="1:12">
      <c r="A360" s="306"/>
      <c r="B360" s="306"/>
      <c r="C360" s="306"/>
      <c r="D360" s="306"/>
      <c r="E360" s="306"/>
      <c r="F360" s="306"/>
      <c r="G360" s="306"/>
      <c r="H360" s="299"/>
      <c r="I360" s="297"/>
      <c r="J360" s="297"/>
      <c r="K360" s="297"/>
      <c r="L360" s="297"/>
    </row>
  </sheetData>
  <phoneticPr fontId="70"/>
  <pageMargins left="0.25" right="0.25" top="0.75" bottom="0.75" header="0.3" footer="0.3"/>
  <pageSetup paperSize="9" fitToHeight="0" orientation="landscape" r:id="rId1"/>
  <rowBreaks count="12" manualBreakCount="12">
    <brk id="24" max="10" man="1"/>
    <brk id="54" max="10" man="1"/>
    <brk id="85" max="16383" man="1"/>
    <brk id="119" max="16383" man="1"/>
    <brk id="153" max="16383" man="1"/>
    <brk id="205" max="16383" man="1"/>
    <brk id="231" max="16383" man="1"/>
    <brk id="260" max="10" man="1"/>
    <brk id="272" max="16383" man="1"/>
    <brk id="306" max="16383" man="1"/>
    <brk id="320" max="16383" man="1"/>
    <brk id="336"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1045"/>
  <sheetViews>
    <sheetView showGridLines="0" workbookViewId="0"/>
  </sheetViews>
  <sheetFormatPr defaultColWidth="12.6328125" defaultRowHeight="15.75" customHeight="1"/>
  <cols>
    <col min="1" max="1" width="2.90625" customWidth="1"/>
    <col min="2" max="2" width="15.7265625" customWidth="1"/>
    <col min="3" max="7" width="13.453125" customWidth="1"/>
    <col min="8" max="8" width="12.36328125" customWidth="1"/>
    <col min="9" max="9" width="3.36328125" customWidth="1"/>
  </cols>
  <sheetData>
    <row r="1" spans="1:27" ht="16">
      <c r="A1" s="1"/>
      <c r="B1" s="1"/>
      <c r="C1" s="1"/>
      <c r="D1" s="1"/>
      <c r="E1" s="2"/>
      <c r="F1" s="2"/>
      <c r="G1" s="2" t="s">
        <v>0</v>
      </c>
      <c r="H1" s="3">
        <v>45577</v>
      </c>
      <c r="I1" s="4"/>
      <c r="J1" s="4"/>
      <c r="K1" s="4"/>
      <c r="L1" s="4"/>
      <c r="M1" s="4"/>
      <c r="N1" s="4"/>
      <c r="O1" s="4"/>
      <c r="P1" s="4"/>
      <c r="Q1" s="4"/>
      <c r="R1" s="4"/>
      <c r="S1" s="4"/>
      <c r="T1" s="4"/>
      <c r="U1" s="4"/>
      <c r="V1" s="4"/>
      <c r="W1" s="4"/>
      <c r="X1" s="4"/>
      <c r="Y1" s="4"/>
      <c r="Z1" s="4"/>
      <c r="AA1" s="4"/>
    </row>
    <row r="2" spans="1:27" ht="16">
      <c r="A2" s="1"/>
      <c r="B2" s="5" t="s">
        <v>1</v>
      </c>
      <c r="C2" s="6"/>
      <c r="D2" s="2"/>
      <c r="E2" s="2"/>
      <c r="F2" s="2"/>
      <c r="G2" s="2" t="s">
        <v>2</v>
      </c>
      <c r="H2" s="7"/>
      <c r="I2" s="4"/>
      <c r="J2" s="4"/>
      <c r="K2" s="4"/>
      <c r="L2" s="4"/>
      <c r="M2" s="4"/>
      <c r="N2" s="4"/>
      <c r="O2" s="4"/>
      <c r="P2" s="4"/>
      <c r="Q2" s="4"/>
      <c r="R2" s="4"/>
      <c r="S2" s="4"/>
      <c r="T2" s="4"/>
      <c r="U2" s="4"/>
      <c r="V2" s="4"/>
      <c r="W2" s="4"/>
      <c r="X2" s="4"/>
      <c r="Y2" s="4"/>
      <c r="Z2" s="4"/>
      <c r="AA2" s="4"/>
    </row>
    <row r="3" spans="1:27" ht="21" customHeight="1">
      <c r="A3" s="1"/>
      <c r="B3" s="8" t="s">
        <v>3</v>
      </c>
      <c r="C3" s="9" t="s">
        <v>4</v>
      </c>
      <c r="D3" s="10"/>
      <c r="E3" s="10"/>
      <c r="F3" s="10"/>
      <c r="G3" s="10"/>
      <c r="H3" s="11"/>
      <c r="I3" s="4"/>
      <c r="J3" s="4"/>
      <c r="K3" s="12"/>
      <c r="L3" s="4"/>
      <c r="M3" s="4"/>
      <c r="N3" s="4"/>
      <c r="O3" s="4"/>
      <c r="P3" s="4"/>
      <c r="Q3" s="4"/>
      <c r="R3" s="4"/>
      <c r="S3" s="4"/>
      <c r="T3" s="4"/>
      <c r="U3" s="4"/>
      <c r="V3" s="4"/>
      <c r="W3" s="4"/>
      <c r="X3" s="4"/>
      <c r="Y3" s="4"/>
      <c r="Z3" s="4"/>
      <c r="AA3" s="4"/>
    </row>
    <row r="4" spans="1:27" ht="16">
      <c r="A4" s="1"/>
      <c r="B4" s="13"/>
      <c r="C4" s="6" t="s">
        <v>5</v>
      </c>
      <c r="D4" s="4"/>
      <c r="E4" s="2"/>
      <c r="F4" s="2"/>
      <c r="G4" s="2"/>
      <c r="H4" s="14"/>
      <c r="I4" s="4"/>
      <c r="J4" s="4"/>
      <c r="K4" s="4"/>
      <c r="L4" s="4"/>
      <c r="M4" s="4"/>
      <c r="N4" s="4"/>
      <c r="O4" s="4"/>
      <c r="P4" s="4"/>
      <c r="Q4" s="4"/>
      <c r="R4" s="4"/>
      <c r="S4" s="4"/>
      <c r="T4" s="4"/>
      <c r="U4" s="4"/>
      <c r="V4" s="4"/>
      <c r="W4" s="4"/>
      <c r="X4" s="4"/>
      <c r="Y4" s="4"/>
      <c r="Z4" s="4"/>
      <c r="AA4" s="4"/>
    </row>
    <row r="5" spans="1:27" ht="16">
      <c r="A5" s="1"/>
      <c r="B5" s="13" t="s">
        <v>6</v>
      </c>
      <c r="C5" s="6"/>
      <c r="D5" s="4"/>
      <c r="E5" s="2"/>
      <c r="F5" s="2"/>
      <c r="G5" s="2"/>
      <c r="H5" s="14"/>
      <c r="I5" s="4"/>
      <c r="J5" s="4"/>
      <c r="K5" s="4"/>
      <c r="L5" s="4"/>
      <c r="M5" s="4"/>
      <c r="N5" s="4"/>
      <c r="O5" s="4"/>
      <c r="P5" s="4"/>
      <c r="Q5" s="4"/>
      <c r="R5" s="4"/>
      <c r="S5" s="4"/>
      <c r="T5" s="4"/>
      <c r="U5" s="4"/>
      <c r="V5" s="4"/>
      <c r="W5" s="4"/>
      <c r="X5" s="4"/>
      <c r="Y5" s="4"/>
      <c r="Z5" s="4"/>
      <c r="AA5" s="4"/>
    </row>
    <row r="6" spans="1:27" ht="16">
      <c r="A6" s="1"/>
      <c r="B6" s="15"/>
      <c r="C6" s="6"/>
      <c r="D6" s="2"/>
      <c r="E6" s="2"/>
      <c r="F6" s="2"/>
      <c r="G6" s="2"/>
      <c r="H6" s="14"/>
      <c r="I6" s="4"/>
      <c r="J6" s="4"/>
      <c r="K6" s="4"/>
      <c r="L6" s="4"/>
      <c r="M6" s="4"/>
      <c r="N6" s="4"/>
      <c r="O6" s="4"/>
      <c r="P6" s="4"/>
      <c r="Q6" s="4"/>
      <c r="R6" s="4"/>
      <c r="S6" s="4"/>
      <c r="T6" s="4"/>
      <c r="U6" s="4"/>
      <c r="V6" s="4"/>
      <c r="W6" s="4"/>
      <c r="X6" s="4"/>
      <c r="Y6" s="4"/>
      <c r="Z6" s="4"/>
      <c r="AA6" s="4"/>
    </row>
    <row r="7" spans="1:27" ht="16">
      <c r="A7" s="1"/>
      <c r="B7" s="13" t="s">
        <v>7</v>
      </c>
      <c r="C7" s="6" t="s">
        <v>8</v>
      </c>
      <c r="D7" s="2"/>
      <c r="E7" s="2"/>
      <c r="F7" s="2"/>
      <c r="G7" s="2"/>
      <c r="H7" s="14"/>
      <c r="I7" s="4"/>
      <c r="J7" s="4"/>
      <c r="K7" s="4"/>
      <c r="L7" s="4"/>
      <c r="M7" s="4"/>
      <c r="N7" s="4"/>
      <c r="O7" s="4"/>
      <c r="P7" s="4"/>
      <c r="Q7" s="4"/>
      <c r="R7" s="4"/>
      <c r="S7" s="4"/>
      <c r="T7" s="4"/>
      <c r="U7" s="4"/>
      <c r="V7" s="4"/>
      <c r="W7" s="4"/>
      <c r="X7" s="4"/>
      <c r="Y7" s="4"/>
      <c r="Z7" s="4"/>
      <c r="AA7" s="4"/>
    </row>
    <row r="8" spans="1:27" ht="16">
      <c r="A8" s="1"/>
      <c r="B8" s="13" t="s">
        <v>9</v>
      </c>
      <c r="C8" s="6" t="s">
        <v>10</v>
      </c>
      <c r="D8" s="2"/>
      <c r="E8" s="2"/>
      <c r="F8" s="2"/>
      <c r="G8" s="2"/>
      <c r="H8" s="14"/>
      <c r="I8" s="4"/>
      <c r="J8" s="4"/>
      <c r="K8" s="4"/>
      <c r="L8" s="4"/>
      <c r="M8" s="4"/>
      <c r="N8" s="4"/>
      <c r="O8" s="4"/>
      <c r="P8" s="4"/>
      <c r="Q8" s="4"/>
      <c r="R8" s="4"/>
      <c r="S8" s="4"/>
      <c r="T8" s="4"/>
      <c r="U8" s="4"/>
      <c r="V8" s="4"/>
      <c r="W8" s="4"/>
      <c r="X8" s="4"/>
      <c r="Y8" s="4"/>
      <c r="Z8" s="4"/>
      <c r="AA8" s="4"/>
    </row>
    <row r="9" spans="1:27" ht="16">
      <c r="A9" s="1"/>
      <c r="B9" s="13"/>
      <c r="C9" s="6"/>
      <c r="D9" s="2"/>
      <c r="E9" s="2"/>
      <c r="F9" s="2"/>
      <c r="G9" s="2"/>
      <c r="H9" s="14"/>
      <c r="I9" s="4"/>
      <c r="J9" s="4"/>
      <c r="K9" s="4"/>
      <c r="L9" s="4"/>
      <c r="M9" s="4"/>
      <c r="N9" s="4"/>
      <c r="O9" s="4"/>
      <c r="P9" s="4"/>
      <c r="Q9" s="4"/>
      <c r="R9" s="4"/>
      <c r="S9" s="4"/>
      <c r="T9" s="4"/>
      <c r="U9" s="4"/>
      <c r="V9" s="4"/>
      <c r="W9" s="4"/>
      <c r="X9" s="4"/>
      <c r="Y9" s="4"/>
      <c r="Z9" s="4"/>
      <c r="AA9" s="4"/>
    </row>
    <row r="10" spans="1:27" ht="16">
      <c r="A10" s="1"/>
      <c r="B10" s="13" t="s">
        <v>11</v>
      </c>
      <c r="C10" s="6" t="s">
        <v>12</v>
      </c>
      <c r="D10" s="2"/>
      <c r="E10" s="2"/>
      <c r="F10" s="2"/>
      <c r="G10" s="2"/>
      <c r="H10" s="14"/>
      <c r="I10" s="4"/>
      <c r="J10" s="16"/>
      <c r="K10" s="16"/>
      <c r="L10" s="16"/>
      <c r="M10" s="16"/>
      <c r="N10" s="4"/>
      <c r="O10" s="4"/>
      <c r="P10" s="4"/>
      <c r="Q10" s="4"/>
      <c r="R10" s="4"/>
      <c r="S10" s="4"/>
      <c r="T10" s="4"/>
      <c r="U10" s="4"/>
      <c r="V10" s="4"/>
      <c r="W10" s="4"/>
      <c r="X10" s="4"/>
      <c r="Y10" s="4"/>
      <c r="Z10" s="4"/>
      <c r="AA10" s="4"/>
    </row>
    <row r="11" spans="1:27" ht="16">
      <c r="A11" s="1"/>
      <c r="B11" s="17"/>
      <c r="C11" s="18"/>
      <c r="D11" s="19"/>
      <c r="E11" s="19"/>
      <c r="F11" s="19"/>
      <c r="G11" s="19"/>
      <c r="H11" s="20"/>
      <c r="I11" s="4"/>
      <c r="J11" s="4"/>
      <c r="K11" s="4"/>
      <c r="L11" s="4"/>
      <c r="M11" s="4"/>
      <c r="N11" s="4"/>
      <c r="O11" s="4"/>
      <c r="P11" s="4"/>
      <c r="Q11" s="4"/>
      <c r="R11" s="4"/>
      <c r="S11" s="4"/>
      <c r="T11" s="4"/>
      <c r="U11" s="4"/>
      <c r="V11" s="4"/>
      <c r="W11" s="4"/>
      <c r="X11" s="4"/>
      <c r="Y11" s="4"/>
      <c r="Z11" s="4"/>
      <c r="AA11" s="4"/>
    </row>
    <row r="12" spans="1:27" ht="16">
      <c r="A12" s="1"/>
      <c r="B12" s="2"/>
      <c r="C12" s="6"/>
      <c r="D12" s="2"/>
      <c r="E12" s="2"/>
      <c r="F12" s="2"/>
      <c r="G12" s="2"/>
      <c r="H12" s="1"/>
      <c r="I12" s="4"/>
      <c r="J12" s="4"/>
      <c r="K12" s="4"/>
      <c r="L12" s="4"/>
      <c r="M12" s="4"/>
      <c r="N12" s="4"/>
      <c r="O12" s="4"/>
      <c r="P12" s="4"/>
      <c r="Q12" s="4"/>
      <c r="R12" s="4"/>
      <c r="S12" s="4"/>
      <c r="T12" s="4"/>
      <c r="U12" s="4"/>
      <c r="V12" s="4"/>
      <c r="W12" s="4"/>
      <c r="X12" s="4"/>
      <c r="Y12" s="4"/>
      <c r="Z12" s="4"/>
      <c r="AA12" s="4"/>
    </row>
    <row r="13" spans="1:27" ht="16">
      <c r="A13" s="1"/>
      <c r="B13" s="21" t="s">
        <v>13</v>
      </c>
      <c r="C13" s="22"/>
      <c r="D13" s="2"/>
      <c r="E13" s="2"/>
      <c r="F13" s="2"/>
      <c r="G13" s="2"/>
      <c r="H13" s="1"/>
      <c r="I13" s="4"/>
      <c r="J13" s="4"/>
      <c r="K13" s="4"/>
      <c r="L13" s="4"/>
      <c r="M13" s="4"/>
      <c r="N13" s="4"/>
      <c r="O13" s="4"/>
      <c r="P13" s="4"/>
      <c r="Q13" s="4"/>
      <c r="R13" s="4"/>
      <c r="S13" s="4"/>
      <c r="T13" s="4"/>
      <c r="U13" s="4"/>
      <c r="V13" s="4"/>
      <c r="W13" s="4"/>
      <c r="X13" s="4"/>
      <c r="Y13" s="4"/>
      <c r="Z13" s="4"/>
      <c r="AA13" s="4"/>
    </row>
    <row r="14" spans="1:27" ht="16">
      <c r="A14" s="1"/>
      <c r="B14" s="8" t="s">
        <v>14</v>
      </c>
      <c r="C14" s="9" t="s">
        <v>15</v>
      </c>
      <c r="D14" s="10"/>
      <c r="E14" s="10"/>
      <c r="F14" s="10"/>
      <c r="G14" s="10"/>
      <c r="H14" s="11"/>
      <c r="I14" s="4"/>
      <c r="J14" s="4"/>
      <c r="K14" s="4"/>
      <c r="L14" s="4"/>
      <c r="M14" s="4"/>
      <c r="N14" s="4"/>
      <c r="O14" s="4"/>
      <c r="P14" s="4"/>
      <c r="Q14" s="4"/>
      <c r="R14" s="4"/>
      <c r="S14" s="4"/>
      <c r="T14" s="4"/>
      <c r="U14" s="4"/>
      <c r="V14" s="4"/>
      <c r="W14" s="4"/>
      <c r="X14" s="4"/>
      <c r="Y14" s="4"/>
      <c r="Z14" s="4"/>
      <c r="AA14" s="4"/>
    </row>
    <row r="15" spans="1:27" ht="16">
      <c r="A15" s="1"/>
      <c r="B15" s="13" t="s">
        <v>16</v>
      </c>
      <c r="C15" s="23"/>
      <c r="D15" s="4"/>
      <c r="E15" s="2"/>
      <c r="F15" s="2"/>
      <c r="G15" s="2"/>
      <c r="H15" s="14"/>
      <c r="I15" s="4"/>
      <c r="J15" s="4"/>
      <c r="K15" s="4"/>
      <c r="L15" s="4"/>
      <c r="M15" s="4"/>
      <c r="N15" s="4"/>
      <c r="O15" s="4"/>
      <c r="P15" s="4"/>
      <c r="Q15" s="4"/>
      <c r="R15" s="4"/>
      <c r="S15" s="4"/>
      <c r="T15" s="4"/>
      <c r="U15" s="4"/>
      <c r="V15" s="4"/>
      <c r="W15" s="4"/>
      <c r="X15" s="4"/>
      <c r="Y15" s="4"/>
      <c r="Z15" s="4"/>
      <c r="AA15" s="4"/>
    </row>
    <row r="16" spans="1:27" ht="16">
      <c r="A16" s="1"/>
      <c r="B16" s="15" t="s">
        <v>17</v>
      </c>
      <c r="C16" s="23"/>
      <c r="D16" s="2"/>
      <c r="E16" s="2"/>
      <c r="F16" s="2"/>
      <c r="G16" s="2"/>
      <c r="H16" s="14"/>
      <c r="I16" s="4"/>
      <c r="J16" s="4"/>
      <c r="K16" s="4"/>
      <c r="L16" s="4"/>
      <c r="M16" s="4"/>
      <c r="N16" s="4"/>
      <c r="O16" s="4"/>
      <c r="P16" s="4"/>
      <c r="Q16" s="4"/>
      <c r="R16" s="4"/>
      <c r="S16" s="4"/>
      <c r="T16" s="4"/>
      <c r="U16" s="4"/>
      <c r="V16" s="4"/>
      <c r="W16" s="4"/>
      <c r="X16" s="4"/>
      <c r="Y16" s="4"/>
      <c r="Z16" s="4"/>
      <c r="AA16" s="4"/>
    </row>
    <row r="17" spans="1:27" ht="16">
      <c r="A17" s="1"/>
      <c r="B17" s="13" t="s">
        <v>18</v>
      </c>
      <c r="C17" s="24" t="s">
        <v>19</v>
      </c>
      <c r="D17" s="2"/>
      <c r="E17" s="2"/>
      <c r="F17" s="2"/>
      <c r="G17" s="2"/>
      <c r="H17" s="14"/>
      <c r="I17" s="4"/>
      <c r="J17" s="4"/>
      <c r="K17" s="4"/>
      <c r="L17" s="4"/>
      <c r="M17" s="4"/>
      <c r="N17" s="4"/>
      <c r="O17" s="4"/>
      <c r="P17" s="4"/>
      <c r="Q17" s="4"/>
      <c r="R17" s="4"/>
      <c r="S17" s="4"/>
      <c r="T17" s="4"/>
      <c r="U17" s="4"/>
      <c r="V17" s="4"/>
      <c r="W17" s="4"/>
      <c r="X17" s="4"/>
      <c r="Y17" s="4"/>
      <c r="Z17" s="4"/>
      <c r="AA17" s="4"/>
    </row>
    <row r="18" spans="1:27" ht="16">
      <c r="A18" s="1"/>
      <c r="B18" s="25" t="s">
        <v>20</v>
      </c>
      <c r="C18" s="4"/>
      <c r="D18" s="2"/>
      <c r="F18" s="2"/>
      <c r="G18" s="2"/>
      <c r="H18" s="14"/>
      <c r="I18" s="4"/>
      <c r="J18" s="4"/>
      <c r="K18" s="4"/>
      <c r="L18" s="4"/>
      <c r="M18" s="4"/>
      <c r="N18" s="4"/>
      <c r="O18" s="4"/>
      <c r="P18" s="4"/>
      <c r="Q18" s="4"/>
      <c r="R18" s="4"/>
      <c r="S18" s="4"/>
      <c r="T18" s="4"/>
      <c r="U18" s="4"/>
      <c r="V18" s="4"/>
      <c r="W18" s="4"/>
      <c r="X18" s="4"/>
      <c r="Y18" s="4"/>
      <c r="Z18" s="4"/>
      <c r="AA18" s="4"/>
    </row>
    <row r="19" spans="1:27" ht="16">
      <c r="A19" s="1"/>
      <c r="B19" s="25" t="s">
        <v>21</v>
      </c>
      <c r="C19" s="4"/>
      <c r="D19" s="2"/>
      <c r="E19" s="2"/>
      <c r="F19" s="2"/>
      <c r="G19" s="2"/>
      <c r="H19" s="14"/>
      <c r="I19" s="4"/>
      <c r="J19" s="4"/>
      <c r="K19" s="4"/>
      <c r="L19" s="4"/>
      <c r="M19" s="4"/>
      <c r="N19" s="4"/>
      <c r="O19" s="4"/>
      <c r="P19" s="4"/>
      <c r="Q19" s="4"/>
      <c r="R19" s="4"/>
      <c r="S19" s="4"/>
      <c r="T19" s="4"/>
      <c r="U19" s="4"/>
      <c r="V19" s="4"/>
      <c r="W19" s="4"/>
      <c r="X19" s="4"/>
      <c r="Y19" s="4"/>
      <c r="Z19" s="4"/>
      <c r="AA19" s="4"/>
    </row>
    <row r="20" spans="1:27" ht="16">
      <c r="A20" s="1"/>
      <c r="B20" s="13" t="s">
        <v>22</v>
      </c>
      <c r="C20" s="6" t="s">
        <v>23</v>
      </c>
      <c r="D20" s="2"/>
      <c r="E20" s="2"/>
      <c r="F20" s="2"/>
      <c r="G20" s="2"/>
      <c r="H20" s="14"/>
      <c r="I20" s="4"/>
      <c r="J20" s="4"/>
      <c r="K20" s="4"/>
      <c r="L20" s="4"/>
      <c r="M20" s="4"/>
      <c r="N20" s="4"/>
      <c r="O20" s="4"/>
      <c r="P20" s="4"/>
      <c r="Q20" s="4"/>
      <c r="R20" s="4"/>
      <c r="S20" s="4"/>
      <c r="T20" s="4"/>
      <c r="U20" s="4"/>
      <c r="V20" s="4"/>
      <c r="W20" s="4"/>
      <c r="X20" s="4"/>
      <c r="Y20" s="4"/>
      <c r="Z20" s="4"/>
      <c r="AA20" s="4"/>
    </row>
    <row r="21" spans="1:27" ht="16">
      <c r="A21" s="1"/>
      <c r="B21" s="26"/>
      <c r="C21" s="27" t="s">
        <v>24</v>
      </c>
      <c r="D21" s="19"/>
      <c r="E21" s="19"/>
      <c r="F21" s="19"/>
      <c r="G21" s="19"/>
      <c r="H21" s="20"/>
      <c r="I21" s="4"/>
      <c r="J21" s="4"/>
      <c r="K21" s="4"/>
      <c r="L21" s="4"/>
      <c r="M21" s="4"/>
      <c r="N21" s="4"/>
      <c r="O21" s="4"/>
      <c r="P21" s="4"/>
      <c r="Q21" s="4"/>
      <c r="R21" s="4"/>
      <c r="S21" s="4"/>
      <c r="T21" s="4"/>
      <c r="U21" s="4"/>
      <c r="V21" s="4"/>
      <c r="W21" s="4"/>
      <c r="X21" s="4"/>
      <c r="Y21" s="4"/>
      <c r="Z21" s="4"/>
      <c r="AA21" s="4"/>
    </row>
    <row r="22" spans="1:27" ht="16">
      <c r="A22" s="1"/>
      <c r="B22" s="2"/>
      <c r="C22" s="6"/>
      <c r="D22" s="2"/>
      <c r="E22" s="2"/>
      <c r="F22" s="2"/>
      <c r="G22" s="2"/>
      <c r="H22" s="1"/>
      <c r="I22" s="4"/>
      <c r="J22" s="4"/>
      <c r="K22" s="4"/>
      <c r="L22" s="4"/>
      <c r="M22" s="4"/>
      <c r="N22" s="4"/>
      <c r="O22" s="4"/>
      <c r="P22" s="4"/>
      <c r="Q22" s="4"/>
      <c r="R22" s="4"/>
      <c r="S22" s="4"/>
      <c r="T22" s="4"/>
      <c r="U22" s="4"/>
      <c r="V22" s="4"/>
      <c r="W22" s="4"/>
      <c r="X22" s="4"/>
      <c r="Y22" s="4"/>
      <c r="Z22" s="4"/>
      <c r="AA22" s="4"/>
    </row>
    <row r="23" spans="1:27" ht="16">
      <c r="A23" s="1"/>
      <c r="B23" s="21" t="s">
        <v>25</v>
      </c>
      <c r="C23" s="6"/>
      <c r="D23" s="2"/>
      <c r="E23" s="2"/>
      <c r="F23" s="2"/>
      <c r="G23" s="2"/>
      <c r="H23" s="1"/>
      <c r="I23" s="4"/>
      <c r="J23" s="4"/>
      <c r="K23" s="4"/>
      <c r="L23" s="4"/>
      <c r="M23" s="4"/>
      <c r="N23" s="4"/>
      <c r="O23" s="4"/>
      <c r="P23" s="4"/>
      <c r="Q23" s="4"/>
      <c r="R23" s="4"/>
      <c r="S23" s="4"/>
      <c r="T23" s="4"/>
      <c r="U23" s="4"/>
      <c r="V23" s="4"/>
      <c r="W23" s="4"/>
      <c r="X23" s="4"/>
      <c r="Y23" s="4"/>
      <c r="Z23" s="4"/>
      <c r="AA23" s="4"/>
    </row>
    <row r="24" spans="1:27" ht="16">
      <c r="A24" s="1"/>
      <c r="B24" s="28" t="s">
        <v>26</v>
      </c>
      <c r="C24" s="29" t="s">
        <v>27</v>
      </c>
      <c r="D24" s="30"/>
      <c r="E24" s="10"/>
      <c r="F24" s="10"/>
      <c r="G24" s="10"/>
      <c r="H24" s="11"/>
      <c r="I24" s="4"/>
      <c r="J24" s="4"/>
      <c r="K24" s="4"/>
      <c r="L24" s="4"/>
      <c r="M24" s="4"/>
      <c r="N24" s="4"/>
      <c r="O24" s="4"/>
      <c r="P24" s="4"/>
      <c r="Q24" s="4"/>
      <c r="R24" s="4"/>
      <c r="S24" s="4"/>
      <c r="T24" s="4"/>
      <c r="U24" s="4"/>
      <c r="V24" s="4"/>
      <c r="W24" s="4"/>
      <c r="X24" s="4"/>
      <c r="Y24" s="4"/>
      <c r="Z24" s="4"/>
      <c r="AA24" s="4"/>
    </row>
    <row r="25" spans="1:27" ht="16">
      <c r="A25" s="1"/>
      <c r="B25" s="31"/>
      <c r="C25" s="32" t="s">
        <v>28</v>
      </c>
      <c r="F25" s="2"/>
      <c r="G25" s="2"/>
      <c r="H25" s="14"/>
      <c r="I25" s="4"/>
      <c r="J25" s="4"/>
      <c r="K25" s="4"/>
      <c r="L25" s="4"/>
      <c r="M25" s="4"/>
      <c r="N25" s="4"/>
      <c r="O25" s="4"/>
      <c r="P25" s="4"/>
      <c r="Q25" s="4"/>
      <c r="R25" s="4"/>
      <c r="S25" s="4"/>
      <c r="T25" s="4"/>
      <c r="U25" s="4"/>
      <c r="V25" s="4"/>
      <c r="W25" s="4"/>
      <c r="X25" s="4"/>
      <c r="Y25" s="4"/>
      <c r="Z25" s="4"/>
      <c r="AA25" s="4"/>
    </row>
    <row r="26" spans="1:27" ht="16.5">
      <c r="A26" s="1"/>
      <c r="B26" s="33" t="s">
        <v>29</v>
      </c>
      <c r="C26" s="34" t="s">
        <v>30</v>
      </c>
      <c r="D26" s="35"/>
      <c r="E26" s="35"/>
      <c r="F26" s="35"/>
      <c r="G26" s="35"/>
      <c r="H26" s="36"/>
      <c r="I26" s="4"/>
      <c r="J26" s="4"/>
      <c r="K26" s="4"/>
      <c r="L26" s="4"/>
      <c r="M26" s="4"/>
      <c r="N26" s="4"/>
      <c r="O26" s="4"/>
      <c r="P26" s="4"/>
      <c r="Q26" s="4"/>
      <c r="R26" s="4"/>
      <c r="S26" s="4"/>
      <c r="T26" s="4"/>
      <c r="U26" s="4"/>
      <c r="V26" s="4"/>
      <c r="W26" s="4"/>
      <c r="X26" s="4"/>
      <c r="Y26" s="4"/>
      <c r="Z26" s="4"/>
      <c r="AA26" s="4"/>
    </row>
    <row r="27" spans="1:27" ht="16">
      <c r="A27" s="1"/>
      <c r="B27" s="31" t="s">
        <v>31</v>
      </c>
      <c r="C27" s="32" t="s">
        <v>32</v>
      </c>
      <c r="H27" s="14"/>
      <c r="I27" s="4"/>
      <c r="J27" s="4"/>
      <c r="K27" s="4"/>
      <c r="L27" s="4"/>
      <c r="M27" s="4"/>
      <c r="N27" s="4"/>
      <c r="O27" s="4"/>
      <c r="P27" s="4"/>
      <c r="Q27" s="4"/>
      <c r="R27" s="4"/>
      <c r="S27" s="4"/>
      <c r="T27" s="4"/>
      <c r="U27" s="4"/>
      <c r="V27" s="4"/>
      <c r="W27" s="4"/>
      <c r="X27" s="4"/>
      <c r="Y27" s="4"/>
      <c r="Z27" s="4"/>
      <c r="AA27" s="4"/>
    </row>
    <row r="28" spans="1:27" ht="16">
      <c r="A28" s="1"/>
      <c r="B28" s="31" t="s">
        <v>33</v>
      </c>
      <c r="H28" s="37"/>
      <c r="I28" s="4"/>
      <c r="J28" s="4"/>
      <c r="K28" s="4"/>
      <c r="L28" s="4"/>
      <c r="M28" s="4"/>
      <c r="N28" s="4"/>
      <c r="O28" s="4"/>
      <c r="P28" s="4"/>
      <c r="Q28" s="4"/>
      <c r="R28" s="4"/>
      <c r="S28" s="4"/>
      <c r="T28" s="4"/>
      <c r="U28" s="4"/>
      <c r="V28" s="4"/>
      <c r="W28" s="4"/>
      <c r="X28" s="4"/>
      <c r="Y28" s="4"/>
      <c r="Z28" s="4"/>
      <c r="AA28" s="4"/>
    </row>
    <row r="29" spans="1:27" ht="16">
      <c r="A29" s="1"/>
      <c r="B29" s="38"/>
      <c r="C29" s="39"/>
      <c r="D29" s="19"/>
      <c r="E29" s="19"/>
      <c r="F29" s="19"/>
      <c r="G29" s="19"/>
      <c r="H29" s="20"/>
      <c r="I29" s="4"/>
      <c r="J29" s="4"/>
      <c r="K29" s="4"/>
      <c r="L29" s="4"/>
      <c r="M29" s="4"/>
      <c r="N29" s="4"/>
      <c r="O29" s="4"/>
      <c r="P29" s="4"/>
      <c r="Q29" s="4"/>
      <c r="R29" s="4"/>
      <c r="S29" s="4"/>
      <c r="T29" s="4"/>
      <c r="U29" s="4"/>
      <c r="V29" s="4"/>
      <c r="W29" s="4"/>
      <c r="X29" s="4"/>
      <c r="Y29" s="4"/>
      <c r="Z29" s="4"/>
      <c r="AA29" s="4"/>
    </row>
    <row r="30" spans="1:27" ht="16">
      <c r="A30" s="1"/>
      <c r="B30" s="15" t="s">
        <v>34</v>
      </c>
      <c r="E30" s="40"/>
      <c r="F30" s="40"/>
      <c r="G30" s="40"/>
      <c r="H30" s="41"/>
      <c r="I30" s="4"/>
      <c r="J30" s="4"/>
      <c r="K30" s="4"/>
      <c r="L30" s="4"/>
      <c r="M30" s="4"/>
      <c r="N30" s="4"/>
      <c r="O30" s="4"/>
      <c r="P30" s="4"/>
      <c r="Q30" s="4"/>
      <c r="R30" s="4"/>
      <c r="S30" s="4"/>
      <c r="T30" s="4"/>
      <c r="U30" s="4"/>
      <c r="V30" s="4"/>
      <c r="W30" s="4"/>
      <c r="X30" s="4"/>
      <c r="Y30" s="4"/>
      <c r="Z30" s="4"/>
      <c r="AA30" s="4"/>
    </row>
    <row r="31" spans="1:27" ht="16">
      <c r="A31" s="1"/>
      <c r="B31" s="15" t="s">
        <v>35</v>
      </c>
      <c r="C31" s="42"/>
      <c r="D31" s="40"/>
      <c r="E31" s="40"/>
      <c r="F31" s="40"/>
      <c r="G31" s="40"/>
      <c r="H31" s="41"/>
      <c r="I31" s="4"/>
      <c r="J31" s="4"/>
      <c r="K31" s="4"/>
      <c r="L31" s="4"/>
      <c r="M31" s="4"/>
      <c r="N31" s="4"/>
      <c r="O31" s="4"/>
      <c r="P31" s="4"/>
      <c r="Q31" s="4"/>
      <c r="R31" s="4"/>
      <c r="S31" s="4"/>
      <c r="T31" s="4"/>
      <c r="U31" s="4"/>
      <c r="V31" s="4"/>
      <c r="W31" s="4"/>
      <c r="X31" s="4"/>
      <c r="Y31" s="4"/>
      <c r="Z31" s="4"/>
      <c r="AA31" s="4"/>
    </row>
    <row r="32" spans="1:27" ht="16">
      <c r="A32" s="1"/>
      <c r="B32" s="15" t="s">
        <v>36</v>
      </c>
      <c r="C32" s="4"/>
      <c r="D32" s="40"/>
      <c r="E32" s="40"/>
      <c r="F32" s="40"/>
      <c r="G32" s="40"/>
      <c r="H32" s="41"/>
      <c r="I32" s="4"/>
      <c r="J32" s="4"/>
      <c r="K32" s="4"/>
      <c r="L32" s="4"/>
      <c r="M32" s="4"/>
      <c r="N32" s="4"/>
      <c r="O32" s="4"/>
      <c r="P32" s="4"/>
      <c r="Q32" s="4"/>
      <c r="R32" s="4"/>
      <c r="S32" s="4"/>
      <c r="T32" s="4"/>
      <c r="U32" s="4"/>
      <c r="V32" s="4"/>
      <c r="W32" s="4"/>
      <c r="X32" s="4"/>
      <c r="Y32" s="4"/>
      <c r="Z32" s="4"/>
      <c r="AA32" s="4"/>
    </row>
    <row r="33" spans="1:27" ht="16">
      <c r="A33" s="1"/>
      <c r="B33" s="15" t="s">
        <v>37</v>
      </c>
      <c r="C33" s="4"/>
      <c r="D33" s="40"/>
      <c r="E33" s="40"/>
      <c r="F33" s="40"/>
      <c r="G33" s="40"/>
      <c r="H33" s="41"/>
      <c r="I33" s="4"/>
      <c r="K33" s="4"/>
      <c r="L33" s="4"/>
      <c r="M33" s="4"/>
      <c r="N33" s="4"/>
      <c r="O33" s="4"/>
      <c r="P33" s="4"/>
      <c r="Q33" s="4"/>
      <c r="R33" s="4"/>
      <c r="S33" s="4"/>
      <c r="T33" s="4"/>
      <c r="U33" s="4"/>
      <c r="V33" s="4"/>
      <c r="W33" s="4"/>
      <c r="X33" s="4"/>
      <c r="Y33" s="4"/>
      <c r="Z33" s="4"/>
      <c r="AA33" s="4"/>
    </row>
    <row r="34" spans="1:27" ht="16">
      <c r="A34" s="1"/>
      <c r="B34" s="15"/>
      <c r="C34" s="39"/>
      <c r="D34" s="2"/>
      <c r="E34" s="2"/>
      <c r="F34" s="2"/>
      <c r="G34" s="2"/>
      <c r="H34" s="14"/>
      <c r="I34" s="4"/>
      <c r="J34" s="4"/>
      <c r="K34" s="4"/>
      <c r="L34" s="4"/>
      <c r="M34" s="4"/>
      <c r="N34" s="4"/>
      <c r="O34" s="4"/>
      <c r="P34" s="4"/>
      <c r="Q34" s="4"/>
      <c r="R34" s="4"/>
      <c r="S34" s="4"/>
      <c r="T34" s="4"/>
      <c r="U34" s="4"/>
      <c r="V34" s="4"/>
      <c r="W34" s="4"/>
      <c r="X34" s="4"/>
      <c r="Y34" s="4"/>
      <c r="Z34" s="4"/>
      <c r="AA34" s="4"/>
    </row>
    <row r="35" spans="1:27" ht="16">
      <c r="A35" s="1"/>
      <c r="B35" s="43" t="s">
        <v>38</v>
      </c>
      <c r="C35" s="44" t="s">
        <v>39</v>
      </c>
      <c r="D35" s="35"/>
      <c r="E35" s="45"/>
      <c r="F35" s="45"/>
      <c r="G35" s="45"/>
      <c r="H35" s="46"/>
      <c r="I35" s="47"/>
      <c r="J35" s="4"/>
      <c r="K35" s="4"/>
      <c r="L35" s="4"/>
      <c r="M35" s="4"/>
      <c r="N35" s="4"/>
      <c r="O35" s="4"/>
      <c r="P35" s="4"/>
      <c r="Q35" s="4"/>
      <c r="R35" s="4"/>
      <c r="S35" s="4"/>
      <c r="T35" s="4"/>
      <c r="U35" s="4"/>
      <c r="V35" s="4"/>
      <c r="W35" s="4"/>
      <c r="X35" s="4"/>
      <c r="Y35" s="4"/>
      <c r="Z35" s="4"/>
      <c r="AA35" s="4"/>
    </row>
    <row r="36" spans="1:27" ht="16">
      <c r="A36" s="1"/>
      <c r="B36" s="48"/>
      <c r="C36" s="49"/>
      <c r="D36" s="50"/>
      <c r="E36" s="50"/>
      <c r="F36" s="50"/>
      <c r="G36" s="50"/>
      <c r="H36" s="51"/>
      <c r="I36" s="4"/>
      <c r="J36" s="4"/>
      <c r="K36" s="4"/>
      <c r="L36" s="4"/>
      <c r="M36" s="4"/>
      <c r="N36" s="4"/>
      <c r="O36" s="4"/>
      <c r="P36" s="4"/>
      <c r="Q36" s="4"/>
      <c r="R36" s="4"/>
      <c r="S36" s="4"/>
      <c r="T36" s="4"/>
      <c r="U36" s="4"/>
      <c r="V36" s="4"/>
      <c r="W36" s="4"/>
      <c r="X36" s="4"/>
      <c r="Y36" s="4"/>
      <c r="Z36" s="4"/>
      <c r="AA36" s="4"/>
    </row>
    <row r="37" spans="1:27" ht="16">
      <c r="A37" s="1"/>
      <c r="B37" s="13" t="s">
        <v>40</v>
      </c>
      <c r="C37" s="6" t="str">
        <f>CONCATENATE("area=https://intel.ingress.com/intel?ll=",'2.ポータル'!C163,",",'2.ポータル'!D163,"&amp;z=17")</f>
        <v>area=https://intel.ingress.com/intel?ll=35.4315585,133.332686&amp;z=17</v>
      </c>
      <c r="D37" s="2"/>
      <c r="E37" s="2"/>
      <c r="F37" s="2"/>
      <c r="G37" s="2"/>
      <c r="H37" s="14"/>
      <c r="I37" s="47"/>
      <c r="J37" s="32"/>
      <c r="K37" s="4"/>
      <c r="L37" s="4"/>
      <c r="M37" s="4"/>
      <c r="N37" s="4"/>
      <c r="O37" s="4"/>
      <c r="P37" s="4"/>
      <c r="Q37" s="4"/>
      <c r="R37" s="4"/>
      <c r="S37" s="4"/>
      <c r="T37" s="4"/>
      <c r="U37" s="4"/>
      <c r="V37" s="4"/>
      <c r="W37" s="4"/>
      <c r="X37" s="4"/>
      <c r="Y37" s="4"/>
      <c r="Z37" s="4"/>
      <c r="AA37" s="4"/>
    </row>
    <row r="38" spans="1:27" ht="16">
      <c r="A38" s="1"/>
      <c r="B38" s="31" t="s">
        <v>41</v>
      </c>
      <c r="C38" s="32" t="s">
        <v>42</v>
      </c>
      <c r="G38" s="2"/>
      <c r="H38" s="14"/>
      <c r="I38" s="4"/>
      <c r="J38" s="4"/>
      <c r="K38" s="4"/>
      <c r="L38" s="4"/>
      <c r="M38" s="4"/>
      <c r="N38" s="4"/>
      <c r="O38" s="4"/>
      <c r="P38" s="4"/>
      <c r="Q38" s="4"/>
      <c r="R38" s="4"/>
      <c r="S38" s="4"/>
      <c r="T38" s="4"/>
      <c r="U38" s="4"/>
      <c r="V38" s="4"/>
      <c r="W38" s="4"/>
      <c r="X38" s="4"/>
      <c r="Y38" s="4"/>
      <c r="Z38" s="4"/>
      <c r="AA38" s="4"/>
    </row>
    <row r="39" spans="1:27" ht="16">
      <c r="A39" s="1"/>
      <c r="B39" s="31"/>
      <c r="C39" s="32" t="s">
        <v>43</v>
      </c>
      <c r="G39" s="2"/>
      <c r="H39" s="14"/>
      <c r="I39" s="4"/>
      <c r="J39" s="4"/>
      <c r="K39" s="4"/>
      <c r="L39" s="4"/>
      <c r="M39" s="4"/>
      <c r="N39" s="4"/>
      <c r="O39" s="4"/>
      <c r="P39" s="4"/>
      <c r="Q39" s="4"/>
      <c r="R39" s="4"/>
      <c r="S39" s="4"/>
      <c r="T39" s="4"/>
      <c r="U39" s="4"/>
      <c r="V39" s="4"/>
      <c r="W39" s="4"/>
      <c r="X39" s="4"/>
      <c r="Y39" s="4"/>
      <c r="Z39" s="4"/>
      <c r="AA39" s="4"/>
    </row>
    <row r="40" spans="1:27" ht="16">
      <c r="A40" s="1"/>
      <c r="B40" s="31"/>
      <c r="C40" s="32" t="s">
        <v>44</v>
      </c>
      <c r="G40" s="2"/>
      <c r="H40" s="14"/>
      <c r="I40" s="4"/>
      <c r="J40" s="4"/>
      <c r="K40" s="4"/>
      <c r="L40" s="4"/>
      <c r="M40" s="4"/>
      <c r="N40" s="4"/>
      <c r="O40" s="4"/>
      <c r="P40" s="4"/>
      <c r="Q40" s="4"/>
      <c r="R40" s="4"/>
      <c r="S40" s="4"/>
      <c r="T40" s="4"/>
      <c r="U40" s="4"/>
      <c r="V40" s="4"/>
      <c r="W40" s="4"/>
      <c r="X40" s="4"/>
      <c r="Y40" s="4"/>
      <c r="Z40" s="4"/>
      <c r="AA40" s="4"/>
    </row>
    <row r="41" spans="1:27" ht="16">
      <c r="A41" s="1"/>
      <c r="B41" s="52"/>
      <c r="C41" s="53" t="s">
        <v>45</v>
      </c>
      <c r="D41" s="53"/>
      <c r="E41" s="53"/>
      <c r="F41" s="53"/>
      <c r="G41" s="19"/>
      <c r="H41" s="20"/>
      <c r="I41" s="4"/>
      <c r="J41" s="4"/>
      <c r="K41" s="4"/>
      <c r="L41" s="4"/>
      <c r="M41" s="4"/>
      <c r="N41" s="4"/>
      <c r="O41" s="4"/>
      <c r="P41" s="4"/>
      <c r="Q41" s="4"/>
      <c r="R41" s="4"/>
      <c r="S41" s="4"/>
      <c r="T41" s="4"/>
      <c r="U41" s="4"/>
      <c r="V41" s="4"/>
      <c r="W41" s="4"/>
      <c r="X41" s="4"/>
      <c r="Y41" s="4"/>
      <c r="Z41" s="4"/>
      <c r="AA41" s="4"/>
    </row>
    <row r="42" spans="1:27" ht="16">
      <c r="A42" s="1"/>
      <c r="B42" s="31" t="s">
        <v>46</v>
      </c>
      <c r="C42" s="32" t="s">
        <v>47</v>
      </c>
      <c r="D42" s="54"/>
      <c r="E42" s="54"/>
      <c r="F42" s="54"/>
      <c r="G42" s="54"/>
      <c r="H42" s="55"/>
      <c r="I42" s="4"/>
      <c r="J42" s="4"/>
      <c r="K42" s="4"/>
      <c r="L42" s="4"/>
      <c r="M42" s="4"/>
      <c r="N42" s="4"/>
      <c r="O42" s="4"/>
      <c r="P42" s="4"/>
      <c r="Q42" s="4"/>
      <c r="R42" s="4"/>
      <c r="S42" s="4"/>
      <c r="T42" s="4"/>
      <c r="U42" s="4"/>
      <c r="V42" s="4"/>
      <c r="W42" s="4"/>
      <c r="X42" s="4"/>
      <c r="Y42" s="4"/>
      <c r="Z42" s="4"/>
      <c r="AA42" s="4"/>
    </row>
    <row r="43" spans="1:27" ht="38.25" customHeight="1">
      <c r="A43" s="1"/>
      <c r="B43" s="31"/>
      <c r="C43" s="280" t="s">
        <v>48</v>
      </c>
      <c r="D43" s="281"/>
      <c r="E43" s="281"/>
      <c r="F43" s="281"/>
      <c r="G43" s="281"/>
      <c r="H43" s="282"/>
      <c r="I43" s="4"/>
      <c r="J43" s="56" t="s">
        <v>49</v>
      </c>
      <c r="K43" s="4"/>
      <c r="L43" s="4"/>
      <c r="M43" s="4"/>
      <c r="N43" s="4"/>
      <c r="O43" s="4"/>
      <c r="P43" s="4"/>
      <c r="Q43" s="4"/>
      <c r="R43" s="4"/>
      <c r="S43" s="4"/>
      <c r="T43" s="4"/>
      <c r="U43" s="4"/>
      <c r="V43" s="4"/>
      <c r="W43" s="4"/>
      <c r="X43" s="4"/>
      <c r="Y43" s="4"/>
      <c r="Z43" s="4"/>
      <c r="AA43" s="4"/>
    </row>
    <row r="44" spans="1:27" ht="10.5" customHeight="1">
      <c r="A44" s="1"/>
      <c r="B44" s="52"/>
      <c r="C44" s="53"/>
      <c r="D44" s="53"/>
      <c r="E44" s="53"/>
      <c r="F44" s="53"/>
      <c r="G44" s="19"/>
      <c r="H44" s="20"/>
      <c r="I44" s="4"/>
      <c r="J44" s="4"/>
      <c r="K44" s="4"/>
      <c r="L44" s="4"/>
      <c r="M44" s="4"/>
      <c r="N44" s="4"/>
      <c r="O44" s="4"/>
      <c r="P44" s="4"/>
      <c r="Q44" s="4"/>
      <c r="R44" s="4"/>
      <c r="S44" s="4"/>
      <c r="T44" s="4"/>
      <c r="U44" s="4"/>
      <c r="V44" s="4"/>
      <c r="W44" s="4"/>
      <c r="X44" s="4"/>
      <c r="Y44" s="4"/>
      <c r="Z44" s="4"/>
      <c r="AA44" s="4"/>
    </row>
    <row r="45" spans="1:27" ht="16">
      <c r="A45" s="1"/>
      <c r="B45" s="2"/>
      <c r="C45" s="6"/>
      <c r="D45" s="2"/>
      <c r="E45" s="2"/>
      <c r="F45" s="2"/>
      <c r="G45" s="2"/>
      <c r="H45" s="1"/>
      <c r="I45" s="4"/>
      <c r="J45" s="4"/>
      <c r="K45" s="4"/>
      <c r="L45" s="4"/>
      <c r="M45" s="4"/>
      <c r="N45" s="4"/>
      <c r="O45" s="4"/>
      <c r="P45" s="4"/>
      <c r="Q45" s="4"/>
      <c r="R45" s="4"/>
      <c r="S45" s="4"/>
      <c r="T45" s="4"/>
      <c r="U45" s="4"/>
      <c r="V45" s="4"/>
      <c r="W45" s="4"/>
      <c r="X45" s="4"/>
      <c r="Y45" s="4"/>
      <c r="Z45" s="4"/>
      <c r="AA45" s="4"/>
    </row>
    <row r="46" spans="1:27" ht="16">
      <c r="A46" s="1"/>
      <c r="B46" s="57" t="s">
        <v>50</v>
      </c>
      <c r="C46" s="58"/>
      <c r="D46" s="59"/>
      <c r="E46" s="58"/>
      <c r="F46" s="59"/>
      <c r="G46" s="58"/>
      <c r="H46" s="1"/>
      <c r="I46" s="4"/>
      <c r="J46" s="4"/>
      <c r="K46" s="4"/>
      <c r="L46" s="4"/>
      <c r="M46" s="4"/>
      <c r="N46" s="4"/>
      <c r="O46" s="4"/>
      <c r="P46" s="4"/>
      <c r="Q46" s="4"/>
      <c r="R46" s="4"/>
      <c r="S46" s="4"/>
      <c r="T46" s="4"/>
      <c r="U46" s="4"/>
      <c r="V46" s="4"/>
      <c r="W46" s="4"/>
      <c r="X46" s="4"/>
      <c r="Y46" s="4"/>
      <c r="Z46" s="4"/>
      <c r="AA46" s="4"/>
    </row>
    <row r="47" spans="1:27" ht="16">
      <c r="A47" s="1"/>
      <c r="B47" s="8" t="s">
        <v>51</v>
      </c>
      <c r="C47" s="60" t="s">
        <v>52</v>
      </c>
      <c r="D47" s="60" t="s">
        <v>53</v>
      </c>
      <c r="E47" s="60" t="s">
        <v>54</v>
      </c>
      <c r="F47" s="35" t="s">
        <v>55</v>
      </c>
      <c r="G47" s="35"/>
      <c r="H47" s="36"/>
      <c r="I47" s="4"/>
      <c r="J47" s="4"/>
      <c r="K47" s="4"/>
      <c r="L47" s="4"/>
      <c r="M47" s="4"/>
      <c r="N47" s="4"/>
      <c r="O47" s="4"/>
      <c r="P47" s="4"/>
      <c r="Q47" s="4"/>
      <c r="R47" s="4"/>
      <c r="S47" s="4"/>
      <c r="T47" s="4"/>
      <c r="U47" s="4"/>
      <c r="V47" s="4"/>
      <c r="W47" s="4"/>
      <c r="X47" s="4"/>
      <c r="Y47" s="4"/>
      <c r="Z47" s="4"/>
      <c r="AA47" s="4"/>
    </row>
    <row r="48" spans="1:27" ht="16">
      <c r="A48" s="1"/>
      <c r="B48" s="31"/>
      <c r="C48" s="58" t="s">
        <v>56</v>
      </c>
      <c r="D48" s="58" t="s">
        <v>57</v>
      </c>
      <c r="F48" s="58" t="s">
        <v>58</v>
      </c>
      <c r="G48" s="58"/>
      <c r="H48" s="37"/>
      <c r="I48" s="4"/>
      <c r="J48" s="4"/>
      <c r="K48" s="4"/>
      <c r="L48" s="4"/>
      <c r="M48" s="4"/>
      <c r="N48" s="4"/>
      <c r="O48" s="4"/>
      <c r="P48" s="4"/>
      <c r="Q48" s="4"/>
      <c r="R48" s="4"/>
      <c r="S48" s="4"/>
      <c r="T48" s="4"/>
      <c r="U48" s="4"/>
      <c r="V48" s="4"/>
      <c r="W48" s="4"/>
      <c r="X48" s="4"/>
      <c r="Y48" s="4"/>
      <c r="Z48" s="4"/>
      <c r="AA48" s="4"/>
    </row>
    <row r="49" spans="1:27" ht="16">
      <c r="A49" s="1"/>
      <c r="B49" s="13"/>
      <c r="C49" s="58" t="s">
        <v>59</v>
      </c>
      <c r="D49" s="58" t="s">
        <v>60</v>
      </c>
      <c r="E49" s="58" t="s">
        <v>61</v>
      </c>
      <c r="F49" s="58"/>
      <c r="G49" s="58"/>
      <c r="H49" s="37"/>
      <c r="I49" s="4"/>
      <c r="J49" s="4"/>
      <c r="K49" s="4"/>
      <c r="L49" s="4"/>
      <c r="M49" s="4"/>
      <c r="N49" s="4"/>
      <c r="O49" s="4"/>
      <c r="P49" s="4"/>
      <c r="Q49" s="4"/>
      <c r="R49" s="4"/>
      <c r="S49" s="4"/>
      <c r="T49" s="4"/>
      <c r="U49" s="4"/>
      <c r="V49" s="4"/>
      <c r="W49" s="4"/>
      <c r="X49" s="4"/>
      <c r="Y49" s="4"/>
      <c r="Z49" s="4"/>
      <c r="AA49" s="4"/>
    </row>
    <row r="50" spans="1:27" ht="16">
      <c r="A50" s="1"/>
      <c r="B50" s="61" t="s">
        <v>62</v>
      </c>
      <c r="C50" s="60" t="s">
        <v>63</v>
      </c>
      <c r="D50" s="62" t="s">
        <v>64</v>
      </c>
      <c r="E50" s="60" t="s">
        <v>65</v>
      </c>
      <c r="F50" s="63"/>
      <c r="G50" s="35"/>
      <c r="H50" s="36"/>
      <c r="I50" s="4"/>
      <c r="J50" s="4"/>
      <c r="K50" s="4"/>
      <c r="L50" s="16"/>
      <c r="M50" s="16"/>
      <c r="N50" s="16"/>
      <c r="O50" s="4"/>
      <c r="P50" s="4"/>
      <c r="Q50" s="4"/>
      <c r="R50" s="4"/>
      <c r="S50" s="4"/>
      <c r="T50" s="4"/>
      <c r="U50" s="4"/>
      <c r="V50" s="4"/>
      <c r="W50" s="4"/>
      <c r="X50" s="4"/>
      <c r="Y50" s="4"/>
      <c r="Z50" s="4"/>
      <c r="AA50" s="4"/>
    </row>
    <row r="51" spans="1:27" ht="16">
      <c r="A51" s="1"/>
      <c r="B51" s="31"/>
      <c r="C51" s="58" t="s">
        <v>66</v>
      </c>
      <c r="H51" s="37"/>
      <c r="I51" s="4"/>
      <c r="J51" s="4"/>
      <c r="K51" s="4"/>
      <c r="L51" s="4"/>
      <c r="M51" s="4"/>
      <c r="N51" s="4"/>
      <c r="O51" s="4"/>
      <c r="P51" s="4"/>
      <c r="Q51" s="4"/>
      <c r="R51" s="4"/>
      <c r="S51" s="4"/>
      <c r="T51" s="4"/>
      <c r="U51" s="4"/>
      <c r="V51" s="4"/>
      <c r="W51" s="4"/>
      <c r="X51" s="4"/>
      <c r="Y51" s="4"/>
      <c r="Z51" s="4"/>
      <c r="AA51" s="4"/>
    </row>
    <row r="52" spans="1:27" ht="16">
      <c r="A52" s="1"/>
      <c r="B52" s="17"/>
      <c r="C52" s="64" t="s">
        <v>67</v>
      </c>
      <c r="D52" s="64" t="s">
        <v>68</v>
      </c>
      <c r="E52" s="65"/>
      <c r="F52" s="66"/>
      <c r="G52" s="66"/>
      <c r="H52" s="67"/>
      <c r="I52" s="4"/>
      <c r="J52" s="4"/>
      <c r="K52" s="4"/>
      <c r="L52" s="4"/>
      <c r="M52" s="4"/>
      <c r="N52" s="4"/>
      <c r="O52" s="4"/>
      <c r="P52" s="4"/>
      <c r="Q52" s="4"/>
      <c r="R52" s="4"/>
      <c r="S52" s="4"/>
      <c r="T52" s="4"/>
      <c r="U52" s="4"/>
      <c r="V52" s="4"/>
      <c r="W52" s="4"/>
      <c r="X52" s="4"/>
      <c r="Y52" s="4"/>
      <c r="Z52" s="4"/>
      <c r="AA52" s="4"/>
    </row>
    <row r="53" spans="1:27" ht="16">
      <c r="A53" s="1"/>
      <c r="B53" s="68" t="s">
        <v>69</v>
      </c>
      <c r="C53" s="58" t="s">
        <v>70</v>
      </c>
      <c r="D53" s="58" t="s">
        <v>71</v>
      </c>
      <c r="E53" s="58" t="s">
        <v>72</v>
      </c>
      <c r="H53" s="37"/>
      <c r="I53" s="4"/>
      <c r="J53" s="4"/>
      <c r="K53" s="4"/>
      <c r="L53" s="4"/>
      <c r="M53" s="4"/>
      <c r="N53" s="4"/>
      <c r="O53" s="4"/>
      <c r="P53" s="4"/>
      <c r="Q53" s="4"/>
      <c r="R53" s="4"/>
      <c r="S53" s="4"/>
      <c r="T53" s="4"/>
      <c r="U53" s="4"/>
      <c r="V53" s="4"/>
      <c r="W53" s="4"/>
      <c r="X53" s="4"/>
      <c r="Y53" s="4"/>
      <c r="Z53" s="4"/>
      <c r="AA53" s="4"/>
    </row>
    <row r="54" spans="1:27" ht="16">
      <c r="A54" s="1"/>
      <c r="B54" s="31"/>
      <c r="C54" s="58" t="s">
        <v>73</v>
      </c>
      <c r="D54" s="58" t="s">
        <v>74</v>
      </c>
      <c r="E54" s="58" t="s">
        <v>75</v>
      </c>
      <c r="H54" s="69"/>
      <c r="I54" s="4"/>
      <c r="J54" s="4"/>
      <c r="K54" s="4"/>
      <c r="L54" s="4"/>
      <c r="M54" s="4"/>
      <c r="N54" s="4"/>
      <c r="O54" s="4"/>
      <c r="P54" s="4"/>
      <c r="Q54" s="4"/>
      <c r="R54" s="4"/>
      <c r="S54" s="4"/>
      <c r="T54" s="4"/>
      <c r="U54" s="4"/>
      <c r="V54" s="4"/>
      <c r="W54" s="4"/>
      <c r="X54" s="4"/>
      <c r="Y54" s="4"/>
      <c r="Z54" s="4"/>
      <c r="AA54" s="4"/>
    </row>
    <row r="55" spans="1:27" ht="16">
      <c r="A55" s="1"/>
      <c r="B55" s="17"/>
      <c r="C55" s="70" t="s">
        <v>76</v>
      </c>
      <c r="D55" s="70" t="s">
        <v>77</v>
      </c>
      <c r="E55" s="70" t="s">
        <v>78</v>
      </c>
      <c r="F55" s="53"/>
      <c r="G55" s="53"/>
      <c r="H55" s="67"/>
      <c r="I55" s="4"/>
      <c r="J55" s="4"/>
      <c r="K55" s="4"/>
      <c r="L55" s="4"/>
      <c r="M55" s="4"/>
      <c r="N55" s="4"/>
      <c r="O55" s="4"/>
      <c r="P55" s="4"/>
      <c r="Q55" s="4"/>
      <c r="R55" s="4"/>
      <c r="S55" s="4"/>
      <c r="T55" s="4"/>
      <c r="U55" s="4"/>
      <c r="V55" s="4"/>
      <c r="W55" s="4"/>
      <c r="X55" s="4"/>
      <c r="Y55" s="4"/>
      <c r="Z55" s="4"/>
      <c r="AA55" s="4"/>
    </row>
    <row r="56" spans="1:27" ht="16">
      <c r="A56" s="1"/>
      <c r="B56" s="2"/>
      <c r="C56" s="58"/>
      <c r="D56" s="59"/>
      <c r="E56" s="58"/>
      <c r="F56" s="59"/>
      <c r="G56" s="58"/>
      <c r="H56" s="1"/>
      <c r="I56" s="4"/>
      <c r="J56" s="4"/>
      <c r="K56" s="4"/>
      <c r="L56" s="4"/>
      <c r="M56" s="4"/>
      <c r="N56" s="4"/>
      <c r="O56" s="4"/>
      <c r="P56" s="4"/>
      <c r="Q56" s="4"/>
      <c r="R56" s="4"/>
      <c r="S56" s="4"/>
      <c r="T56" s="4"/>
      <c r="U56" s="4"/>
      <c r="V56" s="4"/>
      <c r="W56" s="4"/>
      <c r="X56" s="4"/>
      <c r="Y56" s="4"/>
      <c r="Z56" s="4"/>
      <c r="AA56" s="4"/>
    </row>
    <row r="57" spans="1:27" ht="16">
      <c r="A57" s="1"/>
      <c r="B57" s="57" t="s">
        <v>79</v>
      </c>
      <c r="C57" s="22"/>
      <c r="D57" s="59"/>
      <c r="E57" s="58"/>
      <c r="F57" s="58"/>
      <c r="G57" s="58"/>
      <c r="H57" s="1"/>
      <c r="I57" s="4"/>
      <c r="J57" s="4"/>
      <c r="K57" s="4"/>
      <c r="L57" s="4"/>
      <c r="M57" s="4"/>
      <c r="N57" s="4"/>
      <c r="O57" s="4"/>
      <c r="P57" s="4"/>
      <c r="Q57" s="4"/>
      <c r="R57" s="4"/>
      <c r="S57" s="4"/>
      <c r="T57" s="4"/>
      <c r="U57" s="4"/>
      <c r="V57" s="4"/>
      <c r="W57" s="4"/>
      <c r="X57" s="4"/>
      <c r="Y57" s="4"/>
      <c r="Z57" s="4"/>
      <c r="AA57" s="4"/>
    </row>
    <row r="58" spans="1:27" ht="16">
      <c r="A58" s="1"/>
      <c r="B58" s="71" t="str">
        <f>C4</f>
        <v>『ら...を作る作戦』(仮)</v>
      </c>
      <c r="C58" s="72"/>
      <c r="D58" s="73"/>
      <c r="E58" s="72"/>
      <c r="F58" s="72"/>
      <c r="G58" s="74"/>
      <c r="H58" s="75"/>
      <c r="I58" s="47"/>
      <c r="J58" s="4"/>
      <c r="K58" s="4"/>
      <c r="L58" s="4"/>
      <c r="M58" s="4"/>
      <c r="N58" s="4"/>
      <c r="O58" s="4"/>
      <c r="P58" s="4"/>
      <c r="Q58" s="4"/>
      <c r="R58" s="4"/>
      <c r="S58" s="4"/>
      <c r="T58" s="4"/>
      <c r="U58" s="4"/>
      <c r="V58" s="4"/>
      <c r="W58" s="4"/>
      <c r="X58" s="4"/>
      <c r="Y58" s="4"/>
      <c r="Z58" s="4"/>
      <c r="AA58" s="4"/>
    </row>
    <row r="59" spans="1:27" ht="16">
      <c r="A59" s="1"/>
      <c r="B59" s="76" t="s">
        <v>80</v>
      </c>
      <c r="C59" s="77"/>
      <c r="D59" s="78"/>
      <c r="E59" s="77"/>
      <c r="F59" s="77"/>
      <c r="G59" s="79"/>
      <c r="H59" s="80"/>
      <c r="J59" s="4"/>
      <c r="K59" s="4"/>
      <c r="L59" s="4"/>
      <c r="M59" s="4"/>
      <c r="N59" s="4"/>
      <c r="O59" s="4"/>
      <c r="P59" s="4"/>
      <c r="Q59" s="4"/>
      <c r="R59" s="4"/>
      <c r="S59" s="4"/>
      <c r="T59" s="4"/>
      <c r="U59" s="4"/>
      <c r="V59" s="4"/>
      <c r="W59" s="4"/>
      <c r="X59" s="4"/>
      <c r="Y59" s="4"/>
      <c r="Z59" s="4"/>
      <c r="AA59" s="4"/>
    </row>
    <row r="60" spans="1:27" ht="16">
      <c r="A60" s="1"/>
      <c r="B60" s="76" t="s">
        <v>81</v>
      </c>
      <c r="C60" s="4"/>
      <c r="E60" s="77"/>
      <c r="G60" s="79"/>
      <c r="H60" s="80"/>
      <c r="J60" s="24"/>
      <c r="K60" s="4"/>
      <c r="L60" s="4"/>
      <c r="M60" s="4"/>
      <c r="N60" s="4"/>
      <c r="O60" s="4"/>
      <c r="P60" s="4"/>
      <c r="Q60" s="4"/>
      <c r="R60" s="4"/>
      <c r="S60" s="4"/>
      <c r="T60" s="4"/>
      <c r="U60" s="4"/>
      <c r="V60" s="4"/>
      <c r="W60" s="4"/>
      <c r="X60" s="4"/>
      <c r="Y60" s="4"/>
      <c r="Z60" s="4"/>
      <c r="AA60" s="4"/>
    </row>
    <row r="61" spans="1:27" ht="16">
      <c r="A61" s="1"/>
      <c r="B61" s="76" t="str">
        <f>C17</f>
        <v>(仮）米子駅前だんだん広場　最寄りポータルは...</v>
      </c>
      <c r="D61" s="78"/>
      <c r="E61" s="77"/>
      <c r="F61" s="77"/>
      <c r="G61" s="81"/>
      <c r="H61" s="82"/>
      <c r="I61" s="4"/>
      <c r="K61" s="4"/>
      <c r="L61" s="4"/>
      <c r="M61" s="4"/>
      <c r="N61" s="4"/>
      <c r="O61" s="4"/>
      <c r="P61" s="4"/>
      <c r="Q61" s="4"/>
      <c r="R61" s="4"/>
      <c r="S61" s="4"/>
      <c r="T61" s="4"/>
      <c r="U61" s="4"/>
      <c r="V61" s="4"/>
      <c r="W61" s="4"/>
      <c r="X61" s="4"/>
      <c r="Y61" s="4"/>
      <c r="Z61" s="4"/>
      <c r="AA61" s="4"/>
    </row>
    <row r="62" spans="1:27" ht="16">
      <c r="A62" s="1"/>
      <c r="B62" s="76" t="s">
        <v>82</v>
      </c>
      <c r="C62" s="77"/>
      <c r="D62" s="78"/>
      <c r="E62" s="77"/>
      <c r="F62" s="77"/>
      <c r="G62" s="81"/>
      <c r="H62" s="82"/>
      <c r="I62" s="4"/>
      <c r="J62" s="4"/>
      <c r="L62" s="4"/>
      <c r="M62" s="4"/>
      <c r="N62" s="4"/>
      <c r="O62" s="4"/>
      <c r="P62" s="4"/>
      <c r="Q62" s="4"/>
      <c r="R62" s="4"/>
      <c r="S62" s="4"/>
      <c r="T62" s="4"/>
      <c r="U62" s="4"/>
      <c r="V62" s="4"/>
      <c r="W62" s="4"/>
      <c r="X62" s="4"/>
      <c r="Y62" s="4"/>
      <c r="Z62" s="4"/>
      <c r="AA62" s="4"/>
    </row>
    <row r="63" spans="1:27" ht="16">
      <c r="A63" s="1"/>
      <c r="B63" s="83" t="s">
        <v>83</v>
      </c>
      <c r="C63" s="77"/>
      <c r="D63" s="78"/>
      <c r="E63" s="77"/>
      <c r="F63" s="77"/>
      <c r="G63" s="81"/>
      <c r="H63" s="82"/>
      <c r="I63" s="4"/>
      <c r="J63" s="4"/>
      <c r="L63" s="4"/>
      <c r="M63" s="4"/>
      <c r="N63" s="4"/>
      <c r="O63" s="4"/>
      <c r="P63" s="4"/>
      <c r="Q63" s="4"/>
      <c r="R63" s="4"/>
      <c r="S63" s="4"/>
      <c r="T63" s="4"/>
      <c r="U63" s="4"/>
      <c r="V63" s="4"/>
      <c r="W63" s="4"/>
      <c r="X63" s="4"/>
      <c r="Y63" s="4"/>
      <c r="Z63" s="4"/>
      <c r="AA63" s="4"/>
    </row>
    <row r="64" spans="1:27" ht="16">
      <c r="A64" s="1"/>
      <c r="B64" s="76" t="s">
        <v>84</v>
      </c>
      <c r="C64" s="77"/>
      <c r="D64" s="78"/>
      <c r="E64" s="77"/>
      <c r="F64" s="77"/>
      <c r="G64" s="81"/>
      <c r="H64" s="82"/>
      <c r="I64" s="4"/>
      <c r="J64" s="4"/>
      <c r="L64" s="4"/>
      <c r="M64" s="4"/>
      <c r="N64" s="4"/>
      <c r="O64" s="4"/>
      <c r="P64" s="4"/>
      <c r="Q64" s="4"/>
      <c r="R64" s="4"/>
      <c r="S64" s="4"/>
      <c r="T64" s="4"/>
      <c r="U64" s="4"/>
      <c r="V64" s="4"/>
      <c r="W64" s="4"/>
      <c r="X64" s="4"/>
      <c r="Y64" s="4"/>
      <c r="Z64" s="4"/>
      <c r="AA64" s="4"/>
    </row>
    <row r="65" spans="1:27" ht="16">
      <c r="A65" s="1"/>
      <c r="B65" s="84" t="s">
        <v>85</v>
      </c>
      <c r="C65" s="77"/>
      <c r="D65" s="78"/>
      <c r="E65" s="77"/>
      <c r="F65" s="77"/>
      <c r="G65" s="81"/>
      <c r="H65" s="82"/>
      <c r="I65" s="4"/>
      <c r="J65" s="4"/>
      <c r="K65" s="4"/>
      <c r="L65" s="4"/>
      <c r="M65" s="4"/>
      <c r="N65" s="4"/>
      <c r="O65" s="4"/>
      <c r="P65" s="4"/>
      <c r="Q65" s="4"/>
      <c r="R65" s="4"/>
      <c r="S65" s="4"/>
      <c r="T65" s="4"/>
      <c r="U65" s="4"/>
      <c r="V65" s="4"/>
      <c r="W65" s="4"/>
      <c r="X65" s="4"/>
      <c r="Y65" s="4"/>
      <c r="Z65" s="4"/>
      <c r="AA65" s="4"/>
    </row>
    <row r="66" spans="1:27" ht="16">
      <c r="A66" s="1"/>
      <c r="B66" s="76" t="s">
        <v>86</v>
      </c>
      <c r="C66" s="77"/>
      <c r="D66" s="78"/>
      <c r="E66" s="77"/>
      <c r="F66" s="77"/>
      <c r="G66" s="81"/>
      <c r="H66" s="82"/>
      <c r="I66" s="4"/>
      <c r="J66" s="4"/>
      <c r="K66" s="4"/>
      <c r="L66" s="4"/>
      <c r="M66" s="4"/>
      <c r="N66" s="4"/>
      <c r="O66" s="4"/>
      <c r="P66" s="4"/>
      <c r="Q66" s="4"/>
      <c r="R66" s="4"/>
      <c r="S66" s="4"/>
      <c r="T66" s="4"/>
      <c r="U66" s="4"/>
      <c r="V66" s="4"/>
      <c r="W66" s="4"/>
      <c r="X66" s="4"/>
      <c r="Y66" s="4"/>
      <c r="Z66" s="4"/>
      <c r="AA66" s="4"/>
    </row>
    <row r="67" spans="1:27" ht="16">
      <c r="A67" s="1"/>
      <c r="B67" s="84" t="str">
        <f>C35</f>
        <v>https://www.google.com/maps/d/u/0/edit?mid=1KjFkV6PKNWJ0WuqFrcibtDfdBs-AlSY&amp;usp=sharing</v>
      </c>
      <c r="C67" s="85"/>
      <c r="D67" s="86"/>
      <c r="E67" s="77"/>
      <c r="F67" s="77"/>
      <c r="G67" s="81"/>
      <c r="H67" s="82"/>
      <c r="I67" s="4"/>
      <c r="J67" s="4"/>
      <c r="K67" s="4"/>
      <c r="L67" s="4"/>
      <c r="M67" s="4"/>
      <c r="N67" s="4"/>
      <c r="O67" s="4"/>
      <c r="P67" s="4"/>
      <c r="Q67" s="4"/>
      <c r="R67" s="4"/>
      <c r="S67" s="4"/>
      <c r="T67" s="4"/>
      <c r="U67" s="4"/>
      <c r="V67" s="4"/>
      <c r="W67" s="4"/>
      <c r="X67" s="4"/>
      <c r="Y67" s="4"/>
      <c r="Z67" s="4"/>
      <c r="AA67" s="4"/>
    </row>
    <row r="68" spans="1:27" ht="16">
      <c r="A68" s="1"/>
      <c r="B68" s="76" t="s">
        <v>87</v>
      </c>
      <c r="C68" s="85"/>
      <c r="D68" s="86"/>
      <c r="E68" s="77"/>
      <c r="F68" s="77"/>
      <c r="G68" s="81"/>
      <c r="H68" s="82"/>
      <c r="I68" s="4"/>
      <c r="J68" s="4"/>
      <c r="K68" s="4"/>
      <c r="L68" s="4"/>
      <c r="M68" s="4"/>
      <c r="N68" s="4"/>
      <c r="O68" s="4"/>
      <c r="P68" s="4"/>
      <c r="Q68" s="4"/>
      <c r="R68" s="4"/>
      <c r="S68" s="4"/>
      <c r="T68" s="4"/>
      <c r="U68" s="4"/>
      <c r="V68" s="4"/>
      <c r="W68" s="4"/>
      <c r="X68" s="4"/>
      <c r="Y68" s="4"/>
      <c r="Z68" s="4"/>
      <c r="AA68" s="4"/>
    </row>
    <row r="69" spans="1:27" ht="16">
      <c r="A69" s="1"/>
      <c r="B69" s="84" t="str">
        <f>C21</f>
        <v>https://chouseisan.com/</v>
      </c>
      <c r="C69" s="77"/>
      <c r="D69" s="78"/>
      <c r="E69" s="77"/>
      <c r="F69" s="77"/>
      <c r="G69" s="81"/>
      <c r="H69" s="82"/>
      <c r="I69" s="4"/>
      <c r="J69" s="4"/>
      <c r="K69" s="4"/>
      <c r="L69" s="4"/>
      <c r="M69" s="4"/>
      <c r="N69" s="4"/>
      <c r="O69" s="4"/>
      <c r="P69" s="4"/>
      <c r="Q69" s="4"/>
      <c r="R69" s="4"/>
      <c r="S69" s="4"/>
      <c r="T69" s="4"/>
      <c r="U69" s="4"/>
      <c r="V69" s="4"/>
      <c r="W69" s="4"/>
      <c r="X69" s="4"/>
      <c r="Y69" s="4"/>
      <c r="Z69" s="4"/>
      <c r="AA69" s="4"/>
    </row>
    <row r="70" spans="1:27" ht="16">
      <c r="A70" s="1"/>
      <c r="B70" s="76"/>
      <c r="C70" s="77"/>
      <c r="D70" s="78"/>
      <c r="E70" s="77"/>
      <c r="F70" s="77"/>
      <c r="G70" s="81"/>
      <c r="H70" s="82"/>
      <c r="I70" s="4"/>
      <c r="J70" s="4"/>
      <c r="K70" s="4"/>
      <c r="L70" s="4"/>
      <c r="M70" s="4"/>
      <c r="N70" s="4"/>
      <c r="O70" s="4"/>
      <c r="P70" s="4"/>
      <c r="Q70" s="4"/>
      <c r="R70" s="4"/>
      <c r="S70" s="4"/>
      <c r="T70" s="4"/>
      <c r="U70" s="4"/>
      <c r="V70" s="4"/>
      <c r="W70" s="4"/>
      <c r="X70" s="4"/>
      <c r="Y70" s="4"/>
      <c r="Z70" s="4"/>
      <c r="AA70" s="4"/>
    </row>
    <row r="71" spans="1:27" ht="16">
      <c r="B71" s="87"/>
      <c r="C71" s="88"/>
      <c r="D71" s="88"/>
      <c r="E71" s="88"/>
      <c r="F71" s="88"/>
      <c r="G71" s="88"/>
      <c r="H71" s="89"/>
      <c r="I71" s="4"/>
      <c r="J71" s="4"/>
      <c r="K71" s="4"/>
      <c r="L71" s="4"/>
      <c r="M71" s="4"/>
      <c r="N71" s="4"/>
      <c r="O71" s="4"/>
      <c r="P71" s="4"/>
      <c r="Q71" s="4"/>
      <c r="R71" s="4"/>
      <c r="S71" s="4"/>
      <c r="T71" s="4"/>
      <c r="U71" s="4"/>
      <c r="V71" s="4"/>
      <c r="W71" s="4"/>
      <c r="X71" s="4"/>
      <c r="Y71" s="4"/>
      <c r="Z71" s="4"/>
      <c r="AA71" s="4"/>
    </row>
    <row r="72" spans="1:27" ht="16">
      <c r="H72" s="1"/>
      <c r="I72" s="4"/>
      <c r="J72" s="4"/>
      <c r="K72" s="4"/>
      <c r="L72" s="4"/>
      <c r="M72" s="4"/>
      <c r="N72" s="4"/>
      <c r="O72" s="4"/>
      <c r="P72" s="4"/>
      <c r="Q72" s="4"/>
      <c r="R72" s="4"/>
      <c r="S72" s="4"/>
      <c r="T72" s="4"/>
      <c r="U72" s="4"/>
      <c r="V72" s="4"/>
      <c r="W72" s="4"/>
      <c r="X72" s="4"/>
      <c r="Y72" s="4"/>
      <c r="Z72" s="4"/>
      <c r="AA72" s="4"/>
    </row>
    <row r="73" spans="1:27" ht="16">
      <c r="A73" s="1"/>
      <c r="B73" s="57" t="s">
        <v>88</v>
      </c>
      <c r="C73" s="6"/>
      <c r="D73" s="2"/>
      <c r="E73" s="2"/>
      <c r="F73" s="2"/>
      <c r="G73" s="2"/>
      <c r="H73" s="1"/>
      <c r="I73" s="4"/>
      <c r="J73" s="4"/>
      <c r="K73" s="4"/>
      <c r="L73" s="4"/>
      <c r="M73" s="4"/>
      <c r="N73" s="4"/>
      <c r="O73" s="4"/>
      <c r="P73" s="4"/>
      <c r="Q73" s="4"/>
      <c r="R73" s="4"/>
      <c r="S73" s="4"/>
      <c r="T73" s="4"/>
      <c r="U73" s="4"/>
      <c r="V73" s="4"/>
      <c r="W73" s="4"/>
      <c r="X73" s="4"/>
      <c r="Y73" s="4"/>
      <c r="Z73" s="4"/>
      <c r="AA73" s="4"/>
    </row>
    <row r="74" spans="1:27" ht="16">
      <c r="A74" s="1"/>
      <c r="B74" s="90"/>
      <c r="C74" s="9"/>
      <c r="D74" s="10"/>
      <c r="E74" s="10"/>
      <c r="F74" s="10"/>
      <c r="G74" s="10"/>
      <c r="H74" s="11"/>
      <c r="I74" s="4"/>
      <c r="J74" s="4"/>
      <c r="K74" s="4"/>
      <c r="L74" s="4"/>
      <c r="M74" s="4"/>
      <c r="N74" s="4"/>
      <c r="O74" s="4"/>
      <c r="P74" s="4"/>
      <c r="Q74" s="4"/>
      <c r="R74" s="4"/>
      <c r="S74" s="4"/>
      <c r="T74" s="4"/>
      <c r="U74" s="4"/>
      <c r="V74" s="4"/>
      <c r="W74" s="4"/>
      <c r="X74" s="4"/>
      <c r="Y74" s="4"/>
      <c r="Z74" s="4"/>
      <c r="AA74" s="4"/>
    </row>
    <row r="75" spans="1:27" ht="16">
      <c r="A75" s="1"/>
      <c r="B75" s="91"/>
      <c r="C75" s="6"/>
      <c r="D75" s="2"/>
      <c r="E75" s="2"/>
      <c r="F75" s="2"/>
      <c r="G75" s="2"/>
      <c r="H75" s="14"/>
      <c r="I75" s="4"/>
      <c r="J75" s="4"/>
      <c r="K75" s="4"/>
      <c r="L75" s="4"/>
      <c r="M75" s="4"/>
      <c r="N75" s="4"/>
      <c r="O75" s="4"/>
      <c r="P75" s="4"/>
      <c r="Q75" s="4"/>
      <c r="R75" s="4"/>
      <c r="S75" s="4"/>
      <c r="T75" s="4"/>
      <c r="U75" s="4"/>
      <c r="V75" s="4"/>
      <c r="W75" s="4"/>
      <c r="X75" s="4"/>
      <c r="Y75" s="4"/>
      <c r="Z75" s="4"/>
      <c r="AA75" s="4"/>
    </row>
    <row r="76" spans="1:27" ht="16">
      <c r="A76" s="1"/>
      <c r="B76" s="91"/>
      <c r="C76" s="6"/>
      <c r="D76" s="2"/>
      <c r="E76" s="2"/>
      <c r="F76" s="2"/>
      <c r="G76" s="2"/>
      <c r="H76" s="14"/>
      <c r="I76" s="4"/>
      <c r="J76" s="4"/>
      <c r="K76" s="4"/>
      <c r="L76" s="4"/>
      <c r="M76" s="4"/>
      <c r="N76" s="4"/>
      <c r="O76" s="4"/>
      <c r="P76" s="4"/>
      <c r="Q76" s="4"/>
      <c r="R76" s="4"/>
      <c r="S76" s="4"/>
      <c r="T76" s="4"/>
      <c r="U76" s="4"/>
      <c r="V76" s="4"/>
      <c r="W76" s="4"/>
      <c r="X76" s="4"/>
      <c r="Y76" s="4"/>
      <c r="Z76" s="4"/>
      <c r="AA76" s="4"/>
    </row>
    <row r="77" spans="1:27" ht="16">
      <c r="A77" s="1"/>
      <c r="B77" s="91"/>
      <c r="C77" s="6"/>
      <c r="D77" s="2"/>
      <c r="E77" s="2"/>
      <c r="F77" s="2"/>
      <c r="G77" s="2"/>
      <c r="H77" s="14"/>
      <c r="I77" s="4"/>
      <c r="J77" s="4"/>
      <c r="K77" s="4"/>
      <c r="L77" s="4"/>
      <c r="M77" s="4"/>
      <c r="N77" s="4"/>
      <c r="O77" s="4"/>
      <c r="P77" s="4"/>
      <c r="Q77" s="4"/>
      <c r="R77" s="4"/>
      <c r="S77" s="4"/>
      <c r="T77" s="4"/>
      <c r="U77" s="4"/>
      <c r="V77" s="4"/>
      <c r="W77" s="4"/>
      <c r="X77" s="4"/>
      <c r="Y77" s="4"/>
      <c r="Z77" s="4"/>
      <c r="AA77" s="4"/>
    </row>
    <row r="78" spans="1:27" ht="16">
      <c r="A78" s="1"/>
      <c r="B78" s="91"/>
      <c r="C78" s="6"/>
      <c r="D78" s="2"/>
      <c r="E78" s="2"/>
      <c r="F78" s="2"/>
      <c r="G78" s="2"/>
      <c r="H78" s="14"/>
      <c r="I78" s="4"/>
      <c r="J78" s="4"/>
      <c r="K78" s="4"/>
      <c r="L78" s="4"/>
      <c r="M78" s="4"/>
      <c r="N78" s="4"/>
      <c r="O78" s="4"/>
      <c r="P78" s="4"/>
      <c r="Q78" s="4"/>
      <c r="R78" s="4"/>
      <c r="S78" s="4"/>
      <c r="T78" s="4"/>
      <c r="U78" s="4"/>
      <c r="V78" s="4"/>
      <c r="W78" s="4"/>
      <c r="X78" s="4"/>
      <c r="Y78" s="4"/>
      <c r="Z78" s="4"/>
      <c r="AA78" s="4"/>
    </row>
    <row r="79" spans="1:27" ht="16">
      <c r="A79" s="1"/>
      <c r="B79" s="91"/>
      <c r="C79" s="6"/>
      <c r="D79" s="2"/>
      <c r="E79" s="2"/>
      <c r="F79" s="2"/>
      <c r="G79" s="2"/>
      <c r="H79" s="14"/>
      <c r="I79" s="4"/>
      <c r="J79" s="4"/>
      <c r="K79" s="4"/>
      <c r="L79" s="4"/>
      <c r="M79" s="4"/>
      <c r="N79" s="4"/>
      <c r="O79" s="4"/>
      <c r="P79" s="4"/>
      <c r="Q79" s="4"/>
      <c r="R79" s="4"/>
      <c r="S79" s="4"/>
      <c r="T79" s="4"/>
      <c r="U79" s="4"/>
      <c r="V79" s="4"/>
      <c r="W79" s="4"/>
      <c r="X79" s="4"/>
      <c r="Y79" s="4"/>
      <c r="Z79" s="4"/>
      <c r="AA79" s="4"/>
    </row>
    <row r="80" spans="1:27" ht="16">
      <c r="A80" s="1"/>
      <c r="B80" s="91"/>
      <c r="C80" s="6"/>
      <c r="D80" s="2"/>
      <c r="E80" s="2"/>
      <c r="F80" s="2"/>
      <c r="G80" s="2"/>
      <c r="H80" s="14"/>
      <c r="I80" s="4"/>
      <c r="J80" s="4"/>
      <c r="K80" s="4"/>
      <c r="L80" s="4"/>
      <c r="M80" s="4"/>
      <c r="N80" s="4"/>
      <c r="O80" s="4"/>
      <c r="P80" s="4"/>
      <c r="Q80" s="4"/>
      <c r="R80" s="4"/>
      <c r="S80" s="4"/>
      <c r="T80" s="4"/>
      <c r="U80" s="4"/>
      <c r="V80" s="4"/>
      <c r="W80" s="4"/>
      <c r="X80" s="4"/>
      <c r="Y80" s="4"/>
      <c r="Z80" s="4"/>
      <c r="AA80" s="4"/>
    </row>
    <row r="81" spans="1:27" ht="16">
      <c r="A81" s="1"/>
      <c r="B81" s="91"/>
      <c r="C81" s="6"/>
      <c r="D81" s="2"/>
      <c r="E81" s="2"/>
      <c r="F81" s="2"/>
      <c r="G81" s="2"/>
      <c r="H81" s="14"/>
      <c r="I81" s="4"/>
      <c r="J81" s="4"/>
      <c r="K81" s="4"/>
      <c r="L81" s="4"/>
      <c r="M81" s="4"/>
      <c r="N81" s="4"/>
      <c r="O81" s="4"/>
      <c r="P81" s="4"/>
      <c r="Q81" s="4"/>
      <c r="R81" s="4"/>
      <c r="S81" s="4"/>
      <c r="T81" s="4"/>
      <c r="U81" s="4"/>
      <c r="V81" s="4"/>
      <c r="W81" s="4"/>
      <c r="X81" s="4"/>
      <c r="Y81" s="4"/>
      <c r="Z81" s="4"/>
      <c r="AA81" s="4"/>
    </row>
    <row r="82" spans="1:27" ht="16">
      <c r="A82" s="1"/>
      <c r="B82" s="91"/>
      <c r="C82" s="6"/>
      <c r="D82" s="2"/>
      <c r="E82" s="2"/>
      <c r="F82" s="2"/>
      <c r="G82" s="2"/>
      <c r="H82" s="14"/>
      <c r="I82" s="4"/>
      <c r="J82" s="4"/>
      <c r="K82" s="4"/>
      <c r="L82" s="4"/>
      <c r="M82" s="4"/>
      <c r="N82" s="4"/>
      <c r="O82" s="4"/>
      <c r="P82" s="4"/>
      <c r="Q82" s="4"/>
      <c r="R82" s="4"/>
      <c r="S82" s="4"/>
      <c r="T82" s="4"/>
      <c r="U82" s="4"/>
      <c r="V82" s="4"/>
      <c r="W82" s="4"/>
      <c r="X82" s="4"/>
      <c r="Y82" s="4"/>
      <c r="Z82" s="4"/>
      <c r="AA82" s="4"/>
    </row>
    <row r="83" spans="1:27" ht="16">
      <c r="A83" s="1"/>
      <c r="B83" s="91"/>
      <c r="C83" s="6"/>
      <c r="D83" s="2"/>
      <c r="E83" s="2"/>
      <c r="F83" s="2"/>
      <c r="G83" s="2"/>
      <c r="H83" s="14"/>
      <c r="I83" s="4"/>
      <c r="J83" s="4"/>
      <c r="K83" s="4"/>
      <c r="L83" s="4"/>
      <c r="M83" s="4"/>
      <c r="N83" s="4"/>
      <c r="O83" s="4"/>
      <c r="P83" s="4"/>
      <c r="Q83" s="4"/>
      <c r="R83" s="4"/>
      <c r="S83" s="4"/>
      <c r="T83" s="4"/>
      <c r="U83" s="4"/>
      <c r="V83" s="4"/>
      <c r="W83" s="4"/>
      <c r="X83" s="4"/>
      <c r="Y83" s="4"/>
      <c r="Z83" s="4"/>
      <c r="AA83" s="4"/>
    </row>
    <row r="84" spans="1:27" ht="16">
      <c r="A84" s="1"/>
      <c r="B84" s="91"/>
      <c r="C84" s="6"/>
      <c r="D84" s="2"/>
      <c r="E84" s="2"/>
      <c r="F84" s="2"/>
      <c r="G84" s="2"/>
      <c r="H84" s="14"/>
      <c r="I84" s="4"/>
      <c r="J84" s="4"/>
      <c r="K84" s="4"/>
      <c r="L84" s="4"/>
      <c r="M84" s="4"/>
      <c r="N84" s="4"/>
      <c r="O84" s="4"/>
      <c r="P84" s="4"/>
      <c r="Q84" s="4"/>
      <c r="R84" s="4"/>
      <c r="S84" s="4"/>
      <c r="T84" s="4"/>
      <c r="U84" s="4"/>
      <c r="V84" s="4"/>
      <c r="W84" s="4"/>
      <c r="X84" s="4"/>
      <c r="Y84" s="4"/>
      <c r="Z84" s="4"/>
      <c r="AA84" s="4"/>
    </row>
    <row r="85" spans="1:27" ht="16">
      <c r="A85" s="1"/>
      <c r="B85" s="91"/>
      <c r="C85" s="6"/>
      <c r="D85" s="2"/>
      <c r="E85" s="2"/>
      <c r="F85" s="2"/>
      <c r="G85" s="2"/>
      <c r="H85" s="14"/>
      <c r="I85" s="4"/>
      <c r="J85" s="4"/>
      <c r="K85" s="4"/>
      <c r="L85" s="4"/>
      <c r="M85" s="4"/>
      <c r="N85" s="4"/>
      <c r="O85" s="4"/>
      <c r="P85" s="4"/>
      <c r="Q85" s="4"/>
      <c r="R85" s="4"/>
      <c r="S85" s="4"/>
      <c r="T85" s="4"/>
      <c r="U85" s="4"/>
      <c r="V85" s="4"/>
      <c r="W85" s="4"/>
      <c r="X85" s="4"/>
      <c r="Y85" s="4"/>
      <c r="Z85" s="4"/>
      <c r="AA85" s="4"/>
    </row>
    <row r="86" spans="1:27" ht="16">
      <c r="A86" s="1"/>
      <c r="B86" s="91"/>
      <c r="C86" s="6"/>
      <c r="D86" s="2"/>
      <c r="E86" s="2"/>
      <c r="F86" s="2"/>
      <c r="G86" s="2"/>
      <c r="H86" s="14"/>
      <c r="I86" s="4"/>
      <c r="J86" s="4"/>
      <c r="K86" s="4"/>
      <c r="L86" s="4"/>
      <c r="M86" s="4"/>
      <c r="N86" s="4"/>
      <c r="O86" s="4"/>
      <c r="P86" s="4"/>
      <c r="Q86" s="4"/>
      <c r="R86" s="4"/>
      <c r="S86" s="4"/>
      <c r="T86" s="4"/>
      <c r="U86" s="4"/>
      <c r="V86" s="4"/>
      <c r="W86" s="4"/>
      <c r="X86" s="4"/>
      <c r="Y86" s="4"/>
      <c r="Z86" s="4"/>
      <c r="AA86" s="4"/>
    </row>
    <row r="87" spans="1:27" ht="16">
      <c r="A87" s="1"/>
      <c r="B87" s="91"/>
      <c r="C87" s="6"/>
      <c r="D87" s="2"/>
      <c r="E87" s="2"/>
      <c r="F87" s="2"/>
      <c r="G87" s="2"/>
      <c r="H87" s="14"/>
      <c r="I87" s="4"/>
      <c r="J87" s="4"/>
      <c r="K87" s="4"/>
      <c r="L87" s="4"/>
      <c r="M87" s="4"/>
      <c r="N87" s="4"/>
      <c r="O87" s="4"/>
      <c r="P87" s="4"/>
      <c r="Q87" s="4"/>
      <c r="R87" s="4"/>
      <c r="S87" s="4"/>
      <c r="T87" s="4"/>
      <c r="U87" s="4"/>
      <c r="V87" s="4"/>
      <c r="W87" s="4"/>
      <c r="X87" s="4"/>
      <c r="Y87" s="4"/>
      <c r="Z87" s="4"/>
      <c r="AA87" s="4"/>
    </row>
    <row r="88" spans="1:27" ht="16">
      <c r="A88" s="1"/>
      <c r="B88" s="91"/>
      <c r="C88" s="6"/>
      <c r="D88" s="2"/>
      <c r="E88" s="2"/>
      <c r="F88" s="2"/>
      <c r="G88" s="2"/>
      <c r="H88" s="14"/>
      <c r="I88" s="4"/>
      <c r="J88" s="4"/>
      <c r="K88" s="4"/>
      <c r="L88" s="4"/>
      <c r="M88" s="4"/>
      <c r="N88" s="4"/>
      <c r="O88" s="4"/>
      <c r="P88" s="4"/>
      <c r="Q88" s="4"/>
      <c r="R88" s="4"/>
      <c r="S88" s="4"/>
      <c r="T88" s="4"/>
      <c r="U88" s="4"/>
      <c r="V88" s="4"/>
      <c r="W88" s="4"/>
      <c r="X88" s="4"/>
      <c r="Y88" s="4"/>
      <c r="Z88" s="4"/>
      <c r="AA88" s="4"/>
    </row>
    <row r="89" spans="1:27" ht="16">
      <c r="A89" s="1"/>
      <c r="B89" s="91"/>
      <c r="C89" s="6"/>
      <c r="D89" s="2"/>
      <c r="E89" s="2"/>
      <c r="F89" s="2"/>
      <c r="G89" s="2"/>
      <c r="H89" s="14"/>
      <c r="I89" s="4"/>
      <c r="J89" s="4"/>
      <c r="K89" s="4"/>
      <c r="L89" s="4"/>
      <c r="M89" s="4"/>
      <c r="N89" s="4"/>
      <c r="O89" s="4"/>
      <c r="P89" s="4"/>
      <c r="Q89" s="4"/>
      <c r="R89" s="4"/>
      <c r="S89" s="4"/>
      <c r="T89" s="4"/>
      <c r="U89" s="4"/>
      <c r="V89" s="4"/>
      <c r="W89" s="4"/>
      <c r="X89" s="4"/>
      <c r="Y89" s="4"/>
      <c r="Z89" s="4"/>
      <c r="AA89" s="4"/>
    </row>
    <row r="90" spans="1:27" ht="16">
      <c r="A90" s="1"/>
      <c r="B90" s="91"/>
      <c r="C90" s="6"/>
      <c r="D90" s="2"/>
      <c r="E90" s="2"/>
      <c r="F90" s="2"/>
      <c r="G90" s="2"/>
      <c r="H90" s="14"/>
      <c r="I90" s="4"/>
      <c r="J90" s="4"/>
      <c r="K90" s="4"/>
      <c r="L90" s="4"/>
      <c r="M90" s="4"/>
      <c r="N90" s="4"/>
      <c r="O90" s="4"/>
      <c r="P90" s="4"/>
      <c r="Q90" s="4"/>
      <c r="R90" s="4"/>
      <c r="S90" s="4"/>
      <c r="T90" s="4"/>
      <c r="U90" s="4"/>
      <c r="V90" s="4"/>
      <c r="W90" s="4"/>
      <c r="X90" s="4"/>
      <c r="Y90" s="4"/>
      <c r="Z90" s="4"/>
      <c r="AA90" s="4"/>
    </row>
    <row r="91" spans="1:27" ht="16">
      <c r="A91" s="1"/>
      <c r="B91" s="91"/>
      <c r="C91" s="6"/>
      <c r="D91" s="2"/>
      <c r="E91" s="2"/>
      <c r="F91" s="2"/>
      <c r="G91" s="2"/>
      <c r="H91" s="14"/>
      <c r="I91" s="4"/>
      <c r="J91" s="4"/>
      <c r="K91" s="4"/>
      <c r="L91" s="4"/>
      <c r="M91" s="4"/>
      <c r="N91" s="4"/>
      <c r="O91" s="4"/>
      <c r="P91" s="4"/>
      <c r="Q91" s="4"/>
      <c r="R91" s="4"/>
      <c r="S91" s="4"/>
      <c r="T91" s="4"/>
      <c r="U91" s="4"/>
      <c r="V91" s="4"/>
      <c r="W91" s="4"/>
      <c r="X91" s="4"/>
      <c r="Y91" s="4"/>
      <c r="Z91" s="4"/>
      <c r="AA91" s="4"/>
    </row>
    <row r="92" spans="1:27" ht="16">
      <c r="A92" s="1"/>
      <c r="B92" s="91"/>
      <c r="C92" s="6"/>
      <c r="D92" s="2"/>
      <c r="E92" s="2"/>
      <c r="F92" s="2"/>
      <c r="G92" s="2"/>
      <c r="H92" s="14"/>
      <c r="I92" s="4"/>
      <c r="J92" s="4"/>
      <c r="K92" s="4"/>
      <c r="L92" s="4"/>
      <c r="M92" s="4"/>
      <c r="N92" s="4"/>
      <c r="O92" s="4"/>
      <c r="P92" s="4"/>
      <c r="Q92" s="4"/>
      <c r="R92" s="4"/>
      <c r="S92" s="4"/>
      <c r="T92" s="4"/>
      <c r="U92" s="4"/>
      <c r="V92" s="4"/>
      <c r="W92" s="4"/>
      <c r="X92" s="4"/>
      <c r="Y92" s="4"/>
      <c r="Z92" s="4"/>
      <c r="AA92" s="4"/>
    </row>
    <row r="93" spans="1:27" ht="16">
      <c r="A93" s="1"/>
      <c r="B93" s="91"/>
      <c r="C93" s="6"/>
      <c r="D93" s="2"/>
      <c r="E93" s="2"/>
      <c r="F93" s="2"/>
      <c r="G93" s="2"/>
      <c r="H93" s="14"/>
      <c r="I93" s="4"/>
      <c r="J93" s="4"/>
      <c r="K93" s="4"/>
      <c r="L93" s="4"/>
      <c r="M93" s="4"/>
      <c r="N93" s="4"/>
      <c r="O93" s="4"/>
      <c r="P93" s="4"/>
      <c r="Q93" s="4"/>
      <c r="R93" s="4"/>
      <c r="S93" s="4"/>
      <c r="T93" s="4"/>
      <c r="U93" s="4"/>
      <c r="V93" s="4"/>
      <c r="W93" s="4"/>
      <c r="X93" s="4"/>
      <c r="Y93" s="4"/>
      <c r="Z93" s="4"/>
      <c r="AA93" s="4"/>
    </row>
    <row r="94" spans="1:27" ht="16">
      <c r="A94" s="1"/>
      <c r="B94" s="91"/>
      <c r="C94" s="6"/>
      <c r="D94" s="2"/>
      <c r="E94" s="2"/>
      <c r="F94" s="2"/>
      <c r="G94" s="2"/>
      <c r="H94" s="14"/>
      <c r="I94" s="4"/>
      <c r="J94" s="4"/>
      <c r="K94" s="4"/>
      <c r="L94" s="4"/>
      <c r="M94" s="4"/>
      <c r="N94" s="4"/>
      <c r="O94" s="4"/>
      <c r="P94" s="4"/>
      <c r="Q94" s="4"/>
      <c r="R94" s="4"/>
      <c r="S94" s="4"/>
      <c r="T94" s="4"/>
      <c r="U94" s="4"/>
      <c r="V94" s="4"/>
      <c r="W94" s="4"/>
      <c r="X94" s="4"/>
      <c r="Y94" s="4"/>
      <c r="Z94" s="4"/>
      <c r="AA94" s="4"/>
    </row>
    <row r="95" spans="1:27" ht="16">
      <c r="A95" s="1"/>
      <c r="B95" s="91"/>
      <c r="C95" s="6"/>
      <c r="D95" s="2"/>
      <c r="E95" s="2"/>
      <c r="F95" s="2"/>
      <c r="G95" s="2"/>
      <c r="H95" s="14"/>
      <c r="I95" s="4"/>
      <c r="J95" s="4"/>
      <c r="K95" s="4"/>
      <c r="L95" s="4"/>
      <c r="M95" s="4"/>
      <c r="N95" s="4"/>
      <c r="O95" s="4"/>
      <c r="P95" s="4"/>
      <c r="Q95" s="4"/>
      <c r="R95" s="4"/>
      <c r="S95" s="4"/>
      <c r="T95" s="4"/>
      <c r="U95" s="4"/>
      <c r="V95" s="4"/>
      <c r="W95" s="4"/>
      <c r="X95" s="4"/>
      <c r="Y95" s="4"/>
      <c r="Z95" s="4"/>
      <c r="AA95" s="4"/>
    </row>
    <row r="96" spans="1:27" ht="16">
      <c r="A96" s="1"/>
      <c r="B96" s="91"/>
      <c r="C96" s="6"/>
      <c r="D96" s="2"/>
      <c r="E96" s="2"/>
      <c r="F96" s="2"/>
      <c r="G96" s="2"/>
      <c r="H96" s="14"/>
      <c r="I96" s="4"/>
      <c r="J96" s="4"/>
      <c r="K96" s="4"/>
      <c r="L96" s="4"/>
      <c r="M96" s="4"/>
      <c r="N96" s="4"/>
      <c r="O96" s="4"/>
      <c r="P96" s="4"/>
      <c r="Q96" s="4"/>
      <c r="R96" s="4"/>
      <c r="S96" s="4"/>
      <c r="T96" s="4"/>
      <c r="U96" s="4"/>
      <c r="V96" s="4"/>
      <c r="W96" s="4"/>
      <c r="X96" s="4"/>
      <c r="Y96" s="4"/>
      <c r="Z96" s="4"/>
      <c r="AA96" s="4"/>
    </row>
    <row r="97" spans="1:27" ht="16">
      <c r="A97" s="1"/>
      <c r="B97" s="91"/>
      <c r="C97" s="6"/>
      <c r="D97" s="2"/>
      <c r="E97" s="2"/>
      <c r="F97" s="2"/>
      <c r="G97" s="2"/>
      <c r="H97" s="14"/>
      <c r="I97" s="4"/>
      <c r="J97" s="4"/>
      <c r="K97" s="4"/>
      <c r="L97" s="4"/>
      <c r="M97" s="4"/>
      <c r="N97" s="4"/>
      <c r="O97" s="4"/>
      <c r="P97" s="4"/>
      <c r="Q97" s="4"/>
      <c r="R97" s="4"/>
      <c r="S97" s="4"/>
      <c r="T97" s="4"/>
      <c r="U97" s="4"/>
      <c r="V97" s="4"/>
      <c r="W97" s="4"/>
      <c r="X97" s="4"/>
      <c r="Y97" s="4"/>
      <c r="Z97" s="4"/>
      <c r="AA97" s="4"/>
    </row>
    <row r="98" spans="1:27" ht="16">
      <c r="A98" s="1"/>
      <c r="B98" s="92"/>
      <c r="C98" s="18"/>
      <c r="D98" s="19"/>
      <c r="E98" s="19"/>
      <c r="F98" s="19"/>
      <c r="G98" s="19"/>
      <c r="H98" s="20"/>
      <c r="I98" s="4"/>
      <c r="J98" s="4"/>
      <c r="K98" s="4"/>
      <c r="L98" s="4"/>
      <c r="M98" s="4"/>
      <c r="N98" s="4"/>
      <c r="O98" s="4"/>
      <c r="P98" s="4"/>
      <c r="Q98" s="4"/>
      <c r="R98" s="4"/>
      <c r="S98" s="4"/>
      <c r="T98" s="4"/>
      <c r="U98" s="4"/>
      <c r="V98" s="4"/>
      <c r="W98" s="4"/>
      <c r="X98" s="4"/>
      <c r="Y98" s="4"/>
      <c r="Z98" s="4"/>
      <c r="AA98" s="4"/>
    </row>
    <row r="99" spans="1:27" ht="16">
      <c r="A99" s="1"/>
      <c r="B99" s="2"/>
      <c r="C99" s="6"/>
      <c r="D99" s="2"/>
      <c r="E99" s="2"/>
      <c r="F99" s="2"/>
      <c r="G99" s="2"/>
      <c r="H99" s="1"/>
      <c r="I99" s="4"/>
      <c r="J99" s="4"/>
      <c r="K99" s="4"/>
      <c r="L99" s="4"/>
      <c r="M99" s="4"/>
      <c r="N99" s="4"/>
      <c r="O99" s="4"/>
      <c r="P99" s="4"/>
      <c r="Q99" s="4"/>
      <c r="R99" s="4"/>
      <c r="S99" s="4"/>
      <c r="T99" s="4"/>
      <c r="U99" s="4"/>
      <c r="V99" s="4"/>
      <c r="W99" s="4"/>
      <c r="X99" s="4"/>
      <c r="Y99" s="4"/>
      <c r="Z99" s="4"/>
      <c r="AA99" s="4"/>
    </row>
    <row r="100" spans="1:27" ht="16">
      <c r="A100" s="1"/>
      <c r="B100" s="57" t="s">
        <v>18</v>
      </c>
      <c r="C100" s="6"/>
      <c r="D100" s="2"/>
      <c r="E100" s="2"/>
      <c r="F100" s="2"/>
      <c r="G100" s="2"/>
      <c r="H100" s="1"/>
      <c r="I100" s="4"/>
      <c r="J100" s="4"/>
      <c r="K100" s="4"/>
      <c r="L100" s="4"/>
      <c r="M100" s="4"/>
      <c r="N100" s="4"/>
      <c r="O100" s="4"/>
      <c r="P100" s="4"/>
      <c r="Q100" s="4"/>
      <c r="R100" s="4"/>
      <c r="S100" s="4"/>
      <c r="T100" s="4"/>
      <c r="U100" s="4"/>
      <c r="V100" s="4"/>
      <c r="W100" s="4"/>
      <c r="X100" s="4"/>
      <c r="Y100" s="4"/>
      <c r="Z100" s="4"/>
      <c r="AA100" s="4"/>
    </row>
    <row r="101" spans="1:27" ht="16">
      <c r="A101" s="1"/>
      <c r="B101" s="90"/>
      <c r="C101" s="9"/>
      <c r="D101" s="10"/>
      <c r="E101" s="10"/>
      <c r="F101" s="10"/>
      <c r="G101" s="10"/>
      <c r="H101" s="11"/>
      <c r="I101" s="4"/>
      <c r="J101" s="4"/>
      <c r="K101" s="4"/>
      <c r="L101" s="4"/>
      <c r="M101" s="4"/>
      <c r="N101" s="4"/>
      <c r="O101" s="4"/>
      <c r="P101" s="4"/>
      <c r="Q101" s="4"/>
      <c r="R101" s="4"/>
      <c r="S101" s="4"/>
      <c r="T101" s="4"/>
      <c r="U101" s="4"/>
      <c r="V101" s="4"/>
      <c r="W101" s="4"/>
      <c r="X101" s="4"/>
      <c r="Y101" s="4"/>
      <c r="Z101" s="4"/>
      <c r="AA101" s="4"/>
    </row>
    <row r="102" spans="1:27" ht="16">
      <c r="A102" s="1"/>
      <c r="B102" s="91"/>
      <c r="C102" s="6"/>
      <c r="D102" s="2"/>
      <c r="E102" s="2"/>
      <c r="F102" s="2"/>
      <c r="G102" s="2"/>
      <c r="H102" s="14"/>
      <c r="I102" s="4"/>
      <c r="J102" s="4"/>
      <c r="K102" s="4"/>
      <c r="L102" s="4"/>
      <c r="M102" s="4"/>
      <c r="N102" s="4"/>
      <c r="O102" s="4"/>
      <c r="P102" s="4"/>
      <c r="Q102" s="4"/>
      <c r="R102" s="4"/>
      <c r="S102" s="4"/>
      <c r="T102" s="4"/>
      <c r="U102" s="4"/>
      <c r="V102" s="4"/>
      <c r="W102" s="4"/>
      <c r="X102" s="4"/>
      <c r="Y102" s="4"/>
      <c r="Z102" s="4"/>
      <c r="AA102" s="4"/>
    </row>
    <row r="103" spans="1:27" ht="16">
      <c r="A103" s="1"/>
      <c r="B103" s="91"/>
      <c r="C103" s="6"/>
      <c r="D103" s="2"/>
      <c r="E103" s="2"/>
      <c r="F103" s="2"/>
      <c r="G103" s="2"/>
      <c r="H103" s="14"/>
      <c r="I103" s="4"/>
      <c r="J103" s="4"/>
      <c r="K103" s="4"/>
      <c r="L103" s="4"/>
      <c r="M103" s="4"/>
      <c r="N103" s="4"/>
      <c r="O103" s="4"/>
      <c r="P103" s="4"/>
      <c r="Q103" s="4"/>
      <c r="R103" s="4"/>
      <c r="S103" s="4"/>
      <c r="T103" s="4"/>
      <c r="U103" s="4"/>
      <c r="V103" s="4"/>
      <c r="W103" s="4"/>
      <c r="X103" s="4"/>
      <c r="Y103" s="4"/>
      <c r="Z103" s="4"/>
      <c r="AA103" s="4"/>
    </row>
    <row r="104" spans="1:27" ht="16">
      <c r="A104" s="1"/>
      <c r="B104" s="91"/>
      <c r="C104" s="6"/>
      <c r="D104" s="2"/>
      <c r="E104" s="2"/>
      <c r="F104" s="2"/>
      <c r="G104" s="2"/>
      <c r="H104" s="14"/>
      <c r="I104" s="4"/>
      <c r="J104" s="4"/>
      <c r="K104" s="4"/>
      <c r="L104" s="4"/>
      <c r="M104" s="4"/>
      <c r="N104" s="4"/>
      <c r="O104" s="4"/>
      <c r="P104" s="4"/>
      <c r="Q104" s="4"/>
      <c r="R104" s="4"/>
      <c r="S104" s="4"/>
      <c r="T104" s="4"/>
      <c r="U104" s="4"/>
      <c r="V104" s="4"/>
      <c r="W104" s="4"/>
      <c r="X104" s="4"/>
      <c r="Y104" s="4"/>
      <c r="Z104" s="4"/>
      <c r="AA104" s="4"/>
    </row>
    <row r="105" spans="1:27" ht="16">
      <c r="A105" s="1"/>
      <c r="B105" s="91"/>
      <c r="C105" s="6"/>
      <c r="D105" s="2"/>
      <c r="E105" s="2"/>
      <c r="F105" s="2"/>
      <c r="G105" s="2"/>
      <c r="H105" s="14"/>
      <c r="I105" s="4"/>
      <c r="J105" s="4"/>
      <c r="K105" s="4"/>
      <c r="L105" s="4"/>
      <c r="M105" s="4"/>
      <c r="N105" s="4"/>
      <c r="O105" s="4"/>
      <c r="P105" s="4"/>
      <c r="Q105" s="4"/>
      <c r="R105" s="4"/>
      <c r="S105" s="4"/>
      <c r="T105" s="4"/>
      <c r="U105" s="4"/>
      <c r="V105" s="4"/>
      <c r="W105" s="4"/>
      <c r="X105" s="4"/>
      <c r="Y105" s="4"/>
      <c r="Z105" s="4"/>
      <c r="AA105" s="4"/>
    </row>
    <row r="106" spans="1:27" ht="16">
      <c r="A106" s="1"/>
      <c r="B106" s="91"/>
      <c r="C106" s="6"/>
      <c r="D106" s="2"/>
      <c r="E106" s="2"/>
      <c r="F106" s="2"/>
      <c r="G106" s="2"/>
      <c r="H106" s="14"/>
      <c r="I106" s="4"/>
      <c r="J106" s="4"/>
      <c r="K106" s="4"/>
      <c r="L106" s="4"/>
      <c r="M106" s="4"/>
      <c r="N106" s="4"/>
      <c r="O106" s="4"/>
      <c r="P106" s="4"/>
      <c r="Q106" s="4"/>
      <c r="R106" s="4"/>
      <c r="S106" s="4"/>
      <c r="T106" s="4"/>
      <c r="U106" s="4"/>
      <c r="V106" s="4"/>
      <c r="W106" s="4"/>
      <c r="X106" s="4"/>
      <c r="Y106" s="4"/>
      <c r="Z106" s="4"/>
      <c r="AA106" s="4"/>
    </row>
    <row r="107" spans="1:27" ht="16">
      <c r="A107" s="1"/>
      <c r="B107" s="91"/>
      <c r="C107" s="6"/>
      <c r="D107" s="2"/>
      <c r="E107" s="2"/>
      <c r="F107" s="2"/>
      <c r="G107" s="2"/>
      <c r="H107" s="14"/>
      <c r="I107" s="4"/>
      <c r="J107" s="4"/>
      <c r="K107" s="4"/>
      <c r="L107" s="4"/>
      <c r="M107" s="4"/>
      <c r="N107" s="4"/>
      <c r="O107" s="4"/>
      <c r="P107" s="4"/>
      <c r="Q107" s="4"/>
      <c r="R107" s="4"/>
      <c r="S107" s="4"/>
      <c r="T107" s="4"/>
      <c r="U107" s="4"/>
      <c r="V107" s="4"/>
      <c r="W107" s="4"/>
      <c r="X107" s="4"/>
      <c r="Y107" s="4"/>
      <c r="Z107" s="4"/>
      <c r="AA107" s="4"/>
    </row>
    <row r="108" spans="1:27" ht="16">
      <c r="A108" s="1"/>
      <c r="B108" s="91"/>
      <c r="C108" s="6"/>
      <c r="D108" s="2"/>
      <c r="E108" s="2"/>
      <c r="F108" s="2"/>
      <c r="G108" s="2"/>
      <c r="H108" s="14"/>
      <c r="I108" s="4"/>
      <c r="J108" s="4"/>
      <c r="K108" s="4"/>
      <c r="L108" s="4"/>
      <c r="M108" s="4"/>
      <c r="N108" s="4"/>
      <c r="O108" s="4"/>
      <c r="P108" s="4"/>
      <c r="Q108" s="4"/>
      <c r="R108" s="4"/>
      <c r="S108" s="4"/>
      <c r="T108" s="4"/>
      <c r="U108" s="4"/>
      <c r="V108" s="4"/>
      <c r="W108" s="4"/>
      <c r="X108" s="4"/>
      <c r="Y108" s="4"/>
      <c r="Z108" s="4"/>
      <c r="AA108" s="4"/>
    </row>
    <row r="109" spans="1:27" ht="16">
      <c r="A109" s="1"/>
      <c r="B109" s="91"/>
      <c r="C109" s="6"/>
      <c r="D109" s="2"/>
      <c r="E109" s="2"/>
      <c r="F109" s="2"/>
      <c r="G109" s="2"/>
      <c r="H109" s="14"/>
      <c r="I109" s="4"/>
      <c r="J109" s="4"/>
      <c r="K109" s="4"/>
      <c r="L109" s="4"/>
      <c r="M109" s="4"/>
      <c r="N109" s="4"/>
      <c r="O109" s="4"/>
      <c r="P109" s="4"/>
      <c r="Q109" s="4"/>
      <c r="R109" s="4"/>
      <c r="S109" s="4"/>
      <c r="T109" s="4"/>
      <c r="U109" s="4"/>
      <c r="V109" s="4"/>
      <c r="W109" s="4"/>
      <c r="X109" s="4"/>
      <c r="Y109" s="4"/>
      <c r="Z109" s="4"/>
      <c r="AA109" s="4"/>
    </row>
    <row r="110" spans="1:27" ht="16">
      <c r="A110" s="1"/>
      <c r="B110" s="91"/>
      <c r="C110" s="6"/>
      <c r="D110" s="2"/>
      <c r="E110" s="2"/>
      <c r="F110" s="2"/>
      <c r="G110" s="2"/>
      <c r="H110" s="14"/>
      <c r="I110" s="4"/>
      <c r="J110" s="4"/>
      <c r="K110" s="4"/>
      <c r="L110" s="4"/>
      <c r="M110" s="4"/>
      <c r="N110" s="4"/>
      <c r="O110" s="4"/>
      <c r="P110" s="4"/>
      <c r="Q110" s="4"/>
      <c r="R110" s="4"/>
      <c r="S110" s="4"/>
      <c r="T110" s="4"/>
      <c r="U110" s="4"/>
      <c r="V110" s="4"/>
      <c r="W110" s="4"/>
      <c r="X110" s="4"/>
      <c r="Y110" s="4"/>
      <c r="Z110" s="4"/>
      <c r="AA110" s="4"/>
    </row>
    <row r="111" spans="1:27" ht="16">
      <c r="A111" s="1"/>
      <c r="B111" s="91"/>
      <c r="C111" s="6"/>
      <c r="D111" s="2"/>
      <c r="E111" s="2"/>
      <c r="F111" s="2"/>
      <c r="G111" s="2"/>
      <c r="H111" s="14"/>
      <c r="I111" s="4"/>
      <c r="J111" s="4"/>
      <c r="K111" s="4"/>
      <c r="L111" s="4"/>
      <c r="M111" s="4"/>
      <c r="N111" s="4"/>
      <c r="O111" s="4"/>
      <c r="P111" s="4"/>
      <c r="Q111" s="4"/>
      <c r="R111" s="4"/>
      <c r="S111" s="4"/>
      <c r="T111" s="4"/>
      <c r="U111" s="4"/>
      <c r="V111" s="4"/>
      <c r="W111" s="4"/>
      <c r="X111" s="4"/>
      <c r="Y111" s="4"/>
      <c r="Z111" s="4"/>
      <c r="AA111" s="4"/>
    </row>
    <row r="112" spans="1:27" ht="16">
      <c r="A112" s="1"/>
      <c r="B112" s="91"/>
      <c r="C112" s="6"/>
      <c r="D112" s="2"/>
      <c r="E112" s="2"/>
      <c r="F112" s="2"/>
      <c r="G112" s="2"/>
      <c r="H112" s="14"/>
      <c r="I112" s="4"/>
      <c r="J112" s="4"/>
      <c r="K112" s="4"/>
      <c r="L112" s="4"/>
      <c r="M112" s="4"/>
      <c r="N112" s="4"/>
      <c r="O112" s="4"/>
      <c r="P112" s="4"/>
      <c r="Q112" s="4"/>
      <c r="R112" s="4"/>
      <c r="S112" s="4"/>
      <c r="T112" s="4"/>
      <c r="U112" s="4"/>
      <c r="V112" s="4"/>
      <c r="W112" s="4"/>
      <c r="X112" s="4"/>
      <c r="Y112" s="4"/>
      <c r="Z112" s="4"/>
      <c r="AA112" s="4"/>
    </row>
    <row r="113" spans="1:27" ht="16">
      <c r="A113" s="1"/>
      <c r="B113" s="91"/>
      <c r="C113" s="6"/>
      <c r="D113" s="2"/>
      <c r="E113" s="2"/>
      <c r="F113" s="2"/>
      <c r="G113" s="2"/>
      <c r="H113" s="14"/>
      <c r="I113" s="4"/>
      <c r="J113" s="4"/>
      <c r="K113" s="4"/>
      <c r="L113" s="4"/>
      <c r="M113" s="4"/>
      <c r="N113" s="4"/>
      <c r="O113" s="4"/>
      <c r="P113" s="4"/>
      <c r="Q113" s="4"/>
      <c r="R113" s="4"/>
      <c r="S113" s="4"/>
      <c r="T113" s="4"/>
      <c r="U113" s="4"/>
      <c r="V113" s="4"/>
      <c r="W113" s="4"/>
      <c r="X113" s="4"/>
      <c r="Y113" s="4"/>
      <c r="Z113" s="4"/>
      <c r="AA113" s="4"/>
    </row>
    <row r="114" spans="1:27" ht="16">
      <c r="A114" s="1"/>
      <c r="B114" s="91"/>
      <c r="C114" s="6"/>
      <c r="D114" s="2"/>
      <c r="E114" s="2"/>
      <c r="F114" s="2"/>
      <c r="G114" s="2"/>
      <c r="H114" s="14"/>
      <c r="I114" s="4"/>
      <c r="J114" s="4"/>
      <c r="K114" s="4"/>
      <c r="L114" s="4"/>
      <c r="M114" s="4"/>
      <c r="N114" s="4"/>
      <c r="O114" s="4"/>
      <c r="P114" s="4"/>
      <c r="Q114" s="4"/>
      <c r="R114" s="4"/>
      <c r="S114" s="4"/>
      <c r="T114" s="4"/>
      <c r="U114" s="4"/>
      <c r="V114" s="4"/>
      <c r="W114" s="4"/>
      <c r="X114" s="4"/>
      <c r="Y114" s="4"/>
      <c r="Z114" s="4"/>
      <c r="AA114" s="4"/>
    </row>
    <row r="115" spans="1:27" ht="16">
      <c r="A115" s="1"/>
      <c r="B115" s="91"/>
      <c r="C115" s="6"/>
      <c r="D115" s="2"/>
      <c r="E115" s="2"/>
      <c r="F115" s="2"/>
      <c r="G115" s="2"/>
      <c r="H115" s="14"/>
      <c r="I115" s="4"/>
      <c r="J115" s="4"/>
      <c r="K115" s="4"/>
      <c r="L115" s="4"/>
      <c r="M115" s="4"/>
      <c r="N115" s="4"/>
      <c r="O115" s="4"/>
      <c r="P115" s="4"/>
      <c r="Q115" s="4"/>
      <c r="R115" s="4"/>
      <c r="S115" s="4"/>
      <c r="T115" s="4"/>
      <c r="U115" s="4"/>
      <c r="V115" s="4"/>
      <c r="W115" s="4"/>
      <c r="X115" s="4"/>
      <c r="Y115" s="4"/>
      <c r="Z115" s="4"/>
      <c r="AA115" s="4"/>
    </row>
    <row r="116" spans="1:27" ht="16">
      <c r="A116" s="1"/>
      <c r="B116" s="91"/>
      <c r="C116" s="6"/>
      <c r="D116" s="2"/>
      <c r="E116" s="2"/>
      <c r="F116" s="2"/>
      <c r="G116" s="2"/>
      <c r="H116" s="14"/>
      <c r="I116" s="4"/>
      <c r="J116" s="4"/>
      <c r="K116" s="4"/>
      <c r="L116" s="4"/>
      <c r="M116" s="4"/>
      <c r="N116" s="4"/>
      <c r="O116" s="4"/>
      <c r="P116" s="4"/>
      <c r="Q116" s="4"/>
      <c r="R116" s="4"/>
      <c r="S116" s="4"/>
      <c r="T116" s="4"/>
      <c r="U116" s="4"/>
      <c r="V116" s="4"/>
      <c r="W116" s="4"/>
      <c r="X116" s="4"/>
      <c r="Y116" s="4"/>
      <c r="Z116" s="4"/>
      <c r="AA116" s="4"/>
    </row>
    <row r="117" spans="1:27" ht="16">
      <c r="A117" s="1"/>
      <c r="B117" s="91"/>
      <c r="C117" s="6"/>
      <c r="D117" s="2"/>
      <c r="E117" s="2"/>
      <c r="F117" s="2"/>
      <c r="G117" s="2"/>
      <c r="H117" s="14"/>
      <c r="I117" s="4"/>
      <c r="J117" s="4"/>
      <c r="K117" s="4"/>
      <c r="L117" s="4"/>
      <c r="M117" s="4"/>
      <c r="N117" s="4"/>
      <c r="O117" s="4"/>
      <c r="P117" s="4"/>
      <c r="Q117" s="4"/>
      <c r="R117" s="4"/>
      <c r="S117" s="4"/>
      <c r="T117" s="4"/>
      <c r="U117" s="4"/>
      <c r="V117" s="4"/>
      <c r="W117" s="4"/>
      <c r="X117" s="4"/>
      <c r="Y117" s="4"/>
      <c r="Z117" s="4"/>
      <c r="AA117" s="4"/>
    </row>
    <row r="118" spans="1:27" ht="16">
      <c r="A118" s="1"/>
      <c r="B118" s="91"/>
      <c r="C118" s="6"/>
      <c r="D118" s="2"/>
      <c r="E118" s="2"/>
      <c r="F118" s="2"/>
      <c r="G118" s="2"/>
      <c r="H118" s="14"/>
      <c r="I118" s="4"/>
      <c r="J118" s="4"/>
      <c r="K118" s="4"/>
      <c r="L118" s="4"/>
      <c r="M118" s="4"/>
      <c r="N118" s="4"/>
      <c r="O118" s="4"/>
      <c r="P118" s="4"/>
      <c r="Q118" s="4"/>
      <c r="R118" s="4"/>
      <c r="S118" s="4"/>
      <c r="T118" s="4"/>
      <c r="U118" s="4"/>
      <c r="V118" s="4"/>
      <c r="W118" s="4"/>
      <c r="X118" s="4"/>
      <c r="Y118" s="4"/>
      <c r="Z118" s="4"/>
      <c r="AA118" s="4"/>
    </row>
    <row r="119" spans="1:27" ht="16">
      <c r="A119" s="1"/>
      <c r="B119" s="91"/>
      <c r="C119" s="6"/>
      <c r="D119" s="2"/>
      <c r="E119" s="2"/>
      <c r="F119" s="2"/>
      <c r="G119" s="2"/>
      <c r="H119" s="14"/>
      <c r="I119" s="4"/>
      <c r="J119" s="4"/>
      <c r="K119" s="4"/>
      <c r="L119" s="4"/>
      <c r="M119" s="4"/>
      <c r="N119" s="4"/>
      <c r="O119" s="4"/>
      <c r="P119" s="4"/>
      <c r="Q119" s="4"/>
      <c r="R119" s="4"/>
      <c r="S119" s="4"/>
      <c r="T119" s="4"/>
      <c r="U119" s="4"/>
      <c r="V119" s="4"/>
      <c r="W119" s="4"/>
      <c r="X119" s="4"/>
      <c r="Y119" s="4"/>
      <c r="Z119" s="4"/>
      <c r="AA119" s="4"/>
    </row>
    <row r="120" spans="1:27" ht="16">
      <c r="A120" s="1"/>
      <c r="B120" s="91"/>
      <c r="C120" s="6"/>
      <c r="D120" s="2"/>
      <c r="E120" s="2"/>
      <c r="F120" s="2"/>
      <c r="G120" s="2"/>
      <c r="H120" s="14"/>
      <c r="I120" s="4"/>
      <c r="J120" s="4"/>
      <c r="K120" s="4"/>
      <c r="L120" s="4"/>
      <c r="M120" s="4"/>
      <c r="N120" s="4"/>
      <c r="O120" s="4"/>
      <c r="P120" s="4"/>
      <c r="Q120" s="4"/>
      <c r="R120" s="4"/>
      <c r="S120" s="4"/>
      <c r="T120" s="4"/>
      <c r="U120" s="4"/>
      <c r="V120" s="4"/>
      <c r="W120" s="4"/>
      <c r="X120" s="4"/>
      <c r="Y120" s="4"/>
      <c r="Z120" s="4"/>
      <c r="AA120" s="4"/>
    </row>
    <row r="121" spans="1:27" ht="16">
      <c r="A121" s="1"/>
      <c r="B121" s="91"/>
      <c r="C121" s="6"/>
      <c r="D121" s="2"/>
      <c r="E121" s="2"/>
      <c r="F121" s="2"/>
      <c r="G121" s="2"/>
      <c r="H121" s="14"/>
      <c r="I121" s="4"/>
      <c r="J121" s="4"/>
      <c r="K121" s="4"/>
      <c r="L121" s="4"/>
      <c r="M121" s="4"/>
      <c r="N121" s="4"/>
      <c r="O121" s="4"/>
      <c r="P121" s="4"/>
      <c r="Q121" s="4"/>
      <c r="R121" s="4"/>
      <c r="S121" s="4"/>
      <c r="T121" s="4"/>
      <c r="U121" s="4"/>
      <c r="V121" s="4"/>
      <c r="W121" s="4"/>
      <c r="X121" s="4"/>
      <c r="Y121" s="4"/>
      <c r="Z121" s="4"/>
      <c r="AA121" s="4"/>
    </row>
    <row r="122" spans="1:27" ht="16">
      <c r="A122" s="1"/>
      <c r="B122" s="91"/>
      <c r="C122" s="6"/>
      <c r="D122" s="2"/>
      <c r="E122" s="2"/>
      <c r="F122" s="2"/>
      <c r="G122" s="2"/>
      <c r="H122" s="14"/>
      <c r="I122" s="4"/>
      <c r="J122" s="4"/>
      <c r="K122" s="4"/>
      <c r="L122" s="4"/>
      <c r="M122" s="4"/>
      <c r="N122" s="4"/>
      <c r="O122" s="4"/>
      <c r="P122" s="4"/>
      <c r="Q122" s="4"/>
      <c r="R122" s="4"/>
      <c r="S122" s="4"/>
      <c r="T122" s="4"/>
      <c r="U122" s="4"/>
      <c r="V122" s="4"/>
      <c r="W122" s="4"/>
      <c r="X122" s="4"/>
      <c r="Y122" s="4"/>
      <c r="Z122" s="4"/>
      <c r="AA122" s="4"/>
    </row>
    <row r="123" spans="1:27" ht="16">
      <c r="A123" s="1"/>
      <c r="B123" s="91"/>
      <c r="C123" s="6"/>
      <c r="D123" s="2"/>
      <c r="E123" s="2"/>
      <c r="F123" s="2"/>
      <c r="G123" s="2"/>
      <c r="H123" s="14"/>
      <c r="I123" s="4"/>
      <c r="J123" s="4"/>
      <c r="K123" s="4"/>
      <c r="L123" s="4"/>
      <c r="M123" s="4"/>
      <c r="N123" s="4"/>
      <c r="O123" s="4"/>
      <c r="P123" s="4"/>
      <c r="Q123" s="4"/>
      <c r="R123" s="4"/>
      <c r="S123" s="4"/>
      <c r="T123" s="4"/>
      <c r="U123" s="4"/>
      <c r="V123" s="4"/>
      <c r="W123" s="4"/>
      <c r="X123" s="4"/>
      <c r="Y123" s="4"/>
      <c r="Z123" s="4"/>
      <c r="AA123" s="4"/>
    </row>
    <row r="124" spans="1:27" ht="16">
      <c r="A124" s="1"/>
      <c r="B124" s="91"/>
      <c r="C124" s="6"/>
      <c r="D124" s="2"/>
      <c r="E124" s="2"/>
      <c r="F124" s="2"/>
      <c r="G124" s="2"/>
      <c r="H124" s="14"/>
      <c r="I124" s="4"/>
      <c r="J124" s="4"/>
      <c r="K124" s="4"/>
      <c r="L124" s="4"/>
      <c r="M124" s="4"/>
      <c r="N124" s="4"/>
      <c r="O124" s="4"/>
      <c r="P124" s="4"/>
      <c r="Q124" s="4"/>
      <c r="R124" s="4"/>
      <c r="S124" s="4"/>
      <c r="T124" s="4"/>
      <c r="U124" s="4"/>
      <c r="V124" s="4"/>
      <c r="W124" s="4"/>
      <c r="X124" s="4"/>
      <c r="Y124" s="4"/>
      <c r="Z124" s="4"/>
      <c r="AA124" s="4"/>
    </row>
    <row r="125" spans="1:27" ht="16">
      <c r="A125" s="1"/>
      <c r="B125" s="91"/>
      <c r="C125" s="6"/>
      <c r="D125" s="2"/>
      <c r="E125" s="2"/>
      <c r="F125" s="2"/>
      <c r="G125" s="2"/>
      <c r="H125" s="14"/>
      <c r="I125" s="4"/>
      <c r="J125" s="4"/>
      <c r="K125" s="4"/>
      <c r="L125" s="4"/>
      <c r="M125" s="4"/>
      <c r="N125" s="4"/>
      <c r="O125" s="4"/>
      <c r="P125" s="4"/>
      <c r="Q125" s="4"/>
      <c r="R125" s="4"/>
      <c r="S125" s="4"/>
      <c r="T125" s="4"/>
      <c r="U125" s="4"/>
      <c r="V125" s="4"/>
      <c r="W125" s="4"/>
      <c r="X125" s="4"/>
      <c r="Y125" s="4"/>
      <c r="Z125" s="4"/>
      <c r="AA125" s="4"/>
    </row>
    <row r="126" spans="1:27" ht="16">
      <c r="A126" s="1"/>
      <c r="B126" s="91"/>
      <c r="C126" s="6"/>
      <c r="D126" s="2"/>
      <c r="E126" s="2"/>
      <c r="F126" s="2"/>
      <c r="G126" s="2"/>
      <c r="H126" s="14"/>
      <c r="I126" s="4"/>
      <c r="J126" s="4"/>
      <c r="K126" s="4"/>
      <c r="L126" s="4"/>
      <c r="M126" s="4"/>
      <c r="N126" s="4"/>
      <c r="O126" s="4"/>
      <c r="P126" s="4"/>
      <c r="Q126" s="4"/>
      <c r="R126" s="4"/>
      <c r="S126" s="4"/>
      <c r="T126" s="4"/>
      <c r="U126" s="4"/>
      <c r="V126" s="4"/>
      <c r="W126" s="4"/>
      <c r="X126" s="4"/>
      <c r="Y126" s="4"/>
      <c r="Z126" s="4"/>
      <c r="AA126" s="4"/>
    </row>
    <row r="127" spans="1:27" ht="16">
      <c r="A127" s="1"/>
      <c r="B127" s="91"/>
      <c r="C127" s="6"/>
      <c r="D127" s="2"/>
      <c r="E127" s="2"/>
      <c r="F127" s="2"/>
      <c r="G127" s="2"/>
      <c r="H127" s="14"/>
      <c r="I127" s="4"/>
      <c r="J127" s="4"/>
      <c r="K127" s="4"/>
      <c r="L127" s="4"/>
      <c r="M127" s="4"/>
      <c r="N127" s="4"/>
      <c r="O127" s="4"/>
      <c r="P127" s="4"/>
      <c r="Q127" s="4"/>
      <c r="R127" s="4"/>
      <c r="S127" s="4"/>
      <c r="T127" s="4"/>
      <c r="U127" s="4"/>
      <c r="V127" s="4"/>
      <c r="W127" s="4"/>
      <c r="X127" s="4"/>
      <c r="Y127" s="4"/>
      <c r="Z127" s="4"/>
      <c r="AA127" s="4"/>
    </row>
    <row r="128" spans="1:27" ht="16">
      <c r="A128" s="1"/>
      <c r="B128" s="91"/>
      <c r="C128" s="6"/>
      <c r="D128" s="2"/>
      <c r="E128" s="2"/>
      <c r="F128" s="2"/>
      <c r="G128" s="2"/>
      <c r="H128" s="14"/>
      <c r="I128" s="4"/>
      <c r="J128" s="4"/>
      <c r="K128" s="4"/>
      <c r="L128" s="4"/>
      <c r="M128" s="4"/>
      <c r="N128" s="4"/>
      <c r="O128" s="4"/>
      <c r="P128" s="4"/>
      <c r="Q128" s="4"/>
      <c r="R128" s="4"/>
      <c r="S128" s="4"/>
      <c r="T128" s="4"/>
      <c r="U128" s="4"/>
      <c r="V128" s="4"/>
      <c r="W128" s="4"/>
      <c r="X128" s="4"/>
      <c r="Y128" s="4"/>
      <c r="Z128" s="4"/>
      <c r="AA128" s="4"/>
    </row>
    <row r="129" spans="1:27" ht="16">
      <c r="A129" s="1"/>
      <c r="B129" s="91"/>
      <c r="C129" s="6"/>
      <c r="D129" s="2"/>
      <c r="E129" s="2"/>
      <c r="F129" s="2"/>
      <c r="G129" s="2"/>
      <c r="H129" s="14"/>
      <c r="I129" s="4"/>
      <c r="J129" s="4"/>
      <c r="K129" s="4"/>
      <c r="L129" s="4"/>
      <c r="M129" s="4"/>
      <c r="N129" s="4"/>
      <c r="O129" s="4"/>
      <c r="P129" s="4"/>
      <c r="Q129" s="4"/>
      <c r="R129" s="4"/>
      <c r="S129" s="4"/>
      <c r="T129" s="4"/>
      <c r="U129" s="4"/>
      <c r="V129" s="4"/>
      <c r="W129" s="4"/>
      <c r="X129" s="4"/>
      <c r="Y129" s="4"/>
      <c r="Z129" s="4"/>
      <c r="AA129" s="4"/>
    </row>
    <row r="130" spans="1:27" ht="16">
      <c r="A130" s="1"/>
      <c r="B130" s="91"/>
      <c r="C130" s="6"/>
      <c r="D130" s="2"/>
      <c r="E130" s="2"/>
      <c r="F130" s="2"/>
      <c r="G130" s="2"/>
      <c r="H130" s="14"/>
      <c r="I130" s="4"/>
      <c r="J130" s="4"/>
      <c r="K130" s="4"/>
      <c r="L130" s="4"/>
      <c r="M130" s="4"/>
      <c r="N130" s="4"/>
      <c r="O130" s="4"/>
      <c r="P130" s="4"/>
      <c r="Q130" s="4"/>
      <c r="R130" s="4"/>
      <c r="S130" s="4"/>
      <c r="T130" s="4"/>
      <c r="U130" s="4"/>
      <c r="V130" s="4"/>
      <c r="W130" s="4"/>
      <c r="X130" s="4"/>
      <c r="Y130" s="4"/>
      <c r="Z130" s="4"/>
      <c r="AA130" s="4"/>
    </row>
    <row r="131" spans="1:27" ht="16">
      <c r="A131" s="1"/>
      <c r="B131" s="91"/>
      <c r="C131" s="6"/>
      <c r="D131" s="2"/>
      <c r="E131" s="2"/>
      <c r="F131" s="2"/>
      <c r="G131" s="2"/>
      <c r="H131" s="14"/>
      <c r="I131" s="4"/>
      <c r="J131" s="4"/>
      <c r="K131" s="4"/>
      <c r="L131" s="4"/>
      <c r="M131" s="4"/>
      <c r="N131" s="4"/>
      <c r="O131" s="4"/>
      <c r="P131" s="4"/>
      <c r="Q131" s="4"/>
      <c r="R131" s="4"/>
      <c r="S131" s="4"/>
      <c r="T131" s="4"/>
      <c r="U131" s="4"/>
      <c r="V131" s="4"/>
      <c r="W131" s="4"/>
      <c r="X131" s="4"/>
      <c r="Y131" s="4"/>
      <c r="Z131" s="4"/>
      <c r="AA131" s="4"/>
    </row>
    <row r="132" spans="1:27" ht="16">
      <c r="A132" s="1"/>
      <c r="B132" s="91"/>
      <c r="C132" s="6"/>
      <c r="D132" s="2"/>
      <c r="E132" s="2"/>
      <c r="F132" s="2"/>
      <c r="G132" s="2"/>
      <c r="H132" s="14"/>
      <c r="I132" s="4"/>
      <c r="J132" s="4"/>
      <c r="K132" s="4"/>
      <c r="L132" s="4"/>
      <c r="M132" s="4"/>
      <c r="N132" s="4"/>
      <c r="O132" s="4"/>
      <c r="P132" s="4"/>
      <c r="Q132" s="4"/>
      <c r="R132" s="4"/>
      <c r="S132" s="4"/>
      <c r="T132" s="4"/>
      <c r="U132" s="4"/>
      <c r="V132" s="4"/>
      <c r="W132" s="4"/>
      <c r="X132" s="4"/>
      <c r="Y132" s="4"/>
      <c r="Z132" s="4"/>
      <c r="AA132" s="4"/>
    </row>
    <row r="133" spans="1:27" ht="16">
      <c r="A133" s="1"/>
      <c r="B133" s="91"/>
      <c r="C133" s="6"/>
      <c r="D133" s="2"/>
      <c r="E133" s="2"/>
      <c r="F133" s="2"/>
      <c r="G133" s="2"/>
      <c r="H133" s="14"/>
      <c r="I133" s="4"/>
      <c r="J133" s="4"/>
      <c r="K133" s="4"/>
      <c r="L133" s="4"/>
      <c r="M133" s="4"/>
      <c r="N133" s="4"/>
      <c r="O133" s="4"/>
      <c r="P133" s="4"/>
      <c r="Q133" s="4"/>
      <c r="R133" s="4"/>
      <c r="S133" s="4"/>
      <c r="T133" s="4"/>
      <c r="U133" s="4"/>
      <c r="V133" s="4"/>
      <c r="W133" s="4"/>
      <c r="X133" s="4"/>
      <c r="Y133" s="4"/>
      <c r="Z133" s="4"/>
      <c r="AA133" s="4"/>
    </row>
    <row r="134" spans="1:27" ht="16">
      <c r="A134" s="1"/>
      <c r="B134" s="91"/>
      <c r="C134" s="6"/>
      <c r="D134" s="2"/>
      <c r="E134" s="2"/>
      <c r="F134" s="2"/>
      <c r="G134" s="2"/>
      <c r="H134" s="14"/>
      <c r="I134" s="4"/>
      <c r="J134" s="4"/>
      <c r="K134" s="4"/>
      <c r="L134" s="4"/>
      <c r="M134" s="4"/>
      <c r="N134" s="4"/>
      <c r="O134" s="4"/>
      <c r="P134" s="4"/>
      <c r="Q134" s="4"/>
      <c r="R134" s="4"/>
      <c r="S134" s="4"/>
      <c r="T134" s="4"/>
      <c r="U134" s="4"/>
      <c r="V134" s="4"/>
      <c r="W134" s="4"/>
      <c r="X134" s="4"/>
      <c r="Y134" s="4"/>
      <c r="Z134" s="4"/>
      <c r="AA134" s="4"/>
    </row>
    <row r="135" spans="1:27" ht="16">
      <c r="A135" s="1"/>
      <c r="B135" s="91"/>
      <c r="C135" s="6"/>
      <c r="D135" s="2"/>
      <c r="E135" s="2"/>
      <c r="F135" s="2"/>
      <c r="G135" s="2"/>
      <c r="H135" s="14"/>
      <c r="I135" s="4"/>
      <c r="J135" s="4"/>
      <c r="K135" s="4"/>
      <c r="L135" s="4"/>
      <c r="M135" s="4"/>
      <c r="N135" s="4"/>
      <c r="O135" s="4"/>
      <c r="P135" s="4"/>
      <c r="Q135" s="4"/>
      <c r="R135" s="4"/>
      <c r="S135" s="4"/>
      <c r="T135" s="4"/>
      <c r="U135" s="4"/>
      <c r="V135" s="4"/>
      <c r="W135" s="4"/>
      <c r="X135" s="4"/>
      <c r="Y135" s="4"/>
      <c r="Z135" s="4"/>
      <c r="AA135" s="4"/>
    </row>
    <row r="136" spans="1:27" ht="16">
      <c r="A136" s="1"/>
      <c r="B136" s="92"/>
      <c r="C136" s="18"/>
      <c r="D136" s="19"/>
      <c r="E136" s="19"/>
      <c r="F136" s="19"/>
      <c r="G136" s="19"/>
      <c r="H136" s="20"/>
      <c r="I136" s="4"/>
      <c r="J136" s="4"/>
      <c r="K136" s="4"/>
      <c r="L136" s="4"/>
      <c r="M136" s="4"/>
      <c r="N136" s="4"/>
      <c r="O136" s="4"/>
      <c r="P136" s="4"/>
      <c r="Q136" s="4"/>
      <c r="R136" s="4"/>
      <c r="S136" s="4"/>
      <c r="T136" s="4"/>
      <c r="U136" s="4"/>
      <c r="V136" s="4"/>
      <c r="W136" s="4"/>
      <c r="X136" s="4"/>
      <c r="Y136" s="4"/>
      <c r="Z136" s="4"/>
      <c r="AA136" s="4"/>
    </row>
    <row r="137" spans="1:27" ht="16">
      <c r="A137" s="1"/>
      <c r="B137" s="2"/>
      <c r="C137" s="6"/>
      <c r="D137" s="2"/>
      <c r="E137" s="2"/>
      <c r="F137" s="2"/>
      <c r="G137" s="2"/>
      <c r="H137" s="1"/>
      <c r="I137" s="4"/>
      <c r="J137" s="4"/>
      <c r="K137" s="4"/>
      <c r="L137" s="4"/>
      <c r="M137" s="4"/>
      <c r="N137" s="4"/>
      <c r="O137" s="4"/>
      <c r="P137" s="4"/>
      <c r="Q137" s="4"/>
      <c r="R137" s="4"/>
      <c r="S137" s="4"/>
      <c r="T137" s="4"/>
      <c r="U137" s="4"/>
      <c r="V137" s="4"/>
      <c r="W137" s="4"/>
      <c r="X137" s="4"/>
      <c r="Y137" s="4"/>
      <c r="Z137" s="4"/>
      <c r="AA137" s="4"/>
    </row>
    <row r="138" spans="1:27" ht="16">
      <c r="A138" s="1"/>
      <c r="B138" s="2"/>
      <c r="C138" s="6"/>
      <c r="D138" s="2"/>
      <c r="E138" s="2"/>
      <c r="F138" s="2"/>
      <c r="G138" s="2"/>
      <c r="H138" s="1"/>
      <c r="I138" s="4"/>
      <c r="J138" s="4"/>
      <c r="K138" s="4"/>
      <c r="L138" s="4"/>
      <c r="M138" s="4"/>
      <c r="N138" s="4"/>
      <c r="O138" s="4"/>
      <c r="P138" s="4"/>
      <c r="Q138" s="4"/>
      <c r="R138" s="4"/>
      <c r="S138" s="4"/>
      <c r="T138" s="4"/>
      <c r="U138" s="4"/>
      <c r="V138" s="4"/>
      <c r="W138" s="4"/>
      <c r="X138" s="4"/>
      <c r="Y138" s="4"/>
      <c r="Z138" s="4"/>
      <c r="AA138" s="4"/>
    </row>
    <row r="139" spans="1:27" ht="16">
      <c r="A139" s="1"/>
      <c r="B139" s="2"/>
      <c r="C139" s="6"/>
      <c r="D139" s="2"/>
      <c r="E139" s="2"/>
      <c r="F139" s="2"/>
      <c r="G139" s="2"/>
      <c r="H139" s="1"/>
      <c r="I139" s="4"/>
      <c r="J139" s="4"/>
      <c r="K139" s="4"/>
      <c r="L139" s="4"/>
      <c r="M139" s="4"/>
      <c r="N139" s="4"/>
      <c r="O139" s="4"/>
      <c r="P139" s="4"/>
      <c r="Q139" s="4"/>
      <c r="R139" s="4"/>
      <c r="S139" s="4"/>
      <c r="T139" s="4"/>
      <c r="U139" s="4"/>
      <c r="V139" s="4"/>
      <c r="W139" s="4"/>
      <c r="X139" s="4"/>
      <c r="Y139" s="4"/>
      <c r="Z139" s="4"/>
      <c r="AA139" s="4"/>
    </row>
    <row r="140" spans="1:27" ht="16">
      <c r="A140" s="1"/>
      <c r="B140" s="2"/>
      <c r="C140" s="6"/>
      <c r="D140" s="2"/>
      <c r="E140" s="2"/>
      <c r="F140" s="2"/>
      <c r="G140" s="2"/>
      <c r="H140" s="1"/>
      <c r="I140" s="4"/>
      <c r="J140" s="4"/>
      <c r="K140" s="4"/>
      <c r="L140" s="4"/>
      <c r="M140" s="4"/>
      <c r="N140" s="4"/>
      <c r="O140" s="4"/>
      <c r="P140" s="4"/>
      <c r="Q140" s="4"/>
      <c r="R140" s="4"/>
      <c r="S140" s="4"/>
      <c r="T140" s="4"/>
      <c r="U140" s="4"/>
      <c r="V140" s="4"/>
      <c r="W140" s="4"/>
      <c r="X140" s="4"/>
      <c r="Y140" s="4"/>
      <c r="Z140" s="4"/>
      <c r="AA140" s="4"/>
    </row>
    <row r="141" spans="1:27" ht="16">
      <c r="A141" s="1"/>
      <c r="B141" s="2"/>
      <c r="C141" s="6"/>
      <c r="D141" s="2"/>
      <c r="E141" s="2"/>
      <c r="F141" s="2"/>
      <c r="G141" s="2"/>
      <c r="H141" s="1"/>
      <c r="I141" s="4"/>
      <c r="J141" s="4"/>
      <c r="K141" s="4"/>
      <c r="L141" s="4"/>
      <c r="M141" s="4"/>
      <c r="N141" s="4"/>
      <c r="O141" s="4"/>
      <c r="P141" s="4"/>
      <c r="Q141" s="4"/>
      <c r="R141" s="4"/>
      <c r="S141" s="4"/>
      <c r="T141" s="4"/>
      <c r="U141" s="4"/>
      <c r="V141" s="4"/>
      <c r="W141" s="4"/>
      <c r="X141" s="4"/>
      <c r="Y141" s="4"/>
      <c r="Z141" s="4"/>
      <c r="AA141" s="4"/>
    </row>
    <row r="142" spans="1:27" ht="16">
      <c r="A142" s="1"/>
      <c r="B142" s="2"/>
      <c r="C142" s="6"/>
      <c r="D142" s="2"/>
      <c r="E142" s="2"/>
      <c r="F142" s="2"/>
      <c r="G142" s="2"/>
      <c r="H142" s="1"/>
      <c r="I142" s="4"/>
      <c r="J142" s="4"/>
      <c r="K142" s="4"/>
      <c r="L142" s="4"/>
      <c r="M142" s="4"/>
      <c r="N142" s="4"/>
      <c r="O142" s="4"/>
      <c r="P142" s="4"/>
      <c r="Q142" s="4"/>
      <c r="R142" s="4"/>
      <c r="S142" s="4"/>
      <c r="T142" s="4"/>
      <c r="U142" s="4"/>
      <c r="V142" s="4"/>
      <c r="W142" s="4"/>
      <c r="X142" s="4"/>
      <c r="Y142" s="4"/>
      <c r="Z142" s="4"/>
      <c r="AA142" s="4"/>
    </row>
    <row r="143" spans="1:27" ht="16">
      <c r="A143" s="1"/>
      <c r="B143" s="2"/>
      <c r="C143" s="6"/>
      <c r="D143" s="2"/>
      <c r="E143" s="2"/>
      <c r="F143" s="2"/>
      <c r="G143" s="2"/>
      <c r="H143" s="1"/>
      <c r="I143" s="4"/>
      <c r="J143" s="4"/>
      <c r="K143" s="4"/>
      <c r="L143" s="4"/>
      <c r="M143" s="4"/>
      <c r="N143" s="4"/>
      <c r="O143" s="4"/>
      <c r="P143" s="4"/>
      <c r="Q143" s="4"/>
      <c r="R143" s="4"/>
      <c r="S143" s="4"/>
      <c r="T143" s="4"/>
      <c r="U143" s="4"/>
      <c r="V143" s="4"/>
      <c r="W143" s="4"/>
      <c r="X143" s="4"/>
      <c r="Y143" s="4"/>
      <c r="Z143" s="4"/>
      <c r="AA143" s="4"/>
    </row>
    <row r="144" spans="1:27" ht="16">
      <c r="A144" s="1"/>
      <c r="B144" s="2"/>
      <c r="C144" s="6"/>
      <c r="D144" s="2"/>
      <c r="E144" s="2"/>
      <c r="F144" s="2"/>
      <c r="G144" s="2"/>
      <c r="H144" s="1"/>
      <c r="I144" s="4"/>
      <c r="J144" s="4"/>
      <c r="K144" s="4"/>
      <c r="L144" s="4"/>
      <c r="M144" s="4"/>
      <c r="N144" s="4"/>
      <c r="O144" s="4"/>
      <c r="P144" s="4"/>
      <c r="Q144" s="4"/>
      <c r="R144" s="4"/>
      <c r="S144" s="4"/>
      <c r="T144" s="4"/>
      <c r="U144" s="4"/>
      <c r="V144" s="4"/>
      <c r="W144" s="4"/>
      <c r="X144" s="4"/>
      <c r="Y144" s="4"/>
      <c r="Z144" s="4"/>
      <c r="AA144" s="4"/>
    </row>
    <row r="145" spans="1:27" ht="16">
      <c r="A145" s="1"/>
      <c r="B145" s="2"/>
      <c r="C145" s="6"/>
      <c r="D145" s="2"/>
      <c r="E145" s="2"/>
      <c r="F145" s="2"/>
      <c r="G145" s="2"/>
      <c r="H145" s="1"/>
      <c r="I145" s="4"/>
      <c r="J145" s="4"/>
      <c r="K145" s="4"/>
      <c r="L145" s="4"/>
      <c r="M145" s="4"/>
      <c r="N145" s="4"/>
      <c r="O145" s="4"/>
      <c r="P145" s="4"/>
      <c r="Q145" s="4"/>
      <c r="R145" s="4"/>
      <c r="S145" s="4"/>
      <c r="T145" s="4"/>
      <c r="U145" s="4"/>
      <c r="V145" s="4"/>
      <c r="W145" s="4"/>
      <c r="X145" s="4"/>
      <c r="Y145" s="4"/>
      <c r="Z145" s="4"/>
      <c r="AA145" s="4"/>
    </row>
    <row r="146" spans="1:27" ht="16">
      <c r="A146" s="1"/>
      <c r="B146" s="2"/>
      <c r="C146" s="6"/>
      <c r="D146" s="2"/>
      <c r="E146" s="2"/>
      <c r="F146" s="2"/>
      <c r="G146" s="2"/>
      <c r="H146" s="1"/>
      <c r="I146" s="4"/>
      <c r="J146" s="4"/>
      <c r="K146" s="4"/>
      <c r="L146" s="4"/>
      <c r="M146" s="4"/>
      <c r="N146" s="4"/>
      <c r="O146" s="4"/>
      <c r="P146" s="4"/>
      <c r="Q146" s="4"/>
      <c r="R146" s="4"/>
      <c r="S146" s="4"/>
      <c r="T146" s="4"/>
      <c r="U146" s="4"/>
      <c r="V146" s="4"/>
      <c r="W146" s="4"/>
      <c r="X146" s="4"/>
      <c r="Y146" s="4"/>
      <c r="Z146" s="4"/>
      <c r="AA146" s="4"/>
    </row>
    <row r="147" spans="1:27" ht="16">
      <c r="A147" s="1"/>
      <c r="B147" s="2"/>
      <c r="C147" s="6"/>
      <c r="D147" s="2"/>
      <c r="E147" s="2"/>
      <c r="F147" s="2"/>
      <c r="G147" s="2"/>
      <c r="H147" s="1"/>
      <c r="I147" s="4"/>
      <c r="J147" s="4"/>
      <c r="K147" s="4"/>
      <c r="L147" s="4"/>
      <c r="M147" s="4"/>
      <c r="N147" s="4"/>
      <c r="O147" s="4"/>
      <c r="P147" s="4"/>
      <c r="Q147" s="4"/>
      <c r="R147" s="4"/>
      <c r="S147" s="4"/>
      <c r="T147" s="4"/>
      <c r="U147" s="4"/>
      <c r="V147" s="4"/>
      <c r="W147" s="4"/>
      <c r="X147" s="4"/>
      <c r="Y147" s="4"/>
      <c r="Z147" s="4"/>
      <c r="AA147" s="4"/>
    </row>
    <row r="148" spans="1:27" ht="16">
      <c r="A148" s="1"/>
      <c r="B148" s="2"/>
      <c r="C148" s="6"/>
      <c r="D148" s="2"/>
      <c r="E148" s="2"/>
      <c r="F148" s="2"/>
      <c r="G148" s="2"/>
      <c r="H148" s="1"/>
      <c r="I148" s="4"/>
      <c r="J148" s="4"/>
      <c r="K148" s="4"/>
      <c r="L148" s="4"/>
      <c r="M148" s="4"/>
      <c r="N148" s="4"/>
      <c r="O148" s="4"/>
      <c r="P148" s="4"/>
      <c r="Q148" s="4"/>
      <c r="R148" s="4"/>
      <c r="S148" s="4"/>
      <c r="T148" s="4"/>
      <c r="U148" s="4"/>
      <c r="V148" s="4"/>
      <c r="W148" s="4"/>
      <c r="X148" s="4"/>
      <c r="Y148" s="4"/>
      <c r="Z148" s="4"/>
      <c r="AA148" s="4"/>
    </row>
    <row r="149" spans="1:27" ht="16">
      <c r="A149" s="1"/>
      <c r="B149" s="2"/>
      <c r="C149" s="6"/>
      <c r="D149" s="2"/>
      <c r="E149" s="2"/>
      <c r="F149" s="2"/>
      <c r="G149" s="2"/>
      <c r="H149" s="1"/>
      <c r="I149" s="4"/>
      <c r="J149" s="4"/>
      <c r="K149" s="4"/>
      <c r="L149" s="4"/>
      <c r="M149" s="4"/>
      <c r="N149" s="4"/>
      <c r="O149" s="4"/>
      <c r="P149" s="4"/>
      <c r="Q149" s="4"/>
      <c r="R149" s="4"/>
      <c r="S149" s="4"/>
      <c r="T149" s="4"/>
      <c r="U149" s="4"/>
      <c r="V149" s="4"/>
      <c r="W149" s="4"/>
      <c r="X149" s="4"/>
      <c r="Y149" s="4"/>
      <c r="Z149" s="4"/>
      <c r="AA149" s="4"/>
    </row>
    <row r="150" spans="1:27" ht="16">
      <c r="A150" s="1"/>
      <c r="B150" s="2"/>
      <c r="C150" s="6"/>
      <c r="D150" s="2"/>
      <c r="E150" s="2"/>
      <c r="F150" s="2"/>
      <c r="G150" s="2"/>
      <c r="H150" s="1"/>
      <c r="I150" s="4"/>
      <c r="J150" s="4"/>
      <c r="K150" s="4"/>
      <c r="L150" s="4"/>
      <c r="M150" s="4"/>
      <c r="N150" s="4"/>
      <c r="O150" s="4"/>
      <c r="P150" s="4"/>
      <c r="Q150" s="4"/>
      <c r="R150" s="4"/>
      <c r="S150" s="4"/>
      <c r="T150" s="4"/>
      <c r="U150" s="4"/>
      <c r="V150" s="4"/>
      <c r="W150" s="4"/>
      <c r="X150" s="4"/>
      <c r="Y150" s="4"/>
      <c r="Z150" s="4"/>
      <c r="AA150" s="4"/>
    </row>
    <row r="151" spans="1:27" ht="16">
      <c r="A151" s="1"/>
      <c r="B151" s="2"/>
      <c r="C151" s="6"/>
      <c r="D151" s="2"/>
      <c r="E151" s="2"/>
      <c r="F151" s="2"/>
      <c r="G151" s="2"/>
      <c r="H151" s="1"/>
      <c r="I151" s="4"/>
      <c r="J151" s="4"/>
      <c r="K151" s="4"/>
      <c r="L151" s="4"/>
      <c r="M151" s="4"/>
      <c r="N151" s="4"/>
      <c r="O151" s="4"/>
      <c r="P151" s="4"/>
      <c r="Q151" s="4"/>
      <c r="R151" s="4"/>
      <c r="S151" s="4"/>
      <c r="T151" s="4"/>
      <c r="U151" s="4"/>
      <c r="V151" s="4"/>
      <c r="W151" s="4"/>
      <c r="X151" s="4"/>
      <c r="Y151" s="4"/>
      <c r="Z151" s="4"/>
      <c r="AA151" s="4"/>
    </row>
    <row r="152" spans="1:27" ht="16">
      <c r="A152" s="1"/>
      <c r="B152" s="2"/>
      <c r="C152" s="6"/>
      <c r="D152" s="2"/>
      <c r="E152" s="2"/>
      <c r="F152" s="2"/>
      <c r="G152" s="2"/>
      <c r="H152" s="1"/>
      <c r="I152" s="4"/>
      <c r="J152" s="4"/>
      <c r="K152" s="4"/>
      <c r="L152" s="4"/>
      <c r="M152" s="4"/>
      <c r="N152" s="4"/>
      <c r="O152" s="4"/>
      <c r="P152" s="4"/>
      <c r="Q152" s="4"/>
      <c r="R152" s="4"/>
      <c r="S152" s="4"/>
      <c r="T152" s="4"/>
      <c r="U152" s="4"/>
      <c r="V152" s="4"/>
      <c r="W152" s="4"/>
      <c r="X152" s="4"/>
      <c r="Y152" s="4"/>
      <c r="Z152" s="4"/>
      <c r="AA152" s="4"/>
    </row>
    <row r="153" spans="1:27" ht="16">
      <c r="A153" s="1"/>
      <c r="B153" s="2"/>
      <c r="C153" s="6"/>
      <c r="D153" s="2"/>
      <c r="E153" s="2"/>
      <c r="F153" s="2"/>
      <c r="G153" s="2"/>
      <c r="H153" s="1"/>
      <c r="I153" s="4"/>
      <c r="J153" s="4"/>
      <c r="K153" s="4"/>
      <c r="L153" s="4"/>
      <c r="M153" s="4"/>
      <c r="N153" s="4"/>
      <c r="O153" s="4"/>
      <c r="P153" s="4"/>
      <c r="Q153" s="4"/>
      <c r="R153" s="4"/>
      <c r="S153" s="4"/>
      <c r="T153" s="4"/>
      <c r="U153" s="4"/>
      <c r="V153" s="4"/>
      <c r="W153" s="4"/>
      <c r="X153" s="4"/>
      <c r="Y153" s="4"/>
      <c r="Z153" s="4"/>
      <c r="AA153" s="4"/>
    </row>
    <row r="154" spans="1:27" ht="16">
      <c r="A154" s="1"/>
      <c r="B154" s="2"/>
      <c r="C154" s="6"/>
      <c r="D154" s="2"/>
      <c r="E154" s="2"/>
      <c r="F154" s="2"/>
      <c r="G154" s="2"/>
      <c r="H154" s="1"/>
      <c r="I154" s="4"/>
      <c r="J154" s="4"/>
      <c r="K154" s="4"/>
      <c r="L154" s="4"/>
      <c r="M154" s="4"/>
      <c r="N154" s="4"/>
      <c r="O154" s="4"/>
      <c r="P154" s="4"/>
      <c r="Q154" s="4"/>
      <c r="R154" s="4"/>
      <c r="S154" s="4"/>
      <c r="T154" s="4"/>
      <c r="U154" s="4"/>
      <c r="V154" s="4"/>
      <c r="W154" s="4"/>
      <c r="X154" s="4"/>
      <c r="Y154" s="4"/>
      <c r="Z154" s="4"/>
      <c r="AA154" s="4"/>
    </row>
    <row r="155" spans="1:27" ht="16">
      <c r="A155" s="1"/>
      <c r="B155" s="2"/>
      <c r="C155" s="6"/>
      <c r="D155" s="2"/>
      <c r="E155" s="2"/>
      <c r="F155" s="2"/>
      <c r="G155" s="2"/>
      <c r="H155" s="1"/>
      <c r="I155" s="4"/>
      <c r="J155" s="4"/>
      <c r="K155" s="4"/>
      <c r="L155" s="4"/>
      <c r="M155" s="4"/>
      <c r="N155" s="4"/>
      <c r="O155" s="4"/>
      <c r="P155" s="4"/>
      <c r="Q155" s="4"/>
      <c r="R155" s="4"/>
      <c r="S155" s="4"/>
      <c r="T155" s="4"/>
      <c r="U155" s="4"/>
      <c r="V155" s="4"/>
      <c r="W155" s="4"/>
      <c r="X155" s="4"/>
      <c r="Y155" s="4"/>
      <c r="Z155" s="4"/>
      <c r="AA155" s="4"/>
    </row>
    <row r="156" spans="1:27" ht="16">
      <c r="A156" s="1"/>
      <c r="B156" s="2"/>
      <c r="C156" s="6"/>
      <c r="D156" s="2"/>
      <c r="E156" s="2"/>
      <c r="F156" s="2"/>
      <c r="G156" s="2"/>
      <c r="H156" s="1"/>
      <c r="I156" s="4"/>
      <c r="J156" s="4"/>
      <c r="K156" s="4"/>
      <c r="L156" s="4"/>
      <c r="M156" s="4"/>
      <c r="N156" s="4"/>
      <c r="O156" s="4"/>
      <c r="P156" s="4"/>
      <c r="Q156" s="4"/>
      <c r="R156" s="4"/>
      <c r="S156" s="4"/>
      <c r="T156" s="4"/>
      <c r="U156" s="4"/>
      <c r="V156" s="4"/>
      <c r="W156" s="4"/>
      <c r="X156" s="4"/>
      <c r="Y156" s="4"/>
      <c r="Z156" s="4"/>
      <c r="AA156" s="4"/>
    </row>
    <row r="157" spans="1:27" ht="16">
      <c r="A157" s="1"/>
      <c r="B157" s="2"/>
      <c r="C157" s="6"/>
      <c r="D157" s="2"/>
      <c r="E157" s="2"/>
      <c r="F157" s="2"/>
      <c r="G157" s="2"/>
      <c r="H157" s="1"/>
      <c r="I157" s="4"/>
      <c r="J157" s="4"/>
      <c r="K157" s="4"/>
      <c r="L157" s="4"/>
      <c r="M157" s="4"/>
      <c r="N157" s="4"/>
      <c r="O157" s="4"/>
      <c r="P157" s="4"/>
      <c r="Q157" s="4"/>
      <c r="R157" s="4"/>
      <c r="S157" s="4"/>
      <c r="T157" s="4"/>
      <c r="U157" s="4"/>
      <c r="V157" s="4"/>
      <c r="W157" s="4"/>
      <c r="X157" s="4"/>
      <c r="Y157" s="4"/>
      <c r="Z157" s="4"/>
      <c r="AA157" s="4"/>
    </row>
    <row r="158" spans="1:27" ht="16">
      <c r="A158" s="1"/>
      <c r="B158" s="2"/>
      <c r="C158" s="6"/>
      <c r="D158" s="2"/>
      <c r="E158" s="2"/>
      <c r="F158" s="2"/>
      <c r="G158" s="2"/>
      <c r="H158" s="1"/>
      <c r="I158" s="4"/>
      <c r="J158" s="4"/>
      <c r="K158" s="4"/>
      <c r="L158" s="4"/>
      <c r="M158" s="4"/>
      <c r="N158" s="4"/>
      <c r="O158" s="4"/>
      <c r="P158" s="4"/>
      <c r="Q158" s="4"/>
      <c r="R158" s="4"/>
      <c r="S158" s="4"/>
      <c r="T158" s="4"/>
      <c r="U158" s="4"/>
      <c r="V158" s="4"/>
      <c r="W158" s="4"/>
      <c r="X158" s="4"/>
      <c r="Y158" s="4"/>
      <c r="Z158" s="4"/>
      <c r="AA158" s="4"/>
    </row>
    <row r="159" spans="1:27" ht="16">
      <c r="A159" s="1"/>
      <c r="B159" s="2"/>
      <c r="C159" s="6"/>
      <c r="D159" s="2"/>
      <c r="E159" s="2"/>
      <c r="F159" s="2"/>
      <c r="G159" s="2"/>
      <c r="H159" s="1"/>
      <c r="I159" s="4"/>
      <c r="J159" s="4"/>
      <c r="K159" s="4"/>
      <c r="L159" s="4"/>
      <c r="M159" s="4"/>
      <c r="N159" s="4"/>
      <c r="O159" s="4"/>
      <c r="P159" s="4"/>
      <c r="Q159" s="4"/>
      <c r="R159" s="4"/>
      <c r="S159" s="4"/>
      <c r="T159" s="4"/>
      <c r="U159" s="4"/>
      <c r="V159" s="4"/>
      <c r="W159" s="4"/>
      <c r="X159" s="4"/>
      <c r="Y159" s="4"/>
      <c r="Z159" s="4"/>
      <c r="AA159" s="4"/>
    </row>
    <row r="160" spans="1:27" ht="16">
      <c r="A160" s="1"/>
      <c r="B160" s="2"/>
      <c r="C160" s="6"/>
      <c r="D160" s="2"/>
      <c r="E160" s="2"/>
      <c r="F160" s="2"/>
      <c r="G160" s="2"/>
      <c r="H160" s="1"/>
      <c r="I160" s="4"/>
      <c r="J160" s="4"/>
      <c r="K160" s="4"/>
      <c r="L160" s="4"/>
      <c r="M160" s="4"/>
      <c r="N160" s="4"/>
      <c r="O160" s="4"/>
      <c r="P160" s="4"/>
      <c r="Q160" s="4"/>
      <c r="R160" s="4"/>
      <c r="S160" s="4"/>
      <c r="T160" s="4"/>
      <c r="U160" s="4"/>
      <c r="V160" s="4"/>
      <c r="W160" s="4"/>
      <c r="X160" s="4"/>
      <c r="Y160" s="4"/>
      <c r="Z160" s="4"/>
      <c r="AA160" s="4"/>
    </row>
    <row r="161" spans="1:27" ht="16">
      <c r="A161" s="1"/>
      <c r="B161" s="2"/>
      <c r="C161" s="6"/>
      <c r="D161" s="2"/>
      <c r="E161" s="2"/>
      <c r="F161" s="2"/>
      <c r="G161" s="2"/>
      <c r="H161" s="1"/>
      <c r="I161" s="4"/>
      <c r="J161" s="4"/>
      <c r="K161" s="4"/>
      <c r="L161" s="4"/>
      <c r="M161" s="4"/>
      <c r="N161" s="4"/>
      <c r="O161" s="4"/>
      <c r="P161" s="4"/>
      <c r="Q161" s="4"/>
      <c r="R161" s="4"/>
      <c r="S161" s="4"/>
      <c r="T161" s="4"/>
      <c r="U161" s="4"/>
      <c r="V161" s="4"/>
      <c r="W161" s="4"/>
      <c r="X161" s="4"/>
      <c r="Y161" s="4"/>
      <c r="Z161" s="4"/>
      <c r="AA161" s="4"/>
    </row>
    <row r="162" spans="1:27" ht="16">
      <c r="A162" s="1"/>
      <c r="B162" s="2"/>
      <c r="C162" s="6"/>
      <c r="D162" s="2"/>
      <c r="E162" s="2"/>
      <c r="F162" s="2"/>
      <c r="G162" s="2"/>
      <c r="H162" s="1"/>
      <c r="I162" s="4"/>
      <c r="J162" s="4"/>
      <c r="K162" s="4"/>
      <c r="L162" s="4"/>
      <c r="M162" s="4"/>
      <c r="N162" s="4"/>
      <c r="O162" s="4"/>
      <c r="P162" s="4"/>
      <c r="Q162" s="4"/>
      <c r="R162" s="4"/>
      <c r="S162" s="4"/>
      <c r="T162" s="4"/>
      <c r="U162" s="4"/>
      <c r="V162" s="4"/>
      <c r="W162" s="4"/>
      <c r="X162" s="4"/>
      <c r="Y162" s="4"/>
      <c r="Z162" s="4"/>
      <c r="AA162" s="4"/>
    </row>
    <row r="163" spans="1:27" ht="16">
      <c r="A163" s="1"/>
      <c r="B163" s="2"/>
      <c r="C163" s="6"/>
      <c r="D163" s="2"/>
      <c r="E163" s="2"/>
      <c r="F163" s="2"/>
      <c r="G163" s="2"/>
      <c r="H163" s="1"/>
      <c r="I163" s="4"/>
      <c r="J163" s="4"/>
      <c r="K163" s="4"/>
      <c r="L163" s="4"/>
      <c r="M163" s="4"/>
      <c r="N163" s="4"/>
      <c r="O163" s="4"/>
      <c r="P163" s="4"/>
      <c r="Q163" s="4"/>
      <c r="R163" s="4"/>
      <c r="S163" s="4"/>
      <c r="T163" s="4"/>
      <c r="U163" s="4"/>
      <c r="V163" s="4"/>
      <c r="W163" s="4"/>
      <c r="X163" s="4"/>
      <c r="Y163" s="4"/>
      <c r="Z163" s="4"/>
      <c r="AA163" s="4"/>
    </row>
    <row r="164" spans="1:27" ht="16">
      <c r="A164" s="1"/>
      <c r="B164" s="2"/>
      <c r="C164" s="6"/>
      <c r="D164" s="2"/>
      <c r="E164" s="2"/>
      <c r="F164" s="2"/>
      <c r="G164" s="2"/>
      <c r="H164" s="1"/>
      <c r="I164" s="4"/>
      <c r="J164" s="4"/>
      <c r="K164" s="4"/>
      <c r="L164" s="4"/>
      <c r="M164" s="4"/>
      <c r="N164" s="4"/>
      <c r="O164" s="4"/>
      <c r="P164" s="4"/>
      <c r="Q164" s="4"/>
      <c r="R164" s="4"/>
      <c r="S164" s="4"/>
      <c r="T164" s="4"/>
      <c r="U164" s="4"/>
      <c r="V164" s="4"/>
      <c r="W164" s="4"/>
      <c r="X164" s="4"/>
      <c r="Y164" s="4"/>
      <c r="Z164" s="4"/>
      <c r="AA164" s="4"/>
    </row>
    <row r="165" spans="1:27" ht="16">
      <c r="A165" s="1"/>
      <c r="B165" s="2"/>
      <c r="C165" s="6"/>
      <c r="D165" s="2"/>
      <c r="E165" s="2"/>
      <c r="F165" s="2"/>
      <c r="G165" s="2"/>
      <c r="H165" s="1"/>
      <c r="I165" s="4"/>
      <c r="J165" s="4"/>
      <c r="K165" s="4"/>
      <c r="L165" s="4"/>
      <c r="M165" s="4"/>
      <c r="N165" s="4"/>
      <c r="O165" s="4"/>
      <c r="P165" s="4"/>
      <c r="Q165" s="4"/>
      <c r="R165" s="4"/>
      <c r="S165" s="4"/>
      <c r="T165" s="4"/>
      <c r="U165" s="4"/>
      <c r="V165" s="4"/>
      <c r="W165" s="4"/>
      <c r="X165" s="4"/>
      <c r="Y165" s="4"/>
      <c r="Z165" s="4"/>
      <c r="AA165" s="4"/>
    </row>
    <row r="166" spans="1:27" ht="16">
      <c r="A166" s="1"/>
      <c r="B166" s="2"/>
      <c r="C166" s="6"/>
      <c r="D166" s="2"/>
      <c r="E166" s="2"/>
      <c r="F166" s="2"/>
      <c r="G166" s="2"/>
      <c r="H166" s="1"/>
      <c r="I166" s="4"/>
      <c r="J166" s="4"/>
      <c r="K166" s="4"/>
      <c r="L166" s="4"/>
      <c r="M166" s="4"/>
      <c r="N166" s="4"/>
      <c r="O166" s="4"/>
      <c r="P166" s="4"/>
      <c r="Q166" s="4"/>
      <c r="R166" s="4"/>
      <c r="S166" s="4"/>
      <c r="T166" s="4"/>
      <c r="U166" s="4"/>
      <c r="V166" s="4"/>
      <c r="W166" s="4"/>
      <c r="X166" s="4"/>
      <c r="Y166" s="4"/>
      <c r="Z166" s="4"/>
      <c r="AA166" s="4"/>
    </row>
    <row r="167" spans="1:27" ht="16">
      <c r="A167" s="1"/>
      <c r="B167" s="2"/>
      <c r="C167" s="6"/>
      <c r="D167" s="2"/>
      <c r="E167" s="2"/>
      <c r="F167" s="2"/>
      <c r="G167" s="2"/>
      <c r="H167" s="1"/>
      <c r="I167" s="4"/>
      <c r="J167" s="4"/>
      <c r="K167" s="4"/>
      <c r="L167" s="4"/>
      <c r="M167" s="4"/>
      <c r="N167" s="4"/>
      <c r="O167" s="4"/>
      <c r="P167" s="4"/>
      <c r="Q167" s="4"/>
      <c r="R167" s="4"/>
      <c r="S167" s="4"/>
      <c r="T167" s="4"/>
      <c r="U167" s="4"/>
      <c r="V167" s="4"/>
      <c r="W167" s="4"/>
      <c r="X167" s="4"/>
      <c r="Y167" s="4"/>
      <c r="Z167" s="4"/>
      <c r="AA167" s="4"/>
    </row>
    <row r="168" spans="1:27" ht="16">
      <c r="A168" s="1"/>
      <c r="B168" s="2"/>
      <c r="C168" s="6"/>
      <c r="D168" s="2"/>
      <c r="E168" s="2"/>
      <c r="F168" s="2"/>
      <c r="G168" s="2"/>
      <c r="H168" s="1"/>
      <c r="I168" s="4"/>
      <c r="J168" s="4"/>
      <c r="K168" s="4"/>
      <c r="L168" s="4"/>
      <c r="M168" s="4"/>
      <c r="N168" s="4"/>
      <c r="O168" s="4"/>
      <c r="P168" s="4"/>
      <c r="Q168" s="4"/>
      <c r="R168" s="4"/>
      <c r="S168" s="4"/>
      <c r="T168" s="4"/>
      <c r="U168" s="4"/>
      <c r="V168" s="4"/>
      <c r="W168" s="4"/>
      <c r="X168" s="4"/>
      <c r="Y168" s="4"/>
      <c r="Z168" s="4"/>
      <c r="AA168" s="4"/>
    </row>
    <row r="169" spans="1:27" ht="16">
      <c r="A169" s="1"/>
      <c r="B169" s="2"/>
      <c r="C169" s="6"/>
      <c r="D169" s="2"/>
      <c r="E169" s="2"/>
      <c r="F169" s="2"/>
      <c r="G169" s="2"/>
      <c r="H169" s="1"/>
      <c r="I169" s="4"/>
      <c r="J169" s="4"/>
      <c r="K169" s="4"/>
      <c r="L169" s="4"/>
      <c r="M169" s="4"/>
      <c r="N169" s="4"/>
      <c r="O169" s="4"/>
      <c r="P169" s="4"/>
      <c r="Q169" s="4"/>
      <c r="R169" s="4"/>
      <c r="S169" s="4"/>
      <c r="T169" s="4"/>
      <c r="U169" s="4"/>
      <c r="V169" s="4"/>
      <c r="W169" s="4"/>
      <c r="X169" s="4"/>
      <c r="Y169" s="4"/>
      <c r="Z169" s="4"/>
      <c r="AA169" s="4"/>
    </row>
    <row r="170" spans="1:27" ht="16">
      <c r="A170" s="1"/>
      <c r="B170" s="2"/>
      <c r="C170" s="6"/>
      <c r="D170" s="2"/>
      <c r="E170" s="2"/>
      <c r="F170" s="2"/>
      <c r="G170" s="2"/>
      <c r="H170" s="1"/>
      <c r="I170" s="4"/>
      <c r="J170" s="4"/>
      <c r="K170" s="4"/>
      <c r="L170" s="4"/>
      <c r="M170" s="4"/>
      <c r="N170" s="4"/>
      <c r="O170" s="4"/>
      <c r="P170" s="4"/>
      <c r="Q170" s="4"/>
      <c r="R170" s="4"/>
      <c r="S170" s="4"/>
      <c r="T170" s="4"/>
      <c r="U170" s="4"/>
      <c r="V170" s="4"/>
      <c r="W170" s="4"/>
      <c r="X170" s="4"/>
      <c r="Y170" s="4"/>
      <c r="Z170" s="4"/>
      <c r="AA170" s="4"/>
    </row>
    <row r="171" spans="1:27" ht="16">
      <c r="A171" s="1"/>
      <c r="B171" s="2"/>
      <c r="C171" s="6"/>
      <c r="D171" s="2"/>
      <c r="E171" s="2"/>
      <c r="F171" s="2"/>
      <c r="G171" s="2"/>
      <c r="H171" s="1"/>
      <c r="I171" s="4"/>
      <c r="J171" s="4"/>
      <c r="K171" s="4"/>
      <c r="L171" s="4"/>
      <c r="M171" s="4"/>
      <c r="N171" s="4"/>
      <c r="O171" s="4"/>
      <c r="P171" s="4"/>
      <c r="Q171" s="4"/>
      <c r="R171" s="4"/>
      <c r="S171" s="4"/>
      <c r="T171" s="4"/>
      <c r="U171" s="4"/>
      <c r="V171" s="4"/>
      <c r="W171" s="4"/>
      <c r="X171" s="4"/>
      <c r="Y171" s="4"/>
      <c r="Z171" s="4"/>
      <c r="AA171" s="4"/>
    </row>
    <row r="172" spans="1:27" ht="16">
      <c r="A172" s="1"/>
      <c r="B172" s="2"/>
      <c r="C172" s="6"/>
      <c r="D172" s="2"/>
      <c r="E172" s="2"/>
      <c r="F172" s="2"/>
      <c r="G172" s="2"/>
      <c r="H172" s="1"/>
      <c r="I172" s="4"/>
      <c r="J172" s="4"/>
      <c r="K172" s="4"/>
      <c r="L172" s="4"/>
      <c r="M172" s="4"/>
      <c r="N172" s="4"/>
      <c r="O172" s="4"/>
      <c r="P172" s="4"/>
      <c r="Q172" s="4"/>
      <c r="R172" s="4"/>
      <c r="S172" s="4"/>
      <c r="T172" s="4"/>
      <c r="U172" s="4"/>
      <c r="V172" s="4"/>
      <c r="W172" s="4"/>
      <c r="X172" s="4"/>
      <c r="Y172" s="4"/>
      <c r="Z172" s="4"/>
      <c r="AA172" s="4"/>
    </row>
    <row r="173" spans="1:27" ht="16">
      <c r="A173" s="1"/>
      <c r="B173" s="2"/>
      <c r="C173" s="6"/>
      <c r="D173" s="2"/>
      <c r="E173" s="2"/>
      <c r="F173" s="2"/>
      <c r="G173" s="2"/>
      <c r="H173" s="1"/>
      <c r="I173" s="4"/>
      <c r="J173" s="4"/>
      <c r="K173" s="4"/>
      <c r="L173" s="4"/>
      <c r="M173" s="4"/>
      <c r="N173" s="4"/>
      <c r="O173" s="4"/>
      <c r="P173" s="4"/>
      <c r="Q173" s="4"/>
      <c r="R173" s="4"/>
      <c r="S173" s="4"/>
      <c r="T173" s="4"/>
      <c r="U173" s="4"/>
      <c r="V173" s="4"/>
      <c r="W173" s="4"/>
      <c r="X173" s="4"/>
      <c r="Y173" s="4"/>
      <c r="Z173" s="4"/>
      <c r="AA173" s="4"/>
    </row>
    <row r="174" spans="1:27" ht="16">
      <c r="A174" s="1"/>
      <c r="B174" s="2"/>
      <c r="C174" s="6"/>
      <c r="D174" s="2"/>
      <c r="E174" s="2"/>
      <c r="F174" s="2"/>
      <c r="G174" s="2"/>
      <c r="H174" s="1"/>
      <c r="I174" s="4"/>
      <c r="J174" s="4"/>
      <c r="K174" s="4"/>
      <c r="L174" s="4"/>
      <c r="M174" s="4"/>
      <c r="N174" s="4"/>
      <c r="O174" s="4"/>
      <c r="P174" s="4"/>
      <c r="Q174" s="4"/>
      <c r="R174" s="4"/>
      <c r="S174" s="4"/>
      <c r="T174" s="4"/>
      <c r="U174" s="4"/>
      <c r="V174" s="4"/>
      <c r="W174" s="4"/>
      <c r="X174" s="4"/>
      <c r="Y174" s="4"/>
      <c r="Z174" s="4"/>
      <c r="AA174" s="4"/>
    </row>
    <row r="175" spans="1:27" ht="16">
      <c r="A175" s="1"/>
      <c r="B175" s="2"/>
      <c r="C175" s="6"/>
      <c r="D175" s="2"/>
      <c r="E175" s="2"/>
      <c r="F175" s="2"/>
      <c r="G175" s="2"/>
      <c r="H175" s="1"/>
      <c r="I175" s="4"/>
      <c r="J175" s="4"/>
      <c r="K175" s="4"/>
      <c r="L175" s="4"/>
      <c r="M175" s="4"/>
      <c r="N175" s="4"/>
      <c r="O175" s="4"/>
      <c r="P175" s="4"/>
      <c r="Q175" s="4"/>
      <c r="R175" s="4"/>
      <c r="S175" s="4"/>
      <c r="T175" s="4"/>
      <c r="U175" s="4"/>
      <c r="V175" s="4"/>
      <c r="W175" s="4"/>
      <c r="X175" s="4"/>
      <c r="Y175" s="4"/>
      <c r="Z175" s="4"/>
      <c r="AA175" s="4"/>
    </row>
    <row r="176" spans="1:27" ht="16">
      <c r="A176" s="1"/>
      <c r="B176" s="2"/>
      <c r="C176" s="6"/>
      <c r="D176" s="2"/>
      <c r="E176" s="2"/>
      <c r="F176" s="2"/>
      <c r="G176" s="2"/>
      <c r="H176" s="1"/>
      <c r="I176" s="4"/>
      <c r="J176" s="4"/>
      <c r="K176" s="4"/>
      <c r="L176" s="4"/>
      <c r="M176" s="4"/>
      <c r="N176" s="4"/>
      <c r="O176" s="4"/>
      <c r="P176" s="4"/>
      <c r="Q176" s="4"/>
      <c r="R176" s="4"/>
      <c r="S176" s="4"/>
      <c r="T176" s="4"/>
      <c r="U176" s="4"/>
      <c r="V176" s="4"/>
      <c r="W176" s="4"/>
      <c r="X176" s="4"/>
      <c r="Y176" s="4"/>
      <c r="Z176" s="4"/>
      <c r="AA176" s="4"/>
    </row>
    <row r="177" spans="1:27" ht="16">
      <c r="A177" s="1"/>
      <c r="B177" s="2"/>
      <c r="C177" s="6"/>
      <c r="D177" s="2"/>
      <c r="E177" s="2"/>
      <c r="F177" s="2"/>
      <c r="G177" s="2"/>
      <c r="H177" s="1"/>
      <c r="I177" s="4"/>
      <c r="J177" s="4"/>
      <c r="K177" s="4"/>
      <c r="L177" s="4"/>
      <c r="M177" s="4"/>
      <c r="N177" s="4"/>
      <c r="O177" s="4"/>
      <c r="P177" s="4"/>
      <c r="Q177" s="4"/>
      <c r="R177" s="4"/>
      <c r="S177" s="4"/>
      <c r="T177" s="4"/>
      <c r="U177" s="4"/>
      <c r="V177" s="4"/>
      <c r="W177" s="4"/>
      <c r="X177" s="4"/>
      <c r="Y177" s="4"/>
      <c r="Z177" s="4"/>
      <c r="AA177" s="4"/>
    </row>
    <row r="178" spans="1:27" ht="16">
      <c r="A178" s="1"/>
      <c r="B178" s="2"/>
      <c r="C178" s="6"/>
      <c r="D178" s="2"/>
      <c r="E178" s="2"/>
      <c r="F178" s="2"/>
      <c r="G178" s="2"/>
      <c r="H178" s="1"/>
      <c r="I178" s="4"/>
      <c r="J178" s="4"/>
      <c r="K178" s="4"/>
      <c r="L178" s="4"/>
      <c r="M178" s="4"/>
      <c r="N178" s="4"/>
      <c r="O178" s="4"/>
      <c r="P178" s="4"/>
      <c r="Q178" s="4"/>
      <c r="R178" s="4"/>
      <c r="S178" s="4"/>
      <c r="T178" s="4"/>
      <c r="U178" s="4"/>
      <c r="V178" s="4"/>
      <c r="W178" s="4"/>
      <c r="X178" s="4"/>
      <c r="Y178" s="4"/>
      <c r="Z178" s="4"/>
      <c r="AA178" s="4"/>
    </row>
    <row r="179" spans="1:27" ht="16">
      <c r="A179" s="1"/>
      <c r="B179" s="2"/>
      <c r="C179" s="6"/>
      <c r="D179" s="2"/>
      <c r="E179" s="2"/>
      <c r="F179" s="2"/>
      <c r="G179" s="2"/>
      <c r="H179" s="1"/>
      <c r="I179" s="4"/>
      <c r="J179" s="4"/>
      <c r="K179" s="4"/>
      <c r="L179" s="4"/>
      <c r="M179" s="4"/>
      <c r="N179" s="4"/>
      <c r="O179" s="4"/>
      <c r="P179" s="4"/>
      <c r="Q179" s="4"/>
      <c r="R179" s="4"/>
      <c r="S179" s="4"/>
      <c r="T179" s="4"/>
      <c r="U179" s="4"/>
      <c r="V179" s="4"/>
      <c r="W179" s="4"/>
      <c r="X179" s="4"/>
      <c r="Y179" s="4"/>
      <c r="Z179" s="4"/>
      <c r="AA179" s="4"/>
    </row>
    <row r="180" spans="1:27" ht="16">
      <c r="A180" s="1"/>
      <c r="B180" s="2"/>
      <c r="C180" s="6"/>
      <c r="D180" s="2"/>
      <c r="E180" s="2"/>
      <c r="F180" s="2"/>
      <c r="G180" s="2"/>
      <c r="H180" s="1"/>
      <c r="I180" s="4"/>
      <c r="J180" s="4"/>
      <c r="K180" s="4"/>
      <c r="L180" s="4"/>
      <c r="M180" s="4"/>
      <c r="N180" s="4"/>
      <c r="O180" s="4"/>
      <c r="P180" s="4"/>
      <c r="Q180" s="4"/>
      <c r="R180" s="4"/>
      <c r="S180" s="4"/>
      <c r="T180" s="4"/>
      <c r="U180" s="4"/>
      <c r="V180" s="4"/>
      <c r="W180" s="4"/>
      <c r="X180" s="4"/>
      <c r="Y180" s="4"/>
      <c r="Z180" s="4"/>
      <c r="AA180" s="4"/>
    </row>
    <row r="181" spans="1:27" ht="16">
      <c r="A181" s="1"/>
      <c r="B181" s="2"/>
      <c r="C181" s="6"/>
      <c r="D181" s="2"/>
      <c r="E181" s="2"/>
      <c r="F181" s="2"/>
      <c r="G181" s="2"/>
      <c r="H181" s="1"/>
      <c r="I181" s="4"/>
      <c r="J181" s="4"/>
      <c r="K181" s="4"/>
      <c r="L181" s="4"/>
      <c r="M181" s="4"/>
      <c r="N181" s="4"/>
      <c r="O181" s="4"/>
      <c r="P181" s="4"/>
      <c r="Q181" s="4"/>
      <c r="R181" s="4"/>
      <c r="S181" s="4"/>
      <c r="T181" s="4"/>
      <c r="U181" s="4"/>
      <c r="V181" s="4"/>
      <c r="W181" s="4"/>
      <c r="X181" s="4"/>
      <c r="Y181" s="4"/>
      <c r="Z181" s="4"/>
      <c r="AA181" s="4"/>
    </row>
    <row r="182" spans="1:27" ht="16">
      <c r="A182" s="1"/>
      <c r="B182" s="2"/>
      <c r="C182" s="6"/>
      <c r="D182" s="2"/>
      <c r="E182" s="2"/>
      <c r="F182" s="2"/>
      <c r="G182" s="2"/>
      <c r="H182" s="1"/>
      <c r="I182" s="4"/>
      <c r="J182" s="4"/>
      <c r="K182" s="4"/>
      <c r="L182" s="4"/>
      <c r="M182" s="4"/>
      <c r="N182" s="4"/>
      <c r="O182" s="4"/>
      <c r="P182" s="4"/>
      <c r="Q182" s="4"/>
      <c r="R182" s="4"/>
      <c r="S182" s="4"/>
      <c r="T182" s="4"/>
      <c r="U182" s="4"/>
      <c r="V182" s="4"/>
      <c r="W182" s="4"/>
      <c r="X182" s="4"/>
      <c r="Y182" s="4"/>
      <c r="Z182" s="4"/>
      <c r="AA182" s="4"/>
    </row>
    <row r="183" spans="1:27" ht="16">
      <c r="A183" s="1"/>
      <c r="B183" s="2"/>
      <c r="C183" s="6"/>
      <c r="D183" s="2"/>
      <c r="E183" s="2"/>
      <c r="F183" s="2"/>
      <c r="G183" s="2"/>
      <c r="H183" s="1"/>
      <c r="I183" s="4"/>
      <c r="J183" s="4"/>
      <c r="K183" s="4"/>
      <c r="L183" s="4"/>
      <c r="M183" s="4"/>
      <c r="N183" s="4"/>
      <c r="O183" s="4"/>
      <c r="P183" s="4"/>
      <c r="Q183" s="4"/>
      <c r="R183" s="4"/>
      <c r="S183" s="4"/>
      <c r="T183" s="4"/>
      <c r="U183" s="4"/>
      <c r="V183" s="4"/>
      <c r="W183" s="4"/>
      <c r="X183" s="4"/>
      <c r="Y183" s="4"/>
      <c r="Z183" s="4"/>
      <c r="AA183" s="4"/>
    </row>
    <row r="184" spans="1:27" ht="16">
      <c r="A184" s="1"/>
      <c r="B184" s="2"/>
      <c r="C184" s="6"/>
      <c r="D184" s="2"/>
      <c r="E184" s="2"/>
      <c r="F184" s="2"/>
      <c r="G184" s="2"/>
      <c r="H184" s="1"/>
      <c r="I184" s="4"/>
      <c r="J184" s="4"/>
      <c r="K184" s="4"/>
      <c r="L184" s="4"/>
      <c r="M184" s="4"/>
      <c r="N184" s="4"/>
      <c r="O184" s="4"/>
      <c r="P184" s="4"/>
      <c r="Q184" s="4"/>
      <c r="R184" s="4"/>
      <c r="S184" s="4"/>
      <c r="T184" s="4"/>
      <c r="U184" s="4"/>
      <c r="V184" s="4"/>
      <c r="W184" s="4"/>
      <c r="X184" s="4"/>
      <c r="Y184" s="4"/>
      <c r="Z184" s="4"/>
      <c r="AA184" s="4"/>
    </row>
    <row r="185" spans="1:27" ht="16">
      <c r="A185" s="1"/>
      <c r="B185" s="2"/>
      <c r="C185" s="6"/>
      <c r="D185" s="2"/>
      <c r="E185" s="2"/>
      <c r="F185" s="2"/>
      <c r="G185" s="2"/>
      <c r="H185" s="1"/>
      <c r="I185" s="4"/>
      <c r="J185" s="4"/>
      <c r="K185" s="4"/>
      <c r="L185" s="4"/>
      <c r="M185" s="4"/>
      <c r="N185" s="4"/>
      <c r="O185" s="4"/>
      <c r="P185" s="4"/>
      <c r="Q185" s="4"/>
      <c r="R185" s="4"/>
      <c r="S185" s="4"/>
      <c r="T185" s="4"/>
      <c r="U185" s="4"/>
      <c r="V185" s="4"/>
      <c r="W185" s="4"/>
      <c r="X185" s="4"/>
      <c r="Y185" s="4"/>
      <c r="Z185" s="4"/>
      <c r="AA185" s="4"/>
    </row>
    <row r="186" spans="1:27" ht="16">
      <c r="A186" s="1"/>
      <c r="B186" s="2"/>
      <c r="C186" s="6"/>
      <c r="D186" s="2"/>
      <c r="E186" s="2"/>
      <c r="F186" s="2"/>
      <c r="G186" s="2"/>
      <c r="H186" s="1"/>
      <c r="I186" s="4"/>
      <c r="J186" s="4"/>
      <c r="K186" s="4"/>
      <c r="L186" s="4"/>
      <c r="M186" s="4"/>
      <c r="N186" s="4"/>
      <c r="O186" s="4"/>
      <c r="P186" s="4"/>
      <c r="Q186" s="4"/>
      <c r="R186" s="4"/>
      <c r="S186" s="4"/>
      <c r="T186" s="4"/>
      <c r="U186" s="4"/>
      <c r="V186" s="4"/>
      <c r="W186" s="4"/>
      <c r="X186" s="4"/>
      <c r="Y186" s="4"/>
      <c r="Z186" s="4"/>
      <c r="AA186" s="4"/>
    </row>
    <row r="187" spans="1:27" ht="16">
      <c r="A187" s="1"/>
      <c r="B187" s="2"/>
      <c r="C187" s="6"/>
      <c r="D187" s="2"/>
      <c r="E187" s="2"/>
      <c r="F187" s="2"/>
      <c r="G187" s="2"/>
      <c r="H187" s="1"/>
      <c r="I187" s="4"/>
      <c r="J187" s="4"/>
      <c r="K187" s="4"/>
      <c r="L187" s="4"/>
      <c r="M187" s="4"/>
      <c r="N187" s="4"/>
      <c r="O187" s="4"/>
      <c r="P187" s="4"/>
      <c r="Q187" s="4"/>
      <c r="R187" s="4"/>
      <c r="S187" s="4"/>
      <c r="T187" s="4"/>
      <c r="U187" s="4"/>
      <c r="V187" s="4"/>
      <c r="W187" s="4"/>
      <c r="X187" s="4"/>
      <c r="Y187" s="4"/>
      <c r="Z187" s="4"/>
      <c r="AA187" s="4"/>
    </row>
    <row r="188" spans="1:27" ht="16">
      <c r="A188" s="1"/>
      <c r="B188" s="2"/>
      <c r="C188" s="6"/>
      <c r="D188" s="2"/>
      <c r="E188" s="2"/>
      <c r="F188" s="2"/>
      <c r="G188" s="2"/>
      <c r="H188" s="1"/>
      <c r="I188" s="4"/>
      <c r="J188" s="4"/>
      <c r="K188" s="4"/>
      <c r="L188" s="4"/>
      <c r="M188" s="4"/>
      <c r="N188" s="4"/>
      <c r="O188" s="4"/>
      <c r="P188" s="4"/>
      <c r="Q188" s="4"/>
      <c r="R188" s="4"/>
      <c r="S188" s="4"/>
      <c r="T188" s="4"/>
      <c r="U188" s="4"/>
      <c r="V188" s="4"/>
      <c r="W188" s="4"/>
      <c r="X188" s="4"/>
      <c r="Y188" s="4"/>
      <c r="Z188" s="4"/>
      <c r="AA188" s="4"/>
    </row>
    <row r="189" spans="1:27" ht="16">
      <c r="A189" s="1"/>
      <c r="B189" s="2"/>
      <c r="C189" s="6"/>
      <c r="D189" s="2"/>
      <c r="E189" s="2"/>
      <c r="F189" s="2"/>
      <c r="G189" s="2"/>
      <c r="H189" s="1"/>
      <c r="I189" s="4"/>
      <c r="J189" s="4"/>
      <c r="K189" s="4"/>
      <c r="L189" s="4"/>
      <c r="M189" s="4"/>
      <c r="N189" s="4"/>
      <c r="O189" s="4"/>
      <c r="P189" s="4"/>
      <c r="Q189" s="4"/>
      <c r="R189" s="4"/>
      <c r="S189" s="4"/>
      <c r="T189" s="4"/>
      <c r="U189" s="4"/>
      <c r="V189" s="4"/>
      <c r="W189" s="4"/>
      <c r="X189" s="4"/>
      <c r="Y189" s="4"/>
      <c r="Z189" s="4"/>
      <c r="AA189" s="4"/>
    </row>
    <row r="190" spans="1:27" ht="16">
      <c r="A190" s="1"/>
      <c r="B190" s="2"/>
      <c r="C190" s="6"/>
      <c r="D190" s="2"/>
      <c r="E190" s="2"/>
      <c r="F190" s="2"/>
      <c r="G190" s="2"/>
      <c r="H190" s="1"/>
      <c r="I190" s="4"/>
      <c r="J190" s="4"/>
      <c r="K190" s="4"/>
      <c r="L190" s="4"/>
      <c r="M190" s="4"/>
      <c r="N190" s="4"/>
      <c r="O190" s="4"/>
      <c r="P190" s="4"/>
      <c r="Q190" s="4"/>
      <c r="R190" s="4"/>
      <c r="S190" s="4"/>
      <c r="T190" s="4"/>
      <c r="U190" s="4"/>
      <c r="V190" s="4"/>
      <c r="W190" s="4"/>
      <c r="X190" s="4"/>
      <c r="Y190" s="4"/>
      <c r="Z190" s="4"/>
      <c r="AA190" s="4"/>
    </row>
    <row r="191" spans="1:27" ht="16">
      <c r="A191" s="1"/>
      <c r="B191" s="2"/>
      <c r="C191" s="6"/>
      <c r="D191" s="2"/>
      <c r="E191" s="2"/>
      <c r="F191" s="2"/>
      <c r="G191" s="2"/>
      <c r="H191" s="1"/>
      <c r="I191" s="4"/>
      <c r="J191" s="4"/>
      <c r="K191" s="4"/>
      <c r="L191" s="4"/>
      <c r="M191" s="4"/>
      <c r="N191" s="4"/>
      <c r="O191" s="4"/>
      <c r="P191" s="4"/>
      <c r="Q191" s="4"/>
      <c r="R191" s="4"/>
      <c r="S191" s="4"/>
      <c r="T191" s="4"/>
      <c r="U191" s="4"/>
      <c r="V191" s="4"/>
      <c r="W191" s="4"/>
      <c r="X191" s="4"/>
      <c r="Y191" s="4"/>
      <c r="Z191" s="4"/>
      <c r="AA191" s="4"/>
    </row>
    <row r="192" spans="1:27" ht="16">
      <c r="A192" s="1"/>
      <c r="B192" s="2"/>
      <c r="C192" s="6"/>
      <c r="D192" s="2"/>
      <c r="E192" s="2"/>
      <c r="F192" s="2"/>
      <c r="G192" s="2"/>
      <c r="H192" s="1"/>
      <c r="I192" s="4"/>
      <c r="J192" s="4"/>
      <c r="K192" s="4"/>
      <c r="L192" s="4"/>
      <c r="M192" s="4"/>
      <c r="N192" s="4"/>
      <c r="O192" s="4"/>
      <c r="P192" s="4"/>
      <c r="Q192" s="4"/>
      <c r="R192" s="4"/>
      <c r="S192" s="4"/>
      <c r="T192" s="4"/>
      <c r="U192" s="4"/>
      <c r="V192" s="4"/>
      <c r="W192" s="4"/>
      <c r="X192" s="4"/>
      <c r="Y192" s="4"/>
      <c r="Z192" s="4"/>
      <c r="AA192" s="4"/>
    </row>
    <row r="193" spans="1:27" ht="16">
      <c r="A193" s="1"/>
      <c r="B193" s="2"/>
      <c r="C193" s="6"/>
      <c r="D193" s="2"/>
      <c r="E193" s="2"/>
      <c r="F193" s="2"/>
      <c r="G193" s="2"/>
      <c r="H193" s="1"/>
      <c r="I193" s="4"/>
      <c r="J193" s="4"/>
      <c r="K193" s="4"/>
      <c r="L193" s="4"/>
      <c r="M193" s="4"/>
      <c r="N193" s="4"/>
      <c r="O193" s="4"/>
      <c r="P193" s="4"/>
      <c r="Q193" s="4"/>
      <c r="R193" s="4"/>
      <c r="S193" s="4"/>
      <c r="T193" s="4"/>
      <c r="U193" s="4"/>
      <c r="V193" s="4"/>
      <c r="W193" s="4"/>
      <c r="X193" s="4"/>
      <c r="Y193" s="4"/>
      <c r="Z193" s="4"/>
      <c r="AA193" s="4"/>
    </row>
    <row r="194" spans="1:27" ht="16">
      <c r="A194" s="1"/>
      <c r="B194" s="2"/>
      <c r="C194" s="6"/>
      <c r="D194" s="2"/>
      <c r="E194" s="2"/>
      <c r="F194" s="2"/>
      <c r="G194" s="2"/>
      <c r="H194" s="1"/>
      <c r="I194" s="4"/>
      <c r="J194" s="4"/>
      <c r="K194" s="4"/>
      <c r="L194" s="4"/>
      <c r="M194" s="4"/>
      <c r="N194" s="4"/>
      <c r="O194" s="4"/>
      <c r="P194" s="4"/>
      <c r="Q194" s="4"/>
      <c r="R194" s="4"/>
      <c r="S194" s="4"/>
      <c r="T194" s="4"/>
      <c r="U194" s="4"/>
      <c r="V194" s="4"/>
      <c r="W194" s="4"/>
      <c r="X194" s="4"/>
      <c r="Y194" s="4"/>
      <c r="Z194" s="4"/>
      <c r="AA194" s="4"/>
    </row>
    <row r="195" spans="1:27" ht="16">
      <c r="A195" s="1"/>
      <c r="B195" s="2"/>
      <c r="C195" s="6"/>
      <c r="D195" s="2"/>
      <c r="E195" s="2"/>
      <c r="F195" s="2"/>
      <c r="G195" s="2"/>
      <c r="H195" s="1"/>
      <c r="I195" s="4"/>
      <c r="J195" s="4"/>
      <c r="K195" s="4"/>
      <c r="L195" s="4"/>
      <c r="M195" s="4"/>
      <c r="N195" s="4"/>
      <c r="O195" s="4"/>
      <c r="P195" s="4"/>
      <c r="Q195" s="4"/>
      <c r="R195" s="4"/>
      <c r="S195" s="4"/>
      <c r="T195" s="4"/>
      <c r="U195" s="4"/>
      <c r="V195" s="4"/>
      <c r="W195" s="4"/>
      <c r="X195" s="4"/>
      <c r="Y195" s="4"/>
      <c r="Z195" s="4"/>
      <c r="AA195" s="4"/>
    </row>
    <row r="196" spans="1:27" ht="16">
      <c r="A196" s="1"/>
      <c r="B196" s="2"/>
      <c r="C196" s="6"/>
      <c r="D196" s="2"/>
      <c r="E196" s="2"/>
      <c r="F196" s="2"/>
      <c r="G196" s="2"/>
      <c r="H196" s="1"/>
      <c r="I196" s="4"/>
      <c r="J196" s="4"/>
      <c r="K196" s="4"/>
      <c r="L196" s="4"/>
      <c r="M196" s="4"/>
      <c r="N196" s="4"/>
      <c r="O196" s="4"/>
      <c r="P196" s="4"/>
      <c r="Q196" s="4"/>
      <c r="R196" s="4"/>
      <c r="S196" s="4"/>
      <c r="T196" s="4"/>
      <c r="U196" s="4"/>
      <c r="V196" s="4"/>
      <c r="W196" s="4"/>
      <c r="X196" s="4"/>
      <c r="Y196" s="4"/>
      <c r="Z196" s="4"/>
      <c r="AA196" s="4"/>
    </row>
    <row r="197" spans="1:27" ht="16">
      <c r="A197" s="1"/>
      <c r="B197" s="2"/>
      <c r="C197" s="6"/>
      <c r="D197" s="2"/>
      <c r="E197" s="2"/>
      <c r="F197" s="2"/>
      <c r="G197" s="2"/>
      <c r="H197" s="1"/>
      <c r="I197" s="4"/>
      <c r="J197" s="4"/>
      <c r="K197" s="4"/>
      <c r="L197" s="4"/>
      <c r="M197" s="4"/>
      <c r="N197" s="4"/>
      <c r="O197" s="4"/>
      <c r="P197" s="4"/>
      <c r="Q197" s="4"/>
      <c r="R197" s="4"/>
      <c r="S197" s="4"/>
      <c r="T197" s="4"/>
      <c r="U197" s="4"/>
      <c r="V197" s="4"/>
      <c r="W197" s="4"/>
      <c r="X197" s="4"/>
      <c r="Y197" s="4"/>
      <c r="Z197" s="4"/>
      <c r="AA197" s="4"/>
    </row>
    <row r="198" spans="1:27" ht="16">
      <c r="A198" s="1"/>
      <c r="B198" s="2"/>
      <c r="C198" s="6"/>
      <c r="D198" s="2"/>
      <c r="E198" s="2"/>
      <c r="F198" s="2"/>
      <c r="G198" s="2"/>
      <c r="H198" s="1"/>
      <c r="I198" s="4"/>
      <c r="J198" s="4"/>
      <c r="K198" s="4"/>
      <c r="L198" s="4"/>
      <c r="M198" s="4"/>
      <c r="N198" s="4"/>
      <c r="O198" s="4"/>
      <c r="P198" s="4"/>
      <c r="Q198" s="4"/>
      <c r="R198" s="4"/>
      <c r="S198" s="4"/>
      <c r="T198" s="4"/>
      <c r="U198" s="4"/>
      <c r="V198" s="4"/>
      <c r="W198" s="4"/>
      <c r="X198" s="4"/>
      <c r="Y198" s="4"/>
      <c r="Z198" s="4"/>
      <c r="AA198" s="4"/>
    </row>
    <row r="199" spans="1:27" ht="16">
      <c r="A199" s="1"/>
      <c r="B199" s="2"/>
      <c r="C199" s="6"/>
      <c r="D199" s="2"/>
      <c r="E199" s="2"/>
      <c r="F199" s="2"/>
      <c r="G199" s="2"/>
      <c r="H199" s="1"/>
      <c r="I199" s="4"/>
      <c r="J199" s="4"/>
      <c r="K199" s="4"/>
      <c r="L199" s="4"/>
      <c r="M199" s="4"/>
      <c r="N199" s="4"/>
      <c r="O199" s="4"/>
      <c r="P199" s="4"/>
      <c r="Q199" s="4"/>
      <c r="R199" s="4"/>
      <c r="S199" s="4"/>
      <c r="T199" s="4"/>
      <c r="U199" s="4"/>
      <c r="V199" s="4"/>
      <c r="W199" s="4"/>
      <c r="X199" s="4"/>
      <c r="Y199" s="4"/>
      <c r="Z199" s="4"/>
      <c r="AA199" s="4"/>
    </row>
    <row r="200" spans="1:27" ht="16">
      <c r="A200" s="1"/>
      <c r="B200" s="2"/>
      <c r="C200" s="6"/>
      <c r="D200" s="2"/>
      <c r="E200" s="2"/>
      <c r="F200" s="2"/>
      <c r="G200" s="2"/>
      <c r="H200" s="1"/>
      <c r="I200" s="4"/>
      <c r="J200" s="4"/>
      <c r="K200" s="4"/>
      <c r="L200" s="4"/>
      <c r="M200" s="4"/>
      <c r="N200" s="4"/>
      <c r="O200" s="4"/>
      <c r="P200" s="4"/>
      <c r="Q200" s="4"/>
      <c r="R200" s="4"/>
      <c r="S200" s="4"/>
      <c r="T200" s="4"/>
      <c r="U200" s="4"/>
      <c r="V200" s="4"/>
      <c r="W200" s="4"/>
      <c r="X200" s="4"/>
      <c r="Y200" s="4"/>
      <c r="Z200" s="4"/>
      <c r="AA200" s="4"/>
    </row>
    <row r="201" spans="1:27" ht="16">
      <c r="A201" s="1"/>
      <c r="B201" s="2"/>
      <c r="C201" s="6"/>
      <c r="D201" s="2"/>
      <c r="E201" s="2"/>
      <c r="F201" s="2"/>
      <c r="G201" s="2"/>
      <c r="H201" s="1"/>
      <c r="I201" s="4"/>
      <c r="J201" s="4"/>
      <c r="K201" s="4"/>
      <c r="L201" s="4"/>
      <c r="M201" s="4"/>
      <c r="N201" s="4"/>
      <c r="O201" s="4"/>
      <c r="P201" s="4"/>
      <c r="Q201" s="4"/>
      <c r="R201" s="4"/>
      <c r="S201" s="4"/>
      <c r="T201" s="4"/>
      <c r="U201" s="4"/>
      <c r="V201" s="4"/>
      <c r="W201" s="4"/>
      <c r="X201" s="4"/>
      <c r="Y201" s="4"/>
      <c r="Z201" s="4"/>
      <c r="AA201" s="4"/>
    </row>
    <row r="202" spans="1:27" ht="16">
      <c r="A202" s="1"/>
      <c r="B202" s="2"/>
      <c r="C202" s="6"/>
      <c r="D202" s="2"/>
      <c r="E202" s="2"/>
      <c r="F202" s="2"/>
      <c r="G202" s="2"/>
      <c r="H202" s="1"/>
      <c r="I202" s="4"/>
      <c r="J202" s="4"/>
      <c r="K202" s="4"/>
      <c r="L202" s="4"/>
      <c r="M202" s="4"/>
      <c r="N202" s="4"/>
      <c r="O202" s="4"/>
      <c r="P202" s="4"/>
      <c r="Q202" s="4"/>
      <c r="R202" s="4"/>
      <c r="S202" s="4"/>
      <c r="T202" s="4"/>
      <c r="U202" s="4"/>
      <c r="V202" s="4"/>
      <c r="W202" s="4"/>
      <c r="X202" s="4"/>
      <c r="Y202" s="4"/>
      <c r="Z202" s="4"/>
      <c r="AA202" s="4"/>
    </row>
    <row r="203" spans="1:27" ht="16">
      <c r="A203" s="1"/>
      <c r="B203" s="2"/>
      <c r="C203" s="6"/>
      <c r="D203" s="2"/>
      <c r="E203" s="2"/>
      <c r="F203" s="2"/>
      <c r="G203" s="2"/>
      <c r="H203" s="1"/>
      <c r="I203" s="4"/>
      <c r="J203" s="4"/>
      <c r="K203" s="4"/>
      <c r="L203" s="4"/>
      <c r="M203" s="4"/>
      <c r="N203" s="4"/>
      <c r="O203" s="4"/>
      <c r="P203" s="4"/>
      <c r="Q203" s="4"/>
      <c r="R203" s="4"/>
      <c r="S203" s="4"/>
      <c r="T203" s="4"/>
      <c r="U203" s="4"/>
      <c r="V203" s="4"/>
      <c r="W203" s="4"/>
      <c r="X203" s="4"/>
      <c r="Y203" s="4"/>
      <c r="Z203" s="4"/>
      <c r="AA203" s="4"/>
    </row>
    <row r="204" spans="1:27" ht="16">
      <c r="A204" s="1"/>
      <c r="B204" s="2"/>
      <c r="C204" s="6"/>
      <c r="D204" s="2"/>
      <c r="E204" s="2"/>
      <c r="F204" s="2"/>
      <c r="G204" s="2"/>
      <c r="H204" s="1"/>
      <c r="I204" s="4"/>
      <c r="J204" s="4"/>
      <c r="K204" s="4"/>
      <c r="L204" s="4"/>
      <c r="M204" s="4"/>
      <c r="N204" s="4"/>
      <c r="O204" s="4"/>
      <c r="P204" s="4"/>
      <c r="Q204" s="4"/>
      <c r="R204" s="4"/>
      <c r="S204" s="4"/>
      <c r="T204" s="4"/>
      <c r="U204" s="4"/>
      <c r="V204" s="4"/>
      <c r="W204" s="4"/>
      <c r="X204" s="4"/>
      <c r="Y204" s="4"/>
      <c r="Z204" s="4"/>
      <c r="AA204" s="4"/>
    </row>
    <row r="205" spans="1:27" ht="16">
      <c r="A205" s="1"/>
      <c r="B205" s="2"/>
      <c r="C205" s="6"/>
      <c r="D205" s="2"/>
      <c r="E205" s="2"/>
      <c r="F205" s="2"/>
      <c r="G205" s="2"/>
      <c r="H205" s="1"/>
      <c r="I205" s="4"/>
      <c r="J205" s="4"/>
      <c r="K205" s="4"/>
      <c r="L205" s="4"/>
      <c r="M205" s="4"/>
      <c r="N205" s="4"/>
      <c r="O205" s="4"/>
      <c r="P205" s="4"/>
      <c r="Q205" s="4"/>
      <c r="R205" s="4"/>
      <c r="S205" s="4"/>
      <c r="T205" s="4"/>
      <c r="U205" s="4"/>
      <c r="V205" s="4"/>
      <c r="W205" s="4"/>
      <c r="X205" s="4"/>
      <c r="Y205" s="4"/>
      <c r="Z205" s="4"/>
      <c r="AA205" s="4"/>
    </row>
    <row r="206" spans="1:27" ht="16">
      <c r="A206" s="1"/>
      <c r="B206" s="2"/>
      <c r="C206" s="6"/>
      <c r="D206" s="2"/>
      <c r="E206" s="2"/>
      <c r="F206" s="2"/>
      <c r="G206" s="2"/>
      <c r="H206" s="1"/>
      <c r="I206" s="4"/>
      <c r="J206" s="4"/>
      <c r="K206" s="4"/>
      <c r="L206" s="4"/>
      <c r="M206" s="4"/>
      <c r="N206" s="4"/>
      <c r="O206" s="4"/>
      <c r="P206" s="4"/>
      <c r="Q206" s="4"/>
      <c r="R206" s="4"/>
      <c r="S206" s="4"/>
      <c r="T206" s="4"/>
      <c r="U206" s="4"/>
      <c r="V206" s="4"/>
      <c r="W206" s="4"/>
      <c r="X206" s="4"/>
      <c r="Y206" s="4"/>
      <c r="Z206" s="4"/>
      <c r="AA206" s="4"/>
    </row>
    <row r="207" spans="1:27" ht="16">
      <c r="A207" s="1"/>
      <c r="B207" s="2"/>
      <c r="C207" s="6"/>
      <c r="D207" s="2"/>
      <c r="E207" s="2"/>
      <c r="F207" s="2"/>
      <c r="G207" s="2"/>
      <c r="H207" s="1"/>
      <c r="I207" s="4"/>
      <c r="J207" s="4"/>
      <c r="K207" s="4"/>
      <c r="L207" s="4"/>
      <c r="M207" s="4"/>
      <c r="N207" s="4"/>
      <c r="O207" s="4"/>
      <c r="P207" s="4"/>
      <c r="Q207" s="4"/>
      <c r="R207" s="4"/>
      <c r="S207" s="4"/>
      <c r="T207" s="4"/>
      <c r="U207" s="4"/>
      <c r="V207" s="4"/>
      <c r="W207" s="4"/>
      <c r="X207" s="4"/>
      <c r="Y207" s="4"/>
      <c r="Z207" s="4"/>
      <c r="AA207" s="4"/>
    </row>
    <row r="208" spans="1:27" ht="16">
      <c r="A208" s="1"/>
      <c r="B208" s="2"/>
      <c r="C208" s="6"/>
      <c r="D208" s="2"/>
      <c r="E208" s="2"/>
      <c r="F208" s="2"/>
      <c r="G208" s="2"/>
      <c r="H208" s="1"/>
      <c r="I208" s="4"/>
      <c r="J208" s="4"/>
      <c r="K208" s="4"/>
      <c r="L208" s="4"/>
      <c r="M208" s="4"/>
      <c r="N208" s="4"/>
      <c r="O208" s="4"/>
      <c r="P208" s="4"/>
      <c r="Q208" s="4"/>
      <c r="R208" s="4"/>
      <c r="S208" s="4"/>
      <c r="T208" s="4"/>
      <c r="U208" s="4"/>
      <c r="V208" s="4"/>
      <c r="W208" s="4"/>
      <c r="X208" s="4"/>
      <c r="Y208" s="4"/>
      <c r="Z208" s="4"/>
      <c r="AA208" s="4"/>
    </row>
    <row r="209" spans="1:27" ht="16">
      <c r="A209" s="1"/>
      <c r="B209" s="2"/>
      <c r="C209" s="6"/>
      <c r="D209" s="2"/>
      <c r="E209" s="2"/>
      <c r="F209" s="2"/>
      <c r="G209" s="2"/>
      <c r="H209" s="1"/>
      <c r="I209" s="4"/>
      <c r="J209" s="4"/>
      <c r="K209" s="4"/>
      <c r="L209" s="4"/>
      <c r="M209" s="4"/>
      <c r="N209" s="4"/>
      <c r="O209" s="4"/>
      <c r="P209" s="4"/>
      <c r="Q209" s="4"/>
      <c r="R209" s="4"/>
      <c r="S209" s="4"/>
      <c r="T209" s="4"/>
      <c r="U209" s="4"/>
      <c r="V209" s="4"/>
      <c r="W209" s="4"/>
      <c r="X209" s="4"/>
      <c r="Y209" s="4"/>
      <c r="Z209" s="4"/>
      <c r="AA209" s="4"/>
    </row>
    <row r="210" spans="1:27" ht="16">
      <c r="A210" s="1"/>
      <c r="B210" s="2"/>
      <c r="C210" s="6"/>
      <c r="D210" s="2"/>
      <c r="E210" s="2"/>
      <c r="F210" s="2"/>
      <c r="G210" s="2"/>
      <c r="H210" s="1"/>
      <c r="I210" s="4"/>
      <c r="J210" s="4"/>
      <c r="K210" s="4"/>
      <c r="L210" s="4"/>
      <c r="M210" s="4"/>
      <c r="N210" s="4"/>
      <c r="O210" s="4"/>
      <c r="P210" s="4"/>
      <c r="Q210" s="4"/>
      <c r="R210" s="4"/>
      <c r="S210" s="4"/>
      <c r="T210" s="4"/>
      <c r="U210" s="4"/>
      <c r="V210" s="4"/>
      <c r="W210" s="4"/>
      <c r="X210" s="4"/>
      <c r="Y210" s="4"/>
      <c r="Z210" s="4"/>
      <c r="AA210" s="4"/>
    </row>
    <row r="211" spans="1:27" ht="16">
      <c r="A211" s="1"/>
      <c r="B211" s="2"/>
      <c r="C211" s="6"/>
      <c r="D211" s="2"/>
      <c r="E211" s="2"/>
      <c r="F211" s="2"/>
      <c r="G211" s="2"/>
      <c r="H211" s="1"/>
      <c r="I211" s="4"/>
      <c r="J211" s="4"/>
      <c r="K211" s="4"/>
      <c r="L211" s="4"/>
      <c r="M211" s="4"/>
      <c r="N211" s="4"/>
      <c r="O211" s="4"/>
      <c r="P211" s="4"/>
      <c r="Q211" s="4"/>
      <c r="R211" s="4"/>
      <c r="S211" s="4"/>
      <c r="T211" s="4"/>
      <c r="U211" s="4"/>
      <c r="V211" s="4"/>
      <c r="W211" s="4"/>
      <c r="X211" s="4"/>
      <c r="Y211" s="4"/>
      <c r="Z211" s="4"/>
      <c r="AA211" s="4"/>
    </row>
    <row r="212" spans="1:27" ht="16">
      <c r="A212" s="1"/>
      <c r="B212" s="2"/>
      <c r="C212" s="6"/>
      <c r="D212" s="2"/>
      <c r="E212" s="2"/>
      <c r="F212" s="2"/>
      <c r="G212" s="2"/>
      <c r="H212" s="1"/>
      <c r="I212" s="4"/>
      <c r="J212" s="4"/>
      <c r="K212" s="4"/>
      <c r="L212" s="4"/>
      <c r="M212" s="4"/>
      <c r="N212" s="4"/>
      <c r="O212" s="4"/>
      <c r="P212" s="4"/>
      <c r="Q212" s="4"/>
      <c r="R212" s="4"/>
      <c r="S212" s="4"/>
      <c r="T212" s="4"/>
      <c r="U212" s="4"/>
      <c r="V212" s="4"/>
      <c r="W212" s="4"/>
      <c r="X212" s="4"/>
      <c r="Y212" s="4"/>
      <c r="Z212" s="4"/>
      <c r="AA212" s="4"/>
    </row>
    <row r="213" spans="1:27" ht="16">
      <c r="A213" s="1"/>
      <c r="B213" s="2"/>
      <c r="C213" s="6"/>
      <c r="D213" s="2"/>
      <c r="E213" s="2"/>
      <c r="F213" s="2"/>
      <c r="G213" s="2"/>
      <c r="H213" s="1"/>
      <c r="I213" s="4"/>
      <c r="J213" s="4"/>
      <c r="K213" s="4"/>
      <c r="L213" s="4"/>
      <c r="M213" s="4"/>
      <c r="N213" s="4"/>
      <c r="O213" s="4"/>
      <c r="P213" s="4"/>
      <c r="Q213" s="4"/>
      <c r="R213" s="4"/>
      <c r="S213" s="4"/>
      <c r="T213" s="4"/>
      <c r="U213" s="4"/>
      <c r="V213" s="4"/>
      <c r="W213" s="4"/>
      <c r="X213" s="4"/>
      <c r="Y213" s="4"/>
      <c r="Z213" s="4"/>
      <c r="AA213" s="4"/>
    </row>
    <row r="214" spans="1:27" ht="16">
      <c r="A214" s="1"/>
      <c r="B214" s="2"/>
      <c r="C214" s="6"/>
      <c r="D214" s="2"/>
      <c r="E214" s="2"/>
      <c r="F214" s="2"/>
      <c r="G214" s="2"/>
      <c r="H214" s="1"/>
      <c r="I214" s="4"/>
      <c r="J214" s="4"/>
      <c r="K214" s="4"/>
      <c r="L214" s="4"/>
      <c r="M214" s="4"/>
      <c r="N214" s="4"/>
      <c r="O214" s="4"/>
      <c r="P214" s="4"/>
      <c r="Q214" s="4"/>
      <c r="R214" s="4"/>
      <c r="S214" s="4"/>
      <c r="T214" s="4"/>
      <c r="U214" s="4"/>
      <c r="V214" s="4"/>
      <c r="W214" s="4"/>
      <c r="X214" s="4"/>
      <c r="Y214" s="4"/>
      <c r="Z214" s="4"/>
      <c r="AA214" s="4"/>
    </row>
    <row r="215" spans="1:27" ht="16">
      <c r="A215" s="1"/>
      <c r="B215" s="2"/>
      <c r="C215" s="6"/>
      <c r="D215" s="2"/>
      <c r="E215" s="2"/>
      <c r="F215" s="2"/>
      <c r="G215" s="2"/>
      <c r="H215" s="1"/>
      <c r="I215" s="4"/>
      <c r="J215" s="4"/>
      <c r="K215" s="4"/>
      <c r="L215" s="4"/>
      <c r="M215" s="4"/>
      <c r="N215" s="4"/>
      <c r="O215" s="4"/>
      <c r="P215" s="4"/>
      <c r="Q215" s="4"/>
      <c r="R215" s="4"/>
      <c r="S215" s="4"/>
      <c r="T215" s="4"/>
      <c r="U215" s="4"/>
      <c r="V215" s="4"/>
      <c r="W215" s="4"/>
      <c r="X215" s="4"/>
      <c r="Y215" s="4"/>
      <c r="Z215" s="4"/>
      <c r="AA215" s="4"/>
    </row>
    <row r="216" spans="1:27" ht="16">
      <c r="A216" s="1"/>
      <c r="B216" s="2"/>
      <c r="C216" s="6"/>
      <c r="D216" s="2"/>
      <c r="E216" s="2"/>
      <c r="F216" s="2"/>
      <c r="G216" s="2"/>
      <c r="H216" s="1"/>
      <c r="I216" s="4"/>
      <c r="J216" s="4"/>
      <c r="K216" s="4"/>
      <c r="L216" s="4"/>
      <c r="M216" s="4"/>
      <c r="N216" s="4"/>
      <c r="O216" s="4"/>
      <c r="P216" s="4"/>
      <c r="Q216" s="4"/>
      <c r="R216" s="4"/>
      <c r="S216" s="4"/>
      <c r="T216" s="4"/>
      <c r="U216" s="4"/>
      <c r="V216" s="4"/>
      <c r="W216" s="4"/>
      <c r="X216" s="4"/>
      <c r="Y216" s="4"/>
      <c r="Z216" s="4"/>
      <c r="AA216" s="4"/>
    </row>
    <row r="217" spans="1:27" ht="16">
      <c r="A217" s="1"/>
      <c r="B217" s="2"/>
      <c r="C217" s="6"/>
      <c r="D217" s="2"/>
      <c r="E217" s="2"/>
      <c r="F217" s="2"/>
      <c r="G217" s="2"/>
      <c r="H217" s="1"/>
      <c r="I217" s="4"/>
      <c r="J217" s="4"/>
      <c r="K217" s="4"/>
      <c r="L217" s="4"/>
      <c r="M217" s="4"/>
      <c r="N217" s="4"/>
      <c r="O217" s="4"/>
      <c r="P217" s="4"/>
      <c r="Q217" s="4"/>
      <c r="R217" s="4"/>
      <c r="S217" s="4"/>
      <c r="T217" s="4"/>
      <c r="U217" s="4"/>
      <c r="V217" s="4"/>
      <c r="W217" s="4"/>
      <c r="X217" s="4"/>
      <c r="Y217" s="4"/>
      <c r="Z217" s="4"/>
      <c r="AA217" s="4"/>
    </row>
    <row r="218" spans="1:27" ht="16">
      <c r="A218" s="1"/>
      <c r="B218" s="2"/>
      <c r="C218" s="6"/>
      <c r="D218" s="2"/>
      <c r="E218" s="2"/>
      <c r="F218" s="2"/>
      <c r="G218" s="2"/>
      <c r="H218" s="1"/>
      <c r="I218" s="4"/>
      <c r="J218" s="4"/>
      <c r="K218" s="4"/>
      <c r="L218" s="4"/>
      <c r="M218" s="4"/>
      <c r="N218" s="4"/>
      <c r="O218" s="4"/>
      <c r="P218" s="4"/>
      <c r="Q218" s="4"/>
      <c r="R218" s="4"/>
      <c r="S218" s="4"/>
      <c r="T218" s="4"/>
      <c r="U218" s="4"/>
      <c r="V218" s="4"/>
      <c r="W218" s="4"/>
      <c r="X218" s="4"/>
      <c r="Y218" s="4"/>
      <c r="Z218" s="4"/>
      <c r="AA218" s="4"/>
    </row>
    <row r="219" spans="1:27" ht="16">
      <c r="A219" s="1"/>
      <c r="B219" s="2"/>
      <c r="C219" s="6"/>
      <c r="D219" s="2"/>
      <c r="E219" s="2"/>
      <c r="F219" s="2"/>
      <c r="G219" s="2"/>
      <c r="H219" s="1"/>
      <c r="I219" s="4"/>
      <c r="J219" s="4"/>
      <c r="K219" s="4"/>
      <c r="L219" s="4"/>
      <c r="M219" s="4"/>
      <c r="N219" s="4"/>
      <c r="O219" s="4"/>
      <c r="P219" s="4"/>
      <c r="Q219" s="4"/>
      <c r="R219" s="4"/>
      <c r="S219" s="4"/>
      <c r="T219" s="4"/>
      <c r="U219" s="4"/>
      <c r="V219" s="4"/>
      <c r="W219" s="4"/>
      <c r="X219" s="4"/>
      <c r="Y219" s="4"/>
      <c r="Z219" s="4"/>
      <c r="AA219" s="4"/>
    </row>
    <row r="220" spans="1:27" ht="16">
      <c r="A220" s="1"/>
      <c r="B220" s="2"/>
      <c r="C220" s="6"/>
      <c r="D220" s="2"/>
      <c r="E220" s="2"/>
      <c r="F220" s="2"/>
      <c r="G220" s="2"/>
      <c r="H220" s="1"/>
      <c r="I220" s="4"/>
      <c r="J220" s="4"/>
      <c r="K220" s="4"/>
      <c r="L220" s="4"/>
      <c r="M220" s="4"/>
      <c r="N220" s="4"/>
      <c r="O220" s="4"/>
      <c r="P220" s="4"/>
      <c r="Q220" s="4"/>
      <c r="R220" s="4"/>
      <c r="S220" s="4"/>
      <c r="T220" s="4"/>
      <c r="U220" s="4"/>
      <c r="V220" s="4"/>
      <c r="W220" s="4"/>
      <c r="X220" s="4"/>
      <c r="Y220" s="4"/>
      <c r="Z220" s="4"/>
      <c r="AA220" s="4"/>
    </row>
    <row r="221" spans="1:27" ht="16">
      <c r="A221" s="1"/>
      <c r="B221" s="2"/>
      <c r="C221" s="6"/>
      <c r="D221" s="2"/>
      <c r="E221" s="2"/>
      <c r="F221" s="2"/>
      <c r="G221" s="2"/>
      <c r="H221" s="1"/>
      <c r="I221" s="4"/>
      <c r="J221" s="4"/>
      <c r="K221" s="4"/>
      <c r="L221" s="4"/>
      <c r="M221" s="4"/>
      <c r="N221" s="4"/>
      <c r="O221" s="4"/>
      <c r="P221" s="4"/>
      <c r="Q221" s="4"/>
      <c r="R221" s="4"/>
      <c r="S221" s="4"/>
      <c r="T221" s="4"/>
      <c r="U221" s="4"/>
      <c r="V221" s="4"/>
      <c r="W221" s="4"/>
      <c r="X221" s="4"/>
      <c r="Y221" s="4"/>
      <c r="Z221" s="4"/>
      <c r="AA221" s="4"/>
    </row>
    <row r="222" spans="1:27" ht="16">
      <c r="A222" s="1"/>
      <c r="B222" s="2"/>
      <c r="C222" s="6"/>
      <c r="D222" s="2"/>
      <c r="E222" s="2"/>
      <c r="F222" s="2"/>
      <c r="G222" s="2"/>
      <c r="H222" s="1"/>
      <c r="I222" s="4"/>
      <c r="J222" s="4"/>
      <c r="K222" s="4"/>
      <c r="L222" s="4"/>
      <c r="M222" s="4"/>
      <c r="N222" s="4"/>
      <c r="O222" s="4"/>
      <c r="P222" s="4"/>
      <c r="Q222" s="4"/>
      <c r="R222" s="4"/>
      <c r="S222" s="4"/>
      <c r="T222" s="4"/>
      <c r="U222" s="4"/>
      <c r="V222" s="4"/>
      <c r="W222" s="4"/>
      <c r="X222" s="4"/>
      <c r="Y222" s="4"/>
      <c r="Z222" s="4"/>
      <c r="AA222" s="4"/>
    </row>
    <row r="223" spans="1:27" ht="16">
      <c r="A223" s="1"/>
      <c r="B223" s="2"/>
      <c r="C223" s="6"/>
      <c r="D223" s="2"/>
      <c r="E223" s="2"/>
      <c r="F223" s="2"/>
      <c r="G223" s="2"/>
      <c r="H223" s="1"/>
      <c r="I223" s="4"/>
      <c r="J223" s="4"/>
      <c r="K223" s="4"/>
      <c r="L223" s="4"/>
      <c r="M223" s="4"/>
      <c r="N223" s="4"/>
      <c r="O223" s="4"/>
      <c r="P223" s="4"/>
      <c r="Q223" s="4"/>
      <c r="R223" s="4"/>
      <c r="S223" s="4"/>
      <c r="T223" s="4"/>
      <c r="U223" s="4"/>
      <c r="V223" s="4"/>
      <c r="W223" s="4"/>
      <c r="X223" s="4"/>
      <c r="Y223" s="4"/>
      <c r="Z223" s="4"/>
      <c r="AA223" s="4"/>
    </row>
    <row r="224" spans="1:27" ht="16">
      <c r="A224" s="1"/>
      <c r="B224" s="2"/>
      <c r="C224" s="6"/>
      <c r="D224" s="2"/>
      <c r="E224" s="2"/>
      <c r="F224" s="2"/>
      <c r="G224" s="2"/>
      <c r="H224" s="1"/>
      <c r="I224" s="4"/>
      <c r="J224" s="4"/>
      <c r="K224" s="4"/>
      <c r="L224" s="4"/>
      <c r="M224" s="4"/>
      <c r="N224" s="4"/>
      <c r="O224" s="4"/>
      <c r="P224" s="4"/>
      <c r="Q224" s="4"/>
      <c r="R224" s="4"/>
      <c r="S224" s="4"/>
      <c r="T224" s="4"/>
      <c r="U224" s="4"/>
      <c r="V224" s="4"/>
      <c r="W224" s="4"/>
      <c r="X224" s="4"/>
      <c r="Y224" s="4"/>
      <c r="Z224" s="4"/>
      <c r="AA224" s="4"/>
    </row>
    <row r="225" spans="1:27" ht="16">
      <c r="A225" s="1"/>
      <c r="B225" s="2"/>
      <c r="C225" s="6"/>
      <c r="D225" s="2"/>
      <c r="E225" s="2"/>
      <c r="F225" s="2"/>
      <c r="G225" s="2"/>
      <c r="H225" s="1"/>
      <c r="I225" s="4"/>
      <c r="J225" s="4"/>
      <c r="K225" s="4"/>
      <c r="L225" s="4"/>
      <c r="M225" s="4"/>
      <c r="N225" s="4"/>
      <c r="O225" s="4"/>
      <c r="P225" s="4"/>
      <c r="Q225" s="4"/>
      <c r="R225" s="4"/>
      <c r="S225" s="4"/>
      <c r="T225" s="4"/>
      <c r="U225" s="4"/>
      <c r="V225" s="4"/>
      <c r="W225" s="4"/>
      <c r="X225" s="4"/>
      <c r="Y225" s="4"/>
      <c r="Z225" s="4"/>
      <c r="AA225" s="4"/>
    </row>
    <row r="226" spans="1:27" ht="16">
      <c r="A226" s="1"/>
      <c r="B226" s="2"/>
      <c r="C226" s="6"/>
      <c r="D226" s="2"/>
      <c r="E226" s="2"/>
      <c r="F226" s="2"/>
      <c r="G226" s="2"/>
      <c r="H226" s="1"/>
      <c r="I226" s="4"/>
      <c r="J226" s="4"/>
      <c r="K226" s="4"/>
      <c r="L226" s="4"/>
      <c r="M226" s="4"/>
      <c r="N226" s="4"/>
      <c r="O226" s="4"/>
      <c r="P226" s="4"/>
      <c r="Q226" s="4"/>
      <c r="R226" s="4"/>
      <c r="S226" s="4"/>
      <c r="T226" s="4"/>
      <c r="U226" s="4"/>
      <c r="V226" s="4"/>
      <c r="W226" s="4"/>
      <c r="X226" s="4"/>
      <c r="Y226" s="4"/>
      <c r="Z226" s="4"/>
      <c r="AA226" s="4"/>
    </row>
    <row r="227" spans="1:27" ht="16">
      <c r="A227" s="1"/>
      <c r="B227" s="2"/>
      <c r="C227" s="6"/>
      <c r="D227" s="2"/>
      <c r="E227" s="2"/>
      <c r="F227" s="2"/>
      <c r="G227" s="2"/>
      <c r="H227" s="1"/>
      <c r="I227" s="4"/>
      <c r="J227" s="4"/>
      <c r="K227" s="4"/>
      <c r="L227" s="4"/>
      <c r="M227" s="4"/>
      <c r="N227" s="4"/>
      <c r="O227" s="4"/>
      <c r="P227" s="4"/>
      <c r="Q227" s="4"/>
      <c r="R227" s="4"/>
      <c r="S227" s="4"/>
      <c r="T227" s="4"/>
      <c r="U227" s="4"/>
      <c r="V227" s="4"/>
      <c r="W227" s="4"/>
      <c r="X227" s="4"/>
      <c r="Y227" s="4"/>
      <c r="Z227" s="4"/>
      <c r="AA227" s="4"/>
    </row>
    <row r="228" spans="1:27" ht="16">
      <c r="A228" s="1"/>
      <c r="B228" s="2"/>
      <c r="C228" s="6"/>
      <c r="D228" s="2"/>
      <c r="E228" s="2"/>
      <c r="F228" s="2"/>
      <c r="G228" s="2"/>
      <c r="H228" s="1"/>
      <c r="I228" s="4"/>
      <c r="J228" s="4"/>
      <c r="K228" s="4"/>
      <c r="L228" s="4"/>
      <c r="M228" s="4"/>
      <c r="N228" s="4"/>
      <c r="O228" s="4"/>
      <c r="P228" s="4"/>
      <c r="Q228" s="4"/>
      <c r="R228" s="4"/>
      <c r="S228" s="4"/>
      <c r="T228" s="4"/>
      <c r="U228" s="4"/>
      <c r="V228" s="4"/>
      <c r="W228" s="4"/>
      <c r="X228" s="4"/>
      <c r="Y228" s="4"/>
      <c r="Z228" s="4"/>
      <c r="AA228" s="4"/>
    </row>
    <row r="229" spans="1:27" ht="16">
      <c r="A229" s="1"/>
      <c r="B229" s="2"/>
      <c r="C229" s="6"/>
      <c r="D229" s="2"/>
      <c r="E229" s="2"/>
      <c r="F229" s="2"/>
      <c r="G229" s="2"/>
      <c r="H229" s="1"/>
      <c r="I229" s="4"/>
      <c r="J229" s="4"/>
      <c r="K229" s="4"/>
      <c r="L229" s="4"/>
      <c r="M229" s="4"/>
      <c r="N229" s="4"/>
      <c r="O229" s="4"/>
      <c r="P229" s="4"/>
      <c r="Q229" s="4"/>
      <c r="R229" s="4"/>
      <c r="S229" s="4"/>
      <c r="T229" s="4"/>
      <c r="U229" s="4"/>
      <c r="V229" s="4"/>
      <c r="W229" s="4"/>
      <c r="X229" s="4"/>
      <c r="Y229" s="4"/>
      <c r="Z229" s="4"/>
      <c r="AA229" s="4"/>
    </row>
    <row r="230" spans="1:27" ht="16">
      <c r="A230" s="1"/>
      <c r="B230" s="2"/>
      <c r="C230" s="6"/>
      <c r="D230" s="2"/>
      <c r="E230" s="2"/>
      <c r="F230" s="2"/>
      <c r="G230" s="2"/>
      <c r="H230" s="1"/>
      <c r="I230" s="4"/>
      <c r="J230" s="4"/>
      <c r="K230" s="4"/>
      <c r="L230" s="4"/>
      <c r="M230" s="4"/>
      <c r="N230" s="4"/>
      <c r="O230" s="4"/>
      <c r="P230" s="4"/>
      <c r="Q230" s="4"/>
      <c r="R230" s="4"/>
      <c r="S230" s="4"/>
      <c r="T230" s="4"/>
      <c r="U230" s="4"/>
      <c r="V230" s="4"/>
      <c r="W230" s="4"/>
      <c r="X230" s="4"/>
      <c r="Y230" s="4"/>
      <c r="Z230" s="4"/>
      <c r="AA230" s="4"/>
    </row>
    <row r="231" spans="1:27" ht="16">
      <c r="A231" s="1"/>
      <c r="B231" s="2"/>
      <c r="C231" s="6"/>
      <c r="D231" s="2"/>
      <c r="E231" s="2"/>
      <c r="F231" s="2"/>
      <c r="G231" s="2"/>
      <c r="H231" s="1"/>
      <c r="I231" s="4"/>
      <c r="J231" s="4"/>
      <c r="K231" s="4"/>
      <c r="L231" s="4"/>
      <c r="M231" s="4"/>
      <c r="N231" s="4"/>
      <c r="O231" s="4"/>
      <c r="P231" s="4"/>
      <c r="Q231" s="4"/>
      <c r="R231" s="4"/>
      <c r="S231" s="4"/>
      <c r="T231" s="4"/>
      <c r="U231" s="4"/>
      <c r="V231" s="4"/>
      <c r="W231" s="4"/>
      <c r="X231" s="4"/>
      <c r="Y231" s="4"/>
      <c r="Z231" s="4"/>
      <c r="AA231" s="4"/>
    </row>
    <row r="232" spans="1:27" ht="16">
      <c r="A232" s="1"/>
      <c r="B232" s="2"/>
      <c r="C232" s="6"/>
      <c r="D232" s="2"/>
      <c r="E232" s="2"/>
      <c r="F232" s="2"/>
      <c r="G232" s="2"/>
      <c r="H232" s="1"/>
      <c r="I232" s="4"/>
      <c r="J232" s="4"/>
      <c r="K232" s="4"/>
      <c r="L232" s="4"/>
      <c r="M232" s="4"/>
      <c r="N232" s="4"/>
      <c r="O232" s="4"/>
      <c r="P232" s="4"/>
      <c r="Q232" s="4"/>
      <c r="R232" s="4"/>
      <c r="S232" s="4"/>
      <c r="T232" s="4"/>
      <c r="U232" s="4"/>
      <c r="V232" s="4"/>
      <c r="W232" s="4"/>
      <c r="X232" s="4"/>
      <c r="Y232" s="4"/>
      <c r="Z232" s="4"/>
      <c r="AA232" s="4"/>
    </row>
    <row r="233" spans="1:27" ht="16">
      <c r="A233" s="1"/>
      <c r="B233" s="2"/>
      <c r="C233" s="6"/>
      <c r="D233" s="2"/>
      <c r="E233" s="2"/>
      <c r="F233" s="2"/>
      <c r="G233" s="2"/>
      <c r="H233" s="1"/>
      <c r="I233" s="4"/>
      <c r="J233" s="4"/>
      <c r="K233" s="4"/>
      <c r="L233" s="4"/>
      <c r="M233" s="4"/>
      <c r="N233" s="4"/>
      <c r="O233" s="4"/>
      <c r="P233" s="4"/>
      <c r="Q233" s="4"/>
      <c r="R233" s="4"/>
      <c r="S233" s="4"/>
      <c r="T233" s="4"/>
      <c r="U233" s="4"/>
      <c r="V233" s="4"/>
      <c r="W233" s="4"/>
      <c r="X233" s="4"/>
      <c r="Y233" s="4"/>
      <c r="Z233" s="4"/>
      <c r="AA233" s="4"/>
    </row>
    <row r="234" spans="1:27" ht="16">
      <c r="A234" s="1"/>
      <c r="B234" s="2"/>
      <c r="C234" s="6"/>
      <c r="D234" s="2"/>
      <c r="E234" s="2"/>
      <c r="F234" s="2"/>
      <c r="G234" s="2"/>
      <c r="H234" s="1"/>
      <c r="I234" s="4"/>
      <c r="J234" s="4"/>
      <c r="K234" s="4"/>
      <c r="L234" s="4"/>
      <c r="M234" s="4"/>
      <c r="N234" s="4"/>
      <c r="O234" s="4"/>
      <c r="P234" s="4"/>
      <c r="Q234" s="4"/>
      <c r="R234" s="4"/>
      <c r="S234" s="4"/>
      <c r="T234" s="4"/>
      <c r="U234" s="4"/>
      <c r="V234" s="4"/>
      <c r="W234" s="4"/>
      <c r="X234" s="4"/>
      <c r="Y234" s="4"/>
      <c r="Z234" s="4"/>
      <c r="AA234" s="4"/>
    </row>
    <row r="235" spans="1:27" ht="16">
      <c r="A235" s="1"/>
      <c r="B235" s="2"/>
      <c r="C235" s="6"/>
      <c r="D235" s="2"/>
      <c r="E235" s="2"/>
      <c r="F235" s="2"/>
      <c r="G235" s="2"/>
      <c r="H235" s="1"/>
      <c r="I235" s="4"/>
      <c r="J235" s="4"/>
      <c r="K235" s="4"/>
      <c r="L235" s="4"/>
      <c r="M235" s="4"/>
      <c r="N235" s="4"/>
      <c r="O235" s="4"/>
      <c r="P235" s="4"/>
      <c r="Q235" s="4"/>
      <c r="R235" s="4"/>
      <c r="S235" s="4"/>
      <c r="T235" s="4"/>
      <c r="U235" s="4"/>
      <c r="V235" s="4"/>
      <c r="W235" s="4"/>
      <c r="X235" s="4"/>
      <c r="Y235" s="4"/>
      <c r="Z235" s="4"/>
      <c r="AA235" s="4"/>
    </row>
    <row r="236" spans="1:27" ht="16">
      <c r="A236" s="1"/>
      <c r="B236" s="2"/>
      <c r="C236" s="6"/>
      <c r="D236" s="2"/>
      <c r="E236" s="2"/>
      <c r="F236" s="2"/>
      <c r="G236" s="2"/>
      <c r="H236" s="1"/>
      <c r="I236" s="4"/>
      <c r="J236" s="4"/>
      <c r="K236" s="4"/>
      <c r="L236" s="4"/>
      <c r="M236" s="4"/>
      <c r="N236" s="4"/>
      <c r="O236" s="4"/>
      <c r="P236" s="4"/>
      <c r="Q236" s="4"/>
      <c r="R236" s="4"/>
      <c r="S236" s="4"/>
      <c r="T236" s="4"/>
      <c r="U236" s="4"/>
      <c r="V236" s="4"/>
      <c r="W236" s="4"/>
      <c r="X236" s="4"/>
      <c r="Y236" s="4"/>
      <c r="Z236" s="4"/>
      <c r="AA236" s="4"/>
    </row>
    <row r="237" spans="1:27" ht="16">
      <c r="A237" s="1"/>
      <c r="B237" s="2"/>
      <c r="C237" s="6"/>
      <c r="D237" s="2"/>
      <c r="E237" s="2"/>
      <c r="F237" s="2"/>
      <c r="G237" s="2"/>
      <c r="H237" s="1"/>
      <c r="I237" s="4"/>
      <c r="J237" s="4"/>
      <c r="K237" s="4"/>
      <c r="L237" s="4"/>
      <c r="M237" s="4"/>
      <c r="N237" s="4"/>
      <c r="O237" s="4"/>
      <c r="P237" s="4"/>
      <c r="Q237" s="4"/>
      <c r="R237" s="4"/>
      <c r="S237" s="4"/>
      <c r="T237" s="4"/>
      <c r="U237" s="4"/>
      <c r="V237" s="4"/>
      <c r="W237" s="4"/>
      <c r="X237" s="4"/>
      <c r="Y237" s="4"/>
      <c r="Z237" s="4"/>
      <c r="AA237" s="4"/>
    </row>
    <row r="238" spans="1:27" ht="16">
      <c r="A238" s="1"/>
      <c r="B238" s="2"/>
      <c r="C238" s="6"/>
      <c r="D238" s="2"/>
      <c r="E238" s="2"/>
      <c r="F238" s="2"/>
      <c r="G238" s="2"/>
      <c r="H238" s="1"/>
      <c r="I238" s="4"/>
      <c r="J238" s="4"/>
      <c r="K238" s="4"/>
      <c r="L238" s="4"/>
      <c r="M238" s="4"/>
      <c r="N238" s="4"/>
      <c r="O238" s="4"/>
      <c r="P238" s="4"/>
      <c r="Q238" s="4"/>
      <c r="R238" s="4"/>
      <c r="S238" s="4"/>
      <c r="T238" s="4"/>
      <c r="U238" s="4"/>
      <c r="V238" s="4"/>
      <c r="W238" s="4"/>
      <c r="X238" s="4"/>
      <c r="Y238" s="4"/>
      <c r="Z238" s="4"/>
      <c r="AA238" s="4"/>
    </row>
    <row r="239" spans="1:27" ht="16">
      <c r="A239" s="1"/>
      <c r="B239" s="2"/>
      <c r="C239" s="6"/>
      <c r="D239" s="2"/>
      <c r="E239" s="2"/>
      <c r="F239" s="2"/>
      <c r="G239" s="2"/>
      <c r="H239" s="1"/>
      <c r="I239" s="4"/>
      <c r="J239" s="4"/>
      <c r="K239" s="4"/>
      <c r="L239" s="4"/>
      <c r="M239" s="4"/>
      <c r="N239" s="4"/>
      <c r="O239" s="4"/>
      <c r="P239" s="4"/>
      <c r="Q239" s="4"/>
      <c r="R239" s="4"/>
      <c r="S239" s="4"/>
      <c r="T239" s="4"/>
      <c r="U239" s="4"/>
      <c r="V239" s="4"/>
      <c r="W239" s="4"/>
      <c r="X239" s="4"/>
      <c r="Y239" s="4"/>
      <c r="Z239" s="4"/>
      <c r="AA239" s="4"/>
    </row>
    <row r="240" spans="1:27" ht="16">
      <c r="A240" s="1"/>
      <c r="B240" s="2"/>
      <c r="C240" s="6"/>
      <c r="D240" s="2"/>
      <c r="E240" s="2"/>
      <c r="F240" s="2"/>
      <c r="G240" s="2"/>
      <c r="H240" s="1"/>
      <c r="I240" s="4"/>
      <c r="J240" s="4"/>
      <c r="K240" s="4"/>
      <c r="L240" s="4"/>
      <c r="M240" s="4"/>
      <c r="N240" s="4"/>
      <c r="O240" s="4"/>
      <c r="P240" s="4"/>
      <c r="Q240" s="4"/>
      <c r="R240" s="4"/>
      <c r="S240" s="4"/>
      <c r="T240" s="4"/>
      <c r="U240" s="4"/>
      <c r="V240" s="4"/>
      <c r="W240" s="4"/>
      <c r="X240" s="4"/>
      <c r="Y240" s="4"/>
      <c r="Z240" s="4"/>
      <c r="AA240" s="4"/>
    </row>
    <row r="241" spans="1:27" ht="16">
      <c r="A241" s="1"/>
      <c r="B241" s="2"/>
      <c r="C241" s="6"/>
      <c r="D241" s="2"/>
      <c r="E241" s="2"/>
      <c r="F241" s="2"/>
      <c r="G241" s="2"/>
      <c r="H241" s="1"/>
      <c r="I241" s="4"/>
      <c r="J241" s="4"/>
      <c r="K241" s="4"/>
      <c r="L241" s="4"/>
      <c r="M241" s="4"/>
      <c r="N241" s="4"/>
      <c r="O241" s="4"/>
      <c r="P241" s="4"/>
      <c r="Q241" s="4"/>
      <c r="R241" s="4"/>
      <c r="S241" s="4"/>
      <c r="T241" s="4"/>
      <c r="U241" s="4"/>
      <c r="V241" s="4"/>
      <c r="W241" s="4"/>
      <c r="X241" s="4"/>
      <c r="Y241" s="4"/>
      <c r="Z241" s="4"/>
      <c r="AA241" s="4"/>
    </row>
    <row r="242" spans="1:27" ht="16">
      <c r="A242" s="1"/>
      <c r="B242" s="2"/>
      <c r="C242" s="6"/>
      <c r="D242" s="2"/>
      <c r="E242" s="2"/>
      <c r="F242" s="2"/>
      <c r="G242" s="2"/>
      <c r="H242" s="1"/>
      <c r="I242" s="4"/>
      <c r="J242" s="4"/>
      <c r="K242" s="4"/>
      <c r="L242" s="4"/>
      <c r="M242" s="4"/>
      <c r="N242" s="4"/>
      <c r="O242" s="4"/>
      <c r="P242" s="4"/>
      <c r="Q242" s="4"/>
      <c r="R242" s="4"/>
      <c r="S242" s="4"/>
      <c r="T242" s="4"/>
      <c r="U242" s="4"/>
      <c r="V242" s="4"/>
      <c r="W242" s="4"/>
      <c r="X242" s="4"/>
      <c r="Y242" s="4"/>
      <c r="Z242" s="4"/>
      <c r="AA242" s="4"/>
    </row>
    <row r="243" spans="1:27" ht="16">
      <c r="A243" s="1"/>
      <c r="B243" s="2"/>
      <c r="C243" s="6"/>
      <c r="D243" s="2"/>
      <c r="E243" s="2"/>
      <c r="F243" s="2"/>
      <c r="G243" s="2"/>
      <c r="H243" s="1"/>
      <c r="I243" s="4"/>
      <c r="J243" s="4"/>
      <c r="K243" s="4"/>
      <c r="L243" s="4"/>
      <c r="M243" s="4"/>
      <c r="N243" s="4"/>
      <c r="O243" s="4"/>
      <c r="P243" s="4"/>
      <c r="Q243" s="4"/>
      <c r="R243" s="4"/>
      <c r="S243" s="4"/>
      <c r="T243" s="4"/>
      <c r="U243" s="4"/>
      <c r="V243" s="4"/>
      <c r="W243" s="4"/>
      <c r="X243" s="4"/>
      <c r="Y243" s="4"/>
      <c r="Z243" s="4"/>
      <c r="AA243" s="4"/>
    </row>
    <row r="244" spans="1:27" ht="16">
      <c r="A244" s="1"/>
      <c r="B244" s="2"/>
      <c r="C244" s="6"/>
      <c r="D244" s="2"/>
      <c r="E244" s="2"/>
      <c r="F244" s="2"/>
      <c r="G244" s="2"/>
      <c r="H244" s="1"/>
      <c r="I244" s="4"/>
      <c r="J244" s="4"/>
      <c r="K244" s="4"/>
      <c r="L244" s="4"/>
      <c r="M244" s="4"/>
      <c r="N244" s="4"/>
      <c r="O244" s="4"/>
      <c r="P244" s="4"/>
      <c r="Q244" s="4"/>
      <c r="R244" s="4"/>
      <c r="S244" s="4"/>
      <c r="T244" s="4"/>
      <c r="U244" s="4"/>
      <c r="V244" s="4"/>
      <c r="W244" s="4"/>
      <c r="X244" s="4"/>
      <c r="Y244" s="4"/>
      <c r="Z244" s="4"/>
      <c r="AA244" s="4"/>
    </row>
    <row r="245" spans="1:27" ht="16">
      <c r="A245" s="1"/>
      <c r="B245" s="2"/>
      <c r="C245" s="6"/>
      <c r="D245" s="2"/>
      <c r="E245" s="2"/>
      <c r="F245" s="2"/>
      <c r="G245" s="2"/>
      <c r="H245" s="1"/>
      <c r="I245" s="4"/>
      <c r="J245" s="4"/>
      <c r="K245" s="4"/>
      <c r="L245" s="4"/>
      <c r="M245" s="4"/>
      <c r="N245" s="4"/>
      <c r="O245" s="4"/>
      <c r="P245" s="4"/>
      <c r="Q245" s="4"/>
      <c r="R245" s="4"/>
      <c r="S245" s="4"/>
      <c r="T245" s="4"/>
      <c r="U245" s="4"/>
      <c r="V245" s="4"/>
      <c r="W245" s="4"/>
      <c r="X245" s="4"/>
      <c r="Y245" s="4"/>
      <c r="Z245" s="4"/>
      <c r="AA245" s="4"/>
    </row>
    <row r="246" spans="1:27" ht="16">
      <c r="A246" s="1"/>
      <c r="B246" s="2"/>
      <c r="C246" s="6"/>
      <c r="D246" s="2"/>
      <c r="E246" s="2"/>
      <c r="F246" s="2"/>
      <c r="G246" s="2"/>
      <c r="H246" s="1"/>
      <c r="I246" s="4"/>
      <c r="J246" s="4"/>
      <c r="K246" s="4"/>
      <c r="L246" s="4"/>
      <c r="M246" s="4"/>
      <c r="N246" s="4"/>
      <c r="O246" s="4"/>
      <c r="P246" s="4"/>
      <c r="Q246" s="4"/>
      <c r="R246" s="4"/>
      <c r="S246" s="4"/>
      <c r="T246" s="4"/>
      <c r="U246" s="4"/>
      <c r="V246" s="4"/>
      <c r="W246" s="4"/>
      <c r="X246" s="4"/>
      <c r="Y246" s="4"/>
      <c r="Z246" s="4"/>
      <c r="AA246" s="4"/>
    </row>
    <row r="247" spans="1:27" ht="16">
      <c r="A247" s="1"/>
      <c r="B247" s="2"/>
      <c r="C247" s="6"/>
      <c r="D247" s="2"/>
      <c r="E247" s="2"/>
      <c r="F247" s="2"/>
      <c r="G247" s="2"/>
      <c r="H247" s="1"/>
      <c r="I247" s="4"/>
      <c r="J247" s="4"/>
      <c r="K247" s="4"/>
      <c r="L247" s="4"/>
      <c r="M247" s="4"/>
      <c r="N247" s="4"/>
      <c r="O247" s="4"/>
      <c r="P247" s="4"/>
      <c r="Q247" s="4"/>
      <c r="R247" s="4"/>
      <c r="S247" s="4"/>
      <c r="T247" s="4"/>
      <c r="U247" s="4"/>
      <c r="V247" s="4"/>
      <c r="W247" s="4"/>
      <c r="X247" s="4"/>
      <c r="Y247" s="4"/>
      <c r="Z247" s="4"/>
      <c r="AA247" s="4"/>
    </row>
    <row r="248" spans="1:27" ht="16">
      <c r="A248" s="1"/>
      <c r="B248" s="2"/>
      <c r="C248" s="6"/>
      <c r="D248" s="2"/>
      <c r="E248" s="2"/>
      <c r="F248" s="2"/>
      <c r="G248" s="2"/>
      <c r="H248" s="1"/>
      <c r="I248" s="4"/>
      <c r="J248" s="4"/>
      <c r="K248" s="4"/>
      <c r="L248" s="4"/>
      <c r="M248" s="4"/>
      <c r="N248" s="4"/>
      <c r="O248" s="4"/>
      <c r="P248" s="4"/>
      <c r="Q248" s="4"/>
      <c r="R248" s="4"/>
      <c r="S248" s="4"/>
      <c r="T248" s="4"/>
      <c r="U248" s="4"/>
      <c r="V248" s="4"/>
      <c r="W248" s="4"/>
      <c r="X248" s="4"/>
      <c r="Y248" s="4"/>
      <c r="Z248" s="4"/>
      <c r="AA248" s="4"/>
    </row>
    <row r="249" spans="1:27" ht="16">
      <c r="A249" s="1"/>
      <c r="B249" s="2"/>
      <c r="C249" s="6"/>
      <c r="D249" s="2"/>
      <c r="E249" s="2"/>
      <c r="F249" s="2"/>
      <c r="G249" s="2"/>
      <c r="H249" s="1"/>
      <c r="I249" s="4"/>
      <c r="J249" s="4"/>
      <c r="K249" s="4"/>
      <c r="L249" s="4"/>
      <c r="M249" s="4"/>
      <c r="N249" s="4"/>
      <c r="O249" s="4"/>
      <c r="P249" s="4"/>
      <c r="Q249" s="4"/>
      <c r="R249" s="4"/>
      <c r="S249" s="4"/>
      <c r="T249" s="4"/>
      <c r="U249" s="4"/>
      <c r="V249" s="4"/>
      <c r="W249" s="4"/>
      <c r="X249" s="4"/>
      <c r="Y249" s="4"/>
      <c r="Z249" s="4"/>
      <c r="AA249" s="4"/>
    </row>
    <row r="250" spans="1:27" ht="16">
      <c r="A250" s="1"/>
      <c r="B250" s="2"/>
      <c r="C250" s="6"/>
      <c r="D250" s="2"/>
      <c r="E250" s="2"/>
      <c r="F250" s="2"/>
      <c r="G250" s="2"/>
      <c r="H250" s="1"/>
      <c r="I250" s="4"/>
      <c r="J250" s="4"/>
      <c r="K250" s="4"/>
      <c r="L250" s="4"/>
      <c r="M250" s="4"/>
      <c r="N250" s="4"/>
      <c r="O250" s="4"/>
      <c r="P250" s="4"/>
      <c r="Q250" s="4"/>
      <c r="R250" s="4"/>
      <c r="S250" s="4"/>
      <c r="T250" s="4"/>
      <c r="U250" s="4"/>
      <c r="V250" s="4"/>
      <c r="W250" s="4"/>
      <c r="X250" s="4"/>
      <c r="Y250" s="4"/>
      <c r="Z250" s="4"/>
      <c r="AA250" s="4"/>
    </row>
    <row r="251" spans="1:27" ht="16">
      <c r="A251" s="1"/>
      <c r="B251" s="2"/>
      <c r="C251" s="6"/>
      <c r="D251" s="2"/>
      <c r="E251" s="2"/>
      <c r="F251" s="2"/>
      <c r="G251" s="2"/>
      <c r="H251" s="1"/>
      <c r="I251" s="4"/>
      <c r="J251" s="4"/>
      <c r="K251" s="4"/>
      <c r="L251" s="4"/>
      <c r="M251" s="4"/>
      <c r="N251" s="4"/>
      <c r="O251" s="4"/>
      <c r="P251" s="4"/>
      <c r="Q251" s="4"/>
      <c r="R251" s="4"/>
      <c r="S251" s="4"/>
      <c r="T251" s="4"/>
      <c r="U251" s="4"/>
      <c r="V251" s="4"/>
      <c r="W251" s="4"/>
      <c r="X251" s="4"/>
      <c r="Y251" s="4"/>
      <c r="Z251" s="4"/>
      <c r="AA251" s="4"/>
    </row>
    <row r="252" spans="1:27" ht="16">
      <c r="A252" s="1"/>
      <c r="B252" s="2"/>
      <c r="C252" s="6"/>
      <c r="D252" s="2"/>
      <c r="E252" s="2"/>
      <c r="F252" s="2"/>
      <c r="G252" s="2"/>
      <c r="H252" s="1"/>
      <c r="I252" s="4"/>
      <c r="J252" s="4"/>
      <c r="K252" s="4"/>
      <c r="L252" s="4"/>
      <c r="M252" s="4"/>
      <c r="N252" s="4"/>
      <c r="O252" s="4"/>
      <c r="P252" s="4"/>
      <c r="Q252" s="4"/>
      <c r="R252" s="4"/>
      <c r="S252" s="4"/>
      <c r="T252" s="4"/>
      <c r="U252" s="4"/>
      <c r="V252" s="4"/>
      <c r="W252" s="4"/>
      <c r="X252" s="4"/>
      <c r="Y252" s="4"/>
      <c r="Z252" s="4"/>
      <c r="AA252" s="4"/>
    </row>
    <row r="253" spans="1:27" ht="16">
      <c r="A253" s="1"/>
      <c r="B253" s="2"/>
      <c r="C253" s="6"/>
      <c r="D253" s="2"/>
      <c r="E253" s="2"/>
      <c r="F253" s="2"/>
      <c r="G253" s="2"/>
      <c r="H253" s="1"/>
      <c r="I253" s="4"/>
      <c r="J253" s="4"/>
      <c r="K253" s="4"/>
      <c r="L253" s="4"/>
      <c r="M253" s="4"/>
      <c r="N253" s="4"/>
      <c r="O253" s="4"/>
      <c r="P253" s="4"/>
      <c r="Q253" s="4"/>
      <c r="R253" s="4"/>
      <c r="S253" s="4"/>
      <c r="T253" s="4"/>
      <c r="U253" s="4"/>
      <c r="V253" s="4"/>
      <c r="W253" s="4"/>
      <c r="X253" s="4"/>
      <c r="Y253" s="4"/>
      <c r="Z253" s="4"/>
      <c r="AA253" s="4"/>
    </row>
    <row r="254" spans="1:27" ht="16">
      <c r="A254" s="1"/>
      <c r="B254" s="2"/>
      <c r="C254" s="6"/>
      <c r="D254" s="2"/>
      <c r="E254" s="2"/>
      <c r="F254" s="2"/>
      <c r="G254" s="2"/>
      <c r="H254" s="1"/>
      <c r="I254" s="4"/>
      <c r="J254" s="4"/>
      <c r="K254" s="4"/>
      <c r="L254" s="4"/>
      <c r="M254" s="4"/>
      <c r="N254" s="4"/>
      <c r="O254" s="4"/>
      <c r="P254" s="4"/>
      <c r="Q254" s="4"/>
      <c r="R254" s="4"/>
      <c r="S254" s="4"/>
      <c r="T254" s="4"/>
      <c r="U254" s="4"/>
      <c r="V254" s="4"/>
      <c r="W254" s="4"/>
      <c r="X254" s="4"/>
      <c r="Y254" s="4"/>
      <c r="Z254" s="4"/>
      <c r="AA254" s="4"/>
    </row>
    <row r="255" spans="1:27" ht="16">
      <c r="A255" s="1"/>
      <c r="B255" s="2"/>
      <c r="C255" s="6"/>
      <c r="D255" s="2"/>
      <c r="E255" s="2"/>
      <c r="F255" s="2"/>
      <c r="G255" s="2"/>
      <c r="H255" s="1"/>
      <c r="I255" s="4"/>
      <c r="J255" s="4"/>
      <c r="K255" s="4"/>
      <c r="L255" s="4"/>
      <c r="M255" s="4"/>
      <c r="N255" s="4"/>
      <c r="O255" s="4"/>
      <c r="P255" s="4"/>
      <c r="Q255" s="4"/>
      <c r="R255" s="4"/>
      <c r="S255" s="4"/>
      <c r="T255" s="4"/>
      <c r="U255" s="4"/>
      <c r="V255" s="4"/>
      <c r="W255" s="4"/>
      <c r="X255" s="4"/>
      <c r="Y255" s="4"/>
      <c r="Z255" s="4"/>
      <c r="AA255" s="4"/>
    </row>
    <row r="256" spans="1:27" ht="16">
      <c r="A256" s="1"/>
      <c r="B256" s="2"/>
      <c r="C256" s="6"/>
      <c r="D256" s="2"/>
      <c r="E256" s="2"/>
      <c r="F256" s="2"/>
      <c r="G256" s="2"/>
      <c r="H256" s="1"/>
      <c r="I256" s="4"/>
      <c r="J256" s="4"/>
      <c r="K256" s="4"/>
      <c r="L256" s="4"/>
      <c r="M256" s="4"/>
      <c r="N256" s="4"/>
      <c r="O256" s="4"/>
      <c r="P256" s="4"/>
      <c r="Q256" s="4"/>
      <c r="R256" s="4"/>
      <c r="S256" s="4"/>
      <c r="T256" s="4"/>
      <c r="U256" s="4"/>
      <c r="V256" s="4"/>
      <c r="W256" s="4"/>
      <c r="X256" s="4"/>
      <c r="Y256" s="4"/>
      <c r="Z256" s="4"/>
      <c r="AA256" s="4"/>
    </row>
    <row r="257" spans="1:27" ht="16">
      <c r="A257" s="1"/>
      <c r="B257" s="2"/>
      <c r="C257" s="6"/>
      <c r="D257" s="2"/>
      <c r="E257" s="2"/>
      <c r="F257" s="2"/>
      <c r="G257" s="2"/>
      <c r="H257" s="1"/>
      <c r="I257" s="4"/>
      <c r="J257" s="4"/>
      <c r="K257" s="4"/>
      <c r="L257" s="4"/>
      <c r="M257" s="4"/>
      <c r="N257" s="4"/>
      <c r="O257" s="4"/>
      <c r="P257" s="4"/>
      <c r="Q257" s="4"/>
      <c r="R257" s="4"/>
      <c r="S257" s="4"/>
      <c r="T257" s="4"/>
      <c r="U257" s="4"/>
      <c r="V257" s="4"/>
      <c r="W257" s="4"/>
      <c r="X257" s="4"/>
      <c r="Y257" s="4"/>
      <c r="Z257" s="4"/>
      <c r="AA257" s="4"/>
    </row>
    <row r="258" spans="1:27" ht="16">
      <c r="A258" s="1"/>
      <c r="B258" s="2"/>
      <c r="C258" s="6"/>
      <c r="D258" s="2"/>
      <c r="E258" s="2"/>
      <c r="F258" s="2"/>
      <c r="G258" s="2"/>
      <c r="H258" s="1"/>
      <c r="I258" s="4"/>
      <c r="J258" s="4"/>
      <c r="K258" s="4"/>
      <c r="L258" s="4"/>
      <c r="M258" s="4"/>
      <c r="N258" s="4"/>
      <c r="O258" s="4"/>
      <c r="P258" s="4"/>
      <c r="Q258" s="4"/>
      <c r="R258" s="4"/>
      <c r="S258" s="4"/>
      <c r="T258" s="4"/>
      <c r="U258" s="4"/>
      <c r="V258" s="4"/>
      <c r="W258" s="4"/>
      <c r="X258" s="4"/>
      <c r="Y258" s="4"/>
      <c r="Z258" s="4"/>
      <c r="AA258" s="4"/>
    </row>
    <row r="259" spans="1:27" ht="16">
      <c r="A259" s="1"/>
      <c r="B259" s="2"/>
      <c r="C259" s="6"/>
      <c r="D259" s="2"/>
      <c r="E259" s="2"/>
      <c r="F259" s="2"/>
      <c r="G259" s="2"/>
      <c r="H259" s="1"/>
      <c r="I259" s="4"/>
      <c r="J259" s="4"/>
      <c r="K259" s="4"/>
      <c r="L259" s="4"/>
      <c r="M259" s="4"/>
      <c r="N259" s="4"/>
      <c r="O259" s="4"/>
      <c r="P259" s="4"/>
      <c r="Q259" s="4"/>
      <c r="R259" s="4"/>
      <c r="S259" s="4"/>
      <c r="T259" s="4"/>
      <c r="U259" s="4"/>
      <c r="V259" s="4"/>
      <c r="W259" s="4"/>
      <c r="X259" s="4"/>
      <c r="Y259" s="4"/>
      <c r="Z259" s="4"/>
      <c r="AA259" s="4"/>
    </row>
    <row r="260" spans="1:27" ht="16">
      <c r="A260" s="1"/>
      <c r="B260" s="2"/>
      <c r="C260" s="6"/>
      <c r="D260" s="2"/>
      <c r="E260" s="2"/>
      <c r="F260" s="2"/>
      <c r="G260" s="2"/>
      <c r="H260" s="1"/>
      <c r="I260" s="4"/>
      <c r="J260" s="4"/>
      <c r="K260" s="4"/>
      <c r="L260" s="4"/>
      <c r="M260" s="4"/>
      <c r="N260" s="4"/>
      <c r="O260" s="4"/>
      <c r="P260" s="4"/>
      <c r="Q260" s="4"/>
      <c r="R260" s="4"/>
      <c r="S260" s="4"/>
      <c r="T260" s="4"/>
      <c r="U260" s="4"/>
      <c r="V260" s="4"/>
      <c r="W260" s="4"/>
      <c r="X260" s="4"/>
      <c r="Y260" s="4"/>
      <c r="Z260" s="4"/>
      <c r="AA260" s="4"/>
    </row>
    <row r="261" spans="1:27" ht="16">
      <c r="A261" s="1"/>
      <c r="B261" s="2"/>
      <c r="C261" s="6"/>
      <c r="D261" s="2"/>
      <c r="E261" s="2"/>
      <c r="F261" s="2"/>
      <c r="G261" s="2"/>
      <c r="H261" s="1"/>
      <c r="I261" s="4"/>
      <c r="J261" s="4"/>
      <c r="K261" s="4"/>
      <c r="L261" s="4"/>
      <c r="M261" s="4"/>
      <c r="N261" s="4"/>
      <c r="O261" s="4"/>
      <c r="P261" s="4"/>
      <c r="Q261" s="4"/>
      <c r="R261" s="4"/>
      <c r="S261" s="4"/>
      <c r="T261" s="4"/>
      <c r="U261" s="4"/>
      <c r="V261" s="4"/>
      <c r="W261" s="4"/>
      <c r="X261" s="4"/>
      <c r="Y261" s="4"/>
      <c r="Z261" s="4"/>
      <c r="AA261" s="4"/>
    </row>
    <row r="262" spans="1:27" ht="16">
      <c r="A262" s="1"/>
      <c r="B262" s="2"/>
      <c r="C262" s="6"/>
      <c r="D262" s="2"/>
      <c r="E262" s="2"/>
      <c r="F262" s="2"/>
      <c r="G262" s="2"/>
      <c r="H262" s="1"/>
      <c r="I262" s="4"/>
      <c r="J262" s="4"/>
      <c r="K262" s="4"/>
      <c r="L262" s="4"/>
      <c r="M262" s="4"/>
      <c r="N262" s="4"/>
      <c r="O262" s="4"/>
      <c r="P262" s="4"/>
      <c r="Q262" s="4"/>
      <c r="R262" s="4"/>
      <c r="S262" s="4"/>
      <c r="T262" s="4"/>
      <c r="U262" s="4"/>
      <c r="V262" s="4"/>
      <c r="W262" s="4"/>
      <c r="X262" s="4"/>
      <c r="Y262" s="4"/>
      <c r="Z262" s="4"/>
      <c r="AA262" s="4"/>
    </row>
    <row r="263" spans="1:27" ht="16">
      <c r="A263" s="1"/>
      <c r="B263" s="2"/>
      <c r="C263" s="6"/>
      <c r="D263" s="2"/>
      <c r="E263" s="2"/>
      <c r="F263" s="2"/>
      <c r="G263" s="2"/>
      <c r="H263" s="1"/>
      <c r="I263" s="4"/>
      <c r="J263" s="4"/>
      <c r="K263" s="4"/>
      <c r="L263" s="4"/>
      <c r="M263" s="4"/>
      <c r="N263" s="4"/>
      <c r="O263" s="4"/>
      <c r="P263" s="4"/>
      <c r="Q263" s="4"/>
      <c r="R263" s="4"/>
      <c r="S263" s="4"/>
      <c r="T263" s="4"/>
      <c r="U263" s="4"/>
      <c r="V263" s="4"/>
      <c r="W263" s="4"/>
      <c r="X263" s="4"/>
      <c r="Y263" s="4"/>
      <c r="Z263" s="4"/>
      <c r="AA263" s="4"/>
    </row>
    <row r="264" spans="1:27" ht="16">
      <c r="A264" s="1"/>
      <c r="B264" s="2"/>
      <c r="C264" s="6"/>
      <c r="D264" s="2"/>
      <c r="E264" s="2"/>
      <c r="F264" s="2"/>
      <c r="G264" s="2"/>
      <c r="H264" s="1"/>
      <c r="I264" s="4"/>
      <c r="J264" s="4"/>
      <c r="K264" s="4"/>
      <c r="L264" s="4"/>
      <c r="M264" s="4"/>
      <c r="N264" s="4"/>
      <c r="O264" s="4"/>
      <c r="P264" s="4"/>
      <c r="Q264" s="4"/>
      <c r="R264" s="4"/>
      <c r="S264" s="4"/>
      <c r="T264" s="4"/>
      <c r="U264" s="4"/>
      <c r="V264" s="4"/>
      <c r="W264" s="4"/>
      <c r="X264" s="4"/>
      <c r="Y264" s="4"/>
      <c r="Z264" s="4"/>
      <c r="AA264" s="4"/>
    </row>
    <row r="265" spans="1:27" ht="16">
      <c r="A265" s="1"/>
      <c r="B265" s="2"/>
      <c r="C265" s="6"/>
      <c r="D265" s="2"/>
      <c r="E265" s="2"/>
      <c r="F265" s="2"/>
      <c r="G265" s="2"/>
      <c r="H265" s="1"/>
      <c r="I265" s="4"/>
      <c r="J265" s="4"/>
      <c r="K265" s="4"/>
      <c r="L265" s="4"/>
      <c r="M265" s="4"/>
      <c r="N265" s="4"/>
      <c r="O265" s="4"/>
      <c r="P265" s="4"/>
      <c r="Q265" s="4"/>
      <c r="R265" s="4"/>
      <c r="S265" s="4"/>
      <c r="T265" s="4"/>
      <c r="U265" s="4"/>
      <c r="V265" s="4"/>
      <c r="W265" s="4"/>
      <c r="X265" s="4"/>
      <c r="Y265" s="4"/>
      <c r="Z265" s="4"/>
      <c r="AA265" s="4"/>
    </row>
    <row r="266" spans="1:27" ht="16">
      <c r="A266" s="1"/>
      <c r="B266" s="2"/>
      <c r="C266" s="6"/>
      <c r="D266" s="2"/>
      <c r="E266" s="2"/>
      <c r="F266" s="2"/>
      <c r="G266" s="2"/>
      <c r="H266" s="1"/>
      <c r="I266" s="4"/>
      <c r="J266" s="4"/>
      <c r="K266" s="4"/>
      <c r="L266" s="4"/>
      <c r="M266" s="4"/>
      <c r="N266" s="4"/>
      <c r="O266" s="4"/>
      <c r="P266" s="4"/>
      <c r="Q266" s="4"/>
      <c r="R266" s="4"/>
      <c r="S266" s="4"/>
      <c r="T266" s="4"/>
      <c r="U266" s="4"/>
      <c r="V266" s="4"/>
      <c r="W266" s="4"/>
      <c r="X266" s="4"/>
      <c r="Y266" s="4"/>
      <c r="Z266" s="4"/>
      <c r="AA266" s="4"/>
    </row>
    <row r="267" spans="1:27" ht="16">
      <c r="A267" s="1"/>
      <c r="B267" s="2"/>
      <c r="C267" s="6"/>
      <c r="D267" s="2"/>
      <c r="E267" s="2"/>
      <c r="F267" s="2"/>
      <c r="G267" s="2"/>
      <c r="H267" s="1"/>
      <c r="I267" s="4"/>
      <c r="J267" s="4"/>
      <c r="K267" s="4"/>
      <c r="L267" s="4"/>
      <c r="M267" s="4"/>
      <c r="N267" s="4"/>
      <c r="O267" s="4"/>
      <c r="P267" s="4"/>
      <c r="Q267" s="4"/>
      <c r="R267" s="4"/>
      <c r="S267" s="4"/>
      <c r="T267" s="4"/>
      <c r="U267" s="4"/>
      <c r="V267" s="4"/>
      <c r="W267" s="4"/>
      <c r="X267" s="4"/>
      <c r="Y267" s="4"/>
      <c r="Z267" s="4"/>
      <c r="AA267" s="4"/>
    </row>
    <row r="268" spans="1:27" ht="16">
      <c r="A268" s="1"/>
      <c r="B268" s="2"/>
      <c r="C268" s="6"/>
      <c r="D268" s="2"/>
      <c r="E268" s="2"/>
      <c r="F268" s="2"/>
      <c r="G268" s="2"/>
      <c r="H268" s="1"/>
      <c r="I268" s="4"/>
      <c r="J268" s="4"/>
      <c r="K268" s="4"/>
      <c r="L268" s="4"/>
      <c r="M268" s="4"/>
      <c r="N268" s="4"/>
      <c r="O268" s="4"/>
      <c r="P268" s="4"/>
      <c r="Q268" s="4"/>
      <c r="R268" s="4"/>
      <c r="S268" s="4"/>
      <c r="T268" s="4"/>
      <c r="U268" s="4"/>
      <c r="V268" s="4"/>
      <c r="W268" s="4"/>
      <c r="X268" s="4"/>
      <c r="Y268" s="4"/>
      <c r="Z268" s="4"/>
      <c r="AA268" s="4"/>
    </row>
    <row r="269" spans="1:27" ht="16">
      <c r="A269" s="1"/>
      <c r="B269" s="2"/>
      <c r="C269" s="6"/>
      <c r="D269" s="2"/>
      <c r="E269" s="2"/>
      <c r="F269" s="2"/>
      <c r="G269" s="2"/>
      <c r="H269" s="1"/>
      <c r="I269" s="4"/>
      <c r="J269" s="4"/>
      <c r="K269" s="4"/>
      <c r="L269" s="4"/>
      <c r="M269" s="4"/>
      <c r="N269" s="4"/>
      <c r="O269" s="4"/>
      <c r="P269" s="4"/>
      <c r="Q269" s="4"/>
      <c r="R269" s="4"/>
      <c r="S269" s="4"/>
      <c r="T269" s="4"/>
      <c r="U269" s="4"/>
      <c r="V269" s="4"/>
      <c r="W269" s="4"/>
      <c r="X269" s="4"/>
      <c r="Y269" s="4"/>
      <c r="Z269" s="4"/>
      <c r="AA269" s="4"/>
    </row>
    <row r="270" spans="1:27" ht="16">
      <c r="A270" s="1"/>
      <c r="B270" s="2"/>
      <c r="C270" s="6"/>
      <c r="D270" s="2"/>
      <c r="E270" s="2"/>
      <c r="F270" s="2"/>
      <c r="G270" s="2"/>
      <c r="H270" s="1"/>
      <c r="I270" s="4"/>
      <c r="J270" s="4"/>
      <c r="K270" s="4"/>
      <c r="L270" s="4"/>
      <c r="M270" s="4"/>
      <c r="N270" s="4"/>
      <c r="O270" s="4"/>
      <c r="P270" s="4"/>
      <c r="Q270" s="4"/>
      <c r="R270" s="4"/>
      <c r="S270" s="4"/>
      <c r="T270" s="4"/>
      <c r="U270" s="4"/>
      <c r="V270" s="4"/>
      <c r="W270" s="4"/>
      <c r="X270" s="4"/>
      <c r="Y270" s="4"/>
      <c r="Z270" s="4"/>
      <c r="AA270" s="4"/>
    </row>
    <row r="271" spans="1:27" ht="16">
      <c r="A271" s="1"/>
      <c r="B271" s="2"/>
      <c r="C271" s="6"/>
      <c r="D271" s="2"/>
      <c r="E271" s="2"/>
      <c r="F271" s="2"/>
      <c r="G271" s="2"/>
      <c r="H271" s="1"/>
      <c r="I271" s="4"/>
      <c r="J271" s="4"/>
      <c r="K271" s="4"/>
      <c r="L271" s="4"/>
      <c r="M271" s="4"/>
      <c r="N271" s="4"/>
      <c r="O271" s="4"/>
      <c r="P271" s="4"/>
      <c r="Q271" s="4"/>
      <c r="R271" s="4"/>
      <c r="S271" s="4"/>
      <c r="T271" s="4"/>
      <c r="U271" s="4"/>
      <c r="V271" s="4"/>
      <c r="W271" s="4"/>
      <c r="X271" s="4"/>
      <c r="Y271" s="4"/>
      <c r="Z271" s="4"/>
      <c r="AA271" s="4"/>
    </row>
    <row r="272" spans="1:27" ht="16">
      <c r="A272" s="1"/>
      <c r="B272" s="2"/>
      <c r="C272" s="6"/>
      <c r="D272" s="2"/>
      <c r="E272" s="2"/>
      <c r="F272" s="2"/>
      <c r="G272" s="2"/>
      <c r="H272" s="1"/>
      <c r="I272" s="4"/>
      <c r="J272" s="4"/>
      <c r="K272" s="4"/>
      <c r="L272" s="4"/>
      <c r="M272" s="4"/>
      <c r="N272" s="4"/>
      <c r="O272" s="4"/>
      <c r="P272" s="4"/>
      <c r="Q272" s="4"/>
      <c r="R272" s="4"/>
      <c r="S272" s="4"/>
      <c r="T272" s="4"/>
      <c r="U272" s="4"/>
      <c r="V272" s="4"/>
      <c r="W272" s="4"/>
      <c r="X272" s="4"/>
      <c r="Y272" s="4"/>
      <c r="Z272" s="4"/>
      <c r="AA272" s="4"/>
    </row>
    <row r="273" spans="1:27" ht="16">
      <c r="A273" s="1"/>
      <c r="B273" s="2"/>
      <c r="C273" s="6"/>
      <c r="D273" s="2"/>
      <c r="E273" s="2"/>
      <c r="F273" s="2"/>
      <c r="G273" s="2"/>
      <c r="H273" s="1"/>
      <c r="I273" s="4"/>
      <c r="J273" s="4"/>
      <c r="K273" s="4"/>
      <c r="L273" s="4"/>
      <c r="M273" s="4"/>
      <c r="N273" s="4"/>
      <c r="O273" s="4"/>
      <c r="P273" s="4"/>
      <c r="Q273" s="4"/>
      <c r="R273" s="4"/>
      <c r="S273" s="4"/>
      <c r="T273" s="4"/>
      <c r="U273" s="4"/>
      <c r="V273" s="4"/>
      <c r="W273" s="4"/>
      <c r="X273" s="4"/>
      <c r="Y273" s="4"/>
      <c r="Z273" s="4"/>
      <c r="AA273" s="4"/>
    </row>
    <row r="274" spans="1:27" ht="16">
      <c r="A274" s="1"/>
      <c r="B274" s="2"/>
      <c r="C274" s="6"/>
      <c r="D274" s="2"/>
      <c r="E274" s="2"/>
      <c r="F274" s="2"/>
      <c r="G274" s="2"/>
      <c r="H274" s="1"/>
      <c r="I274" s="4"/>
      <c r="J274" s="4"/>
      <c r="K274" s="4"/>
      <c r="L274" s="4"/>
      <c r="M274" s="4"/>
      <c r="N274" s="4"/>
      <c r="O274" s="4"/>
      <c r="P274" s="4"/>
      <c r="Q274" s="4"/>
      <c r="R274" s="4"/>
      <c r="S274" s="4"/>
      <c r="T274" s="4"/>
      <c r="U274" s="4"/>
      <c r="V274" s="4"/>
      <c r="W274" s="4"/>
      <c r="X274" s="4"/>
      <c r="Y274" s="4"/>
      <c r="Z274" s="4"/>
      <c r="AA274" s="4"/>
    </row>
    <row r="275" spans="1:27" ht="16">
      <c r="A275" s="1"/>
      <c r="B275" s="2"/>
      <c r="C275" s="6"/>
      <c r="D275" s="2"/>
      <c r="E275" s="2"/>
      <c r="F275" s="2"/>
      <c r="G275" s="2"/>
      <c r="H275" s="1"/>
      <c r="I275" s="4"/>
      <c r="J275" s="4"/>
      <c r="K275" s="4"/>
      <c r="L275" s="4"/>
      <c r="M275" s="4"/>
      <c r="N275" s="4"/>
      <c r="O275" s="4"/>
      <c r="P275" s="4"/>
      <c r="Q275" s="4"/>
      <c r="R275" s="4"/>
      <c r="S275" s="4"/>
      <c r="T275" s="4"/>
      <c r="U275" s="4"/>
      <c r="V275" s="4"/>
      <c r="W275" s="4"/>
      <c r="X275" s="4"/>
      <c r="Y275" s="4"/>
      <c r="Z275" s="4"/>
      <c r="AA275" s="4"/>
    </row>
    <row r="276" spans="1:27" ht="16">
      <c r="A276" s="1"/>
      <c r="B276" s="2"/>
      <c r="C276" s="6"/>
      <c r="D276" s="2"/>
      <c r="E276" s="2"/>
      <c r="F276" s="2"/>
      <c r="G276" s="2"/>
      <c r="H276" s="1"/>
      <c r="I276" s="4"/>
      <c r="J276" s="4"/>
      <c r="K276" s="4"/>
      <c r="L276" s="4"/>
      <c r="M276" s="4"/>
      <c r="N276" s="4"/>
      <c r="O276" s="4"/>
      <c r="P276" s="4"/>
      <c r="Q276" s="4"/>
      <c r="R276" s="4"/>
      <c r="S276" s="4"/>
      <c r="T276" s="4"/>
      <c r="U276" s="4"/>
      <c r="V276" s="4"/>
      <c r="W276" s="4"/>
      <c r="X276" s="4"/>
      <c r="Y276" s="4"/>
      <c r="Z276" s="4"/>
      <c r="AA276" s="4"/>
    </row>
    <row r="277" spans="1:27" ht="16">
      <c r="A277" s="1"/>
      <c r="B277" s="2"/>
      <c r="C277" s="6"/>
      <c r="D277" s="2"/>
      <c r="E277" s="2"/>
      <c r="F277" s="2"/>
      <c r="G277" s="2"/>
      <c r="H277" s="1"/>
      <c r="I277" s="4"/>
      <c r="J277" s="4"/>
      <c r="K277" s="4"/>
      <c r="L277" s="4"/>
      <c r="M277" s="4"/>
      <c r="N277" s="4"/>
      <c r="O277" s="4"/>
      <c r="P277" s="4"/>
      <c r="Q277" s="4"/>
      <c r="R277" s="4"/>
      <c r="S277" s="4"/>
      <c r="T277" s="4"/>
      <c r="U277" s="4"/>
      <c r="V277" s="4"/>
      <c r="W277" s="4"/>
      <c r="X277" s="4"/>
      <c r="Y277" s="4"/>
      <c r="Z277" s="4"/>
      <c r="AA277" s="4"/>
    </row>
    <row r="278" spans="1:27" ht="16">
      <c r="A278" s="1"/>
      <c r="B278" s="2"/>
      <c r="C278" s="6"/>
      <c r="D278" s="2"/>
      <c r="E278" s="2"/>
      <c r="F278" s="2"/>
      <c r="G278" s="2"/>
      <c r="H278" s="1"/>
      <c r="I278" s="4"/>
      <c r="J278" s="4"/>
      <c r="K278" s="4"/>
      <c r="L278" s="4"/>
      <c r="M278" s="4"/>
      <c r="N278" s="4"/>
      <c r="O278" s="4"/>
      <c r="P278" s="4"/>
      <c r="Q278" s="4"/>
      <c r="R278" s="4"/>
      <c r="S278" s="4"/>
      <c r="T278" s="4"/>
      <c r="U278" s="4"/>
      <c r="V278" s="4"/>
      <c r="W278" s="4"/>
      <c r="X278" s="4"/>
      <c r="Y278" s="4"/>
      <c r="Z278" s="4"/>
      <c r="AA278" s="4"/>
    </row>
    <row r="279" spans="1:27" ht="16">
      <c r="A279" s="1"/>
      <c r="B279" s="2"/>
      <c r="C279" s="6"/>
      <c r="D279" s="2"/>
      <c r="E279" s="2"/>
      <c r="F279" s="2"/>
      <c r="G279" s="2"/>
      <c r="H279" s="1"/>
      <c r="I279" s="4"/>
      <c r="J279" s="4"/>
      <c r="K279" s="4"/>
      <c r="L279" s="4"/>
      <c r="M279" s="4"/>
      <c r="N279" s="4"/>
      <c r="O279" s="4"/>
      <c r="P279" s="4"/>
      <c r="Q279" s="4"/>
      <c r="R279" s="4"/>
      <c r="S279" s="4"/>
      <c r="T279" s="4"/>
      <c r="U279" s="4"/>
      <c r="V279" s="4"/>
      <c r="W279" s="4"/>
      <c r="X279" s="4"/>
      <c r="Y279" s="4"/>
      <c r="Z279" s="4"/>
      <c r="AA279" s="4"/>
    </row>
    <row r="280" spans="1:27" ht="16">
      <c r="A280" s="1"/>
      <c r="B280" s="2"/>
      <c r="C280" s="6"/>
      <c r="D280" s="2"/>
      <c r="E280" s="2"/>
      <c r="F280" s="2"/>
      <c r="G280" s="2"/>
      <c r="H280" s="1"/>
      <c r="I280" s="4"/>
      <c r="J280" s="4"/>
      <c r="K280" s="4"/>
      <c r="L280" s="4"/>
      <c r="M280" s="4"/>
      <c r="N280" s="4"/>
      <c r="O280" s="4"/>
      <c r="P280" s="4"/>
      <c r="Q280" s="4"/>
      <c r="R280" s="4"/>
      <c r="S280" s="4"/>
      <c r="T280" s="4"/>
      <c r="U280" s="4"/>
      <c r="V280" s="4"/>
      <c r="W280" s="4"/>
      <c r="X280" s="4"/>
      <c r="Y280" s="4"/>
      <c r="Z280" s="4"/>
      <c r="AA280" s="4"/>
    </row>
    <row r="281" spans="1:27" ht="16">
      <c r="A281" s="1"/>
      <c r="B281" s="2"/>
      <c r="C281" s="6"/>
      <c r="D281" s="2"/>
      <c r="E281" s="2"/>
      <c r="F281" s="2"/>
      <c r="G281" s="2"/>
      <c r="H281" s="1"/>
      <c r="I281" s="4"/>
      <c r="J281" s="4"/>
      <c r="K281" s="4"/>
      <c r="L281" s="4"/>
      <c r="M281" s="4"/>
      <c r="N281" s="4"/>
      <c r="O281" s="4"/>
      <c r="P281" s="4"/>
      <c r="Q281" s="4"/>
      <c r="R281" s="4"/>
      <c r="S281" s="4"/>
      <c r="T281" s="4"/>
      <c r="U281" s="4"/>
      <c r="V281" s="4"/>
      <c r="W281" s="4"/>
      <c r="X281" s="4"/>
      <c r="Y281" s="4"/>
      <c r="Z281" s="4"/>
      <c r="AA281" s="4"/>
    </row>
    <row r="282" spans="1:27" ht="16">
      <c r="A282" s="1"/>
      <c r="B282" s="2"/>
      <c r="C282" s="6"/>
      <c r="D282" s="2"/>
      <c r="E282" s="2"/>
      <c r="F282" s="2"/>
      <c r="G282" s="2"/>
      <c r="H282" s="1"/>
      <c r="I282" s="4"/>
      <c r="J282" s="4"/>
      <c r="K282" s="4"/>
      <c r="L282" s="4"/>
      <c r="M282" s="4"/>
      <c r="N282" s="4"/>
      <c r="O282" s="4"/>
      <c r="P282" s="4"/>
      <c r="Q282" s="4"/>
      <c r="R282" s="4"/>
      <c r="S282" s="4"/>
      <c r="T282" s="4"/>
      <c r="U282" s="4"/>
      <c r="V282" s="4"/>
      <c r="W282" s="4"/>
      <c r="X282" s="4"/>
      <c r="Y282" s="4"/>
      <c r="Z282" s="4"/>
      <c r="AA282" s="4"/>
    </row>
    <row r="283" spans="1:27" ht="16">
      <c r="A283" s="1"/>
      <c r="B283" s="2"/>
      <c r="C283" s="6"/>
      <c r="D283" s="2"/>
      <c r="E283" s="2"/>
      <c r="F283" s="2"/>
      <c r="G283" s="2"/>
      <c r="H283" s="1"/>
      <c r="I283" s="4"/>
      <c r="J283" s="4"/>
      <c r="K283" s="4"/>
      <c r="L283" s="4"/>
      <c r="M283" s="4"/>
      <c r="N283" s="4"/>
      <c r="O283" s="4"/>
      <c r="P283" s="4"/>
      <c r="Q283" s="4"/>
      <c r="R283" s="4"/>
      <c r="S283" s="4"/>
      <c r="T283" s="4"/>
      <c r="U283" s="4"/>
      <c r="V283" s="4"/>
      <c r="W283" s="4"/>
      <c r="X283" s="4"/>
      <c r="Y283" s="4"/>
      <c r="Z283" s="4"/>
      <c r="AA283" s="4"/>
    </row>
    <row r="284" spans="1:27" ht="16">
      <c r="A284" s="1"/>
      <c r="B284" s="2"/>
      <c r="C284" s="6"/>
      <c r="D284" s="2"/>
      <c r="E284" s="2"/>
      <c r="F284" s="2"/>
      <c r="G284" s="2"/>
      <c r="H284" s="1"/>
      <c r="I284" s="4"/>
      <c r="J284" s="4"/>
      <c r="K284" s="4"/>
      <c r="L284" s="4"/>
      <c r="M284" s="4"/>
      <c r="N284" s="4"/>
      <c r="O284" s="4"/>
      <c r="P284" s="4"/>
      <c r="Q284" s="4"/>
      <c r="R284" s="4"/>
      <c r="S284" s="4"/>
      <c r="T284" s="4"/>
      <c r="U284" s="4"/>
      <c r="V284" s="4"/>
      <c r="W284" s="4"/>
      <c r="X284" s="4"/>
      <c r="Y284" s="4"/>
      <c r="Z284" s="4"/>
      <c r="AA284" s="4"/>
    </row>
    <row r="285" spans="1:27" ht="16">
      <c r="A285" s="1"/>
      <c r="B285" s="2"/>
      <c r="C285" s="6"/>
      <c r="D285" s="2"/>
      <c r="E285" s="2"/>
      <c r="F285" s="2"/>
      <c r="G285" s="2"/>
      <c r="H285" s="1"/>
      <c r="I285" s="4"/>
      <c r="J285" s="4"/>
      <c r="K285" s="4"/>
      <c r="L285" s="4"/>
      <c r="M285" s="4"/>
      <c r="N285" s="4"/>
      <c r="O285" s="4"/>
      <c r="P285" s="4"/>
      <c r="Q285" s="4"/>
      <c r="R285" s="4"/>
      <c r="S285" s="4"/>
      <c r="T285" s="4"/>
      <c r="U285" s="4"/>
      <c r="V285" s="4"/>
      <c r="W285" s="4"/>
      <c r="X285" s="4"/>
      <c r="Y285" s="4"/>
      <c r="Z285" s="4"/>
      <c r="AA285" s="4"/>
    </row>
    <row r="286" spans="1:27" ht="16">
      <c r="A286" s="1"/>
      <c r="B286" s="2"/>
      <c r="C286" s="6"/>
      <c r="D286" s="2"/>
      <c r="E286" s="2"/>
      <c r="F286" s="2"/>
      <c r="G286" s="2"/>
      <c r="H286" s="1"/>
      <c r="I286" s="4"/>
      <c r="J286" s="4"/>
      <c r="K286" s="4"/>
      <c r="L286" s="4"/>
      <c r="M286" s="4"/>
      <c r="N286" s="4"/>
      <c r="O286" s="4"/>
      <c r="P286" s="4"/>
      <c r="Q286" s="4"/>
      <c r="R286" s="4"/>
      <c r="S286" s="4"/>
      <c r="T286" s="4"/>
      <c r="U286" s="4"/>
      <c r="V286" s="4"/>
      <c r="W286" s="4"/>
      <c r="X286" s="4"/>
      <c r="Y286" s="4"/>
      <c r="Z286" s="4"/>
      <c r="AA286" s="4"/>
    </row>
    <row r="287" spans="1:27" ht="16">
      <c r="A287" s="1"/>
      <c r="B287" s="2"/>
      <c r="C287" s="6"/>
      <c r="D287" s="2"/>
      <c r="E287" s="2"/>
      <c r="F287" s="2"/>
      <c r="G287" s="2"/>
      <c r="H287" s="1"/>
      <c r="I287" s="4"/>
      <c r="J287" s="4"/>
      <c r="K287" s="4"/>
      <c r="L287" s="4"/>
      <c r="M287" s="4"/>
      <c r="N287" s="4"/>
      <c r="O287" s="4"/>
      <c r="P287" s="4"/>
      <c r="Q287" s="4"/>
      <c r="R287" s="4"/>
      <c r="S287" s="4"/>
      <c r="T287" s="4"/>
      <c r="U287" s="4"/>
      <c r="V287" s="4"/>
      <c r="W287" s="4"/>
      <c r="X287" s="4"/>
      <c r="Y287" s="4"/>
      <c r="Z287" s="4"/>
      <c r="AA287" s="4"/>
    </row>
    <row r="288" spans="1:27" ht="16">
      <c r="A288" s="1"/>
      <c r="B288" s="2"/>
      <c r="C288" s="6"/>
      <c r="D288" s="2"/>
      <c r="E288" s="2"/>
      <c r="F288" s="2"/>
      <c r="G288" s="2"/>
      <c r="H288" s="1"/>
      <c r="I288" s="4"/>
      <c r="J288" s="4"/>
      <c r="K288" s="4"/>
      <c r="L288" s="4"/>
      <c r="M288" s="4"/>
      <c r="N288" s="4"/>
      <c r="O288" s="4"/>
      <c r="P288" s="4"/>
      <c r="Q288" s="4"/>
      <c r="R288" s="4"/>
      <c r="S288" s="4"/>
      <c r="T288" s="4"/>
      <c r="U288" s="4"/>
      <c r="V288" s="4"/>
      <c r="W288" s="4"/>
      <c r="X288" s="4"/>
      <c r="Y288" s="4"/>
      <c r="Z288" s="4"/>
      <c r="AA288" s="4"/>
    </row>
    <row r="289" spans="1:27" ht="16">
      <c r="A289" s="1"/>
      <c r="B289" s="2"/>
      <c r="C289" s="6"/>
      <c r="D289" s="2"/>
      <c r="E289" s="2"/>
      <c r="F289" s="2"/>
      <c r="G289" s="2"/>
      <c r="H289" s="1"/>
      <c r="I289" s="4"/>
      <c r="J289" s="4"/>
      <c r="K289" s="4"/>
      <c r="L289" s="4"/>
      <c r="M289" s="4"/>
      <c r="N289" s="4"/>
      <c r="O289" s="4"/>
      <c r="P289" s="4"/>
      <c r="Q289" s="4"/>
      <c r="R289" s="4"/>
      <c r="S289" s="4"/>
      <c r="T289" s="4"/>
      <c r="U289" s="4"/>
      <c r="V289" s="4"/>
      <c r="W289" s="4"/>
      <c r="X289" s="4"/>
      <c r="Y289" s="4"/>
      <c r="Z289" s="4"/>
      <c r="AA289" s="4"/>
    </row>
    <row r="290" spans="1:27" ht="16">
      <c r="A290" s="1"/>
      <c r="B290" s="2"/>
      <c r="C290" s="6"/>
      <c r="D290" s="2"/>
      <c r="E290" s="2"/>
      <c r="F290" s="2"/>
      <c r="G290" s="2"/>
      <c r="H290" s="1"/>
      <c r="I290" s="4"/>
      <c r="J290" s="4"/>
      <c r="K290" s="4"/>
      <c r="L290" s="4"/>
      <c r="M290" s="4"/>
      <c r="N290" s="4"/>
      <c r="O290" s="4"/>
      <c r="P290" s="4"/>
      <c r="Q290" s="4"/>
      <c r="R290" s="4"/>
      <c r="S290" s="4"/>
      <c r="T290" s="4"/>
      <c r="U290" s="4"/>
      <c r="V290" s="4"/>
      <c r="W290" s="4"/>
      <c r="X290" s="4"/>
      <c r="Y290" s="4"/>
      <c r="Z290" s="4"/>
      <c r="AA290" s="4"/>
    </row>
    <row r="291" spans="1:27" ht="16">
      <c r="A291" s="1"/>
      <c r="B291" s="2"/>
      <c r="C291" s="6"/>
      <c r="D291" s="2"/>
      <c r="E291" s="2"/>
      <c r="F291" s="2"/>
      <c r="G291" s="2"/>
      <c r="H291" s="1"/>
      <c r="I291" s="4"/>
      <c r="J291" s="4"/>
      <c r="K291" s="4"/>
      <c r="L291" s="4"/>
      <c r="M291" s="4"/>
      <c r="N291" s="4"/>
      <c r="O291" s="4"/>
      <c r="P291" s="4"/>
      <c r="Q291" s="4"/>
      <c r="R291" s="4"/>
      <c r="S291" s="4"/>
      <c r="T291" s="4"/>
      <c r="U291" s="4"/>
      <c r="V291" s="4"/>
      <c r="W291" s="4"/>
      <c r="X291" s="4"/>
      <c r="Y291" s="4"/>
      <c r="Z291" s="4"/>
      <c r="AA291" s="4"/>
    </row>
    <row r="292" spans="1:27" ht="16">
      <c r="A292" s="1"/>
      <c r="B292" s="2"/>
      <c r="C292" s="6"/>
      <c r="D292" s="2"/>
      <c r="E292" s="2"/>
      <c r="F292" s="2"/>
      <c r="G292" s="2"/>
      <c r="H292" s="1"/>
      <c r="I292" s="4"/>
      <c r="J292" s="4"/>
      <c r="K292" s="4"/>
      <c r="L292" s="4"/>
      <c r="M292" s="4"/>
      <c r="N292" s="4"/>
      <c r="O292" s="4"/>
      <c r="P292" s="4"/>
      <c r="Q292" s="4"/>
      <c r="R292" s="4"/>
      <c r="S292" s="4"/>
      <c r="T292" s="4"/>
      <c r="U292" s="4"/>
      <c r="V292" s="4"/>
      <c r="W292" s="4"/>
      <c r="X292" s="4"/>
      <c r="Y292" s="4"/>
      <c r="Z292" s="4"/>
      <c r="AA292" s="4"/>
    </row>
    <row r="293" spans="1:27" ht="16">
      <c r="A293" s="1"/>
      <c r="B293" s="2"/>
      <c r="C293" s="6"/>
      <c r="D293" s="2"/>
      <c r="E293" s="2"/>
      <c r="F293" s="2"/>
      <c r="G293" s="2"/>
      <c r="H293" s="1"/>
      <c r="I293" s="4"/>
      <c r="J293" s="4"/>
      <c r="K293" s="4"/>
      <c r="L293" s="4"/>
      <c r="M293" s="4"/>
      <c r="N293" s="4"/>
      <c r="O293" s="4"/>
      <c r="P293" s="4"/>
      <c r="Q293" s="4"/>
      <c r="R293" s="4"/>
      <c r="S293" s="4"/>
      <c r="T293" s="4"/>
      <c r="U293" s="4"/>
      <c r="V293" s="4"/>
      <c r="W293" s="4"/>
      <c r="X293" s="4"/>
      <c r="Y293" s="4"/>
      <c r="Z293" s="4"/>
      <c r="AA293" s="4"/>
    </row>
    <row r="294" spans="1:27" ht="16">
      <c r="A294" s="1"/>
      <c r="B294" s="2"/>
      <c r="C294" s="6"/>
      <c r="D294" s="2"/>
      <c r="E294" s="2"/>
      <c r="F294" s="2"/>
      <c r="G294" s="2"/>
      <c r="H294" s="1"/>
      <c r="I294" s="4"/>
      <c r="J294" s="4"/>
      <c r="K294" s="4"/>
      <c r="L294" s="4"/>
      <c r="M294" s="4"/>
      <c r="N294" s="4"/>
      <c r="O294" s="4"/>
      <c r="P294" s="4"/>
      <c r="Q294" s="4"/>
      <c r="R294" s="4"/>
      <c r="S294" s="4"/>
      <c r="T294" s="4"/>
      <c r="U294" s="4"/>
      <c r="V294" s="4"/>
      <c r="W294" s="4"/>
      <c r="X294" s="4"/>
      <c r="Y294" s="4"/>
      <c r="Z294" s="4"/>
      <c r="AA294" s="4"/>
    </row>
    <row r="295" spans="1:27" ht="16">
      <c r="A295" s="1"/>
      <c r="B295" s="2"/>
      <c r="C295" s="6"/>
      <c r="D295" s="2"/>
      <c r="E295" s="2"/>
      <c r="F295" s="2"/>
      <c r="G295" s="2"/>
      <c r="H295" s="1"/>
      <c r="I295" s="4"/>
      <c r="J295" s="4"/>
      <c r="K295" s="4"/>
      <c r="L295" s="4"/>
      <c r="M295" s="4"/>
      <c r="N295" s="4"/>
      <c r="O295" s="4"/>
      <c r="P295" s="4"/>
      <c r="Q295" s="4"/>
      <c r="R295" s="4"/>
      <c r="S295" s="4"/>
      <c r="T295" s="4"/>
      <c r="U295" s="4"/>
      <c r="V295" s="4"/>
      <c r="W295" s="4"/>
      <c r="X295" s="4"/>
      <c r="Y295" s="4"/>
      <c r="Z295" s="4"/>
      <c r="AA295" s="4"/>
    </row>
    <row r="296" spans="1:27" ht="16">
      <c r="A296" s="1"/>
      <c r="B296" s="2"/>
      <c r="C296" s="6"/>
      <c r="D296" s="2"/>
      <c r="E296" s="2"/>
      <c r="F296" s="2"/>
      <c r="G296" s="2"/>
      <c r="H296" s="1"/>
      <c r="I296" s="4"/>
      <c r="J296" s="4"/>
      <c r="K296" s="4"/>
      <c r="L296" s="4"/>
      <c r="M296" s="4"/>
      <c r="N296" s="4"/>
      <c r="O296" s="4"/>
      <c r="P296" s="4"/>
      <c r="Q296" s="4"/>
      <c r="R296" s="4"/>
      <c r="S296" s="4"/>
      <c r="T296" s="4"/>
      <c r="U296" s="4"/>
      <c r="V296" s="4"/>
      <c r="W296" s="4"/>
      <c r="X296" s="4"/>
      <c r="Y296" s="4"/>
      <c r="Z296" s="4"/>
      <c r="AA296" s="4"/>
    </row>
    <row r="297" spans="1:27" ht="16">
      <c r="A297" s="1"/>
      <c r="B297" s="2"/>
      <c r="C297" s="6"/>
      <c r="D297" s="2"/>
      <c r="E297" s="2"/>
      <c r="F297" s="2"/>
      <c r="G297" s="2"/>
      <c r="H297" s="1"/>
      <c r="I297" s="4"/>
      <c r="J297" s="4"/>
      <c r="K297" s="4"/>
      <c r="L297" s="4"/>
      <c r="M297" s="4"/>
      <c r="N297" s="4"/>
      <c r="O297" s="4"/>
      <c r="P297" s="4"/>
      <c r="Q297" s="4"/>
      <c r="R297" s="4"/>
      <c r="S297" s="4"/>
      <c r="T297" s="4"/>
      <c r="U297" s="4"/>
      <c r="V297" s="4"/>
      <c r="W297" s="4"/>
      <c r="X297" s="4"/>
      <c r="Y297" s="4"/>
      <c r="Z297" s="4"/>
      <c r="AA297" s="4"/>
    </row>
    <row r="298" spans="1:27" ht="16">
      <c r="A298" s="1"/>
      <c r="B298" s="2"/>
      <c r="C298" s="6"/>
      <c r="D298" s="2"/>
      <c r="E298" s="2"/>
      <c r="F298" s="2"/>
      <c r="G298" s="2"/>
      <c r="H298" s="1"/>
      <c r="I298" s="4"/>
      <c r="J298" s="4"/>
      <c r="K298" s="4"/>
      <c r="L298" s="4"/>
      <c r="M298" s="4"/>
      <c r="N298" s="4"/>
      <c r="O298" s="4"/>
      <c r="P298" s="4"/>
      <c r="Q298" s="4"/>
      <c r="R298" s="4"/>
      <c r="S298" s="4"/>
      <c r="T298" s="4"/>
      <c r="U298" s="4"/>
      <c r="V298" s="4"/>
      <c r="W298" s="4"/>
      <c r="X298" s="4"/>
      <c r="Y298" s="4"/>
      <c r="Z298" s="4"/>
      <c r="AA298" s="4"/>
    </row>
    <row r="299" spans="1:27" ht="16">
      <c r="A299" s="1"/>
      <c r="B299" s="2"/>
      <c r="C299" s="6"/>
      <c r="D299" s="2"/>
      <c r="E299" s="2"/>
      <c r="F299" s="2"/>
      <c r="G299" s="2"/>
      <c r="H299" s="1"/>
      <c r="I299" s="4"/>
      <c r="J299" s="4"/>
      <c r="K299" s="4"/>
      <c r="L299" s="4"/>
      <c r="M299" s="4"/>
      <c r="N299" s="4"/>
      <c r="O299" s="4"/>
      <c r="P299" s="4"/>
      <c r="Q299" s="4"/>
      <c r="R299" s="4"/>
      <c r="S299" s="4"/>
      <c r="T299" s="4"/>
      <c r="U299" s="4"/>
      <c r="V299" s="4"/>
      <c r="W299" s="4"/>
      <c r="X299" s="4"/>
      <c r="Y299" s="4"/>
      <c r="Z299" s="4"/>
      <c r="AA299" s="4"/>
    </row>
    <row r="300" spans="1:27" ht="16">
      <c r="A300" s="1"/>
      <c r="B300" s="2"/>
      <c r="C300" s="6"/>
      <c r="D300" s="2"/>
      <c r="E300" s="2"/>
      <c r="F300" s="2"/>
      <c r="G300" s="2"/>
      <c r="H300" s="1"/>
      <c r="I300" s="4"/>
      <c r="J300" s="4"/>
      <c r="K300" s="4"/>
      <c r="L300" s="4"/>
      <c r="M300" s="4"/>
      <c r="N300" s="4"/>
      <c r="O300" s="4"/>
      <c r="P300" s="4"/>
      <c r="Q300" s="4"/>
      <c r="R300" s="4"/>
      <c r="S300" s="4"/>
      <c r="T300" s="4"/>
      <c r="U300" s="4"/>
      <c r="V300" s="4"/>
      <c r="W300" s="4"/>
      <c r="X300" s="4"/>
      <c r="Y300" s="4"/>
      <c r="Z300" s="4"/>
      <c r="AA300" s="4"/>
    </row>
    <row r="301" spans="1:27" ht="16">
      <c r="A301" s="1"/>
      <c r="B301" s="2"/>
      <c r="C301" s="6"/>
      <c r="D301" s="2"/>
      <c r="E301" s="2"/>
      <c r="F301" s="2"/>
      <c r="G301" s="2"/>
      <c r="H301" s="1"/>
      <c r="I301" s="4"/>
      <c r="J301" s="4"/>
      <c r="K301" s="4"/>
      <c r="L301" s="4"/>
      <c r="M301" s="4"/>
      <c r="N301" s="4"/>
      <c r="O301" s="4"/>
      <c r="P301" s="4"/>
      <c r="Q301" s="4"/>
      <c r="R301" s="4"/>
      <c r="S301" s="4"/>
      <c r="T301" s="4"/>
      <c r="U301" s="4"/>
      <c r="V301" s="4"/>
      <c r="W301" s="4"/>
      <c r="X301" s="4"/>
      <c r="Y301" s="4"/>
      <c r="Z301" s="4"/>
      <c r="AA301" s="4"/>
    </row>
    <row r="302" spans="1:27" ht="16">
      <c r="A302" s="1"/>
      <c r="B302" s="2"/>
      <c r="C302" s="6"/>
      <c r="D302" s="2"/>
      <c r="E302" s="2"/>
      <c r="F302" s="2"/>
      <c r="G302" s="2"/>
      <c r="H302" s="1"/>
      <c r="I302" s="4"/>
      <c r="J302" s="4"/>
      <c r="K302" s="4"/>
      <c r="L302" s="4"/>
      <c r="M302" s="4"/>
      <c r="N302" s="4"/>
      <c r="O302" s="4"/>
      <c r="P302" s="4"/>
      <c r="Q302" s="4"/>
      <c r="R302" s="4"/>
      <c r="S302" s="4"/>
      <c r="T302" s="4"/>
      <c r="U302" s="4"/>
      <c r="V302" s="4"/>
      <c r="W302" s="4"/>
      <c r="X302" s="4"/>
      <c r="Y302" s="4"/>
      <c r="Z302" s="4"/>
      <c r="AA302" s="4"/>
    </row>
    <row r="303" spans="1:27" ht="16">
      <c r="A303" s="1"/>
      <c r="B303" s="2"/>
      <c r="C303" s="6"/>
      <c r="D303" s="2"/>
      <c r="E303" s="2"/>
      <c r="F303" s="2"/>
      <c r="G303" s="2"/>
      <c r="H303" s="1"/>
      <c r="I303" s="4"/>
      <c r="J303" s="4"/>
      <c r="K303" s="4"/>
      <c r="L303" s="4"/>
      <c r="M303" s="4"/>
      <c r="N303" s="4"/>
      <c r="O303" s="4"/>
      <c r="P303" s="4"/>
      <c r="Q303" s="4"/>
      <c r="R303" s="4"/>
      <c r="S303" s="4"/>
      <c r="T303" s="4"/>
      <c r="U303" s="4"/>
      <c r="V303" s="4"/>
      <c r="W303" s="4"/>
      <c r="X303" s="4"/>
      <c r="Y303" s="4"/>
      <c r="Z303" s="4"/>
      <c r="AA303" s="4"/>
    </row>
    <row r="304" spans="1:27" ht="16">
      <c r="A304" s="1"/>
      <c r="B304" s="2"/>
      <c r="C304" s="6"/>
      <c r="D304" s="2"/>
      <c r="E304" s="2"/>
      <c r="F304" s="2"/>
      <c r="G304" s="2"/>
      <c r="H304" s="1"/>
      <c r="I304" s="4"/>
      <c r="J304" s="4"/>
      <c r="K304" s="4"/>
      <c r="L304" s="4"/>
      <c r="M304" s="4"/>
      <c r="N304" s="4"/>
      <c r="O304" s="4"/>
      <c r="P304" s="4"/>
      <c r="Q304" s="4"/>
      <c r="R304" s="4"/>
      <c r="S304" s="4"/>
      <c r="T304" s="4"/>
      <c r="U304" s="4"/>
      <c r="V304" s="4"/>
      <c r="W304" s="4"/>
      <c r="X304" s="4"/>
      <c r="Y304" s="4"/>
      <c r="Z304" s="4"/>
      <c r="AA304" s="4"/>
    </row>
    <row r="305" spans="1:27" ht="16">
      <c r="A305" s="1"/>
      <c r="B305" s="2"/>
      <c r="C305" s="6"/>
      <c r="D305" s="2"/>
      <c r="E305" s="2"/>
      <c r="F305" s="2"/>
      <c r="G305" s="2"/>
      <c r="H305" s="1"/>
      <c r="I305" s="4"/>
      <c r="J305" s="4"/>
      <c r="K305" s="4"/>
      <c r="L305" s="4"/>
      <c r="M305" s="4"/>
      <c r="N305" s="4"/>
      <c r="O305" s="4"/>
      <c r="P305" s="4"/>
      <c r="Q305" s="4"/>
      <c r="R305" s="4"/>
      <c r="S305" s="4"/>
      <c r="T305" s="4"/>
      <c r="U305" s="4"/>
      <c r="V305" s="4"/>
      <c r="W305" s="4"/>
      <c r="X305" s="4"/>
      <c r="Y305" s="4"/>
      <c r="Z305" s="4"/>
      <c r="AA305" s="4"/>
    </row>
    <row r="306" spans="1:27" ht="16">
      <c r="A306" s="1"/>
      <c r="B306" s="2"/>
      <c r="C306" s="6"/>
      <c r="D306" s="2"/>
      <c r="E306" s="2"/>
      <c r="F306" s="2"/>
      <c r="G306" s="2"/>
      <c r="H306" s="1"/>
      <c r="I306" s="4"/>
      <c r="J306" s="4"/>
      <c r="K306" s="4"/>
      <c r="L306" s="4"/>
      <c r="M306" s="4"/>
      <c r="N306" s="4"/>
      <c r="O306" s="4"/>
      <c r="P306" s="4"/>
      <c r="Q306" s="4"/>
      <c r="R306" s="4"/>
      <c r="S306" s="4"/>
      <c r="T306" s="4"/>
      <c r="U306" s="4"/>
      <c r="V306" s="4"/>
      <c r="W306" s="4"/>
      <c r="X306" s="4"/>
      <c r="Y306" s="4"/>
      <c r="Z306" s="4"/>
      <c r="AA306" s="4"/>
    </row>
    <row r="307" spans="1:27" ht="16">
      <c r="A307" s="1"/>
      <c r="B307" s="2"/>
      <c r="C307" s="6"/>
      <c r="D307" s="2"/>
      <c r="E307" s="2"/>
      <c r="F307" s="2"/>
      <c r="G307" s="2"/>
      <c r="H307" s="1"/>
      <c r="I307" s="4"/>
      <c r="J307" s="4"/>
      <c r="K307" s="4"/>
      <c r="L307" s="4"/>
      <c r="M307" s="4"/>
      <c r="N307" s="4"/>
      <c r="O307" s="4"/>
      <c r="P307" s="4"/>
      <c r="Q307" s="4"/>
      <c r="R307" s="4"/>
      <c r="S307" s="4"/>
      <c r="T307" s="4"/>
      <c r="U307" s="4"/>
      <c r="V307" s="4"/>
      <c r="W307" s="4"/>
      <c r="X307" s="4"/>
      <c r="Y307" s="4"/>
      <c r="Z307" s="4"/>
      <c r="AA307" s="4"/>
    </row>
    <row r="308" spans="1:27" ht="16">
      <c r="A308" s="1"/>
      <c r="B308" s="2"/>
      <c r="C308" s="6"/>
      <c r="D308" s="2"/>
      <c r="E308" s="2"/>
      <c r="F308" s="2"/>
      <c r="G308" s="2"/>
      <c r="H308" s="1"/>
      <c r="I308" s="4"/>
      <c r="J308" s="4"/>
      <c r="K308" s="4"/>
      <c r="L308" s="4"/>
      <c r="M308" s="4"/>
      <c r="N308" s="4"/>
      <c r="O308" s="4"/>
      <c r="P308" s="4"/>
      <c r="Q308" s="4"/>
      <c r="R308" s="4"/>
      <c r="S308" s="4"/>
      <c r="T308" s="4"/>
      <c r="U308" s="4"/>
      <c r="V308" s="4"/>
      <c r="W308" s="4"/>
      <c r="X308" s="4"/>
      <c r="Y308" s="4"/>
      <c r="Z308" s="4"/>
      <c r="AA308" s="4"/>
    </row>
    <row r="309" spans="1:27" ht="16">
      <c r="A309" s="1"/>
      <c r="B309" s="2"/>
      <c r="C309" s="6"/>
      <c r="D309" s="2"/>
      <c r="E309" s="2"/>
      <c r="F309" s="2"/>
      <c r="G309" s="2"/>
      <c r="H309" s="1"/>
      <c r="I309" s="4"/>
      <c r="J309" s="4"/>
      <c r="K309" s="4"/>
      <c r="L309" s="4"/>
      <c r="M309" s="4"/>
      <c r="N309" s="4"/>
      <c r="O309" s="4"/>
      <c r="P309" s="4"/>
      <c r="Q309" s="4"/>
      <c r="R309" s="4"/>
      <c r="S309" s="4"/>
      <c r="T309" s="4"/>
      <c r="U309" s="4"/>
      <c r="V309" s="4"/>
      <c r="W309" s="4"/>
      <c r="X309" s="4"/>
      <c r="Y309" s="4"/>
      <c r="Z309" s="4"/>
      <c r="AA309" s="4"/>
    </row>
    <row r="310" spans="1:27" ht="16">
      <c r="A310" s="1"/>
      <c r="B310" s="2"/>
      <c r="C310" s="6"/>
      <c r="D310" s="2"/>
      <c r="E310" s="2"/>
      <c r="F310" s="2"/>
      <c r="G310" s="2"/>
      <c r="H310" s="1"/>
      <c r="I310" s="4"/>
      <c r="J310" s="4"/>
      <c r="K310" s="4"/>
      <c r="L310" s="4"/>
      <c r="M310" s="4"/>
      <c r="N310" s="4"/>
      <c r="O310" s="4"/>
      <c r="P310" s="4"/>
      <c r="Q310" s="4"/>
      <c r="R310" s="4"/>
      <c r="S310" s="4"/>
      <c r="T310" s="4"/>
      <c r="U310" s="4"/>
      <c r="V310" s="4"/>
      <c r="W310" s="4"/>
      <c r="X310" s="4"/>
      <c r="Y310" s="4"/>
      <c r="Z310" s="4"/>
      <c r="AA310" s="4"/>
    </row>
    <row r="311" spans="1:27" ht="16">
      <c r="A311" s="1"/>
      <c r="B311" s="2"/>
      <c r="C311" s="6"/>
      <c r="D311" s="2"/>
      <c r="E311" s="2"/>
      <c r="F311" s="2"/>
      <c r="G311" s="2"/>
      <c r="H311" s="1"/>
      <c r="I311" s="4"/>
      <c r="J311" s="4"/>
      <c r="K311" s="4"/>
      <c r="L311" s="4"/>
      <c r="M311" s="4"/>
      <c r="N311" s="4"/>
      <c r="O311" s="4"/>
      <c r="P311" s="4"/>
      <c r="Q311" s="4"/>
      <c r="R311" s="4"/>
      <c r="S311" s="4"/>
      <c r="T311" s="4"/>
      <c r="U311" s="4"/>
      <c r="V311" s="4"/>
      <c r="W311" s="4"/>
      <c r="X311" s="4"/>
      <c r="Y311" s="4"/>
      <c r="Z311" s="4"/>
      <c r="AA311" s="4"/>
    </row>
    <row r="312" spans="1:27" ht="16">
      <c r="A312" s="1"/>
      <c r="B312" s="2"/>
      <c r="C312" s="6"/>
      <c r="D312" s="2"/>
      <c r="E312" s="2"/>
      <c r="F312" s="2"/>
      <c r="G312" s="2"/>
      <c r="H312" s="1"/>
      <c r="I312" s="4"/>
      <c r="J312" s="4"/>
      <c r="K312" s="4"/>
      <c r="L312" s="4"/>
      <c r="M312" s="4"/>
      <c r="N312" s="4"/>
      <c r="O312" s="4"/>
      <c r="P312" s="4"/>
      <c r="Q312" s="4"/>
      <c r="R312" s="4"/>
      <c r="S312" s="4"/>
      <c r="T312" s="4"/>
      <c r="U312" s="4"/>
      <c r="V312" s="4"/>
      <c r="W312" s="4"/>
      <c r="X312" s="4"/>
      <c r="Y312" s="4"/>
      <c r="Z312" s="4"/>
      <c r="AA312" s="4"/>
    </row>
    <row r="313" spans="1:27" ht="16">
      <c r="A313" s="1"/>
      <c r="B313" s="2"/>
      <c r="C313" s="6"/>
      <c r="D313" s="2"/>
      <c r="E313" s="2"/>
      <c r="F313" s="2"/>
      <c r="G313" s="2"/>
      <c r="H313" s="1"/>
      <c r="I313" s="4"/>
      <c r="J313" s="4"/>
      <c r="K313" s="4"/>
      <c r="L313" s="4"/>
      <c r="M313" s="4"/>
      <c r="N313" s="4"/>
      <c r="O313" s="4"/>
      <c r="P313" s="4"/>
      <c r="Q313" s="4"/>
      <c r="R313" s="4"/>
      <c r="S313" s="4"/>
      <c r="T313" s="4"/>
      <c r="U313" s="4"/>
      <c r="V313" s="4"/>
      <c r="W313" s="4"/>
      <c r="X313" s="4"/>
      <c r="Y313" s="4"/>
      <c r="Z313" s="4"/>
      <c r="AA313" s="4"/>
    </row>
    <row r="314" spans="1:27" ht="16">
      <c r="A314" s="1"/>
      <c r="B314" s="2"/>
      <c r="C314" s="6"/>
      <c r="D314" s="2"/>
      <c r="E314" s="2"/>
      <c r="F314" s="2"/>
      <c r="G314" s="2"/>
      <c r="H314" s="1"/>
      <c r="I314" s="4"/>
      <c r="J314" s="4"/>
      <c r="K314" s="4"/>
      <c r="L314" s="4"/>
      <c r="M314" s="4"/>
      <c r="N314" s="4"/>
      <c r="O314" s="4"/>
      <c r="P314" s="4"/>
      <c r="Q314" s="4"/>
      <c r="R314" s="4"/>
      <c r="S314" s="4"/>
      <c r="T314" s="4"/>
      <c r="U314" s="4"/>
      <c r="V314" s="4"/>
      <c r="W314" s="4"/>
      <c r="X314" s="4"/>
      <c r="Y314" s="4"/>
      <c r="Z314" s="4"/>
      <c r="AA314" s="4"/>
    </row>
    <row r="315" spans="1:27" ht="16">
      <c r="A315" s="1"/>
      <c r="B315" s="2"/>
      <c r="C315" s="6"/>
      <c r="D315" s="2"/>
      <c r="E315" s="2"/>
      <c r="F315" s="2"/>
      <c r="G315" s="2"/>
      <c r="H315" s="1"/>
      <c r="I315" s="4"/>
      <c r="J315" s="4"/>
      <c r="K315" s="4"/>
      <c r="L315" s="4"/>
      <c r="M315" s="4"/>
      <c r="N315" s="4"/>
      <c r="O315" s="4"/>
      <c r="P315" s="4"/>
      <c r="Q315" s="4"/>
      <c r="R315" s="4"/>
      <c r="S315" s="4"/>
      <c r="T315" s="4"/>
      <c r="U315" s="4"/>
      <c r="V315" s="4"/>
      <c r="W315" s="4"/>
      <c r="X315" s="4"/>
      <c r="Y315" s="4"/>
      <c r="Z315" s="4"/>
      <c r="AA315" s="4"/>
    </row>
    <row r="316" spans="1:27" ht="16">
      <c r="A316" s="1"/>
      <c r="B316" s="2"/>
      <c r="C316" s="6"/>
      <c r="D316" s="2"/>
      <c r="E316" s="2"/>
      <c r="F316" s="2"/>
      <c r="G316" s="2"/>
      <c r="H316" s="1"/>
      <c r="I316" s="4"/>
      <c r="J316" s="4"/>
      <c r="K316" s="4"/>
      <c r="L316" s="4"/>
      <c r="M316" s="4"/>
      <c r="N316" s="4"/>
      <c r="O316" s="4"/>
      <c r="P316" s="4"/>
      <c r="Q316" s="4"/>
      <c r="R316" s="4"/>
      <c r="S316" s="4"/>
      <c r="T316" s="4"/>
      <c r="U316" s="4"/>
      <c r="V316" s="4"/>
      <c r="W316" s="4"/>
      <c r="X316" s="4"/>
      <c r="Y316" s="4"/>
      <c r="Z316" s="4"/>
      <c r="AA316" s="4"/>
    </row>
    <row r="317" spans="1:27" ht="16">
      <c r="A317" s="1"/>
      <c r="B317" s="2"/>
      <c r="C317" s="6"/>
      <c r="D317" s="2"/>
      <c r="E317" s="2"/>
      <c r="F317" s="2"/>
      <c r="G317" s="2"/>
      <c r="H317" s="1"/>
      <c r="I317" s="4"/>
      <c r="J317" s="4"/>
      <c r="K317" s="4"/>
      <c r="L317" s="4"/>
      <c r="M317" s="4"/>
      <c r="N317" s="4"/>
      <c r="O317" s="4"/>
      <c r="P317" s="4"/>
      <c r="Q317" s="4"/>
      <c r="R317" s="4"/>
      <c r="S317" s="4"/>
      <c r="T317" s="4"/>
      <c r="U317" s="4"/>
      <c r="V317" s="4"/>
      <c r="W317" s="4"/>
      <c r="X317" s="4"/>
      <c r="Y317" s="4"/>
      <c r="Z317" s="4"/>
      <c r="AA317" s="4"/>
    </row>
    <row r="318" spans="1:27" ht="16">
      <c r="A318" s="1"/>
      <c r="B318" s="2"/>
      <c r="C318" s="6"/>
      <c r="D318" s="2"/>
      <c r="E318" s="2"/>
      <c r="F318" s="2"/>
      <c r="G318" s="2"/>
      <c r="H318" s="1"/>
      <c r="I318" s="4"/>
      <c r="J318" s="4"/>
      <c r="K318" s="4"/>
      <c r="L318" s="4"/>
      <c r="M318" s="4"/>
      <c r="N318" s="4"/>
      <c r="O318" s="4"/>
      <c r="P318" s="4"/>
      <c r="Q318" s="4"/>
      <c r="R318" s="4"/>
      <c r="S318" s="4"/>
      <c r="T318" s="4"/>
      <c r="U318" s="4"/>
      <c r="V318" s="4"/>
      <c r="W318" s="4"/>
      <c r="X318" s="4"/>
      <c r="Y318" s="4"/>
      <c r="Z318" s="4"/>
      <c r="AA318" s="4"/>
    </row>
    <row r="319" spans="1:27" ht="16">
      <c r="A319" s="1"/>
      <c r="B319" s="2"/>
      <c r="C319" s="6"/>
      <c r="D319" s="2"/>
      <c r="E319" s="2"/>
      <c r="F319" s="2"/>
      <c r="G319" s="2"/>
      <c r="H319" s="1"/>
      <c r="I319" s="4"/>
      <c r="J319" s="4"/>
      <c r="K319" s="4"/>
      <c r="L319" s="4"/>
      <c r="M319" s="4"/>
      <c r="N319" s="4"/>
      <c r="O319" s="4"/>
      <c r="P319" s="4"/>
      <c r="Q319" s="4"/>
      <c r="R319" s="4"/>
      <c r="S319" s="4"/>
      <c r="T319" s="4"/>
      <c r="U319" s="4"/>
      <c r="V319" s="4"/>
      <c r="W319" s="4"/>
      <c r="X319" s="4"/>
      <c r="Y319" s="4"/>
      <c r="Z319" s="4"/>
      <c r="AA319" s="4"/>
    </row>
    <row r="320" spans="1:27" ht="16">
      <c r="A320" s="1"/>
      <c r="B320" s="2"/>
      <c r="C320" s="6"/>
      <c r="D320" s="2"/>
      <c r="E320" s="2"/>
      <c r="F320" s="2"/>
      <c r="G320" s="2"/>
      <c r="H320" s="1"/>
      <c r="I320" s="4"/>
      <c r="J320" s="4"/>
      <c r="K320" s="4"/>
      <c r="L320" s="4"/>
      <c r="M320" s="4"/>
      <c r="N320" s="4"/>
      <c r="O320" s="4"/>
      <c r="P320" s="4"/>
      <c r="Q320" s="4"/>
      <c r="R320" s="4"/>
      <c r="S320" s="4"/>
      <c r="T320" s="4"/>
      <c r="U320" s="4"/>
      <c r="V320" s="4"/>
      <c r="W320" s="4"/>
      <c r="X320" s="4"/>
      <c r="Y320" s="4"/>
      <c r="Z320" s="4"/>
      <c r="AA320" s="4"/>
    </row>
    <row r="321" spans="1:27" ht="16">
      <c r="A321" s="1"/>
      <c r="B321" s="2"/>
      <c r="C321" s="6"/>
      <c r="D321" s="2"/>
      <c r="E321" s="2"/>
      <c r="F321" s="2"/>
      <c r="G321" s="2"/>
      <c r="H321" s="1"/>
      <c r="I321" s="4"/>
      <c r="J321" s="4"/>
      <c r="K321" s="4"/>
      <c r="L321" s="4"/>
      <c r="M321" s="4"/>
      <c r="N321" s="4"/>
      <c r="O321" s="4"/>
      <c r="P321" s="4"/>
      <c r="Q321" s="4"/>
      <c r="R321" s="4"/>
      <c r="S321" s="4"/>
      <c r="T321" s="4"/>
      <c r="U321" s="4"/>
      <c r="V321" s="4"/>
      <c r="W321" s="4"/>
      <c r="X321" s="4"/>
      <c r="Y321" s="4"/>
      <c r="Z321" s="4"/>
      <c r="AA321" s="4"/>
    </row>
    <row r="322" spans="1:27" ht="16">
      <c r="A322" s="1"/>
      <c r="B322" s="2"/>
      <c r="C322" s="6"/>
      <c r="D322" s="2"/>
      <c r="E322" s="2"/>
      <c r="F322" s="2"/>
      <c r="G322" s="2"/>
      <c r="H322" s="1"/>
      <c r="I322" s="4"/>
      <c r="J322" s="4"/>
      <c r="K322" s="4"/>
      <c r="L322" s="4"/>
      <c r="M322" s="4"/>
      <c r="N322" s="4"/>
      <c r="O322" s="4"/>
      <c r="P322" s="4"/>
      <c r="Q322" s="4"/>
      <c r="R322" s="4"/>
      <c r="S322" s="4"/>
      <c r="T322" s="4"/>
      <c r="U322" s="4"/>
      <c r="V322" s="4"/>
      <c r="W322" s="4"/>
      <c r="X322" s="4"/>
      <c r="Y322" s="4"/>
      <c r="Z322" s="4"/>
      <c r="AA322" s="4"/>
    </row>
    <row r="323" spans="1:27" ht="16">
      <c r="A323" s="1"/>
      <c r="B323" s="2"/>
      <c r="C323" s="6"/>
      <c r="D323" s="2"/>
      <c r="E323" s="2"/>
      <c r="F323" s="2"/>
      <c r="G323" s="2"/>
      <c r="H323" s="1"/>
      <c r="I323" s="4"/>
      <c r="J323" s="4"/>
      <c r="K323" s="4"/>
      <c r="L323" s="4"/>
      <c r="M323" s="4"/>
      <c r="N323" s="4"/>
      <c r="O323" s="4"/>
      <c r="P323" s="4"/>
      <c r="Q323" s="4"/>
      <c r="R323" s="4"/>
      <c r="S323" s="4"/>
      <c r="T323" s="4"/>
      <c r="U323" s="4"/>
      <c r="V323" s="4"/>
      <c r="W323" s="4"/>
      <c r="X323" s="4"/>
      <c r="Y323" s="4"/>
      <c r="Z323" s="4"/>
      <c r="AA323" s="4"/>
    </row>
    <row r="324" spans="1:27" ht="16">
      <c r="A324" s="1"/>
      <c r="B324" s="2"/>
      <c r="C324" s="6"/>
      <c r="D324" s="2"/>
      <c r="E324" s="2"/>
      <c r="F324" s="2"/>
      <c r="G324" s="2"/>
      <c r="H324" s="1"/>
      <c r="I324" s="4"/>
      <c r="J324" s="4"/>
      <c r="K324" s="4"/>
      <c r="L324" s="4"/>
      <c r="M324" s="4"/>
      <c r="N324" s="4"/>
      <c r="O324" s="4"/>
      <c r="P324" s="4"/>
      <c r="Q324" s="4"/>
      <c r="R324" s="4"/>
      <c r="S324" s="4"/>
      <c r="T324" s="4"/>
      <c r="U324" s="4"/>
      <c r="V324" s="4"/>
      <c r="W324" s="4"/>
      <c r="X324" s="4"/>
      <c r="Y324" s="4"/>
      <c r="Z324" s="4"/>
      <c r="AA324" s="4"/>
    </row>
    <row r="325" spans="1:27" ht="16">
      <c r="A325" s="1"/>
      <c r="B325" s="2"/>
      <c r="C325" s="6"/>
      <c r="D325" s="2"/>
      <c r="E325" s="2"/>
      <c r="F325" s="2"/>
      <c r="G325" s="2"/>
      <c r="H325" s="1"/>
      <c r="I325" s="4"/>
      <c r="J325" s="4"/>
      <c r="K325" s="4"/>
      <c r="L325" s="4"/>
      <c r="M325" s="4"/>
      <c r="N325" s="4"/>
      <c r="O325" s="4"/>
      <c r="P325" s="4"/>
      <c r="Q325" s="4"/>
      <c r="R325" s="4"/>
      <c r="S325" s="4"/>
      <c r="T325" s="4"/>
      <c r="U325" s="4"/>
      <c r="V325" s="4"/>
      <c r="W325" s="4"/>
      <c r="X325" s="4"/>
      <c r="Y325" s="4"/>
      <c r="Z325" s="4"/>
      <c r="AA325" s="4"/>
    </row>
    <row r="326" spans="1:27" ht="16">
      <c r="A326" s="1"/>
      <c r="B326" s="2"/>
      <c r="C326" s="6"/>
      <c r="D326" s="2"/>
      <c r="E326" s="2"/>
      <c r="F326" s="2"/>
      <c r="G326" s="2"/>
      <c r="H326" s="1"/>
      <c r="I326" s="4"/>
      <c r="J326" s="4"/>
      <c r="K326" s="4"/>
      <c r="L326" s="4"/>
      <c r="M326" s="4"/>
      <c r="N326" s="4"/>
      <c r="O326" s="4"/>
      <c r="P326" s="4"/>
      <c r="Q326" s="4"/>
      <c r="R326" s="4"/>
      <c r="S326" s="4"/>
      <c r="T326" s="4"/>
      <c r="U326" s="4"/>
      <c r="V326" s="4"/>
      <c r="W326" s="4"/>
      <c r="X326" s="4"/>
      <c r="Y326" s="4"/>
      <c r="Z326" s="4"/>
      <c r="AA326" s="4"/>
    </row>
    <row r="327" spans="1:27" ht="16">
      <c r="A327" s="1"/>
      <c r="B327" s="2"/>
      <c r="C327" s="6"/>
      <c r="D327" s="2"/>
      <c r="E327" s="2"/>
      <c r="F327" s="2"/>
      <c r="G327" s="2"/>
      <c r="H327" s="1"/>
      <c r="I327" s="4"/>
      <c r="J327" s="4"/>
      <c r="K327" s="4"/>
      <c r="L327" s="4"/>
      <c r="M327" s="4"/>
      <c r="N327" s="4"/>
      <c r="O327" s="4"/>
      <c r="P327" s="4"/>
      <c r="Q327" s="4"/>
      <c r="R327" s="4"/>
      <c r="S327" s="4"/>
      <c r="T327" s="4"/>
      <c r="U327" s="4"/>
      <c r="V327" s="4"/>
      <c r="W327" s="4"/>
      <c r="X327" s="4"/>
      <c r="Y327" s="4"/>
      <c r="Z327" s="4"/>
      <c r="AA327" s="4"/>
    </row>
    <row r="328" spans="1:27" ht="16">
      <c r="A328" s="1"/>
      <c r="B328" s="2"/>
      <c r="C328" s="6"/>
      <c r="D328" s="2"/>
      <c r="E328" s="2"/>
      <c r="F328" s="2"/>
      <c r="G328" s="2"/>
      <c r="H328" s="1"/>
      <c r="I328" s="4"/>
      <c r="J328" s="4"/>
      <c r="K328" s="4"/>
      <c r="L328" s="4"/>
      <c r="M328" s="4"/>
      <c r="N328" s="4"/>
      <c r="O328" s="4"/>
      <c r="P328" s="4"/>
      <c r="Q328" s="4"/>
      <c r="R328" s="4"/>
      <c r="S328" s="4"/>
      <c r="T328" s="4"/>
      <c r="U328" s="4"/>
      <c r="V328" s="4"/>
      <c r="W328" s="4"/>
      <c r="X328" s="4"/>
      <c r="Y328" s="4"/>
      <c r="Z328" s="4"/>
      <c r="AA328" s="4"/>
    </row>
    <row r="329" spans="1:27" ht="16">
      <c r="A329" s="1"/>
      <c r="B329" s="2"/>
      <c r="C329" s="6"/>
      <c r="D329" s="2"/>
      <c r="E329" s="2"/>
      <c r="F329" s="2"/>
      <c r="G329" s="2"/>
      <c r="H329" s="1"/>
      <c r="I329" s="4"/>
      <c r="J329" s="4"/>
      <c r="K329" s="4"/>
      <c r="L329" s="4"/>
      <c r="M329" s="4"/>
      <c r="N329" s="4"/>
      <c r="O329" s="4"/>
      <c r="P329" s="4"/>
      <c r="Q329" s="4"/>
      <c r="R329" s="4"/>
      <c r="S329" s="4"/>
      <c r="T329" s="4"/>
      <c r="U329" s="4"/>
      <c r="V329" s="4"/>
      <c r="W329" s="4"/>
      <c r="X329" s="4"/>
      <c r="Y329" s="4"/>
      <c r="Z329" s="4"/>
      <c r="AA329" s="4"/>
    </row>
    <row r="330" spans="1:27" ht="16">
      <c r="A330" s="1"/>
      <c r="B330" s="2"/>
      <c r="C330" s="6"/>
      <c r="D330" s="2"/>
      <c r="E330" s="2"/>
      <c r="F330" s="2"/>
      <c r="G330" s="2"/>
      <c r="H330" s="1"/>
      <c r="I330" s="4"/>
      <c r="J330" s="4"/>
      <c r="K330" s="4"/>
      <c r="L330" s="4"/>
      <c r="M330" s="4"/>
      <c r="N330" s="4"/>
      <c r="O330" s="4"/>
      <c r="P330" s="4"/>
      <c r="Q330" s="4"/>
      <c r="R330" s="4"/>
      <c r="S330" s="4"/>
      <c r="T330" s="4"/>
      <c r="U330" s="4"/>
      <c r="V330" s="4"/>
      <c r="W330" s="4"/>
      <c r="X330" s="4"/>
      <c r="Y330" s="4"/>
      <c r="Z330" s="4"/>
      <c r="AA330" s="4"/>
    </row>
    <row r="331" spans="1:27" ht="16">
      <c r="A331" s="1"/>
      <c r="B331" s="2"/>
      <c r="C331" s="6"/>
      <c r="D331" s="2"/>
      <c r="E331" s="2"/>
      <c r="F331" s="2"/>
      <c r="G331" s="2"/>
      <c r="H331" s="1"/>
      <c r="I331" s="4"/>
      <c r="J331" s="4"/>
      <c r="K331" s="4"/>
      <c r="L331" s="4"/>
      <c r="M331" s="4"/>
      <c r="N331" s="4"/>
      <c r="O331" s="4"/>
      <c r="P331" s="4"/>
      <c r="Q331" s="4"/>
      <c r="R331" s="4"/>
      <c r="S331" s="4"/>
      <c r="T331" s="4"/>
      <c r="U331" s="4"/>
      <c r="V331" s="4"/>
      <c r="W331" s="4"/>
      <c r="X331" s="4"/>
      <c r="Y331" s="4"/>
      <c r="Z331" s="4"/>
      <c r="AA331" s="4"/>
    </row>
    <row r="332" spans="1:27" ht="16">
      <c r="A332" s="1"/>
      <c r="B332" s="2"/>
      <c r="C332" s="6"/>
      <c r="D332" s="2"/>
      <c r="E332" s="2"/>
      <c r="F332" s="2"/>
      <c r="G332" s="2"/>
      <c r="H332" s="1"/>
      <c r="I332" s="4"/>
      <c r="J332" s="4"/>
      <c r="K332" s="4"/>
      <c r="L332" s="4"/>
      <c r="M332" s="4"/>
      <c r="N332" s="4"/>
      <c r="O332" s="4"/>
      <c r="P332" s="4"/>
      <c r="Q332" s="4"/>
      <c r="R332" s="4"/>
      <c r="S332" s="4"/>
      <c r="T332" s="4"/>
      <c r="U332" s="4"/>
      <c r="V332" s="4"/>
      <c r="W332" s="4"/>
      <c r="X332" s="4"/>
      <c r="Y332" s="4"/>
      <c r="Z332" s="4"/>
      <c r="AA332" s="4"/>
    </row>
    <row r="333" spans="1:27" ht="16">
      <c r="A333" s="1"/>
      <c r="B333" s="2"/>
      <c r="C333" s="6"/>
      <c r="D333" s="2"/>
      <c r="E333" s="2"/>
      <c r="F333" s="2"/>
      <c r="G333" s="2"/>
      <c r="H333" s="1"/>
      <c r="I333" s="4"/>
      <c r="J333" s="4"/>
      <c r="K333" s="4"/>
      <c r="L333" s="4"/>
      <c r="M333" s="4"/>
      <c r="N333" s="4"/>
      <c r="O333" s="4"/>
      <c r="P333" s="4"/>
      <c r="Q333" s="4"/>
      <c r="R333" s="4"/>
      <c r="S333" s="4"/>
      <c r="T333" s="4"/>
      <c r="U333" s="4"/>
      <c r="V333" s="4"/>
      <c r="W333" s="4"/>
      <c r="X333" s="4"/>
      <c r="Y333" s="4"/>
      <c r="Z333" s="4"/>
      <c r="AA333" s="4"/>
    </row>
    <row r="334" spans="1:27" ht="16">
      <c r="A334" s="1"/>
      <c r="B334" s="2"/>
      <c r="C334" s="6"/>
      <c r="D334" s="2"/>
      <c r="E334" s="2"/>
      <c r="F334" s="2"/>
      <c r="G334" s="2"/>
      <c r="H334" s="1"/>
      <c r="I334" s="4"/>
      <c r="J334" s="4"/>
      <c r="K334" s="4"/>
      <c r="L334" s="4"/>
      <c r="M334" s="4"/>
      <c r="N334" s="4"/>
      <c r="O334" s="4"/>
      <c r="P334" s="4"/>
      <c r="Q334" s="4"/>
      <c r="R334" s="4"/>
      <c r="S334" s="4"/>
      <c r="T334" s="4"/>
      <c r="U334" s="4"/>
      <c r="V334" s="4"/>
      <c r="W334" s="4"/>
      <c r="X334" s="4"/>
      <c r="Y334" s="4"/>
      <c r="Z334" s="4"/>
      <c r="AA334" s="4"/>
    </row>
    <row r="335" spans="1:27" ht="16">
      <c r="A335" s="1"/>
      <c r="B335" s="2"/>
      <c r="C335" s="6"/>
      <c r="D335" s="2"/>
      <c r="E335" s="2"/>
      <c r="F335" s="2"/>
      <c r="G335" s="2"/>
      <c r="H335" s="1"/>
      <c r="I335" s="4"/>
      <c r="J335" s="4"/>
      <c r="K335" s="4"/>
      <c r="L335" s="4"/>
      <c r="M335" s="4"/>
      <c r="N335" s="4"/>
      <c r="O335" s="4"/>
      <c r="P335" s="4"/>
      <c r="Q335" s="4"/>
      <c r="R335" s="4"/>
      <c r="S335" s="4"/>
      <c r="T335" s="4"/>
      <c r="U335" s="4"/>
      <c r="V335" s="4"/>
      <c r="W335" s="4"/>
      <c r="X335" s="4"/>
      <c r="Y335" s="4"/>
      <c r="Z335" s="4"/>
      <c r="AA335" s="4"/>
    </row>
    <row r="336" spans="1:27" ht="16">
      <c r="A336" s="1"/>
      <c r="B336" s="2"/>
      <c r="C336" s="6"/>
      <c r="D336" s="2"/>
      <c r="E336" s="2"/>
      <c r="F336" s="2"/>
      <c r="G336" s="2"/>
      <c r="H336" s="1"/>
      <c r="I336" s="4"/>
      <c r="J336" s="4"/>
      <c r="K336" s="4"/>
      <c r="L336" s="4"/>
      <c r="M336" s="4"/>
      <c r="N336" s="4"/>
      <c r="O336" s="4"/>
      <c r="P336" s="4"/>
      <c r="Q336" s="4"/>
      <c r="R336" s="4"/>
      <c r="S336" s="4"/>
      <c r="T336" s="4"/>
      <c r="U336" s="4"/>
      <c r="V336" s="4"/>
      <c r="W336" s="4"/>
      <c r="X336" s="4"/>
      <c r="Y336" s="4"/>
      <c r="Z336" s="4"/>
      <c r="AA336" s="4"/>
    </row>
    <row r="337" spans="1:27" ht="16">
      <c r="A337" s="1"/>
      <c r="B337" s="2"/>
      <c r="C337" s="6"/>
      <c r="D337" s="2"/>
      <c r="E337" s="2"/>
      <c r="F337" s="2"/>
      <c r="G337" s="2"/>
      <c r="H337" s="1"/>
      <c r="I337" s="4"/>
      <c r="J337" s="4"/>
      <c r="K337" s="4"/>
      <c r="L337" s="4"/>
      <c r="M337" s="4"/>
      <c r="N337" s="4"/>
      <c r="O337" s="4"/>
      <c r="P337" s="4"/>
      <c r="Q337" s="4"/>
      <c r="R337" s="4"/>
      <c r="S337" s="4"/>
      <c r="T337" s="4"/>
      <c r="U337" s="4"/>
      <c r="V337" s="4"/>
      <c r="W337" s="4"/>
      <c r="X337" s="4"/>
      <c r="Y337" s="4"/>
      <c r="Z337" s="4"/>
      <c r="AA337" s="4"/>
    </row>
    <row r="338" spans="1:27" ht="16">
      <c r="A338" s="1"/>
      <c r="B338" s="2"/>
      <c r="C338" s="6"/>
      <c r="D338" s="2"/>
      <c r="E338" s="2"/>
      <c r="F338" s="2"/>
      <c r="G338" s="2"/>
      <c r="H338" s="1"/>
      <c r="I338" s="4"/>
      <c r="J338" s="4"/>
      <c r="K338" s="4"/>
      <c r="L338" s="4"/>
      <c r="M338" s="4"/>
      <c r="N338" s="4"/>
      <c r="O338" s="4"/>
      <c r="P338" s="4"/>
      <c r="Q338" s="4"/>
      <c r="R338" s="4"/>
      <c r="S338" s="4"/>
      <c r="T338" s="4"/>
      <c r="U338" s="4"/>
      <c r="V338" s="4"/>
      <c r="W338" s="4"/>
      <c r="X338" s="4"/>
      <c r="Y338" s="4"/>
      <c r="Z338" s="4"/>
      <c r="AA338" s="4"/>
    </row>
    <row r="339" spans="1:27" ht="16">
      <c r="A339" s="1"/>
      <c r="B339" s="2"/>
      <c r="C339" s="6"/>
      <c r="D339" s="2"/>
      <c r="E339" s="2"/>
      <c r="F339" s="2"/>
      <c r="G339" s="2"/>
      <c r="H339" s="1"/>
      <c r="I339" s="4"/>
      <c r="J339" s="4"/>
      <c r="K339" s="4"/>
      <c r="L339" s="4"/>
      <c r="M339" s="4"/>
      <c r="N339" s="4"/>
      <c r="O339" s="4"/>
      <c r="P339" s="4"/>
      <c r="Q339" s="4"/>
      <c r="R339" s="4"/>
      <c r="S339" s="4"/>
      <c r="T339" s="4"/>
      <c r="U339" s="4"/>
      <c r="V339" s="4"/>
      <c r="W339" s="4"/>
      <c r="X339" s="4"/>
      <c r="Y339" s="4"/>
      <c r="Z339" s="4"/>
      <c r="AA339" s="4"/>
    </row>
    <row r="340" spans="1:27" ht="16">
      <c r="A340" s="1"/>
      <c r="B340" s="2"/>
      <c r="C340" s="6"/>
      <c r="D340" s="2"/>
      <c r="E340" s="2"/>
      <c r="F340" s="2"/>
      <c r="G340" s="2"/>
      <c r="H340" s="1"/>
      <c r="I340" s="4"/>
      <c r="J340" s="4"/>
      <c r="K340" s="4"/>
      <c r="L340" s="4"/>
      <c r="M340" s="4"/>
      <c r="N340" s="4"/>
      <c r="O340" s="4"/>
      <c r="P340" s="4"/>
      <c r="Q340" s="4"/>
      <c r="R340" s="4"/>
      <c r="S340" s="4"/>
      <c r="T340" s="4"/>
      <c r="U340" s="4"/>
      <c r="V340" s="4"/>
      <c r="W340" s="4"/>
      <c r="X340" s="4"/>
      <c r="Y340" s="4"/>
      <c r="Z340" s="4"/>
      <c r="AA340" s="4"/>
    </row>
    <row r="341" spans="1:27" ht="16">
      <c r="A341" s="1"/>
      <c r="B341" s="2"/>
      <c r="C341" s="6"/>
      <c r="D341" s="2"/>
      <c r="E341" s="2"/>
      <c r="F341" s="2"/>
      <c r="G341" s="2"/>
      <c r="H341" s="1"/>
      <c r="I341" s="4"/>
      <c r="J341" s="4"/>
      <c r="K341" s="4"/>
      <c r="L341" s="4"/>
      <c r="M341" s="4"/>
      <c r="N341" s="4"/>
      <c r="O341" s="4"/>
      <c r="P341" s="4"/>
      <c r="Q341" s="4"/>
      <c r="R341" s="4"/>
      <c r="S341" s="4"/>
      <c r="T341" s="4"/>
      <c r="U341" s="4"/>
      <c r="V341" s="4"/>
      <c r="W341" s="4"/>
      <c r="X341" s="4"/>
      <c r="Y341" s="4"/>
      <c r="Z341" s="4"/>
      <c r="AA341" s="4"/>
    </row>
    <row r="342" spans="1:27" ht="16">
      <c r="A342" s="1"/>
      <c r="B342" s="2"/>
      <c r="C342" s="6"/>
      <c r="D342" s="2"/>
      <c r="E342" s="2"/>
      <c r="F342" s="2"/>
      <c r="G342" s="2"/>
      <c r="H342" s="1"/>
      <c r="I342" s="4"/>
      <c r="J342" s="4"/>
      <c r="K342" s="4"/>
      <c r="L342" s="4"/>
      <c r="M342" s="4"/>
      <c r="N342" s="4"/>
      <c r="O342" s="4"/>
      <c r="P342" s="4"/>
      <c r="Q342" s="4"/>
      <c r="R342" s="4"/>
      <c r="S342" s="4"/>
      <c r="T342" s="4"/>
      <c r="U342" s="4"/>
      <c r="V342" s="4"/>
      <c r="W342" s="4"/>
      <c r="X342" s="4"/>
      <c r="Y342" s="4"/>
      <c r="Z342" s="4"/>
      <c r="AA342" s="4"/>
    </row>
    <row r="343" spans="1:27" ht="16">
      <c r="A343" s="1"/>
      <c r="B343" s="2"/>
      <c r="C343" s="6"/>
      <c r="D343" s="2"/>
      <c r="E343" s="2"/>
      <c r="F343" s="2"/>
      <c r="G343" s="2"/>
      <c r="H343" s="1"/>
      <c r="I343" s="4"/>
      <c r="J343" s="4"/>
      <c r="K343" s="4"/>
      <c r="L343" s="4"/>
      <c r="M343" s="4"/>
      <c r="N343" s="4"/>
      <c r="O343" s="4"/>
      <c r="P343" s="4"/>
      <c r="Q343" s="4"/>
      <c r="R343" s="4"/>
      <c r="S343" s="4"/>
      <c r="T343" s="4"/>
      <c r="U343" s="4"/>
      <c r="V343" s="4"/>
      <c r="W343" s="4"/>
      <c r="X343" s="4"/>
      <c r="Y343" s="4"/>
      <c r="Z343" s="4"/>
      <c r="AA343" s="4"/>
    </row>
    <row r="344" spans="1:27" ht="16">
      <c r="A344" s="1"/>
      <c r="B344" s="2"/>
      <c r="C344" s="6"/>
      <c r="D344" s="2"/>
      <c r="E344" s="2"/>
      <c r="F344" s="2"/>
      <c r="G344" s="2"/>
      <c r="H344" s="1"/>
      <c r="I344" s="4"/>
      <c r="J344" s="4"/>
      <c r="K344" s="4"/>
      <c r="L344" s="4"/>
      <c r="M344" s="4"/>
      <c r="N344" s="4"/>
      <c r="O344" s="4"/>
      <c r="P344" s="4"/>
      <c r="Q344" s="4"/>
      <c r="R344" s="4"/>
      <c r="S344" s="4"/>
      <c r="T344" s="4"/>
      <c r="U344" s="4"/>
      <c r="V344" s="4"/>
      <c r="W344" s="4"/>
      <c r="X344" s="4"/>
      <c r="Y344" s="4"/>
      <c r="Z344" s="4"/>
      <c r="AA344" s="4"/>
    </row>
    <row r="345" spans="1:27" ht="16">
      <c r="A345" s="1"/>
      <c r="B345" s="2"/>
      <c r="C345" s="6"/>
      <c r="D345" s="2"/>
      <c r="E345" s="2"/>
      <c r="F345" s="2"/>
      <c r="G345" s="2"/>
      <c r="H345" s="1"/>
      <c r="I345" s="4"/>
      <c r="J345" s="4"/>
      <c r="K345" s="4"/>
      <c r="L345" s="4"/>
      <c r="M345" s="4"/>
      <c r="N345" s="4"/>
      <c r="O345" s="4"/>
      <c r="P345" s="4"/>
      <c r="Q345" s="4"/>
      <c r="R345" s="4"/>
      <c r="S345" s="4"/>
      <c r="T345" s="4"/>
      <c r="U345" s="4"/>
      <c r="V345" s="4"/>
      <c r="W345" s="4"/>
      <c r="X345" s="4"/>
      <c r="Y345" s="4"/>
      <c r="Z345" s="4"/>
      <c r="AA345" s="4"/>
    </row>
    <row r="346" spans="1:27" ht="16">
      <c r="A346" s="1"/>
      <c r="B346" s="2"/>
      <c r="C346" s="6"/>
      <c r="D346" s="2"/>
      <c r="E346" s="2"/>
      <c r="F346" s="2"/>
      <c r="G346" s="2"/>
      <c r="H346" s="1"/>
      <c r="I346" s="4"/>
      <c r="J346" s="4"/>
      <c r="K346" s="4"/>
      <c r="L346" s="4"/>
      <c r="M346" s="4"/>
      <c r="N346" s="4"/>
      <c r="O346" s="4"/>
      <c r="P346" s="4"/>
      <c r="Q346" s="4"/>
      <c r="R346" s="4"/>
      <c r="S346" s="4"/>
      <c r="T346" s="4"/>
      <c r="U346" s="4"/>
      <c r="V346" s="4"/>
      <c r="W346" s="4"/>
      <c r="X346" s="4"/>
      <c r="Y346" s="4"/>
      <c r="Z346" s="4"/>
      <c r="AA346" s="4"/>
    </row>
    <row r="347" spans="1:27" ht="16">
      <c r="A347" s="1"/>
      <c r="B347" s="2"/>
      <c r="C347" s="6"/>
      <c r="D347" s="2"/>
      <c r="E347" s="2"/>
      <c r="F347" s="2"/>
      <c r="G347" s="2"/>
      <c r="H347" s="1"/>
      <c r="I347" s="4"/>
      <c r="J347" s="4"/>
      <c r="K347" s="4"/>
      <c r="L347" s="4"/>
      <c r="M347" s="4"/>
      <c r="N347" s="4"/>
      <c r="O347" s="4"/>
      <c r="P347" s="4"/>
      <c r="Q347" s="4"/>
      <c r="R347" s="4"/>
      <c r="S347" s="4"/>
      <c r="T347" s="4"/>
      <c r="U347" s="4"/>
      <c r="V347" s="4"/>
      <c r="W347" s="4"/>
      <c r="X347" s="4"/>
      <c r="Y347" s="4"/>
      <c r="Z347" s="4"/>
      <c r="AA347" s="4"/>
    </row>
    <row r="348" spans="1:27" ht="16">
      <c r="A348" s="1"/>
      <c r="B348" s="2"/>
      <c r="C348" s="6"/>
      <c r="D348" s="2"/>
      <c r="E348" s="2"/>
      <c r="F348" s="2"/>
      <c r="G348" s="2"/>
      <c r="H348" s="1"/>
      <c r="I348" s="4"/>
      <c r="J348" s="4"/>
      <c r="K348" s="4"/>
      <c r="L348" s="4"/>
      <c r="M348" s="4"/>
      <c r="N348" s="4"/>
      <c r="O348" s="4"/>
      <c r="P348" s="4"/>
      <c r="Q348" s="4"/>
      <c r="R348" s="4"/>
      <c r="S348" s="4"/>
      <c r="T348" s="4"/>
      <c r="U348" s="4"/>
      <c r="V348" s="4"/>
      <c r="W348" s="4"/>
      <c r="X348" s="4"/>
      <c r="Y348" s="4"/>
      <c r="Z348" s="4"/>
      <c r="AA348" s="4"/>
    </row>
    <row r="349" spans="1:27" ht="16">
      <c r="A349" s="1"/>
      <c r="B349" s="2"/>
      <c r="C349" s="6"/>
      <c r="D349" s="2"/>
      <c r="E349" s="2"/>
      <c r="F349" s="2"/>
      <c r="G349" s="2"/>
      <c r="H349" s="1"/>
      <c r="I349" s="4"/>
      <c r="J349" s="4"/>
      <c r="K349" s="4"/>
      <c r="L349" s="4"/>
      <c r="M349" s="4"/>
      <c r="N349" s="4"/>
      <c r="O349" s="4"/>
      <c r="P349" s="4"/>
      <c r="Q349" s="4"/>
      <c r="R349" s="4"/>
      <c r="S349" s="4"/>
      <c r="T349" s="4"/>
      <c r="U349" s="4"/>
      <c r="V349" s="4"/>
      <c r="W349" s="4"/>
      <c r="X349" s="4"/>
      <c r="Y349" s="4"/>
      <c r="Z349" s="4"/>
      <c r="AA349" s="4"/>
    </row>
    <row r="350" spans="1:27" ht="16">
      <c r="A350" s="1"/>
      <c r="B350" s="2"/>
      <c r="C350" s="6"/>
      <c r="D350" s="2"/>
      <c r="E350" s="2"/>
      <c r="F350" s="2"/>
      <c r="G350" s="2"/>
      <c r="H350" s="1"/>
      <c r="I350" s="4"/>
      <c r="J350" s="4"/>
      <c r="K350" s="4"/>
      <c r="L350" s="4"/>
      <c r="M350" s="4"/>
      <c r="N350" s="4"/>
      <c r="O350" s="4"/>
      <c r="P350" s="4"/>
      <c r="Q350" s="4"/>
      <c r="R350" s="4"/>
      <c r="S350" s="4"/>
      <c r="T350" s="4"/>
      <c r="U350" s="4"/>
      <c r="V350" s="4"/>
      <c r="W350" s="4"/>
      <c r="X350" s="4"/>
      <c r="Y350" s="4"/>
      <c r="Z350" s="4"/>
      <c r="AA350" s="4"/>
    </row>
    <row r="351" spans="1:27" ht="16">
      <c r="A351" s="1"/>
      <c r="B351" s="2"/>
      <c r="C351" s="6"/>
      <c r="D351" s="2"/>
      <c r="E351" s="2"/>
      <c r="F351" s="2"/>
      <c r="G351" s="2"/>
      <c r="H351" s="1"/>
      <c r="I351" s="4"/>
      <c r="J351" s="4"/>
      <c r="K351" s="4"/>
      <c r="L351" s="4"/>
      <c r="M351" s="4"/>
      <c r="N351" s="4"/>
      <c r="O351" s="4"/>
      <c r="P351" s="4"/>
      <c r="Q351" s="4"/>
      <c r="R351" s="4"/>
      <c r="S351" s="4"/>
      <c r="T351" s="4"/>
      <c r="U351" s="4"/>
      <c r="V351" s="4"/>
      <c r="W351" s="4"/>
      <c r="X351" s="4"/>
      <c r="Y351" s="4"/>
      <c r="Z351" s="4"/>
      <c r="AA351" s="4"/>
    </row>
    <row r="352" spans="1:27" ht="16">
      <c r="A352" s="1"/>
      <c r="B352" s="2"/>
      <c r="C352" s="6"/>
      <c r="D352" s="2"/>
      <c r="E352" s="2"/>
      <c r="F352" s="2"/>
      <c r="G352" s="2"/>
      <c r="H352" s="1"/>
      <c r="I352" s="4"/>
      <c r="J352" s="4"/>
      <c r="K352" s="4"/>
      <c r="L352" s="4"/>
      <c r="M352" s="4"/>
      <c r="N352" s="4"/>
      <c r="O352" s="4"/>
      <c r="P352" s="4"/>
      <c r="Q352" s="4"/>
      <c r="R352" s="4"/>
      <c r="S352" s="4"/>
      <c r="T352" s="4"/>
      <c r="U352" s="4"/>
      <c r="V352" s="4"/>
      <c r="W352" s="4"/>
      <c r="X352" s="4"/>
      <c r="Y352" s="4"/>
      <c r="Z352" s="4"/>
      <c r="AA352" s="4"/>
    </row>
    <row r="353" spans="1:27" ht="16">
      <c r="A353" s="1"/>
      <c r="B353" s="2"/>
      <c r="C353" s="6"/>
      <c r="D353" s="2"/>
      <c r="E353" s="2"/>
      <c r="F353" s="2"/>
      <c r="G353" s="2"/>
      <c r="H353" s="1"/>
      <c r="I353" s="4"/>
      <c r="J353" s="4"/>
      <c r="K353" s="4"/>
      <c r="L353" s="4"/>
      <c r="M353" s="4"/>
      <c r="N353" s="4"/>
      <c r="O353" s="4"/>
      <c r="P353" s="4"/>
      <c r="Q353" s="4"/>
      <c r="R353" s="4"/>
      <c r="S353" s="4"/>
      <c r="T353" s="4"/>
      <c r="U353" s="4"/>
      <c r="V353" s="4"/>
      <c r="W353" s="4"/>
      <c r="X353" s="4"/>
      <c r="Y353" s="4"/>
      <c r="Z353" s="4"/>
      <c r="AA353" s="4"/>
    </row>
    <row r="354" spans="1:27" ht="16">
      <c r="A354" s="1"/>
      <c r="B354" s="2"/>
      <c r="C354" s="6"/>
      <c r="D354" s="2"/>
      <c r="E354" s="2"/>
      <c r="F354" s="2"/>
      <c r="G354" s="2"/>
      <c r="H354" s="1"/>
      <c r="I354" s="4"/>
      <c r="J354" s="4"/>
      <c r="K354" s="4"/>
      <c r="L354" s="4"/>
      <c r="M354" s="4"/>
      <c r="N354" s="4"/>
      <c r="O354" s="4"/>
      <c r="P354" s="4"/>
      <c r="Q354" s="4"/>
      <c r="R354" s="4"/>
      <c r="S354" s="4"/>
      <c r="T354" s="4"/>
      <c r="U354" s="4"/>
      <c r="V354" s="4"/>
      <c r="W354" s="4"/>
      <c r="X354" s="4"/>
      <c r="Y354" s="4"/>
      <c r="Z354" s="4"/>
      <c r="AA354" s="4"/>
    </row>
    <row r="355" spans="1:27" ht="16">
      <c r="A355" s="1"/>
      <c r="B355" s="2"/>
      <c r="C355" s="6"/>
      <c r="D355" s="2"/>
      <c r="E355" s="2"/>
      <c r="F355" s="2"/>
      <c r="G355" s="2"/>
      <c r="H355" s="1"/>
      <c r="I355" s="4"/>
      <c r="J355" s="4"/>
      <c r="K355" s="4"/>
      <c r="L355" s="4"/>
      <c r="M355" s="4"/>
      <c r="N355" s="4"/>
      <c r="O355" s="4"/>
      <c r="P355" s="4"/>
      <c r="Q355" s="4"/>
      <c r="R355" s="4"/>
      <c r="S355" s="4"/>
      <c r="T355" s="4"/>
      <c r="U355" s="4"/>
      <c r="V355" s="4"/>
      <c r="W355" s="4"/>
      <c r="X355" s="4"/>
      <c r="Y355" s="4"/>
      <c r="Z355" s="4"/>
      <c r="AA355" s="4"/>
    </row>
    <row r="356" spans="1:27" ht="16">
      <c r="A356" s="1"/>
      <c r="B356" s="2"/>
      <c r="C356" s="6"/>
      <c r="D356" s="2"/>
      <c r="E356" s="2"/>
      <c r="F356" s="2"/>
      <c r="G356" s="2"/>
      <c r="H356" s="1"/>
      <c r="I356" s="4"/>
      <c r="J356" s="4"/>
      <c r="K356" s="4"/>
      <c r="L356" s="4"/>
      <c r="M356" s="4"/>
      <c r="N356" s="4"/>
      <c r="O356" s="4"/>
      <c r="P356" s="4"/>
      <c r="Q356" s="4"/>
      <c r="R356" s="4"/>
      <c r="S356" s="4"/>
      <c r="T356" s="4"/>
      <c r="U356" s="4"/>
      <c r="V356" s="4"/>
      <c r="W356" s="4"/>
      <c r="X356" s="4"/>
      <c r="Y356" s="4"/>
      <c r="Z356" s="4"/>
      <c r="AA356" s="4"/>
    </row>
    <row r="357" spans="1:27" ht="16">
      <c r="A357" s="1"/>
      <c r="B357" s="2"/>
      <c r="C357" s="6"/>
      <c r="D357" s="2"/>
      <c r="E357" s="2"/>
      <c r="F357" s="2"/>
      <c r="G357" s="2"/>
      <c r="H357" s="1"/>
      <c r="I357" s="4"/>
      <c r="J357" s="4"/>
      <c r="K357" s="4"/>
      <c r="L357" s="4"/>
      <c r="M357" s="4"/>
      <c r="N357" s="4"/>
      <c r="O357" s="4"/>
      <c r="P357" s="4"/>
      <c r="Q357" s="4"/>
      <c r="R357" s="4"/>
      <c r="S357" s="4"/>
      <c r="T357" s="4"/>
      <c r="U357" s="4"/>
      <c r="V357" s="4"/>
      <c r="W357" s="4"/>
      <c r="X357" s="4"/>
      <c r="Y357" s="4"/>
      <c r="Z357" s="4"/>
      <c r="AA357" s="4"/>
    </row>
    <row r="358" spans="1:27" ht="16">
      <c r="A358" s="1"/>
      <c r="B358" s="2"/>
      <c r="C358" s="6"/>
      <c r="D358" s="2"/>
      <c r="E358" s="2"/>
      <c r="F358" s="2"/>
      <c r="G358" s="2"/>
      <c r="H358" s="1"/>
      <c r="I358" s="4"/>
      <c r="J358" s="4"/>
      <c r="K358" s="4"/>
      <c r="L358" s="4"/>
      <c r="M358" s="4"/>
      <c r="N358" s="4"/>
      <c r="O358" s="4"/>
      <c r="P358" s="4"/>
      <c r="Q358" s="4"/>
      <c r="R358" s="4"/>
      <c r="S358" s="4"/>
      <c r="T358" s="4"/>
      <c r="U358" s="4"/>
      <c r="V358" s="4"/>
      <c r="W358" s="4"/>
      <c r="X358" s="4"/>
      <c r="Y358" s="4"/>
      <c r="Z358" s="4"/>
      <c r="AA358" s="4"/>
    </row>
    <row r="359" spans="1:27" ht="16">
      <c r="A359" s="1"/>
      <c r="B359" s="2"/>
      <c r="C359" s="6"/>
      <c r="D359" s="2"/>
      <c r="E359" s="2"/>
      <c r="F359" s="2"/>
      <c r="G359" s="2"/>
      <c r="H359" s="1"/>
      <c r="I359" s="4"/>
      <c r="J359" s="4"/>
      <c r="K359" s="4"/>
      <c r="L359" s="4"/>
      <c r="M359" s="4"/>
      <c r="N359" s="4"/>
      <c r="O359" s="4"/>
      <c r="P359" s="4"/>
      <c r="Q359" s="4"/>
      <c r="R359" s="4"/>
      <c r="S359" s="4"/>
      <c r="T359" s="4"/>
      <c r="U359" s="4"/>
      <c r="V359" s="4"/>
      <c r="W359" s="4"/>
      <c r="X359" s="4"/>
      <c r="Y359" s="4"/>
      <c r="Z359" s="4"/>
      <c r="AA359" s="4"/>
    </row>
    <row r="360" spans="1:27" ht="16">
      <c r="A360" s="1"/>
      <c r="B360" s="2"/>
      <c r="C360" s="6"/>
      <c r="D360" s="2"/>
      <c r="E360" s="2"/>
      <c r="F360" s="2"/>
      <c r="G360" s="2"/>
      <c r="H360" s="1"/>
      <c r="I360" s="4"/>
      <c r="J360" s="4"/>
      <c r="K360" s="4"/>
      <c r="L360" s="4"/>
      <c r="M360" s="4"/>
      <c r="N360" s="4"/>
      <c r="O360" s="4"/>
      <c r="P360" s="4"/>
      <c r="Q360" s="4"/>
      <c r="R360" s="4"/>
      <c r="S360" s="4"/>
      <c r="T360" s="4"/>
      <c r="U360" s="4"/>
      <c r="V360" s="4"/>
      <c r="W360" s="4"/>
      <c r="X360" s="4"/>
      <c r="Y360" s="4"/>
      <c r="Z360" s="4"/>
      <c r="AA360" s="4"/>
    </row>
    <row r="361" spans="1:27" ht="16">
      <c r="A361" s="1"/>
      <c r="B361" s="2"/>
      <c r="C361" s="6"/>
      <c r="D361" s="2"/>
      <c r="E361" s="2"/>
      <c r="F361" s="2"/>
      <c r="G361" s="2"/>
      <c r="H361" s="1"/>
      <c r="I361" s="4"/>
      <c r="J361" s="4"/>
      <c r="K361" s="4"/>
      <c r="L361" s="4"/>
      <c r="M361" s="4"/>
      <c r="N361" s="4"/>
      <c r="O361" s="4"/>
      <c r="P361" s="4"/>
      <c r="Q361" s="4"/>
      <c r="R361" s="4"/>
      <c r="S361" s="4"/>
      <c r="T361" s="4"/>
      <c r="U361" s="4"/>
      <c r="V361" s="4"/>
      <c r="W361" s="4"/>
      <c r="X361" s="4"/>
      <c r="Y361" s="4"/>
      <c r="Z361" s="4"/>
      <c r="AA361" s="4"/>
    </row>
    <row r="362" spans="1:27" ht="16">
      <c r="A362" s="1"/>
      <c r="B362" s="2"/>
      <c r="C362" s="6"/>
      <c r="D362" s="2"/>
      <c r="E362" s="2"/>
      <c r="F362" s="2"/>
      <c r="G362" s="2"/>
      <c r="H362" s="1"/>
      <c r="I362" s="4"/>
      <c r="J362" s="4"/>
      <c r="K362" s="4"/>
      <c r="L362" s="4"/>
      <c r="M362" s="4"/>
      <c r="N362" s="4"/>
      <c r="O362" s="4"/>
      <c r="P362" s="4"/>
      <c r="Q362" s="4"/>
      <c r="R362" s="4"/>
      <c r="S362" s="4"/>
      <c r="T362" s="4"/>
      <c r="U362" s="4"/>
      <c r="V362" s="4"/>
      <c r="W362" s="4"/>
      <c r="X362" s="4"/>
      <c r="Y362" s="4"/>
      <c r="Z362" s="4"/>
      <c r="AA362" s="4"/>
    </row>
    <row r="363" spans="1:27" ht="16">
      <c r="A363" s="1"/>
      <c r="B363" s="2"/>
      <c r="C363" s="6"/>
      <c r="D363" s="2"/>
      <c r="E363" s="2"/>
      <c r="F363" s="2"/>
      <c r="G363" s="2"/>
      <c r="H363" s="1"/>
      <c r="I363" s="4"/>
      <c r="J363" s="4"/>
      <c r="K363" s="4"/>
      <c r="L363" s="4"/>
      <c r="M363" s="4"/>
      <c r="N363" s="4"/>
      <c r="O363" s="4"/>
      <c r="P363" s="4"/>
      <c r="Q363" s="4"/>
      <c r="R363" s="4"/>
      <c r="S363" s="4"/>
      <c r="T363" s="4"/>
      <c r="U363" s="4"/>
      <c r="V363" s="4"/>
      <c r="W363" s="4"/>
      <c r="X363" s="4"/>
      <c r="Y363" s="4"/>
      <c r="Z363" s="4"/>
      <c r="AA363" s="4"/>
    </row>
    <row r="364" spans="1:27" ht="16">
      <c r="A364" s="1"/>
      <c r="B364" s="2"/>
      <c r="C364" s="6"/>
      <c r="D364" s="2"/>
      <c r="E364" s="2"/>
      <c r="F364" s="2"/>
      <c r="G364" s="2"/>
      <c r="H364" s="1"/>
      <c r="I364" s="4"/>
      <c r="J364" s="4"/>
      <c r="K364" s="4"/>
      <c r="L364" s="4"/>
      <c r="M364" s="4"/>
      <c r="N364" s="4"/>
      <c r="O364" s="4"/>
      <c r="P364" s="4"/>
      <c r="Q364" s="4"/>
      <c r="R364" s="4"/>
      <c r="S364" s="4"/>
      <c r="T364" s="4"/>
      <c r="U364" s="4"/>
      <c r="V364" s="4"/>
      <c r="W364" s="4"/>
      <c r="X364" s="4"/>
      <c r="Y364" s="4"/>
      <c r="Z364" s="4"/>
      <c r="AA364" s="4"/>
    </row>
    <row r="365" spans="1:27" ht="16">
      <c r="A365" s="1"/>
      <c r="B365" s="2"/>
      <c r="C365" s="6"/>
      <c r="D365" s="2"/>
      <c r="E365" s="2"/>
      <c r="F365" s="2"/>
      <c r="G365" s="2"/>
      <c r="H365" s="1"/>
      <c r="I365" s="4"/>
      <c r="J365" s="4"/>
      <c r="K365" s="4"/>
      <c r="L365" s="4"/>
      <c r="M365" s="4"/>
      <c r="N365" s="4"/>
      <c r="O365" s="4"/>
      <c r="P365" s="4"/>
      <c r="Q365" s="4"/>
      <c r="R365" s="4"/>
      <c r="S365" s="4"/>
      <c r="T365" s="4"/>
      <c r="U365" s="4"/>
      <c r="V365" s="4"/>
      <c r="W365" s="4"/>
      <c r="X365" s="4"/>
      <c r="Y365" s="4"/>
      <c r="Z365" s="4"/>
      <c r="AA365" s="4"/>
    </row>
    <row r="366" spans="1:27" ht="16">
      <c r="A366" s="1"/>
      <c r="B366" s="2"/>
      <c r="C366" s="6"/>
      <c r="D366" s="2"/>
      <c r="E366" s="2"/>
      <c r="F366" s="2"/>
      <c r="G366" s="2"/>
      <c r="H366" s="1"/>
      <c r="I366" s="4"/>
      <c r="J366" s="4"/>
      <c r="K366" s="4"/>
      <c r="L366" s="4"/>
      <c r="M366" s="4"/>
      <c r="N366" s="4"/>
      <c r="O366" s="4"/>
      <c r="P366" s="4"/>
      <c r="Q366" s="4"/>
      <c r="R366" s="4"/>
      <c r="S366" s="4"/>
      <c r="T366" s="4"/>
      <c r="U366" s="4"/>
      <c r="V366" s="4"/>
      <c r="W366" s="4"/>
      <c r="X366" s="4"/>
      <c r="Y366" s="4"/>
      <c r="Z366" s="4"/>
      <c r="AA366" s="4"/>
    </row>
    <row r="367" spans="1:27" ht="16">
      <c r="A367" s="1"/>
      <c r="B367" s="2"/>
      <c r="C367" s="6"/>
      <c r="D367" s="2"/>
      <c r="E367" s="2"/>
      <c r="F367" s="2"/>
      <c r="G367" s="2"/>
      <c r="H367" s="1"/>
      <c r="I367" s="4"/>
      <c r="J367" s="4"/>
      <c r="K367" s="4"/>
      <c r="L367" s="4"/>
      <c r="M367" s="4"/>
      <c r="N367" s="4"/>
      <c r="O367" s="4"/>
      <c r="P367" s="4"/>
      <c r="Q367" s="4"/>
      <c r="R367" s="4"/>
      <c r="S367" s="4"/>
      <c r="T367" s="4"/>
      <c r="U367" s="4"/>
      <c r="V367" s="4"/>
      <c r="W367" s="4"/>
      <c r="X367" s="4"/>
      <c r="Y367" s="4"/>
      <c r="Z367" s="4"/>
      <c r="AA367" s="4"/>
    </row>
    <row r="368" spans="1:27" ht="16">
      <c r="A368" s="1"/>
      <c r="B368" s="2"/>
      <c r="C368" s="6"/>
      <c r="D368" s="2"/>
      <c r="E368" s="2"/>
      <c r="F368" s="2"/>
      <c r="G368" s="2"/>
      <c r="H368" s="1"/>
      <c r="I368" s="4"/>
      <c r="J368" s="4"/>
      <c r="K368" s="4"/>
      <c r="L368" s="4"/>
      <c r="M368" s="4"/>
      <c r="N368" s="4"/>
      <c r="O368" s="4"/>
      <c r="P368" s="4"/>
      <c r="Q368" s="4"/>
      <c r="R368" s="4"/>
      <c r="S368" s="4"/>
      <c r="T368" s="4"/>
      <c r="U368" s="4"/>
      <c r="V368" s="4"/>
      <c r="W368" s="4"/>
      <c r="X368" s="4"/>
      <c r="Y368" s="4"/>
      <c r="Z368" s="4"/>
      <c r="AA368" s="4"/>
    </row>
    <row r="369" spans="1:27" ht="16">
      <c r="A369" s="1"/>
      <c r="B369" s="2"/>
      <c r="C369" s="6"/>
      <c r="D369" s="2"/>
      <c r="E369" s="2"/>
      <c r="F369" s="2"/>
      <c r="G369" s="2"/>
      <c r="H369" s="1"/>
      <c r="I369" s="4"/>
      <c r="J369" s="4"/>
      <c r="K369" s="4"/>
      <c r="L369" s="4"/>
      <c r="M369" s="4"/>
      <c r="N369" s="4"/>
      <c r="O369" s="4"/>
      <c r="P369" s="4"/>
      <c r="Q369" s="4"/>
      <c r="R369" s="4"/>
      <c r="S369" s="4"/>
      <c r="T369" s="4"/>
      <c r="U369" s="4"/>
      <c r="V369" s="4"/>
      <c r="W369" s="4"/>
      <c r="X369" s="4"/>
      <c r="Y369" s="4"/>
      <c r="Z369" s="4"/>
      <c r="AA369" s="4"/>
    </row>
    <row r="370" spans="1:27" ht="16">
      <c r="A370" s="1"/>
      <c r="B370" s="2"/>
      <c r="C370" s="6"/>
      <c r="D370" s="2"/>
      <c r="E370" s="2"/>
      <c r="F370" s="2"/>
      <c r="G370" s="2"/>
      <c r="H370" s="1"/>
      <c r="I370" s="4"/>
      <c r="J370" s="4"/>
      <c r="K370" s="4"/>
      <c r="L370" s="4"/>
      <c r="M370" s="4"/>
      <c r="N370" s="4"/>
      <c r="O370" s="4"/>
      <c r="P370" s="4"/>
      <c r="Q370" s="4"/>
      <c r="R370" s="4"/>
      <c r="S370" s="4"/>
      <c r="T370" s="4"/>
      <c r="U370" s="4"/>
      <c r="V370" s="4"/>
      <c r="W370" s="4"/>
      <c r="X370" s="4"/>
      <c r="Y370" s="4"/>
      <c r="Z370" s="4"/>
      <c r="AA370" s="4"/>
    </row>
    <row r="371" spans="1:27" ht="16">
      <c r="A371" s="1"/>
      <c r="B371" s="2"/>
      <c r="C371" s="6"/>
      <c r="D371" s="2"/>
      <c r="E371" s="2"/>
      <c r="F371" s="2"/>
      <c r="G371" s="2"/>
      <c r="H371" s="1"/>
      <c r="I371" s="4"/>
      <c r="J371" s="4"/>
      <c r="K371" s="4"/>
      <c r="L371" s="4"/>
      <c r="M371" s="4"/>
      <c r="N371" s="4"/>
      <c r="O371" s="4"/>
      <c r="P371" s="4"/>
      <c r="Q371" s="4"/>
      <c r="R371" s="4"/>
      <c r="S371" s="4"/>
      <c r="T371" s="4"/>
      <c r="U371" s="4"/>
      <c r="V371" s="4"/>
      <c r="W371" s="4"/>
      <c r="X371" s="4"/>
      <c r="Y371" s="4"/>
      <c r="Z371" s="4"/>
      <c r="AA371" s="4"/>
    </row>
    <row r="372" spans="1:27" ht="16">
      <c r="A372" s="1"/>
      <c r="B372" s="2"/>
      <c r="C372" s="6"/>
      <c r="D372" s="2"/>
      <c r="E372" s="2"/>
      <c r="F372" s="2"/>
      <c r="G372" s="2"/>
      <c r="H372" s="1"/>
      <c r="I372" s="4"/>
      <c r="J372" s="4"/>
      <c r="K372" s="4"/>
      <c r="L372" s="4"/>
      <c r="M372" s="4"/>
      <c r="N372" s="4"/>
      <c r="O372" s="4"/>
      <c r="P372" s="4"/>
      <c r="Q372" s="4"/>
      <c r="R372" s="4"/>
      <c r="S372" s="4"/>
      <c r="T372" s="4"/>
      <c r="U372" s="4"/>
      <c r="V372" s="4"/>
      <c r="W372" s="4"/>
      <c r="X372" s="4"/>
      <c r="Y372" s="4"/>
      <c r="Z372" s="4"/>
      <c r="AA372" s="4"/>
    </row>
    <row r="373" spans="1:27" ht="16">
      <c r="A373" s="1"/>
      <c r="B373" s="2"/>
      <c r="C373" s="6"/>
      <c r="D373" s="2"/>
      <c r="E373" s="2"/>
      <c r="F373" s="2"/>
      <c r="G373" s="2"/>
      <c r="H373" s="1"/>
      <c r="I373" s="4"/>
      <c r="J373" s="4"/>
      <c r="K373" s="4"/>
      <c r="L373" s="4"/>
      <c r="M373" s="4"/>
      <c r="N373" s="4"/>
      <c r="O373" s="4"/>
      <c r="P373" s="4"/>
      <c r="Q373" s="4"/>
      <c r="R373" s="4"/>
      <c r="S373" s="4"/>
      <c r="T373" s="4"/>
      <c r="U373" s="4"/>
      <c r="V373" s="4"/>
      <c r="W373" s="4"/>
      <c r="X373" s="4"/>
      <c r="Y373" s="4"/>
      <c r="Z373" s="4"/>
      <c r="AA373" s="4"/>
    </row>
    <row r="374" spans="1:27" ht="16">
      <c r="A374" s="1"/>
      <c r="B374" s="2"/>
      <c r="C374" s="6"/>
      <c r="D374" s="2"/>
      <c r="E374" s="2"/>
      <c r="F374" s="2"/>
      <c r="G374" s="2"/>
      <c r="H374" s="1"/>
      <c r="I374" s="4"/>
      <c r="J374" s="4"/>
      <c r="K374" s="4"/>
      <c r="L374" s="4"/>
      <c r="M374" s="4"/>
      <c r="N374" s="4"/>
      <c r="O374" s="4"/>
      <c r="P374" s="4"/>
      <c r="Q374" s="4"/>
      <c r="R374" s="4"/>
      <c r="S374" s="4"/>
      <c r="T374" s="4"/>
      <c r="U374" s="4"/>
      <c r="V374" s="4"/>
      <c r="W374" s="4"/>
      <c r="X374" s="4"/>
      <c r="Y374" s="4"/>
      <c r="Z374" s="4"/>
      <c r="AA374" s="4"/>
    </row>
    <row r="375" spans="1:27" ht="16">
      <c r="A375" s="1"/>
      <c r="B375" s="2"/>
      <c r="C375" s="6"/>
      <c r="D375" s="2"/>
      <c r="E375" s="2"/>
      <c r="F375" s="2"/>
      <c r="G375" s="2"/>
      <c r="H375" s="1"/>
      <c r="I375" s="4"/>
      <c r="J375" s="4"/>
      <c r="K375" s="4"/>
      <c r="L375" s="4"/>
      <c r="M375" s="4"/>
      <c r="N375" s="4"/>
      <c r="O375" s="4"/>
      <c r="P375" s="4"/>
      <c r="Q375" s="4"/>
      <c r="R375" s="4"/>
      <c r="S375" s="4"/>
      <c r="T375" s="4"/>
      <c r="U375" s="4"/>
      <c r="V375" s="4"/>
      <c r="W375" s="4"/>
      <c r="X375" s="4"/>
      <c r="Y375" s="4"/>
      <c r="Z375" s="4"/>
      <c r="AA375" s="4"/>
    </row>
    <row r="376" spans="1:27" ht="16">
      <c r="A376" s="1"/>
      <c r="B376" s="2"/>
      <c r="C376" s="6"/>
      <c r="D376" s="2"/>
      <c r="E376" s="2"/>
      <c r="F376" s="2"/>
      <c r="G376" s="2"/>
      <c r="H376" s="1"/>
      <c r="I376" s="4"/>
      <c r="J376" s="4"/>
      <c r="K376" s="4"/>
      <c r="L376" s="4"/>
      <c r="M376" s="4"/>
      <c r="N376" s="4"/>
      <c r="O376" s="4"/>
      <c r="P376" s="4"/>
      <c r="Q376" s="4"/>
      <c r="R376" s="4"/>
      <c r="S376" s="4"/>
      <c r="T376" s="4"/>
      <c r="U376" s="4"/>
      <c r="V376" s="4"/>
      <c r="W376" s="4"/>
      <c r="X376" s="4"/>
      <c r="Y376" s="4"/>
      <c r="Z376" s="4"/>
      <c r="AA376" s="4"/>
    </row>
    <row r="377" spans="1:27" ht="16">
      <c r="A377" s="1"/>
      <c r="B377" s="2"/>
      <c r="C377" s="6"/>
      <c r="D377" s="2"/>
      <c r="E377" s="2"/>
      <c r="F377" s="2"/>
      <c r="G377" s="2"/>
      <c r="H377" s="1"/>
      <c r="I377" s="4"/>
      <c r="J377" s="4"/>
      <c r="K377" s="4"/>
      <c r="L377" s="4"/>
      <c r="M377" s="4"/>
      <c r="N377" s="4"/>
      <c r="O377" s="4"/>
      <c r="P377" s="4"/>
      <c r="Q377" s="4"/>
      <c r="R377" s="4"/>
      <c r="S377" s="4"/>
      <c r="T377" s="4"/>
      <c r="U377" s="4"/>
      <c r="V377" s="4"/>
      <c r="W377" s="4"/>
      <c r="X377" s="4"/>
      <c r="Y377" s="4"/>
      <c r="Z377" s="4"/>
      <c r="AA377" s="4"/>
    </row>
    <row r="378" spans="1:27" ht="16">
      <c r="A378" s="1"/>
      <c r="B378" s="2"/>
      <c r="C378" s="6"/>
      <c r="D378" s="2"/>
      <c r="E378" s="2"/>
      <c r="F378" s="2"/>
      <c r="G378" s="2"/>
      <c r="H378" s="1"/>
      <c r="I378" s="4"/>
      <c r="J378" s="4"/>
      <c r="K378" s="4"/>
      <c r="L378" s="4"/>
      <c r="M378" s="4"/>
      <c r="N378" s="4"/>
      <c r="O378" s="4"/>
      <c r="P378" s="4"/>
      <c r="Q378" s="4"/>
      <c r="R378" s="4"/>
      <c r="S378" s="4"/>
      <c r="T378" s="4"/>
      <c r="U378" s="4"/>
      <c r="V378" s="4"/>
      <c r="W378" s="4"/>
      <c r="X378" s="4"/>
      <c r="Y378" s="4"/>
      <c r="Z378" s="4"/>
      <c r="AA378" s="4"/>
    </row>
    <row r="379" spans="1:27" ht="16">
      <c r="A379" s="1"/>
      <c r="B379" s="2"/>
      <c r="C379" s="6"/>
      <c r="D379" s="2"/>
      <c r="E379" s="2"/>
      <c r="F379" s="2"/>
      <c r="G379" s="2"/>
      <c r="H379" s="1"/>
      <c r="I379" s="4"/>
      <c r="J379" s="4"/>
      <c r="K379" s="4"/>
      <c r="L379" s="4"/>
      <c r="M379" s="4"/>
      <c r="N379" s="4"/>
      <c r="O379" s="4"/>
      <c r="P379" s="4"/>
      <c r="Q379" s="4"/>
      <c r="R379" s="4"/>
      <c r="S379" s="4"/>
      <c r="T379" s="4"/>
      <c r="U379" s="4"/>
      <c r="V379" s="4"/>
      <c r="W379" s="4"/>
      <c r="X379" s="4"/>
      <c r="Y379" s="4"/>
      <c r="Z379" s="4"/>
      <c r="AA379" s="4"/>
    </row>
    <row r="380" spans="1:27" ht="16">
      <c r="A380" s="1"/>
      <c r="B380" s="2"/>
      <c r="C380" s="6"/>
      <c r="D380" s="2"/>
      <c r="E380" s="2"/>
      <c r="F380" s="2"/>
      <c r="G380" s="2"/>
      <c r="H380" s="1"/>
      <c r="I380" s="4"/>
      <c r="J380" s="4"/>
      <c r="K380" s="4"/>
      <c r="L380" s="4"/>
      <c r="M380" s="4"/>
      <c r="N380" s="4"/>
      <c r="O380" s="4"/>
      <c r="P380" s="4"/>
      <c r="Q380" s="4"/>
      <c r="R380" s="4"/>
      <c r="S380" s="4"/>
      <c r="T380" s="4"/>
      <c r="U380" s="4"/>
      <c r="V380" s="4"/>
      <c r="W380" s="4"/>
      <c r="X380" s="4"/>
      <c r="Y380" s="4"/>
      <c r="Z380" s="4"/>
      <c r="AA380" s="4"/>
    </row>
    <row r="381" spans="1:27" ht="16">
      <c r="A381" s="1"/>
      <c r="B381" s="2"/>
      <c r="C381" s="6"/>
      <c r="D381" s="2"/>
      <c r="E381" s="2"/>
      <c r="F381" s="2"/>
      <c r="G381" s="2"/>
      <c r="H381" s="1"/>
      <c r="I381" s="4"/>
      <c r="J381" s="4"/>
      <c r="K381" s="4"/>
      <c r="L381" s="4"/>
      <c r="M381" s="4"/>
      <c r="N381" s="4"/>
      <c r="O381" s="4"/>
      <c r="P381" s="4"/>
      <c r="Q381" s="4"/>
      <c r="R381" s="4"/>
      <c r="S381" s="4"/>
      <c r="T381" s="4"/>
      <c r="U381" s="4"/>
      <c r="V381" s="4"/>
      <c r="W381" s="4"/>
      <c r="X381" s="4"/>
      <c r="Y381" s="4"/>
      <c r="Z381" s="4"/>
      <c r="AA381" s="4"/>
    </row>
    <row r="382" spans="1:27" ht="16">
      <c r="A382" s="1"/>
      <c r="B382" s="2"/>
      <c r="C382" s="6"/>
      <c r="D382" s="2"/>
      <c r="E382" s="2"/>
      <c r="F382" s="2"/>
      <c r="G382" s="2"/>
      <c r="H382" s="1"/>
      <c r="I382" s="4"/>
      <c r="J382" s="4"/>
      <c r="K382" s="4"/>
      <c r="L382" s="4"/>
      <c r="M382" s="4"/>
      <c r="N382" s="4"/>
      <c r="O382" s="4"/>
      <c r="P382" s="4"/>
      <c r="Q382" s="4"/>
      <c r="R382" s="4"/>
      <c r="S382" s="4"/>
      <c r="T382" s="4"/>
      <c r="U382" s="4"/>
      <c r="V382" s="4"/>
      <c r="W382" s="4"/>
      <c r="X382" s="4"/>
      <c r="Y382" s="4"/>
      <c r="Z382" s="4"/>
      <c r="AA382" s="4"/>
    </row>
    <row r="383" spans="1:27" ht="16">
      <c r="A383" s="1"/>
      <c r="B383" s="2"/>
      <c r="C383" s="6"/>
      <c r="D383" s="2"/>
      <c r="E383" s="2"/>
      <c r="F383" s="2"/>
      <c r="G383" s="2"/>
      <c r="H383" s="1"/>
      <c r="I383" s="4"/>
      <c r="J383" s="4"/>
      <c r="K383" s="4"/>
      <c r="L383" s="4"/>
      <c r="M383" s="4"/>
      <c r="N383" s="4"/>
      <c r="O383" s="4"/>
      <c r="P383" s="4"/>
      <c r="Q383" s="4"/>
      <c r="R383" s="4"/>
      <c r="S383" s="4"/>
      <c r="T383" s="4"/>
      <c r="U383" s="4"/>
      <c r="V383" s="4"/>
      <c r="W383" s="4"/>
      <c r="X383" s="4"/>
      <c r="Y383" s="4"/>
      <c r="Z383" s="4"/>
      <c r="AA383" s="4"/>
    </row>
    <row r="384" spans="1:27" ht="16">
      <c r="A384" s="1"/>
      <c r="B384" s="2"/>
      <c r="C384" s="6"/>
      <c r="D384" s="2"/>
      <c r="E384" s="2"/>
      <c r="F384" s="2"/>
      <c r="G384" s="2"/>
      <c r="H384" s="1"/>
      <c r="I384" s="4"/>
      <c r="J384" s="4"/>
      <c r="K384" s="4"/>
      <c r="L384" s="4"/>
      <c r="M384" s="4"/>
      <c r="N384" s="4"/>
      <c r="O384" s="4"/>
      <c r="P384" s="4"/>
      <c r="Q384" s="4"/>
      <c r="R384" s="4"/>
      <c r="S384" s="4"/>
      <c r="T384" s="4"/>
      <c r="U384" s="4"/>
      <c r="V384" s="4"/>
      <c r="W384" s="4"/>
      <c r="X384" s="4"/>
      <c r="Y384" s="4"/>
      <c r="Z384" s="4"/>
      <c r="AA384" s="4"/>
    </row>
    <row r="385" spans="1:27" ht="16">
      <c r="A385" s="1"/>
      <c r="B385" s="2"/>
      <c r="C385" s="6"/>
      <c r="D385" s="2"/>
      <c r="E385" s="2"/>
      <c r="F385" s="2"/>
      <c r="G385" s="2"/>
      <c r="H385" s="1"/>
      <c r="I385" s="4"/>
      <c r="J385" s="4"/>
      <c r="K385" s="4"/>
      <c r="L385" s="4"/>
      <c r="M385" s="4"/>
      <c r="N385" s="4"/>
      <c r="O385" s="4"/>
      <c r="P385" s="4"/>
      <c r="Q385" s="4"/>
      <c r="R385" s="4"/>
      <c r="S385" s="4"/>
      <c r="T385" s="4"/>
      <c r="U385" s="4"/>
      <c r="V385" s="4"/>
      <c r="W385" s="4"/>
      <c r="X385" s="4"/>
      <c r="Y385" s="4"/>
      <c r="Z385" s="4"/>
      <c r="AA385" s="4"/>
    </row>
    <row r="386" spans="1:27" ht="16">
      <c r="A386" s="1"/>
      <c r="B386" s="2"/>
      <c r="C386" s="6"/>
      <c r="D386" s="2"/>
      <c r="E386" s="2"/>
      <c r="F386" s="2"/>
      <c r="G386" s="2"/>
      <c r="H386" s="1"/>
      <c r="I386" s="4"/>
      <c r="J386" s="4"/>
      <c r="K386" s="4"/>
      <c r="L386" s="4"/>
      <c r="M386" s="4"/>
      <c r="N386" s="4"/>
      <c r="O386" s="4"/>
      <c r="P386" s="4"/>
      <c r="Q386" s="4"/>
      <c r="R386" s="4"/>
      <c r="S386" s="4"/>
      <c r="T386" s="4"/>
      <c r="U386" s="4"/>
      <c r="V386" s="4"/>
      <c r="W386" s="4"/>
      <c r="X386" s="4"/>
      <c r="Y386" s="4"/>
      <c r="Z386" s="4"/>
      <c r="AA386" s="4"/>
    </row>
    <row r="387" spans="1:27" ht="16">
      <c r="A387" s="1"/>
      <c r="B387" s="2"/>
      <c r="C387" s="6"/>
      <c r="D387" s="2"/>
      <c r="E387" s="2"/>
      <c r="F387" s="2"/>
      <c r="G387" s="2"/>
      <c r="H387" s="1"/>
      <c r="I387" s="4"/>
      <c r="J387" s="4"/>
      <c r="K387" s="4"/>
      <c r="L387" s="4"/>
      <c r="M387" s="4"/>
      <c r="N387" s="4"/>
      <c r="O387" s="4"/>
      <c r="P387" s="4"/>
      <c r="Q387" s="4"/>
      <c r="R387" s="4"/>
      <c r="S387" s="4"/>
      <c r="T387" s="4"/>
      <c r="U387" s="4"/>
      <c r="V387" s="4"/>
      <c r="W387" s="4"/>
      <c r="X387" s="4"/>
      <c r="Y387" s="4"/>
      <c r="Z387" s="4"/>
      <c r="AA387" s="4"/>
    </row>
    <row r="388" spans="1:27" ht="16">
      <c r="A388" s="1"/>
      <c r="B388" s="2"/>
      <c r="C388" s="6"/>
      <c r="D388" s="2"/>
      <c r="E388" s="2"/>
      <c r="F388" s="2"/>
      <c r="G388" s="2"/>
      <c r="H388" s="1"/>
      <c r="I388" s="4"/>
      <c r="J388" s="4"/>
      <c r="K388" s="4"/>
      <c r="L388" s="4"/>
      <c r="M388" s="4"/>
      <c r="N388" s="4"/>
      <c r="O388" s="4"/>
      <c r="P388" s="4"/>
      <c r="Q388" s="4"/>
      <c r="R388" s="4"/>
      <c r="S388" s="4"/>
      <c r="T388" s="4"/>
      <c r="U388" s="4"/>
      <c r="V388" s="4"/>
      <c r="W388" s="4"/>
      <c r="X388" s="4"/>
      <c r="Y388" s="4"/>
      <c r="Z388" s="4"/>
      <c r="AA388" s="4"/>
    </row>
    <row r="389" spans="1:27" ht="16">
      <c r="A389" s="1"/>
      <c r="B389" s="2"/>
      <c r="C389" s="6"/>
      <c r="D389" s="2"/>
      <c r="E389" s="2"/>
      <c r="F389" s="2"/>
      <c r="G389" s="2"/>
      <c r="H389" s="1"/>
      <c r="I389" s="4"/>
      <c r="J389" s="4"/>
      <c r="K389" s="4"/>
      <c r="L389" s="4"/>
      <c r="M389" s="4"/>
      <c r="N389" s="4"/>
      <c r="O389" s="4"/>
      <c r="P389" s="4"/>
      <c r="Q389" s="4"/>
      <c r="R389" s="4"/>
      <c r="S389" s="4"/>
      <c r="T389" s="4"/>
      <c r="U389" s="4"/>
      <c r="V389" s="4"/>
      <c r="W389" s="4"/>
      <c r="X389" s="4"/>
      <c r="Y389" s="4"/>
      <c r="Z389" s="4"/>
      <c r="AA389" s="4"/>
    </row>
    <row r="390" spans="1:27" ht="16">
      <c r="A390" s="1"/>
      <c r="B390" s="2"/>
      <c r="C390" s="6"/>
      <c r="D390" s="2"/>
      <c r="E390" s="2"/>
      <c r="F390" s="2"/>
      <c r="G390" s="2"/>
      <c r="H390" s="1"/>
      <c r="I390" s="4"/>
      <c r="J390" s="4"/>
      <c r="K390" s="4"/>
      <c r="L390" s="4"/>
      <c r="M390" s="4"/>
      <c r="N390" s="4"/>
      <c r="O390" s="4"/>
      <c r="P390" s="4"/>
      <c r="Q390" s="4"/>
      <c r="R390" s="4"/>
      <c r="S390" s="4"/>
      <c r="T390" s="4"/>
      <c r="U390" s="4"/>
      <c r="V390" s="4"/>
      <c r="W390" s="4"/>
      <c r="X390" s="4"/>
      <c r="Y390" s="4"/>
      <c r="Z390" s="4"/>
      <c r="AA390" s="4"/>
    </row>
    <row r="391" spans="1:27" ht="16">
      <c r="A391" s="1"/>
      <c r="B391" s="2"/>
      <c r="C391" s="6"/>
      <c r="D391" s="2"/>
      <c r="E391" s="2"/>
      <c r="F391" s="2"/>
      <c r="G391" s="2"/>
      <c r="H391" s="1"/>
      <c r="I391" s="4"/>
      <c r="J391" s="4"/>
      <c r="K391" s="4"/>
      <c r="L391" s="4"/>
      <c r="M391" s="4"/>
      <c r="N391" s="4"/>
      <c r="O391" s="4"/>
      <c r="P391" s="4"/>
      <c r="Q391" s="4"/>
      <c r="R391" s="4"/>
      <c r="S391" s="4"/>
      <c r="T391" s="4"/>
      <c r="U391" s="4"/>
      <c r="V391" s="4"/>
      <c r="W391" s="4"/>
      <c r="X391" s="4"/>
      <c r="Y391" s="4"/>
      <c r="Z391" s="4"/>
      <c r="AA391" s="4"/>
    </row>
    <row r="392" spans="1:27" ht="16">
      <c r="A392" s="1"/>
      <c r="B392" s="2"/>
      <c r="C392" s="6"/>
      <c r="D392" s="2"/>
      <c r="E392" s="2"/>
      <c r="F392" s="2"/>
      <c r="G392" s="2"/>
      <c r="H392" s="1"/>
      <c r="I392" s="4"/>
      <c r="J392" s="4"/>
      <c r="K392" s="4"/>
      <c r="L392" s="4"/>
      <c r="M392" s="4"/>
      <c r="N392" s="4"/>
      <c r="O392" s="4"/>
      <c r="P392" s="4"/>
      <c r="Q392" s="4"/>
      <c r="R392" s="4"/>
      <c r="S392" s="4"/>
      <c r="T392" s="4"/>
      <c r="U392" s="4"/>
      <c r="V392" s="4"/>
      <c r="W392" s="4"/>
      <c r="X392" s="4"/>
      <c r="Y392" s="4"/>
      <c r="Z392" s="4"/>
      <c r="AA392" s="4"/>
    </row>
    <row r="393" spans="1:27" ht="16">
      <c r="A393" s="1"/>
      <c r="B393" s="2"/>
      <c r="C393" s="6"/>
      <c r="D393" s="2"/>
      <c r="E393" s="2"/>
      <c r="F393" s="2"/>
      <c r="G393" s="2"/>
      <c r="H393" s="1"/>
      <c r="I393" s="4"/>
      <c r="J393" s="4"/>
      <c r="K393" s="4"/>
      <c r="L393" s="4"/>
      <c r="M393" s="4"/>
      <c r="N393" s="4"/>
      <c r="O393" s="4"/>
      <c r="P393" s="4"/>
      <c r="Q393" s="4"/>
      <c r="R393" s="4"/>
      <c r="S393" s="4"/>
      <c r="T393" s="4"/>
      <c r="U393" s="4"/>
      <c r="V393" s="4"/>
      <c r="W393" s="4"/>
      <c r="X393" s="4"/>
      <c r="Y393" s="4"/>
      <c r="Z393" s="4"/>
      <c r="AA393" s="4"/>
    </row>
    <row r="394" spans="1:27" ht="16">
      <c r="A394" s="1"/>
      <c r="B394" s="2"/>
      <c r="C394" s="6"/>
      <c r="D394" s="2"/>
      <c r="E394" s="2"/>
      <c r="F394" s="2"/>
      <c r="G394" s="2"/>
      <c r="H394" s="1"/>
      <c r="I394" s="4"/>
      <c r="J394" s="4"/>
      <c r="K394" s="4"/>
      <c r="L394" s="4"/>
      <c r="M394" s="4"/>
      <c r="N394" s="4"/>
      <c r="O394" s="4"/>
      <c r="P394" s="4"/>
      <c r="Q394" s="4"/>
      <c r="R394" s="4"/>
      <c r="S394" s="4"/>
      <c r="T394" s="4"/>
      <c r="U394" s="4"/>
      <c r="V394" s="4"/>
      <c r="W394" s="4"/>
      <c r="X394" s="4"/>
      <c r="Y394" s="4"/>
      <c r="Z394" s="4"/>
      <c r="AA394" s="4"/>
    </row>
    <row r="395" spans="1:27" ht="16">
      <c r="A395" s="1"/>
      <c r="B395" s="2"/>
      <c r="C395" s="6"/>
      <c r="D395" s="2"/>
      <c r="E395" s="2"/>
      <c r="F395" s="2"/>
      <c r="G395" s="2"/>
      <c r="H395" s="1"/>
      <c r="I395" s="4"/>
      <c r="J395" s="4"/>
      <c r="K395" s="4"/>
      <c r="L395" s="4"/>
      <c r="M395" s="4"/>
      <c r="N395" s="4"/>
      <c r="O395" s="4"/>
      <c r="P395" s="4"/>
      <c r="Q395" s="4"/>
      <c r="R395" s="4"/>
      <c r="S395" s="4"/>
      <c r="T395" s="4"/>
      <c r="U395" s="4"/>
      <c r="V395" s="4"/>
      <c r="W395" s="4"/>
      <c r="X395" s="4"/>
      <c r="Y395" s="4"/>
      <c r="Z395" s="4"/>
      <c r="AA395" s="4"/>
    </row>
    <row r="396" spans="1:27" ht="16">
      <c r="A396" s="1"/>
      <c r="B396" s="2"/>
      <c r="C396" s="6"/>
      <c r="D396" s="2"/>
      <c r="E396" s="2"/>
      <c r="F396" s="2"/>
      <c r="G396" s="2"/>
      <c r="H396" s="1"/>
      <c r="I396" s="4"/>
      <c r="J396" s="4"/>
      <c r="K396" s="4"/>
      <c r="L396" s="4"/>
      <c r="M396" s="4"/>
      <c r="N396" s="4"/>
      <c r="O396" s="4"/>
      <c r="P396" s="4"/>
      <c r="Q396" s="4"/>
      <c r="R396" s="4"/>
      <c r="S396" s="4"/>
      <c r="T396" s="4"/>
      <c r="U396" s="4"/>
      <c r="V396" s="4"/>
      <c r="W396" s="4"/>
      <c r="X396" s="4"/>
      <c r="Y396" s="4"/>
      <c r="Z396" s="4"/>
      <c r="AA396" s="4"/>
    </row>
    <row r="397" spans="1:27" ht="16">
      <c r="A397" s="1"/>
      <c r="B397" s="2"/>
      <c r="C397" s="6"/>
      <c r="D397" s="2"/>
      <c r="E397" s="2"/>
      <c r="F397" s="2"/>
      <c r="G397" s="2"/>
      <c r="H397" s="1"/>
      <c r="I397" s="4"/>
      <c r="J397" s="4"/>
      <c r="K397" s="4"/>
      <c r="L397" s="4"/>
      <c r="M397" s="4"/>
      <c r="N397" s="4"/>
      <c r="O397" s="4"/>
      <c r="P397" s="4"/>
      <c r="Q397" s="4"/>
      <c r="R397" s="4"/>
      <c r="S397" s="4"/>
      <c r="T397" s="4"/>
      <c r="U397" s="4"/>
      <c r="V397" s="4"/>
      <c r="W397" s="4"/>
      <c r="X397" s="4"/>
      <c r="Y397" s="4"/>
      <c r="Z397" s="4"/>
      <c r="AA397" s="4"/>
    </row>
    <row r="398" spans="1:27" ht="16">
      <c r="A398" s="1"/>
      <c r="B398" s="2"/>
      <c r="C398" s="6"/>
      <c r="D398" s="2"/>
      <c r="E398" s="2"/>
      <c r="F398" s="2"/>
      <c r="G398" s="2"/>
      <c r="H398" s="1"/>
      <c r="I398" s="4"/>
      <c r="J398" s="4"/>
      <c r="K398" s="4"/>
      <c r="L398" s="4"/>
      <c r="M398" s="4"/>
      <c r="N398" s="4"/>
      <c r="O398" s="4"/>
      <c r="P398" s="4"/>
      <c r="Q398" s="4"/>
      <c r="R398" s="4"/>
      <c r="S398" s="4"/>
      <c r="T398" s="4"/>
      <c r="U398" s="4"/>
      <c r="V398" s="4"/>
      <c r="W398" s="4"/>
      <c r="X398" s="4"/>
      <c r="Y398" s="4"/>
      <c r="Z398" s="4"/>
      <c r="AA398" s="4"/>
    </row>
    <row r="399" spans="1:27" ht="16">
      <c r="A399" s="1"/>
      <c r="B399" s="2"/>
      <c r="C399" s="6"/>
      <c r="D399" s="2"/>
      <c r="E399" s="2"/>
      <c r="F399" s="2"/>
      <c r="G399" s="2"/>
      <c r="H399" s="1"/>
      <c r="I399" s="4"/>
      <c r="J399" s="4"/>
      <c r="K399" s="4"/>
      <c r="L399" s="4"/>
      <c r="M399" s="4"/>
      <c r="N399" s="4"/>
      <c r="O399" s="4"/>
      <c r="P399" s="4"/>
      <c r="Q399" s="4"/>
      <c r="R399" s="4"/>
      <c r="S399" s="4"/>
      <c r="T399" s="4"/>
      <c r="U399" s="4"/>
      <c r="V399" s="4"/>
      <c r="W399" s="4"/>
      <c r="X399" s="4"/>
      <c r="Y399" s="4"/>
      <c r="Z399" s="4"/>
      <c r="AA399" s="4"/>
    </row>
    <row r="400" spans="1:27" ht="16">
      <c r="A400" s="1"/>
      <c r="B400" s="2"/>
      <c r="C400" s="6"/>
      <c r="D400" s="2"/>
      <c r="E400" s="2"/>
      <c r="F400" s="2"/>
      <c r="G400" s="2"/>
      <c r="H400" s="1"/>
      <c r="I400" s="4"/>
      <c r="J400" s="4"/>
      <c r="K400" s="4"/>
      <c r="L400" s="4"/>
      <c r="M400" s="4"/>
      <c r="N400" s="4"/>
      <c r="O400" s="4"/>
      <c r="P400" s="4"/>
      <c r="Q400" s="4"/>
      <c r="R400" s="4"/>
      <c r="S400" s="4"/>
      <c r="T400" s="4"/>
      <c r="U400" s="4"/>
      <c r="V400" s="4"/>
      <c r="W400" s="4"/>
      <c r="X400" s="4"/>
      <c r="Y400" s="4"/>
      <c r="Z400" s="4"/>
      <c r="AA400" s="4"/>
    </row>
    <row r="401" spans="1:27" ht="16">
      <c r="A401" s="1"/>
      <c r="B401" s="2"/>
      <c r="C401" s="6"/>
      <c r="D401" s="2"/>
      <c r="E401" s="2"/>
      <c r="F401" s="2"/>
      <c r="G401" s="2"/>
      <c r="H401" s="1"/>
      <c r="I401" s="4"/>
      <c r="J401" s="4"/>
      <c r="K401" s="4"/>
      <c r="L401" s="4"/>
      <c r="M401" s="4"/>
      <c r="N401" s="4"/>
      <c r="O401" s="4"/>
      <c r="P401" s="4"/>
      <c r="Q401" s="4"/>
      <c r="R401" s="4"/>
      <c r="S401" s="4"/>
      <c r="T401" s="4"/>
      <c r="U401" s="4"/>
      <c r="V401" s="4"/>
      <c r="W401" s="4"/>
      <c r="X401" s="4"/>
      <c r="Y401" s="4"/>
      <c r="Z401" s="4"/>
      <c r="AA401" s="4"/>
    </row>
    <row r="402" spans="1:27" ht="16">
      <c r="A402" s="1"/>
      <c r="B402" s="2"/>
      <c r="C402" s="6"/>
      <c r="D402" s="2"/>
      <c r="E402" s="2"/>
      <c r="F402" s="2"/>
      <c r="G402" s="2"/>
      <c r="H402" s="1"/>
      <c r="I402" s="4"/>
      <c r="J402" s="4"/>
      <c r="K402" s="4"/>
      <c r="L402" s="4"/>
      <c r="M402" s="4"/>
      <c r="N402" s="4"/>
      <c r="O402" s="4"/>
      <c r="P402" s="4"/>
      <c r="Q402" s="4"/>
      <c r="R402" s="4"/>
      <c r="S402" s="4"/>
      <c r="T402" s="4"/>
      <c r="U402" s="4"/>
      <c r="V402" s="4"/>
      <c r="W402" s="4"/>
      <c r="X402" s="4"/>
      <c r="Y402" s="4"/>
      <c r="Z402" s="4"/>
      <c r="AA402" s="4"/>
    </row>
    <row r="403" spans="1:27" ht="16">
      <c r="A403" s="1"/>
      <c r="B403" s="2"/>
      <c r="C403" s="6"/>
      <c r="D403" s="2"/>
      <c r="E403" s="2"/>
      <c r="F403" s="2"/>
      <c r="G403" s="2"/>
      <c r="H403" s="1"/>
      <c r="I403" s="4"/>
      <c r="J403" s="4"/>
      <c r="K403" s="4"/>
      <c r="L403" s="4"/>
      <c r="M403" s="4"/>
      <c r="N403" s="4"/>
      <c r="O403" s="4"/>
      <c r="P403" s="4"/>
      <c r="Q403" s="4"/>
      <c r="R403" s="4"/>
      <c r="S403" s="4"/>
      <c r="T403" s="4"/>
      <c r="U403" s="4"/>
      <c r="V403" s="4"/>
      <c r="W403" s="4"/>
      <c r="X403" s="4"/>
      <c r="Y403" s="4"/>
      <c r="Z403" s="4"/>
      <c r="AA403" s="4"/>
    </row>
    <row r="404" spans="1:27" ht="16">
      <c r="A404" s="1"/>
      <c r="B404" s="2"/>
      <c r="C404" s="6"/>
      <c r="D404" s="2"/>
      <c r="E404" s="2"/>
      <c r="F404" s="2"/>
      <c r="G404" s="2"/>
      <c r="H404" s="1"/>
      <c r="I404" s="4"/>
      <c r="J404" s="4"/>
      <c r="K404" s="4"/>
      <c r="L404" s="4"/>
      <c r="M404" s="4"/>
      <c r="N404" s="4"/>
      <c r="O404" s="4"/>
      <c r="P404" s="4"/>
      <c r="Q404" s="4"/>
      <c r="R404" s="4"/>
      <c r="S404" s="4"/>
      <c r="T404" s="4"/>
      <c r="U404" s="4"/>
      <c r="V404" s="4"/>
      <c r="W404" s="4"/>
      <c r="X404" s="4"/>
      <c r="Y404" s="4"/>
      <c r="Z404" s="4"/>
      <c r="AA404" s="4"/>
    </row>
    <row r="405" spans="1:27" ht="16">
      <c r="A405" s="1"/>
      <c r="B405" s="2"/>
      <c r="C405" s="6"/>
      <c r="D405" s="2"/>
      <c r="E405" s="2"/>
      <c r="F405" s="2"/>
      <c r="G405" s="2"/>
      <c r="H405" s="1"/>
      <c r="I405" s="4"/>
      <c r="J405" s="4"/>
      <c r="K405" s="4"/>
      <c r="L405" s="4"/>
      <c r="M405" s="4"/>
      <c r="N405" s="4"/>
      <c r="O405" s="4"/>
      <c r="P405" s="4"/>
      <c r="Q405" s="4"/>
      <c r="R405" s="4"/>
      <c r="S405" s="4"/>
      <c r="T405" s="4"/>
      <c r="U405" s="4"/>
      <c r="V405" s="4"/>
      <c r="W405" s="4"/>
      <c r="X405" s="4"/>
      <c r="Y405" s="4"/>
      <c r="Z405" s="4"/>
      <c r="AA405" s="4"/>
    </row>
    <row r="406" spans="1:27" ht="16">
      <c r="A406" s="1"/>
      <c r="B406" s="2"/>
      <c r="C406" s="6"/>
      <c r="D406" s="2"/>
      <c r="E406" s="2"/>
      <c r="F406" s="2"/>
      <c r="G406" s="2"/>
      <c r="H406" s="1"/>
      <c r="I406" s="4"/>
      <c r="J406" s="4"/>
      <c r="K406" s="4"/>
      <c r="L406" s="4"/>
      <c r="M406" s="4"/>
      <c r="N406" s="4"/>
      <c r="O406" s="4"/>
      <c r="P406" s="4"/>
      <c r="Q406" s="4"/>
      <c r="R406" s="4"/>
      <c r="S406" s="4"/>
      <c r="T406" s="4"/>
      <c r="U406" s="4"/>
      <c r="V406" s="4"/>
      <c r="W406" s="4"/>
      <c r="X406" s="4"/>
      <c r="Y406" s="4"/>
      <c r="Z406" s="4"/>
      <c r="AA406" s="4"/>
    </row>
    <row r="407" spans="1:27" ht="16">
      <c r="A407" s="1"/>
      <c r="B407" s="2"/>
      <c r="C407" s="6"/>
      <c r="D407" s="2"/>
      <c r="E407" s="2"/>
      <c r="F407" s="2"/>
      <c r="G407" s="2"/>
      <c r="H407" s="1"/>
      <c r="I407" s="4"/>
      <c r="J407" s="4"/>
      <c r="K407" s="4"/>
      <c r="L407" s="4"/>
      <c r="M407" s="4"/>
      <c r="N407" s="4"/>
      <c r="O407" s="4"/>
      <c r="P407" s="4"/>
      <c r="Q407" s="4"/>
      <c r="R407" s="4"/>
      <c r="S407" s="4"/>
      <c r="T407" s="4"/>
      <c r="U407" s="4"/>
      <c r="V407" s="4"/>
      <c r="W407" s="4"/>
      <c r="X407" s="4"/>
      <c r="Y407" s="4"/>
      <c r="Z407" s="4"/>
      <c r="AA407" s="4"/>
    </row>
    <row r="408" spans="1:27" ht="16">
      <c r="A408" s="1"/>
      <c r="B408" s="2"/>
      <c r="C408" s="6"/>
      <c r="D408" s="2"/>
      <c r="E408" s="2"/>
      <c r="F408" s="2"/>
      <c r="G408" s="2"/>
      <c r="H408" s="1"/>
      <c r="I408" s="4"/>
      <c r="J408" s="4"/>
      <c r="K408" s="4"/>
      <c r="L408" s="4"/>
      <c r="M408" s="4"/>
      <c r="N408" s="4"/>
      <c r="O408" s="4"/>
      <c r="P408" s="4"/>
      <c r="Q408" s="4"/>
      <c r="R408" s="4"/>
      <c r="S408" s="4"/>
      <c r="T408" s="4"/>
      <c r="U408" s="4"/>
      <c r="V408" s="4"/>
      <c r="W408" s="4"/>
      <c r="X408" s="4"/>
      <c r="Y408" s="4"/>
      <c r="Z408" s="4"/>
      <c r="AA408" s="4"/>
    </row>
    <row r="409" spans="1:27" ht="16">
      <c r="A409" s="1"/>
      <c r="B409" s="2"/>
      <c r="C409" s="6"/>
      <c r="D409" s="2"/>
      <c r="E409" s="2"/>
      <c r="F409" s="2"/>
      <c r="G409" s="2"/>
      <c r="H409" s="1"/>
      <c r="I409" s="4"/>
      <c r="J409" s="4"/>
      <c r="K409" s="4"/>
      <c r="L409" s="4"/>
      <c r="M409" s="4"/>
      <c r="N409" s="4"/>
      <c r="O409" s="4"/>
      <c r="P409" s="4"/>
      <c r="Q409" s="4"/>
      <c r="R409" s="4"/>
      <c r="S409" s="4"/>
      <c r="T409" s="4"/>
      <c r="U409" s="4"/>
      <c r="V409" s="4"/>
      <c r="W409" s="4"/>
      <c r="X409" s="4"/>
      <c r="Y409" s="4"/>
      <c r="Z409" s="4"/>
      <c r="AA409" s="4"/>
    </row>
    <row r="410" spans="1:27" ht="16">
      <c r="A410" s="1"/>
      <c r="B410" s="2"/>
      <c r="C410" s="6"/>
      <c r="D410" s="2"/>
      <c r="E410" s="2"/>
      <c r="F410" s="2"/>
      <c r="G410" s="2"/>
      <c r="H410" s="1"/>
      <c r="I410" s="4"/>
      <c r="J410" s="4"/>
      <c r="K410" s="4"/>
      <c r="L410" s="4"/>
      <c r="M410" s="4"/>
      <c r="N410" s="4"/>
      <c r="O410" s="4"/>
      <c r="P410" s="4"/>
      <c r="Q410" s="4"/>
      <c r="R410" s="4"/>
      <c r="S410" s="4"/>
      <c r="T410" s="4"/>
      <c r="U410" s="4"/>
      <c r="V410" s="4"/>
      <c r="W410" s="4"/>
      <c r="X410" s="4"/>
      <c r="Y410" s="4"/>
      <c r="Z410" s="4"/>
      <c r="AA410" s="4"/>
    </row>
    <row r="411" spans="1:27" ht="16">
      <c r="A411" s="1"/>
      <c r="B411" s="2"/>
      <c r="C411" s="6"/>
      <c r="D411" s="2"/>
      <c r="E411" s="2"/>
      <c r="F411" s="2"/>
      <c r="G411" s="2"/>
      <c r="H411" s="1"/>
      <c r="I411" s="4"/>
      <c r="J411" s="4"/>
      <c r="K411" s="4"/>
      <c r="L411" s="4"/>
      <c r="M411" s="4"/>
      <c r="N411" s="4"/>
      <c r="O411" s="4"/>
      <c r="P411" s="4"/>
      <c r="Q411" s="4"/>
      <c r="R411" s="4"/>
      <c r="S411" s="4"/>
      <c r="T411" s="4"/>
      <c r="U411" s="4"/>
      <c r="V411" s="4"/>
      <c r="W411" s="4"/>
      <c r="X411" s="4"/>
      <c r="Y411" s="4"/>
      <c r="Z411" s="4"/>
      <c r="AA411" s="4"/>
    </row>
    <row r="412" spans="1:27" ht="16">
      <c r="A412" s="1"/>
      <c r="B412" s="2"/>
      <c r="C412" s="6"/>
      <c r="D412" s="2"/>
      <c r="E412" s="2"/>
      <c r="F412" s="2"/>
      <c r="G412" s="2"/>
      <c r="H412" s="1"/>
      <c r="I412" s="4"/>
      <c r="J412" s="4"/>
      <c r="K412" s="4"/>
      <c r="L412" s="4"/>
      <c r="M412" s="4"/>
      <c r="N412" s="4"/>
      <c r="O412" s="4"/>
      <c r="P412" s="4"/>
      <c r="Q412" s="4"/>
      <c r="R412" s="4"/>
      <c r="S412" s="4"/>
      <c r="T412" s="4"/>
      <c r="U412" s="4"/>
      <c r="V412" s="4"/>
      <c r="W412" s="4"/>
      <c r="X412" s="4"/>
      <c r="Y412" s="4"/>
      <c r="Z412" s="4"/>
      <c r="AA412" s="4"/>
    </row>
    <row r="413" spans="1:27" ht="16">
      <c r="A413" s="1"/>
      <c r="B413" s="2"/>
      <c r="C413" s="6"/>
      <c r="D413" s="2"/>
      <c r="E413" s="2"/>
      <c r="F413" s="2"/>
      <c r="G413" s="2"/>
      <c r="H413" s="1"/>
      <c r="I413" s="4"/>
      <c r="J413" s="4"/>
      <c r="K413" s="4"/>
      <c r="L413" s="4"/>
      <c r="M413" s="4"/>
      <c r="N413" s="4"/>
      <c r="O413" s="4"/>
      <c r="P413" s="4"/>
      <c r="Q413" s="4"/>
      <c r="R413" s="4"/>
      <c r="S413" s="4"/>
      <c r="T413" s="4"/>
      <c r="U413" s="4"/>
      <c r="V413" s="4"/>
      <c r="W413" s="4"/>
      <c r="X413" s="4"/>
      <c r="Y413" s="4"/>
      <c r="Z413" s="4"/>
      <c r="AA413" s="4"/>
    </row>
    <row r="414" spans="1:27" ht="16">
      <c r="A414" s="1"/>
      <c r="B414" s="2"/>
      <c r="C414" s="6"/>
      <c r="D414" s="2"/>
      <c r="E414" s="2"/>
      <c r="F414" s="2"/>
      <c r="G414" s="2"/>
      <c r="H414" s="1"/>
      <c r="I414" s="4"/>
      <c r="J414" s="4"/>
      <c r="K414" s="4"/>
      <c r="L414" s="4"/>
      <c r="M414" s="4"/>
      <c r="N414" s="4"/>
      <c r="O414" s="4"/>
      <c r="P414" s="4"/>
      <c r="Q414" s="4"/>
      <c r="R414" s="4"/>
      <c r="S414" s="4"/>
      <c r="T414" s="4"/>
      <c r="U414" s="4"/>
      <c r="V414" s="4"/>
      <c r="W414" s="4"/>
      <c r="X414" s="4"/>
      <c r="Y414" s="4"/>
      <c r="Z414" s="4"/>
      <c r="AA414" s="4"/>
    </row>
    <row r="415" spans="1:27" ht="16">
      <c r="A415" s="1"/>
      <c r="B415" s="2"/>
      <c r="C415" s="6"/>
      <c r="D415" s="2"/>
      <c r="E415" s="2"/>
      <c r="F415" s="2"/>
      <c r="G415" s="2"/>
      <c r="H415" s="1"/>
      <c r="I415" s="4"/>
      <c r="J415" s="4"/>
      <c r="K415" s="4"/>
      <c r="L415" s="4"/>
      <c r="M415" s="4"/>
      <c r="N415" s="4"/>
      <c r="O415" s="4"/>
      <c r="P415" s="4"/>
      <c r="Q415" s="4"/>
      <c r="R415" s="4"/>
      <c r="S415" s="4"/>
      <c r="T415" s="4"/>
      <c r="U415" s="4"/>
      <c r="V415" s="4"/>
      <c r="W415" s="4"/>
      <c r="X415" s="4"/>
      <c r="Y415" s="4"/>
      <c r="Z415" s="4"/>
      <c r="AA415" s="4"/>
    </row>
    <row r="416" spans="1:27" ht="16">
      <c r="A416" s="1"/>
      <c r="B416" s="2"/>
      <c r="C416" s="6"/>
      <c r="D416" s="2"/>
      <c r="E416" s="2"/>
      <c r="F416" s="2"/>
      <c r="G416" s="2"/>
      <c r="H416" s="1"/>
      <c r="I416" s="4"/>
      <c r="J416" s="4"/>
      <c r="K416" s="4"/>
      <c r="L416" s="4"/>
      <c r="M416" s="4"/>
      <c r="N416" s="4"/>
      <c r="O416" s="4"/>
      <c r="P416" s="4"/>
      <c r="Q416" s="4"/>
      <c r="R416" s="4"/>
      <c r="S416" s="4"/>
      <c r="T416" s="4"/>
      <c r="U416" s="4"/>
      <c r="V416" s="4"/>
      <c r="W416" s="4"/>
      <c r="X416" s="4"/>
      <c r="Y416" s="4"/>
      <c r="Z416" s="4"/>
      <c r="AA416" s="4"/>
    </row>
    <row r="417" spans="1:27" ht="16">
      <c r="A417" s="1"/>
      <c r="B417" s="2"/>
      <c r="C417" s="6"/>
      <c r="D417" s="2"/>
      <c r="E417" s="2"/>
      <c r="F417" s="2"/>
      <c r="G417" s="2"/>
      <c r="H417" s="1"/>
      <c r="I417" s="4"/>
      <c r="J417" s="4"/>
      <c r="K417" s="4"/>
      <c r="L417" s="4"/>
      <c r="M417" s="4"/>
      <c r="N417" s="4"/>
      <c r="O417" s="4"/>
      <c r="P417" s="4"/>
      <c r="Q417" s="4"/>
      <c r="R417" s="4"/>
      <c r="S417" s="4"/>
      <c r="T417" s="4"/>
      <c r="U417" s="4"/>
      <c r="V417" s="4"/>
      <c r="W417" s="4"/>
      <c r="X417" s="4"/>
      <c r="Y417" s="4"/>
      <c r="Z417" s="4"/>
      <c r="AA417" s="4"/>
    </row>
    <row r="418" spans="1:27" ht="16">
      <c r="A418" s="1"/>
      <c r="B418" s="2"/>
      <c r="C418" s="6"/>
      <c r="D418" s="2"/>
      <c r="E418" s="2"/>
      <c r="F418" s="2"/>
      <c r="G418" s="2"/>
      <c r="H418" s="1"/>
      <c r="I418" s="4"/>
      <c r="J418" s="4"/>
      <c r="K418" s="4"/>
      <c r="L418" s="4"/>
      <c r="M418" s="4"/>
      <c r="N418" s="4"/>
      <c r="O418" s="4"/>
      <c r="P418" s="4"/>
      <c r="Q418" s="4"/>
      <c r="R418" s="4"/>
      <c r="S418" s="4"/>
      <c r="T418" s="4"/>
      <c r="U418" s="4"/>
      <c r="V418" s="4"/>
      <c r="W418" s="4"/>
      <c r="X418" s="4"/>
      <c r="Y418" s="4"/>
      <c r="Z418" s="4"/>
      <c r="AA418" s="4"/>
    </row>
    <row r="419" spans="1:27" ht="16">
      <c r="A419" s="1"/>
      <c r="B419" s="2"/>
      <c r="C419" s="6"/>
      <c r="D419" s="2"/>
      <c r="E419" s="2"/>
      <c r="F419" s="2"/>
      <c r="G419" s="2"/>
      <c r="H419" s="1"/>
      <c r="I419" s="4"/>
      <c r="J419" s="4"/>
      <c r="K419" s="4"/>
      <c r="L419" s="4"/>
      <c r="M419" s="4"/>
      <c r="N419" s="4"/>
      <c r="O419" s="4"/>
      <c r="P419" s="4"/>
      <c r="Q419" s="4"/>
      <c r="R419" s="4"/>
      <c r="S419" s="4"/>
      <c r="T419" s="4"/>
      <c r="U419" s="4"/>
      <c r="V419" s="4"/>
      <c r="W419" s="4"/>
      <c r="X419" s="4"/>
      <c r="Y419" s="4"/>
      <c r="Z419" s="4"/>
      <c r="AA419" s="4"/>
    </row>
    <row r="420" spans="1:27" ht="16">
      <c r="A420" s="1"/>
      <c r="B420" s="2"/>
      <c r="C420" s="6"/>
      <c r="D420" s="2"/>
      <c r="E420" s="2"/>
      <c r="F420" s="2"/>
      <c r="G420" s="2"/>
      <c r="H420" s="1"/>
      <c r="I420" s="4"/>
      <c r="J420" s="4"/>
      <c r="K420" s="4"/>
      <c r="L420" s="4"/>
      <c r="M420" s="4"/>
      <c r="N420" s="4"/>
      <c r="O420" s="4"/>
      <c r="P420" s="4"/>
      <c r="Q420" s="4"/>
      <c r="R420" s="4"/>
      <c r="S420" s="4"/>
      <c r="T420" s="4"/>
      <c r="U420" s="4"/>
      <c r="V420" s="4"/>
      <c r="W420" s="4"/>
      <c r="X420" s="4"/>
      <c r="Y420" s="4"/>
      <c r="Z420" s="4"/>
      <c r="AA420" s="4"/>
    </row>
    <row r="421" spans="1:27" ht="16">
      <c r="A421" s="1"/>
      <c r="B421" s="2"/>
      <c r="C421" s="6"/>
      <c r="D421" s="2"/>
      <c r="E421" s="2"/>
      <c r="F421" s="2"/>
      <c r="G421" s="2"/>
      <c r="H421" s="1"/>
      <c r="I421" s="4"/>
      <c r="J421" s="4"/>
      <c r="K421" s="4"/>
      <c r="L421" s="4"/>
      <c r="M421" s="4"/>
      <c r="N421" s="4"/>
      <c r="O421" s="4"/>
      <c r="P421" s="4"/>
      <c r="Q421" s="4"/>
      <c r="R421" s="4"/>
      <c r="S421" s="4"/>
      <c r="T421" s="4"/>
      <c r="U421" s="4"/>
      <c r="V421" s="4"/>
      <c r="W421" s="4"/>
      <c r="X421" s="4"/>
      <c r="Y421" s="4"/>
      <c r="Z421" s="4"/>
      <c r="AA421" s="4"/>
    </row>
    <row r="422" spans="1:27" ht="16">
      <c r="A422" s="1"/>
      <c r="B422" s="2"/>
      <c r="C422" s="6"/>
      <c r="D422" s="2"/>
      <c r="E422" s="2"/>
      <c r="F422" s="2"/>
      <c r="G422" s="2"/>
      <c r="H422" s="1"/>
      <c r="I422" s="4"/>
      <c r="J422" s="4"/>
      <c r="K422" s="4"/>
      <c r="L422" s="4"/>
      <c r="M422" s="4"/>
      <c r="N422" s="4"/>
      <c r="O422" s="4"/>
      <c r="P422" s="4"/>
      <c r="Q422" s="4"/>
      <c r="R422" s="4"/>
      <c r="S422" s="4"/>
      <c r="T422" s="4"/>
      <c r="U422" s="4"/>
      <c r="V422" s="4"/>
      <c r="W422" s="4"/>
      <c r="X422" s="4"/>
      <c r="Y422" s="4"/>
      <c r="Z422" s="4"/>
      <c r="AA422" s="4"/>
    </row>
    <row r="423" spans="1:27" ht="16">
      <c r="A423" s="1"/>
      <c r="B423" s="2"/>
      <c r="C423" s="6"/>
      <c r="D423" s="2"/>
      <c r="E423" s="2"/>
      <c r="F423" s="2"/>
      <c r="G423" s="2"/>
      <c r="H423" s="1"/>
      <c r="I423" s="4"/>
      <c r="J423" s="4"/>
      <c r="K423" s="4"/>
      <c r="L423" s="4"/>
      <c r="M423" s="4"/>
      <c r="N423" s="4"/>
      <c r="O423" s="4"/>
      <c r="P423" s="4"/>
      <c r="Q423" s="4"/>
      <c r="R423" s="4"/>
      <c r="S423" s="4"/>
      <c r="T423" s="4"/>
      <c r="U423" s="4"/>
      <c r="V423" s="4"/>
      <c r="W423" s="4"/>
      <c r="X423" s="4"/>
      <c r="Y423" s="4"/>
      <c r="Z423" s="4"/>
      <c r="AA423" s="4"/>
    </row>
    <row r="424" spans="1:27" ht="16">
      <c r="A424" s="1"/>
      <c r="B424" s="2"/>
      <c r="C424" s="6"/>
      <c r="D424" s="2"/>
      <c r="E424" s="2"/>
      <c r="F424" s="2"/>
      <c r="G424" s="2"/>
      <c r="H424" s="1"/>
      <c r="I424" s="4"/>
      <c r="J424" s="4"/>
      <c r="K424" s="4"/>
      <c r="L424" s="4"/>
      <c r="M424" s="4"/>
      <c r="N424" s="4"/>
      <c r="O424" s="4"/>
      <c r="P424" s="4"/>
      <c r="Q424" s="4"/>
      <c r="R424" s="4"/>
      <c r="S424" s="4"/>
      <c r="T424" s="4"/>
      <c r="U424" s="4"/>
      <c r="V424" s="4"/>
      <c r="W424" s="4"/>
      <c r="X424" s="4"/>
      <c r="Y424" s="4"/>
      <c r="Z424" s="4"/>
      <c r="AA424" s="4"/>
    </row>
    <row r="425" spans="1:27" ht="16">
      <c r="A425" s="1"/>
      <c r="B425" s="2"/>
      <c r="C425" s="6"/>
      <c r="D425" s="2"/>
      <c r="E425" s="2"/>
      <c r="F425" s="2"/>
      <c r="G425" s="2"/>
      <c r="H425" s="1"/>
      <c r="I425" s="4"/>
      <c r="J425" s="4"/>
      <c r="K425" s="4"/>
      <c r="L425" s="4"/>
      <c r="M425" s="4"/>
      <c r="N425" s="4"/>
      <c r="O425" s="4"/>
      <c r="P425" s="4"/>
      <c r="Q425" s="4"/>
      <c r="R425" s="4"/>
      <c r="S425" s="4"/>
      <c r="T425" s="4"/>
      <c r="U425" s="4"/>
      <c r="V425" s="4"/>
      <c r="W425" s="4"/>
      <c r="X425" s="4"/>
      <c r="Y425" s="4"/>
      <c r="Z425" s="4"/>
      <c r="AA425" s="4"/>
    </row>
    <row r="426" spans="1:27" ht="16">
      <c r="A426" s="1"/>
      <c r="B426" s="2"/>
      <c r="C426" s="6"/>
      <c r="D426" s="2"/>
      <c r="E426" s="2"/>
      <c r="F426" s="2"/>
      <c r="G426" s="2"/>
      <c r="H426" s="1"/>
      <c r="I426" s="4"/>
      <c r="J426" s="4"/>
      <c r="K426" s="4"/>
      <c r="L426" s="4"/>
      <c r="M426" s="4"/>
      <c r="N426" s="4"/>
      <c r="O426" s="4"/>
      <c r="P426" s="4"/>
      <c r="Q426" s="4"/>
      <c r="R426" s="4"/>
      <c r="S426" s="4"/>
      <c r="T426" s="4"/>
      <c r="U426" s="4"/>
      <c r="V426" s="4"/>
      <c r="W426" s="4"/>
      <c r="X426" s="4"/>
      <c r="Y426" s="4"/>
      <c r="Z426" s="4"/>
      <c r="AA426" s="4"/>
    </row>
    <row r="427" spans="1:27" ht="16">
      <c r="A427" s="1"/>
      <c r="B427" s="2"/>
      <c r="C427" s="6"/>
      <c r="D427" s="2"/>
      <c r="E427" s="2"/>
      <c r="F427" s="2"/>
      <c r="G427" s="2"/>
      <c r="H427" s="1"/>
      <c r="I427" s="4"/>
      <c r="J427" s="4"/>
      <c r="K427" s="4"/>
      <c r="L427" s="4"/>
      <c r="M427" s="4"/>
      <c r="N427" s="4"/>
      <c r="O427" s="4"/>
      <c r="P427" s="4"/>
      <c r="Q427" s="4"/>
      <c r="R427" s="4"/>
      <c r="S427" s="4"/>
      <c r="T427" s="4"/>
      <c r="U427" s="4"/>
      <c r="V427" s="4"/>
      <c r="W427" s="4"/>
      <c r="X427" s="4"/>
      <c r="Y427" s="4"/>
      <c r="Z427" s="4"/>
      <c r="AA427" s="4"/>
    </row>
    <row r="428" spans="1:27" ht="16">
      <c r="A428" s="1"/>
      <c r="B428" s="2"/>
      <c r="C428" s="6"/>
      <c r="D428" s="2"/>
      <c r="E428" s="2"/>
      <c r="F428" s="2"/>
      <c r="G428" s="2"/>
      <c r="H428" s="1"/>
      <c r="I428" s="4"/>
      <c r="J428" s="4"/>
      <c r="K428" s="4"/>
      <c r="L428" s="4"/>
      <c r="M428" s="4"/>
      <c r="N428" s="4"/>
      <c r="O428" s="4"/>
      <c r="P428" s="4"/>
      <c r="Q428" s="4"/>
      <c r="R428" s="4"/>
      <c r="S428" s="4"/>
      <c r="T428" s="4"/>
      <c r="U428" s="4"/>
      <c r="V428" s="4"/>
      <c r="W428" s="4"/>
      <c r="X428" s="4"/>
      <c r="Y428" s="4"/>
      <c r="Z428" s="4"/>
      <c r="AA428" s="4"/>
    </row>
    <row r="429" spans="1:27" ht="16">
      <c r="A429" s="1"/>
      <c r="B429" s="2"/>
      <c r="C429" s="6"/>
      <c r="D429" s="2"/>
      <c r="E429" s="2"/>
      <c r="F429" s="2"/>
      <c r="G429" s="2"/>
      <c r="H429" s="1"/>
      <c r="I429" s="4"/>
      <c r="J429" s="4"/>
      <c r="K429" s="4"/>
      <c r="L429" s="4"/>
      <c r="M429" s="4"/>
      <c r="N429" s="4"/>
      <c r="O429" s="4"/>
      <c r="P429" s="4"/>
      <c r="Q429" s="4"/>
      <c r="R429" s="4"/>
      <c r="S429" s="4"/>
      <c r="T429" s="4"/>
      <c r="U429" s="4"/>
      <c r="V429" s="4"/>
      <c r="W429" s="4"/>
      <c r="X429" s="4"/>
      <c r="Y429" s="4"/>
      <c r="Z429" s="4"/>
      <c r="AA429" s="4"/>
    </row>
    <row r="430" spans="1:27" ht="16">
      <c r="A430" s="1"/>
      <c r="B430" s="2"/>
      <c r="C430" s="6"/>
      <c r="D430" s="2"/>
      <c r="E430" s="2"/>
      <c r="F430" s="2"/>
      <c r="G430" s="2"/>
      <c r="H430" s="1"/>
      <c r="I430" s="4"/>
      <c r="J430" s="4"/>
      <c r="K430" s="4"/>
      <c r="L430" s="4"/>
      <c r="M430" s="4"/>
      <c r="N430" s="4"/>
      <c r="O430" s="4"/>
      <c r="P430" s="4"/>
      <c r="Q430" s="4"/>
      <c r="R430" s="4"/>
      <c r="S430" s="4"/>
      <c r="T430" s="4"/>
      <c r="U430" s="4"/>
      <c r="V430" s="4"/>
      <c r="W430" s="4"/>
      <c r="X430" s="4"/>
      <c r="Y430" s="4"/>
      <c r="Z430" s="4"/>
      <c r="AA430" s="4"/>
    </row>
    <row r="431" spans="1:27" ht="16">
      <c r="A431" s="1"/>
      <c r="B431" s="2"/>
      <c r="C431" s="6"/>
      <c r="D431" s="2"/>
      <c r="E431" s="2"/>
      <c r="F431" s="2"/>
      <c r="G431" s="2"/>
      <c r="H431" s="1"/>
      <c r="I431" s="4"/>
      <c r="J431" s="4"/>
      <c r="K431" s="4"/>
      <c r="L431" s="4"/>
      <c r="M431" s="4"/>
      <c r="N431" s="4"/>
      <c r="O431" s="4"/>
      <c r="P431" s="4"/>
      <c r="Q431" s="4"/>
      <c r="R431" s="4"/>
      <c r="S431" s="4"/>
      <c r="T431" s="4"/>
      <c r="U431" s="4"/>
      <c r="V431" s="4"/>
      <c r="W431" s="4"/>
      <c r="X431" s="4"/>
      <c r="Y431" s="4"/>
      <c r="Z431" s="4"/>
      <c r="AA431" s="4"/>
    </row>
    <row r="432" spans="1:27" ht="16">
      <c r="A432" s="1"/>
      <c r="B432" s="2"/>
      <c r="C432" s="6"/>
      <c r="D432" s="2"/>
      <c r="E432" s="2"/>
      <c r="F432" s="2"/>
      <c r="G432" s="2"/>
      <c r="H432" s="1"/>
      <c r="I432" s="4"/>
      <c r="J432" s="4"/>
      <c r="K432" s="4"/>
      <c r="L432" s="4"/>
      <c r="M432" s="4"/>
      <c r="N432" s="4"/>
      <c r="O432" s="4"/>
      <c r="P432" s="4"/>
      <c r="Q432" s="4"/>
      <c r="R432" s="4"/>
      <c r="S432" s="4"/>
      <c r="T432" s="4"/>
      <c r="U432" s="4"/>
      <c r="V432" s="4"/>
      <c r="W432" s="4"/>
      <c r="X432" s="4"/>
      <c r="Y432" s="4"/>
      <c r="Z432" s="4"/>
      <c r="AA432" s="4"/>
    </row>
    <row r="433" spans="1:27" ht="16">
      <c r="A433" s="1"/>
      <c r="B433" s="2"/>
      <c r="C433" s="6"/>
      <c r="D433" s="2"/>
      <c r="E433" s="2"/>
      <c r="F433" s="2"/>
      <c r="G433" s="2"/>
      <c r="H433" s="1"/>
      <c r="I433" s="4"/>
      <c r="J433" s="4"/>
      <c r="K433" s="4"/>
      <c r="L433" s="4"/>
      <c r="M433" s="4"/>
      <c r="N433" s="4"/>
      <c r="O433" s="4"/>
      <c r="P433" s="4"/>
      <c r="Q433" s="4"/>
      <c r="R433" s="4"/>
      <c r="S433" s="4"/>
      <c r="T433" s="4"/>
      <c r="U433" s="4"/>
      <c r="V433" s="4"/>
      <c r="W433" s="4"/>
      <c r="X433" s="4"/>
      <c r="Y433" s="4"/>
      <c r="Z433" s="4"/>
      <c r="AA433" s="4"/>
    </row>
    <row r="434" spans="1:27" ht="16">
      <c r="A434" s="1"/>
      <c r="B434" s="2"/>
      <c r="C434" s="6"/>
      <c r="D434" s="2"/>
      <c r="E434" s="2"/>
      <c r="F434" s="2"/>
      <c r="G434" s="2"/>
      <c r="H434" s="1"/>
      <c r="I434" s="4"/>
      <c r="J434" s="4"/>
      <c r="K434" s="4"/>
      <c r="L434" s="4"/>
      <c r="M434" s="4"/>
      <c r="N434" s="4"/>
      <c r="O434" s="4"/>
      <c r="P434" s="4"/>
      <c r="Q434" s="4"/>
      <c r="R434" s="4"/>
      <c r="S434" s="4"/>
      <c r="T434" s="4"/>
      <c r="U434" s="4"/>
      <c r="V434" s="4"/>
      <c r="W434" s="4"/>
      <c r="X434" s="4"/>
      <c r="Y434" s="4"/>
      <c r="Z434" s="4"/>
      <c r="AA434" s="4"/>
    </row>
    <row r="435" spans="1:27" ht="16">
      <c r="A435" s="1"/>
      <c r="B435" s="2"/>
      <c r="C435" s="6"/>
      <c r="D435" s="2"/>
      <c r="E435" s="2"/>
      <c r="F435" s="2"/>
      <c r="G435" s="2"/>
      <c r="H435" s="1"/>
      <c r="I435" s="4"/>
      <c r="J435" s="4"/>
      <c r="K435" s="4"/>
      <c r="L435" s="4"/>
      <c r="M435" s="4"/>
      <c r="N435" s="4"/>
      <c r="O435" s="4"/>
      <c r="P435" s="4"/>
      <c r="Q435" s="4"/>
      <c r="R435" s="4"/>
      <c r="S435" s="4"/>
      <c r="T435" s="4"/>
      <c r="U435" s="4"/>
      <c r="V435" s="4"/>
      <c r="W435" s="4"/>
      <c r="X435" s="4"/>
      <c r="Y435" s="4"/>
      <c r="Z435" s="4"/>
      <c r="AA435" s="4"/>
    </row>
    <row r="436" spans="1:27" ht="16">
      <c r="A436" s="1"/>
      <c r="B436" s="2"/>
      <c r="C436" s="6"/>
      <c r="D436" s="2"/>
      <c r="E436" s="2"/>
      <c r="F436" s="2"/>
      <c r="G436" s="2"/>
      <c r="H436" s="1"/>
      <c r="I436" s="4"/>
      <c r="J436" s="4"/>
      <c r="K436" s="4"/>
      <c r="L436" s="4"/>
      <c r="M436" s="4"/>
      <c r="N436" s="4"/>
      <c r="O436" s="4"/>
      <c r="P436" s="4"/>
      <c r="Q436" s="4"/>
      <c r="R436" s="4"/>
      <c r="S436" s="4"/>
      <c r="T436" s="4"/>
      <c r="U436" s="4"/>
      <c r="V436" s="4"/>
      <c r="W436" s="4"/>
      <c r="X436" s="4"/>
      <c r="Y436" s="4"/>
      <c r="Z436" s="4"/>
      <c r="AA436" s="4"/>
    </row>
    <row r="437" spans="1:27" ht="16">
      <c r="A437" s="1"/>
      <c r="B437" s="2"/>
      <c r="C437" s="6"/>
      <c r="D437" s="2"/>
      <c r="E437" s="2"/>
      <c r="F437" s="2"/>
      <c r="G437" s="2"/>
      <c r="H437" s="1"/>
      <c r="I437" s="4"/>
      <c r="J437" s="4"/>
      <c r="K437" s="4"/>
      <c r="L437" s="4"/>
      <c r="M437" s="4"/>
      <c r="N437" s="4"/>
      <c r="O437" s="4"/>
      <c r="P437" s="4"/>
      <c r="Q437" s="4"/>
      <c r="R437" s="4"/>
      <c r="S437" s="4"/>
      <c r="T437" s="4"/>
      <c r="U437" s="4"/>
      <c r="V437" s="4"/>
      <c r="W437" s="4"/>
      <c r="X437" s="4"/>
      <c r="Y437" s="4"/>
      <c r="Z437" s="4"/>
      <c r="AA437" s="4"/>
    </row>
    <row r="438" spans="1:27" ht="16">
      <c r="A438" s="1"/>
      <c r="B438" s="2"/>
      <c r="C438" s="6"/>
      <c r="D438" s="2"/>
      <c r="E438" s="2"/>
      <c r="F438" s="2"/>
      <c r="G438" s="2"/>
      <c r="H438" s="1"/>
      <c r="I438" s="4"/>
      <c r="J438" s="4"/>
      <c r="K438" s="4"/>
      <c r="L438" s="4"/>
      <c r="M438" s="4"/>
      <c r="N438" s="4"/>
      <c r="O438" s="4"/>
      <c r="P438" s="4"/>
      <c r="Q438" s="4"/>
      <c r="R438" s="4"/>
      <c r="S438" s="4"/>
      <c r="T438" s="4"/>
      <c r="U438" s="4"/>
      <c r="V438" s="4"/>
      <c r="W438" s="4"/>
      <c r="X438" s="4"/>
      <c r="Y438" s="4"/>
      <c r="Z438" s="4"/>
      <c r="AA438" s="4"/>
    </row>
    <row r="439" spans="1:27" ht="16">
      <c r="A439" s="1"/>
      <c r="B439" s="2"/>
      <c r="C439" s="6"/>
      <c r="D439" s="2"/>
      <c r="E439" s="2"/>
      <c r="F439" s="2"/>
      <c r="G439" s="2"/>
      <c r="H439" s="1"/>
      <c r="I439" s="4"/>
      <c r="J439" s="4"/>
      <c r="K439" s="4"/>
      <c r="L439" s="4"/>
      <c r="M439" s="4"/>
      <c r="N439" s="4"/>
      <c r="O439" s="4"/>
      <c r="P439" s="4"/>
      <c r="Q439" s="4"/>
      <c r="R439" s="4"/>
      <c r="S439" s="4"/>
      <c r="T439" s="4"/>
      <c r="U439" s="4"/>
      <c r="V439" s="4"/>
      <c r="W439" s="4"/>
      <c r="X439" s="4"/>
      <c r="Y439" s="4"/>
      <c r="Z439" s="4"/>
      <c r="AA439" s="4"/>
    </row>
    <row r="440" spans="1:27" ht="16">
      <c r="A440" s="1"/>
      <c r="B440" s="2"/>
      <c r="C440" s="6"/>
      <c r="D440" s="2"/>
      <c r="E440" s="2"/>
      <c r="F440" s="2"/>
      <c r="G440" s="2"/>
      <c r="H440" s="1"/>
      <c r="I440" s="4"/>
      <c r="J440" s="4"/>
      <c r="K440" s="4"/>
      <c r="L440" s="4"/>
      <c r="M440" s="4"/>
      <c r="N440" s="4"/>
      <c r="O440" s="4"/>
      <c r="P440" s="4"/>
      <c r="Q440" s="4"/>
      <c r="R440" s="4"/>
      <c r="S440" s="4"/>
      <c r="T440" s="4"/>
      <c r="U440" s="4"/>
      <c r="V440" s="4"/>
      <c r="W440" s="4"/>
      <c r="X440" s="4"/>
      <c r="Y440" s="4"/>
      <c r="Z440" s="4"/>
      <c r="AA440" s="4"/>
    </row>
    <row r="441" spans="1:27" ht="16">
      <c r="A441" s="1"/>
      <c r="B441" s="2"/>
      <c r="C441" s="6"/>
      <c r="D441" s="2"/>
      <c r="E441" s="2"/>
      <c r="F441" s="2"/>
      <c r="G441" s="2"/>
      <c r="H441" s="1"/>
      <c r="I441" s="4"/>
      <c r="J441" s="4"/>
      <c r="K441" s="4"/>
      <c r="L441" s="4"/>
      <c r="M441" s="4"/>
      <c r="N441" s="4"/>
      <c r="O441" s="4"/>
      <c r="P441" s="4"/>
      <c r="Q441" s="4"/>
      <c r="R441" s="4"/>
      <c r="S441" s="4"/>
      <c r="T441" s="4"/>
      <c r="U441" s="4"/>
      <c r="V441" s="4"/>
      <c r="W441" s="4"/>
      <c r="X441" s="4"/>
      <c r="Y441" s="4"/>
      <c r="Z441" s="4"/>
      <c r="AA441" s="4"/>
    </row>
    <row r="442" spans="1:27" ht="16">
      <c r="A442" s="1"/>
      <c r="B442" s="2"/>
      <c r="C442" s="6"/>
      <c r="D442" s="2"/>
      <c r="E442" s="2"/>
      <c r="F442" s="2"/>
      <c r="G442" s="2"/>
      <c r="H442" s="1"/>
      <c r="I442" s="4"/>
      <c r="J442" s="4"/>
      <c r="K442" s="4"/>
      <c r="L442" s="4"/>
      <c r="M442" s="4"/>
      <c r="N442" s="4"/>
      <c r="O442" s="4"/>
      <c r="P442" s="4"/>
      <c r="Q442" s="4"/>
      <c r="R442" s="4"/>
      <c r="S442" s="4"/>
      <c r="T442" s="4"/>
      <c r="U442" s="4"/>
      <c r="V442" s="4"/>
      <c r="W442" s="4"/>
      <c r="X442" s="4"/>
      <c r="Y442" s="4"/>
      <c r="Z442" s="4"/>
      <c r="AA442" s="4"/>
    </row>
    <row r="443" spans="1:27" ht="16">
      <c r="A443" s="1"/>
      <c r="B443" s="2"/>
      <c r="C443" s="6"/>
      <c r="D443" s="2"/>
      <c r="E443" s="2"/>
      <c r="F443" s="2"/>
      <c r="G443" s="2"/>
      <c r="H443" s="1"/>
      <c r="I443" s="4"/>
      <c r="J443" s="4"/>
      <c r="K443" s="4"/>
      <c r="L443" s="4"/>
      <c r="M443" s="4"/>
      <c r="N443" s="4"/>
      <c r="O443" s="4"/>
      <c r="P443" s="4"/>
      <c r="Q443" s="4"/>
      <c r="R443" s="4"/>
      <c r="S443" s="4"/>
      <c r="T443" s="4"/>
      <c r="U443" s="4"/>
      <c r="V443" s="4"/>
      <c r="W443" s="4"/>
      <c r="X443" s="4"/>
      <c r="Y443" s="4"/>
      <c r="Z443" s="4"/>
      <c r="AA443" s="4"/>
    </row>
    <row r="444" spans="1:27" ht="16">
      <c r="A444" s="1"/>
      <c r="B444" s="2"/>
      <c r="C444" s="6"/>
      <c r="D444" s="2"/>
      <c r="E444" s="2"/>
      <c r="F444" s="2"/>
      <c r="G444" s="2"/>
      <c r="H444" s="1"/>
      <c r="I444" s="4"/>
      <c r="J444" s="4"/>
      <c r="K444" s="4"/>
      <c r="L444" s="4"/>
      <c r="M444" s="4"/>
      <c r="N444" s="4"/>
      <c r="O444" s="4"/>
      <c r="P444" s="4"/>
      <c r="Q444" s="4"/>
      <c r="R444" s="4"/>
      <c r="S444" s="4"/>
      <c r="T444" s="4"/>
      <c r="U444" s="4"/>
      <c r="V444" s="4"/>
      <c r="W444" s="4"/>
      <c r="X444" s="4"/>
      <c r="Y444" s="4"/>
      <c r="Z444" s="4"/>
      <c r="AA444" s="4"/>
    </row>
    <row r="445" spans="1:27" ht="16">
      <c r="A445" s="1"/>
      <c r="B445" s="2"/>
      <c r="C445" s="6"/>
      <c r="D445" s="2"/>
      <c r="E445" s="2"/>
      <c r="F445" s="2"/>
      <c r="G445" s="2"/>
      <c r="H445" s="1"/>
      <c r="I445" s="4"/>
      <c r="J445" s="4"/>
      <c r="K445" s="4"/>
      <c r="L445" s="4"/>
      <c r="M445" s="4"/>
      <c r="N445" s="4"/>
      <c r="O445" s="4"/>
      <c r="P445" s="4"/>
      <c r="Q445" s="4"/>
      <c r="R445" s="4"/>
      <c r="S445" s="4"/>
      <c r="T445" s="4"/>
      <c r="U445" s="4"/>
      <c r="V445" s="4"/>
      <c r="W445" s="4"/>
      <c r="X445" s="4"/>
      <c r="Y445" s="4"/>
      <c r="Z445" s="4"/>
      <c r="AA445" s="4"/>
    </row>
    <row r="446" spans="1:27" ht="16">
      <c r="A446" s="1"/>
      <c r="B446" s="2"/>
      <c r="C446" s="6"/>
      <c r="D446" s="2"/>
      <c r="E446" s="2"/>
      <c r="F446" s="2"/>
      <c r="G446" s="2"/>
      <c r="H446" s="1"/>
      <c r="I446" s="4"/>
      <c r="J446" s="4"/>
      <c r="K446" s="4"/>
      <c r="L446" s="4"/>
      <c r="M446" s="4"/>
      <c r="N446" s="4"/>
      <c r="O446" s="4"/>
      <c r="P446" s="4"/>
      <c r="Q446" s="4"/>
      <c r="R446" s="4"/>
      <c r="S446" s="4"/>
      <c r="T446" s="4"/>
      <c r="U446" s="4"/>
      <c r="V446" s="4"/>
      <c r="W446" s="4"/>
      <c r="X446" s="4"/>
      <c r="Y446" s="4"/>
      <c r="Z446" s="4"/>
      <c r="AA446" s="4"/>
    </row>
    <row r="447" spans="1:27" ht="16">
      <c r="A447" s="1"/>
      <c r="B447" s="2"/>
      <c r="C447" s="6"/>
      <c r="D447" s="2"/>
      <c r="E447" s="2"/>
      <c r="F447" s="2"/>
      <c r="G447" s="2"/>
      <c r="H447" s="1"/>
      <c r="I447" s="4"/>
      <c r="J447" s="4"/>
      <c r="K447" s="4"/>
      <c r="L447" s="4"/>
      <c r="M447" s="4"/>
      <c r="N447" s="4"/>
      <c r="O447" s="4"/>
      <c r="P447" s="4"/>
      <c r="Q447" s="4"/>
      <c r="R447" s="4"/>
      <c r="S447" s="4"/>
      <c r="T447" s="4"/>
      <c r="U447" s="4"/>
      <c r="V447" s="4"/>
      <c r="W447" s="4"/>
      <c r="X447" s="4"/>
      <c r="Y447" s="4"/>
      <c r="Z447" s="4"/>
      <c r="AA447" s="4"/>
    </row>
    <row r="448" spans="1:27" ht="16">
      <c r="A448" s="1"/>
      <c r="B448" s="2"/>
      <c r="C448" s="6"/>
      <c r="D448" s="2"/>
      <c r="E448" s="2"/>
      <c r="F448" s="2"/>
      <c r="G448" s="2"/>
      <c r="H448" s="1"/>
      <c r="I448" s="4"/>
      <c r="J448" s="4"/>
      <c r="K448" s="4"/>
      <c r="L448" s="4"/>
      <c r="M448" s="4"/>
      <c r="N448" s="4"/>
      <c r="O448" s="4"/>
      <c r="P448" s="4"/>
      <c r="Q448" s="4"/>
      <c r="R448" s="4"/>
      <c r="S448" s="4"/>
      <c r="T448" s="4"/>
      <c r="U448" s="4"/>
      <c r="V448" s="4"/>
      <c r="W448" s="4"/>
      <c r="X448" s="4"/>
      <c r="Y448" s="4"/>
      <c r="Z448" s="4"/>
      <c r="AA448" s="4"/>
    </row>
    <row r="449" spans="1:27" ht="16">
      <c r="A449" s="1"/>
      <c r="B449" s="2"/>
      <c r="C449" s="6"/>
      <c r="D449" s="2"/>
      <c r="E449" s="2"/>
      <c r="F449" s="2"/>
      <c r="G449" s="2"/>
      <c r="H449" s="1"/>
      <c r="I449" s="4"/>
      <c r="J449" s="4"/>
      <c r="K449" s="4"/>
      <c r="L449" s="4"/>
      <c r="M449" s="4"/>
      <c r="N449" s="4"/>
      <c r="O449" s="4"/>
      <c r="P449" s="4"/>
      <c r="Q449" s="4"/>
      <c r="R449" s="4"/>
      <c r="S449" s="4"/>
      <c r="T449" s="4"/>
      <c r="U449" s="4"/>
      <c r="V449" s="4"/>
      <c r="W449" s="4"/>
      <c r="X449" s="4"/>
      <c r="Y449" s="4"/>
      <c r="Z449" s="4"/>
      <c r="AA449" s="4"/>
    </row>
    <row r="450" spans="1:27" ht="16">
      <c r="A450" s="1"/>
      <c r="B450" s="2"/>
      <c r="C450" s="6"/>
      <c r="D450" s="2"/>
      <c r="E450" s="2"/>
      <c r="F450" s="2"/>
      <c r="G450" s="2"/>
      <c r="H450" s="1"/>
      <c r="I450" s="4"/>
      <c r="J450" s="4"/>
      <c r="K450" s="4"/>
      <c r="L450" s="4"/>
      <c r="M450" s="4"/>
      <c r="N450" s="4"/>
      <c r="O450" s="4"/>
      <c r="P450" s="4"/>
      <c r="Q450" s="4"/>
      <c r="R450" s="4"/>
      <c r="S450" s="4"/>
      <c r="T450" s="4"/>
      <c r="U450" s="4"/>
      <c r="V450" s="4"/>
      <c r="W450" s="4"/>
      <c r="X450" s="4"/>
      <c r="Y450" s="4"/>
      <c r="Z450" s="4"/>
      <c r="AA450" s="4"/>
    </row>
    <row r="451" spans="1:27" ht="16">
      <c r="A451" s="1"/>
      <c r="B451" s="2"/>
      <c r="C451" s="6"/>
      <c r="D451" s="2"/>
      <c r="E451" s="2"/>
      <c r="F451" s="2"/>
      <c r="G451" s="2"/>
      <c r="H451" s="1"/>
      <c r="I451" s="4"/>
      <c r="J451" s="4"/>
      <c r="K451" s="4"/>
      <c r="L451" s="4"/>
      <c r="M451" s="4"/>
      <c r="N451" s="4"/>
      <c r="O451" s="4"/>
      <c r="P451" s="4"/>
      <c r="Q451" s="4"/>
      <c r="R451" s="4"/>
      <c r="S451" s="4"/>
      <c r="T451" s="4"/>
      <c r="U451" s="4"/>
      <c r="V451" s="4"/>
      <c r="W451" s="4"/>
      <c r="X451" s="4"/>
      <c r="Y451" s="4"/>
      <c r="Z451" s="4"/>
      <c r="AA451" s="4"/>
    </row>
    <row r="452" spans="1:27" ht="16">
      <c r="A452" s="1"/>
      <c r="B452" s="2"/>
      <c r="C452" s="6"/>
      <c r="D452" s="2"/>
      <c r="E452" s="2"/>
      <c r="F452" s="2"/>
      <c r="G452" s="2"/>
      <c r="H452" s="1"/>
      <c r="I452" s="4"/>
      <c r="J452" s="4"/>
      <c r="K452" s="4"/>
      <c r="L452" s="4"/>
      <c r="M452" s="4"/>
      <c r="N452" s="4"/>
      <c r="O452" s="4"/>
      <c r="P452" s="4"/>
      <c r="Q452" s="4"/>
      <c r="R452" s="4"/>
      <c r="S452" s="4"/>
      <c r="T452" s="4"/>
      <c r="U452" s="4"/>
      <c r="V452" s="4"/>
      <c r="W452" s="4"/>
      <c r="X452" s="4"/>
      <c r="Y452" s="4"/>
      <c r="Z452" s="4"/>
      <c r="AA452" s="4"/>
    </row>
    <row r="453" spans="1:27" ht="16">
      <c r="A453" s="1"/>
      <c r="B453" s="2"/>
      <c r="C453" s="6"/>
      <c r="D453" s="2"/>
      <c r="E453" s="2"/>
      <c r="F453" s="2"/>
      <c r="G453" s="2"/>
      <c r="H453" s="1"/>
      <c r="I453" s="4"/>
      <c r="J453" s="4"/>
      <c r="K453" s="4"/>
      <c r="L453" s="4"/>
      <c r="M453" s="4"/>
      <c r="N453" s="4"/>
      <c r="O453" s="4"/>
      <c r="P453" s="4"/>
      <c r="Q453" s="4"/>
      <c r="R453" s="4"/>
      <c r="S453" s="4"/>
      <c r="T453" s="4"/>
      <c r="U453" s="4"/>
      <c r="V453" s="4"/>
      <c r="W453" s="4"/>
      <c r="X453" s="4"/>
      <c r="Y453" s="4"/>
      <c r="Z453" s="4"/>
      <c r="AA453" s="4"/>
    </row>
    <row r="454" spans="1:27" ht="16">
      <c r="A454" s="1"/>
      <c r="B454" s="2"/>
      <c r="C454" s="6"/>
      <c r="D454" s="2"/>
      <c r="E454" s="2"/>
      <c r="F454" s="2"/>
      <c r="G454" s="2"/>
      <c r="H454" s="1"/>
      <c r="I454" s="4"/>
      <c r="J454" s="4"/>
      <c r="K454" s="4"/>
      <c r="L454" s="4"/>
      <c r="M454" s="4"/>
      <c r="N454" s="4"/>
      <c r="O454" s="4"/>
      <c r="P454" s="4"/>
      <c r="Q454" s="4"/>
      <c r="R454" s="4"/>
      <c r="S454" s="4"/>
      <c r="T454" s="4"/>
      <c r="U454" s="4"/>
      <c r="V454" s="4"/>
      <c r="W454" s="4"/>
      <c r="X454" s="4"/>
      <c r="Y454" s="4"/>
      <c r="Z454" s="4"/>
      <c r="AA454" s="4"/>
    </row>
    <row r="455" spans="1:27" ht="16">
      <c r="A455" s="1"/>
      <c r="B455" s="2"/>
      <c r="C455" s="6"/>
      <c r="D455" s="2"/>
      <c r="E455" s="2"/>
      <c r="F455" s="2"/>
      <c r="G455" s="2"/>
      <c r="H455" s="1"/>
      <c r="I455" s="4"/>
      <c r="J455" s="4"/>
      <c r="K455" s="4"/>
      <c r="L455" s="4"/>
      <c r="M455" s="4"/>
      <c r="N455" s="4"/>
      <c r="O455" s="4"/>
      <c r="P455" s="4"/>
      <c r="Q455" s="4"/>
      <c r="R455" s="4"/>
      <c r="S455" s="4"/>
      <c r="T455" s="4"/>
      <c r="U455" s="4"/>
      <c r="V455" s="4"/>
      <c r="W455" s="4"/>
      <c r="X455" s="4"/>
      <c r="Y455" s="4"/>
      <c r="Z455" s="4"/>
      <c r="AA455" s="4"/>
    </row>
    <row r="456" spans="1:27" ht="16">
      <c r="A456" s="1"/>
      <c r="B456" s="2"/>
      <c r="C456" s="6"/>
      <c r="D456" s="2"/>
      <c r="E456" s="2"/>
      <c r="F456" s="2"/>
      <c r="G456" s="2"/>
      <c r="H456" s="1"/>
      <c r="I456" s="4"/>
      <c r="J456" s="4"/>
      <c r="K456" s="4"/>
      <c r="L456" s="4"/>
      <c r="M456" s="4"/>
      <c r="N456" s="4"/>
      <c r="O456" s="4"/>
      <c r="P456" s="4"/>
      <c r="Q456" s="4"/>
      <c r="R456" s="4"/>
      <c r="S456" s="4"/>
      <c r="T456" s="4"/>
      <c r="U456" s="4"/>
      <c r="V456" s="4"/>
      <c r="W456" s="4"/>
      <c r="X456" s="4"/>
      <c r="Y456" s="4"/>
      <c r="Z456" s="4"/>
      <c r="AA456" s="4"/>
    </row>
    <row r="457" spans="1:27" ht="16">
      <c r="A457" s="1"/>
      <c r="B457" s="2"/>
      <c r="C457" s="6"/>
      <c r="D457" s="2"/>
      <c r="E457" s="2"/>
      <c r="F457" s="2"/>
      <c r="G457" s="2"/>
      <c r="H457" s="1"/>
      <c r="I457" s="4"/>
      <c r="J457" s="4"/>
      <c r="K457" s="4"/>
      <c r="L457" s="4"/>
      <c r="M457" s="4"/>
      <c r="N457" s="4"/>
      <c r="O457" s="4"/>
      <c r="P457" s="4"/>
      <c r="Q457" s="4"/>
      <c r="R457" s="4"/>
      <c r="S457" s="4"/>
      <c r="T457" s="4"/>
      <c r="U457" s="4"/>
      <c r="V457" s="4"/>
      <c r="W457" s="4"/>
      <c r="X457" s="4"/>
      <c r="Y457" s="4"/>
      <c r="Z457" s="4"/>
      <c r="AA457" s="4"/>
    </row>
    <row r="458" spans="1:27" ht="16">
      <c r="A458" s="1"/>
      <c r="B458" s="2"/>
      <c r="C458" s="6"/>
      <c r="D458" s="2"/>
      <c r="E458" s="2"/>
      <c r="F458" s="2"/>
      <c r="G458" s="2"/>
      <c r="H458" s="1"/>
      <c r="I458" s="4"/>
      <c r="J458" s="4"/>
      <c r="K458" s="4"/>
      <c r="L458" s="4"/>
      <c r="M458" s="4"/>
      <c r="N458" s="4"/>
      <c r="O458" s="4"/>
      <c r="P458" s="4"/>
      <c r="Q458" s="4"/>
      <c r="R458" s="4"/>
      <c r="S458" s="4"/>
      <c r="T458" s="4"/>
      <c r="U458" s="4"/>
      <c r="V458" s="4"/>
      <c r="W458" s="4"/>
      <c r="X458" s="4"/>
      <c r="Y458" s="4"/>
      <c r="Z458" s="4"/>
      <c r="AA458" s="4"/>
    </row>
    <row r="459" spans="1:27" ht="16">
      <c r="A459" s="1"/>
      <c r="B459" s="2"/>
      <c r="C459" s="6"/>
      <c r="D459" s="2"/>
      <c r="E459" s="2"/>
      <c r="F459" s="2"/>
      <c r="G459" s="2"/>
      <c r="H459" s="1"/>
      <c r="I459" s="4"/>
      <c r="J459" s="4"/>
      <c r="K459" s="4"/>
      <c r="L459" s="4"/>
      <c r="M459" s="4"/>
      <c r="N459" s="4"/>
      <c r="O459" s="4"/>
      <c r="P459" s="4"/>
      <c r="Q459" s="4"/>
      <c r="R459" s="4"/>
      <c r="S459" s="4"/>
      <c r="T459" s="4"/>
      <c r="U459" s="4"/>
      <c r="V459" s="4"/>
      <c r="W459" s="4"/>
      <c r="X459" s="4"/>
      <c r="Y459" s="4"/>
      <c r="Z459" s="4"/>
      <c r="AA459" s="4"/>
    </row>
    <row r="460" spans="1:27" ht="16">
      <c r="A460" s="1"/>
      <c r="B460" s="2"/>
      <c r="C460" s="6"/>
      <c r="D460" s="2"/>
      <c r="E460" s="2"/>
      <c r="F460" s="2"/>
      <c r="G460" s="2"/>
      <c r="H460" s="1"/>
      <c r="I460" s="4"/>
      <c r="J460" s="4"/>
      <c r="K460" s="4"/>
      <c r="L460" s="4"/>
      <c r="M460" s="4"/>
      <c r="N460" s="4"/>
      <c r="O460" s="4"/>
      <c r="P460" s="4"/>
      <c r="Q460" s="4"/>
      <c r="R460" s="4"/>
      <c r="S460" s="4"/>
      <c r="T460" s="4"/>
      <c r="U460" s="4"/>
      <c r="V460" s="4"/>
      <c r="W460" s="4"/>
      <c r="X460" s="4"/>
      <c r="Y460" s="4"/>
      <c r="Z460" s="4"/>
      <c r="AA460" s="4"/>
    </row>
    <row r="461" spans="1:27" ht="16">
      <c r="A461" s="1"/>
      <c r="B461" s="2"/>
      <c r="C461" s="6"/>
      <c r="D461" s="2"/>
      <c r="E461" s="2"/>
      <c r="F461" s="2"/>
      <c r="G461" s="2"/>
      <c r="H461" s="1"/>
      <c r="I461" s="4"/>
      <c r="J461" s="4"/>
      <c r="K461" s="4"/>
      <c r="L461" s="4"/>
      <c r="M461" s="4"/>
      <c r="N461" s="4"/>
      <c r="O461" s="4"/>
      <c r="P461" s="4"/>
      <c r="Q461" s="4"/>
      <c r="R461" s="4"/>
      <c r="S461" s="4"/>
      <c r="T461" s="4"/>
      <c r="U461" s="4"/>
      <c r="V461" s="4"/>
      <c r="W461" s="4"/>
      <c r="X461" s="4"/>
      <c r="Y461" s="4"/>
      <c r="Z461" s="4"/>
      <c r="AA461" s="4"/>
    </row>
    <row r="462" spans="1:27" ht="16">
      <c r="A462" s="1"/>
      <c r="B462" s="2"/>
      <c r="C462" s="6"/>
      <c r="D462" s="2"/>
      <c r="E462" s="2"/>
      <c r="F462" s="2"/>
      <c r="G462" s="2"/>
      <c r="H462" s="1"/>
      <c r="I462" s="4"/>
      <c r="J462" s="4"/>
      <c r="K462" s="4"/>
      <c r="L462" s="4"/>
      <c r="M462" s="4"/>
      <c r="N462" s="4"/>
      <c r="O462" s="4"/>
      <c r="P462" s="4"/>
      <c r="Q462" s="4"/>
      <c r="R462" s="4"/>
      <c r="S462" s="4"/>
      <c r="T462" s="4"/>
      <c r="U462" s="4"/>
      <c r="V462" s="4"/>
      <c r="W462" s="4"/>
      <c r="X462" s="4"/>
      <c r="Y462" s="4"/>
      <c r="Z462" s="4"/>
      <c r="AA462" s="4"/>
    </row>
    <row r="463" spans="1:27" ht="16">
      <c r="A463" s="1"/>
      <c r="B463" s="2"/>
      <c r="C463" s="6"/>
      <c r="D463" s="2"/>
      <c r="E463" s="2"/>
      <c r="F463" s="2"/>
      <c r="G463" s="2"/>
      <c r="H463" s="1"/>
      <c r="I463" s="4"/>
      <c r="J463" s="4"/>
      <c r="K463" s="4"/>
      <c r="L463" s="4"/>
      <c r="M463" s="4"/>
      <c r="N463" s="4"/>
      <c r="O463" s="4"/>
      <c r="P463" s="4"/>
      <c r="Q463" s="4"/>
      <c r="R463" s="4"/>
      <c r="S463" s="4"/>
      <c r="T463" s="4"/>
      <c r="U463" s="4"/>
      <c r="V463" s="4"/>
      <c r="W463" s="4"/>
      <c r="X463" s="4"/>
      <c r="Y463" s="4"/>
      <c r="Z463" s="4"/>
      <c r="AA463" s="4"/>
    </row>
    <row r="464" spans="1:27" ht="16">
      <c r="A464" s="1"/>
      <c r="B464" s="2"/>
      <c r="C464" s="6"/>
      <c r="D464" s="2"/>
      <c r="E464" s="2"/>
      <c r="F464" s="2"/>
      <c r="G464" s="2"/>
      <c r="H464" s="1"/>
      <c r="I464" s="4"/>
      <c r="J464" s="4"/>
      <c r="K464" s="4"/>
      <c r="L464" s="4"/>
      <c r="M464" s="4"/>
      <c r="N464" s="4"/>
      <c r="O464" s="4"/>
      <c r="P464" s="4"/>
      <c r="Q464" s="4"/>
      <c r="R464" s="4"/>
      <c r="S464" s="4"/>
      <c r="T464" s="4"/>
      <c r="U464" s="4"/>
      <c r="V464" s="4"/>
      <c r="W464" s="4"/>
      <c r="X464" s="4"/>
      <c r="Y464" s="4"/>
      <c r="Z464" s="4"/>
      <c r="AA464" s="4"/>
    </row>
    <row r="465" spans="1:27" ht="16">
      <c r="A465" s="1"/>
      <c r="B465" s="2"/>
      <c r="C465" s="6"/>
      <c r="D465" s="2"/>
      <c r="E465" s="2"/>
      <c r="F465" s="2"/>
      <c r="G465" s="2"/>
      <c r="H465" s="1"/>
      <c r="I465" s="4"/>
      <c r="J465" s="4"/>
      <c r="K465" s="4"/>
      <c r="L465" s="4"/>
      <c r="M465" s="4"/>
      <c r="N465" s="4"/>
      <c r="O465" s="4"/>
      <c r="P465" s="4"/>
      <c r="Q465" s="4"/>
      <c r="R465" s="4"/>
      <c r="S465" s="4"/>
      <c r="T465" s="4"/>
      <c r="U465" s="4"/>
      <c r="V465" s="4"/>
      <c r="W465" s="4"/>
      <c r="X465" s="4"/>
      <c r="Y465" s="4"/>
      <c r="Z465" s="4"/>
      <c r="AA465" s="4"/>
    </row>
    <row r="466" spans="1:27" ht="16">
      <c r="A466" s="1"/>
      <c r="B466" s="2"/>
      <c r="C466" s="6"/>
      <c r="D466" s="2"/>
      <c r="E466" s="2"/>
      <c r="F466" s="2"/>
      <c r="G466" s="2"/>
      <c r="H466" s="1"/>
      <c r="I466" s="4"/>
      <c r="J466" s="4"/>
      <c r="K466" s="4"/>
      <c r="L466" s="4"/>
      <c r="M466" s="4"/>
      <c r="N466" s="4"/>
      <c r="O466" s="4"/>
      <c r="P466" s="4"/>
      <c r="Q466" s="4"/>
      <c r="R466" s="4"/>
      <c r="S466" s="4"/>
      <c r="T466" s="4"/>
      <c r="U466" s="4"/>
      <c r="V466" s="4"/>
      <c r="W466" s="4"/>
      <c r="X466" s="4"/>
      <c r="Y466" s="4"/>
      <c r="Z466" s="4"/>
      <c r="AA466" s="4"/>
    </row>
    <row r="467" spans="1:27" ht="16">
      <c r="A467" s="1"/>
      <c r="B467" s="2"/>
      <c r="C467" s="6"/>
      <c r="D467" s="2"/>
      <c r="E467" s="2"/>
      <c r="F467" s="2"/>
      <c r="G467" s="2"/>
      <c r="H467" s="1"/>
      <c r="I467" s="4"/>
      <c r="J467" s="4"/>
      <c r="K467" s="4"/>
      <c r="L467" s="4"/>
      <c r="M467" s="4"/>
      <c r="N467" s="4"/>
      <c r="O467" s="4"/>
      <c r="P467" s="4"/>
      <c r="Q467" s="4"/>
      <c r="R467" s="4"/>
      <c r="S467" s="4"/>
      <c r="T467" s="4"/>
      <c r="U467" s="4"/>
      <c r="V467" s="4"/>
      <c r="W467" s="4"/>
      <c r="X467" s="4"/>
      <c r="Y467" s="4"/>
      <c r="Z467" s="4"/>
      <c r="AA467" s="4"/>
    </row>
    <row r="468" spans="1:27" ht="16">
      <c r="A468" s="1"/>
      <c r="B468" s="2"/>
      <c r="C468" s="6"/>
      <c r="D468" s="2"/>
      <c r="E468" s="2"/>
      <c r="F468" s="2"/>
      <c r="G468" s="2"/>
      <c r="H468" s="1"/>
      <c r="I468" s="4"/>
      <c r="J468" s="4"/>
      <c r="K468" s="4"/>
      <c r="L468" s="4"/>
      <c r="M468" s="4"/>
      <c r="N468" s="4"/>
      <c r="O468" s="4"/>
      <c r="P468" s="4"/>
      <c r="Q468" s="4"/>
      <c r="R468" s="4"/>
      <c r="S468" s="4"/>
      <c r="T468" s="4"/>
      <c r="U468" s="4"/>
      <c r="V468" s="4"/>
      <c r="W468" s="4"/>
      <c r="X468" s="4"/>
      <c r="Y468" s="4"/>
      <c r="Z468" s="4"/>
      <c r="AA468" s="4"/>
    </row>
    <row r="469" spans="1:27" ht="16">
      <c r="A469" s="1"/>
      <c r="B469" s="2"/>
      <c r="C469" s="6"/>
      <c r="D469" s="2"/>
      <c r="E469" s="2"/>
      <c r="F469" s="2"/>
      <c r="G469" s="2"/>
      <c r="H469" s="1"/>
      <c r="I469" s="4"/>
      <c r="J469" s="4"/>
      <c r="K469" s="4"/>
      <c r="L469" s="4"/>
      <c r="M469" s="4"/>
      <c r="N469" s="4"/>
      <c r="O469" s="4"/>
      <c r="P469" s="4"/>
      <c r="Q469" s="4"/>
      <c r="R469" s="4"/>
      <c r="S469" s="4"/>
      <c r="T469" s="4"/>
      <c r="U469" s="4"/>
      <c r="V469" s="4"/>
      <c r="W469" s="4"/>
      <c r="X469" s="4"/>
      <c r="Y469" s="4"/>
      <c r="Z469" s="4"/>
      <c r="AA469" s="4"/>
    </row>
    <row r="470" spans="1:27" ht="16">
      <c r="A470" s="1"/>
      <c r="B470" s="2"/>
      <c r="C470" s="6"/>
      <c r="D470" s="2"/>
      <c r="E470" s="2"/>
      <c r="F470" s="2"/>
      <c r="G470" s="2"/>
      <c r="H470" s="1"/>
      <c r="I470" s="4"/>
      <c r="J470" s="4"/>
      <c r="K470" s="4"/>
      <c r="L470" s="4"/>
      <c r="M470" s="4"/>
      <c r="N470" s="4"/>
      <c r="O470" s="4"/>
      <c r="P470" s="4"/>
      <c r="Q470" s="4"/>
      <c r="R470" s="4"/>
      <c r="S470" s="4"/>
      <c r="T470" s="4"/>
      <c r="U470" s="4"/>
      <c r="V470" s="4"/>
      <c r="W470" s="4"/>
      <c r="X470" s="4"/>
      <c r="Y470" s="4"/>
      <c r="Z470" s="4"/>
      <c r="AA470" s="4"/>
    </row>
    <row r="471" spans="1:27" ht="16">
      <c r="A471" s="1"/>
      <c r="B471" s="2"/>
      <c r="C471" s="6"/>
      <c r="D471" s="2"/>
      <c r="E471" s="2"/>
      <c r="F471" s="2"/>
      <c r="G471" s="2"/>
      <c r="H471" s="1"/>
      <c r="I471" s="4"/>
      <c r="J471" s="4"/>
      <c r="K471" s="4"/>
      <c r="L471" s="4"/>
      <c r="M471" s="4"/>
      <c r="N471" s="4"/>
      <c r="O471" s="4"/>
      <c r="P471" s="4"/>
      <c r="Q471" s="4"/>
      <c r="R471" s="4"/>
      <c r="S471" s="4"/>
      <c r="T471" s="4"/>
      <c r="U471" s="4"/>
      <c r="V471" s="4"/>
      <c r="W471" s="4"/>
      <c r="X471" s="4"/>
      <c r="Y471" s="4"/>
      <c r="Z471" s="4"/>
      <c r="AA471" s="4"/>
    </row>
    <row r="472" spans="1:27" ht="16">
      <c r="A472" s="1"/>
      <c r="B472" s="2"/>
      <c r="C472" s="6"/>
      <c r="D472" s="2"/>
      <c r="E472" s="2"/>
      <c r="F472" s="2"/>
      <c r="G472" s="2"/>
      <c r="H472" s="1"/>
      <c r="I472" s="4"/>
      <c r="J472" s="4"/>
      <c r="K472" s="4"/>
      <c r="L472" s="4"/>
      <c r="M472" s="4"/>
      <c r="N472" s="4"/>
      <c r="O472" s="4"/>
      <c r="P472" s="4"/>
      <c r="Q472" s="4"/>
      <c r="R472" s="4"/>
      <c r="S472" s="4"/>
      <c r="T472" s="4"/>
      <c r="U472" s="4"/>
      <c r="V472" s="4"/>
      <c r="W472" s="4"/>
      <c r="X472" s="4"/>
      <c r="Y472" s="4"/>
      <c r="Z472" s="4"/>
      <c r="AA472" s="4"/>
    </row>
    <row r="473" spans="1:27" ht="16">
      <c r="A473" s="1"/>
      <c r="B473" s="2"/>
      <c r="C473" s="6"/>
      <c r="D473" s="2"/>
      <c r="E473" s="2"/>
      <c r="F473" s="2"/>
      <c r="G473" s="2"/>
      <c r="H473" s="1"/>
      <c r="I473" s="4"/>
      <c r="J473" s="4"/>
      <c r="K473" s="4"/>
      <c r="L473" s="4"/>
      <c r="M473" s="4"/>
      <c r="N473" s="4"/>
      <c r="O473" s="4"/>
      <c r="P473" s="4"/>
      <c r="Q473" s="4"/>
      <c r="R473" s="4"/>
      <c r="S473" s="4"/>
      <c r="T473" s="4"/>
      <c r="U473" s="4"/>
      <c r="V473" s="4"/>
      <c r="W473" s="4"/>
      <c r="X473" s="4"/>
      <c r="Y473" s="4"/>
      <c r="Z473" s="4"/>
      <c r="AA473" s="4"/>
    </row>
    <row r="474" spans="1:27" ht="16">
      <c r="A474" s="1"/>
      <c r="B474" s="2"/>
      <c r="C474" s="6"/>
      <c r="D474" s="2"/>
      <c r="E474" s="2"/>
      <c r="F474" s="2"/>
      <c r="G474" s="2"/>
      <c r="H474" s="1"/>
      <c r="I474" s="4"/>
      <c r="J474" s="4"/>
      <c r="K474" s="4"/>
      <c r="L474" s="4"/>
      <c r="M474" s="4"/>
      <c r="N474" s="4"/>
      <c r="O474" s="4"/>
      <c r="P474" s="4"/>
      <c r="Q474" s="4"/>
      <c r="R474" s="4"/>
      <c r="S474" s="4"/>
      <c r="T474" s="4"/>
      <c r="U474" s="4"/>
      <c r="V474" s="4"/>
      <c r="W474" s="4"/>
      <c r="X474" s="4"/>
      <c r="Y474" s="4"/>
      <c r="Z474" s="4"/>
      <c r="AA474" s="4"/>
    </row>
    <row r="475" spans="1:27" ht="16">
      <c r="A475" s="1"/>
      <c r="B475" s="2"/>
      <c r="C475" s="6"/>
      <c r="D475" s="2"/>
      <c r="E475" s="2"/>
      <c r="F475" s="2"/>
      <c r="G475" s="2"/>
      <c r="H475" s="1"/>
      <c r="I475" s="4"/>
      <c r="J475" s="4"/>
      <c r="K475" s="4"/>
      <c r="L475" s="4"/>
      <c r="M475" s="4"/>
      <c r="N475" s="4"/>
      <c r="O475" s="4"/>
      <c r="P475" s="4"/>
      <c r="Q475" s="4"/>
      <c r="R475" s="4"/>
      <c r="S475" s="4"/>
      <c r="T475" s="4"/>
      <c r="U475" s="4"/>
      <c r="V475" s="4"/>
      <c r="W475" s="4"/>
      <c r="X475" s="4"/>
      <c r="Y475" s="4"/>
      <c r="Z475" s="4"/>
      <c r="AA475" s="4"/>
    </row>
    <row r="476" spans="1:27" ht="16">
      <c r="A476" s="1"/>
      <c r="B476" s="2"/>
      <c r="C476" s="6"/>
      <c r="D476" s="2"/>
      <c r="E476" s="2"/>
      <c r="F476" s="2"/>
      <c r="G476" s="2"/>
      <c r="H476" s="1"/>
      <c r="I476" s="4"/>
      <c r="J476" s="4"/>
      <c r="K476" s="4"/>
      <c r="L476" s="4"/>
      <c r="M476" s="4"/>
      <c r="N476" s="4"/>
      <c r="O476" s="4"/>
      <c r="P476" s="4"/>
      <c r="Q476" s="4"/>
      <c r="R476" s="4"/>
      <c r="S476" s="4"/>
      <c r="T476" s="4"/>
      <c r="U476" s="4"/>
      <c r="V476" s="4"/>
      <c r="W476" s="4"/>
      <c r="X476" s="4"/>
      <c r="Y476" s="4"/>
      <c r="Z476" s="4"/>
      <c r="AA476" s="4"/>
    </row>
    <row r="477" spans="1:27" ht="16">
      <c r="A477" s="1"/>
      <c r="B477" s="2"/>
      <c r="C477" s="6"/>
      <c r="D477" s="2"/>
      <c r="E477" s="2"/>
      <c r="F477" s="2"/>
      <c r="G477" s="2"/>
      <c r="H477" s="1"/>
      <c r="I477" s="4"/>
      <c r="J477" s="4"/>
      <c r="K477" s="4"/>
      <c r="L477" s="4"/>
      <c r="M477" s="4"/>
      <c r="N477" s="4"/>
      <c r="O477" s="4"/>
      <c r="P477" s="4"/>
      <c r="Q477" s="4"/>
      <c r="R477" s="4"/>
      <c r="S477" s="4"/>
      <c r="T477" s="4"/>
      <c r="U477" s="4"/>
      <c r="V477" s="4"/>
      <c r="W477" s="4"/>
      <c r="X477" s="4"/>
      <c r="Y477" s="4"/>
      <c r="Z477" s="4"/>
      <c r="AA477" s="4"/>
    </row>
    <row r="478" spans="1:27" ht="16">
      <c r="A478" s="1"/>
      <c r="B478" s="2"/>
      <c r="C478" s="6"/>
      <c r="D478" s="2"/>
      <c r="E478" s="2"/>
      <c r="F478" s="2"/>
      <c r="G478" s="2"/>
      <c r="H478" s="1"/>
      <c r="I478" s="4"/>
      <c r="J478" s="4"/>
      <c r="K478" s="4"/>
      <c r="L478" s="4"/>
      <c r="M478" s="4"/>
      <c r="N478" s="4"/>
      <c r="O478" s="4"/>
      <c r="P478" s="4"/>
      <c r="Q478" s="4"/>
      <c r="R478" s="4"/>
      <c r="S478" s="4"/>
      <c r="T478" s="4"/>
      <c r="U478" s="4"/>
      <c r="V478" s="4"/>
      <c r="W478" s="4"/>
      <c r="X478" s="4"/>
      <c r="Y478" s="4"/>
      <c r="Z478" s="4"/>
      <c r="AA478" s="4"/>
    </row>
    <row r="479" spans="1:27" ht="16">
      <c r="A479" s="1"/>
      <c r="B479" s="2"/>
      <c r="C479" s="6"/>
      <c r="D479" s="2"/>
      <c r="E479" s="2"/>
      <c r="F479" s="2"/>
      <c r="G479" s="2"/>
      <c r="H479" s="1"/>
      <c r="I479" s="4"/>
      <c r="J479" s="4"/>
      <c r="K479" s="4"/>
      <c r="L479" s="4"/>
      <c r="M479" s="4"/>
      <c r="N479" s="4"/>
      <c r="O479" s="4"/>
      <c r="P479" s="4"/>
      <c r="Q479" s="4"/>
      <c r="R479" s="4"/>
      <c r="S479" s="4"/>
      <c r="T479" s="4"/>
      <c r="U479" s="4"/>
      <c r="V479" s="4"/>
      <c r="W479" s="4"/>
      <c r="X479" s="4"/>
      <c r="Y479" s="4"/>
      <c r="Z479" s="4"/>
      <c r="AA479" s="4"/>
    </row>
    <row r="480" spans="1:27" ht="16">
      <c r="A480" s="1"/>
      <c r="B480" s="2"/>
      <c r="C480" s="6"/>
      <c r="D480" s="2"/>
      <c r="E480" s="2"/>
      <c r="F480" s="2"/>
      <c r="G480" s="2"/>
      <c r="H480" s="1"/>
      <c r="I480" s="4"/>
      <c r="J480" s="4"/>
      <c r="K480" s="4"/>
      <c r="L480" s="4"/>
      <c r="M480" s="4"/>
      <c r="N480" s="4"/>
      <c r="O480" s="4"/>
      <c r="P480" s="4"/>
      <c r="Q480" s="4"/>
      <c r="R480" s="4"/>
      <c r="S480" s="4"/>
      <c r="T480" s="4"/>
      <c r="U480" s="4"/>
      <c r="V480" s="4"/>
      <c r="W480" s="4"/>
      <c r="X480" s="4"/>
      <c r="Y480" s="4"/>
      <c r="Z480" s="4"/>
      <c r="AA480" s="4"/>
    </row>
    <row r="481" spans="1:27" ht="16">
      <c r="A481" s="1"/>
      <c r="B481" s="2"/>
      <c r="C481" s="6"/>
      <c r="D481" s="2"/>
      <c r="E481" s="2"/>
      <c r="F481" s="2"/>
      <c r="G481" s="2"/>
      <c r="H481" s="1"/>
      <c r="I481" s="4"/>
      <c r="J481" s="4"/>
      <c r="K481" s="4"/>
      <c r="L481" s="4"/>
      <c r="M481" s="4"/>
      <c r="N481" s="4"/>
      <c r="O481" s="4"/>
      <c r="P481" s="4"/>
      <c r="Q481" s="4"/>
      <c r="R481" s="4"/>
      <c r="S481" s="4"/>
      <c r="T481" s="4"/>
      <c r="U481" s="4"/>
      <c r="V481" s="4"/>
      <c r="W481" s="4"/>
      <c r="X481" s="4"/>
      <c r="Y481" s="4"/>
      <c r="Z481" s="4"/>
      <c r="AA481" s="4"/>
    </row>
    <row r="482" spans="1:27" ht="16">
      <c r="A482" s="1"/>
      <c r="B482" s="2"/>
      <c r="C482" s="6"/>
      <c r="D482" s="2"/>
      <c r="E482" s="2"/>
      <c r="F482" s="2"/>
      <c r="G482" s="2"/>
      <c r="H482" s="1"/>
      <c r="I482" s="4"/>
      <c r="J482" s="4"/>
      <c r="K482" s="4"/>
      <c r="L482" s="4"/>
      <c r="M482" s="4"/>
      <c r="N482" s="4"/>
      <c r="O482" s="4"/>
      <c r="P482" s="4"/>
      <c r="Q482" s="4"/>
      <c r="R482" s="4"/>
      <c r="S482" s="4"/>
      <c r="T482" s="4"/>
      <c r="U482" s="4"/>
      <c r="V482" s="4"/>
      <c r="W482" s="4"/>
      <c r="X482" s="4"/>
      <c r="Y482" s="4"/>
      <c r="Z482" s="4"/>
      <c r="AA482" s="4"/>
    </row>
    <row r="483" spans="1:27" ht="16">
      <c r="A483" s="1"/>
      <c r="B483" s="2"/>
      <c r="C483" s="6"/>
      <c r="D483" s="2"/>
      <c r="E483" s="2"/>
      <c r="F483" s="2"/>
      <c r="G483" s="2"/>
      <c r="H483" s="1"/>
      <c r="I483" s="4"/>
      <c r="J483" s="4"/>
      <c r="K483" s="4"/>
      <c r="L483" s="4"/>
      <c r="M483" s="4"/>
      <c r="N483" s="4"/>
      <c r="O483" s="4"/>
      <c r="P483" s="4"/>
      <c r="Q483" s="4"/>
      <c r="R483" s="4"/>
      <c r="S483" s="4"/>
      <c r="T483" s="4"/>
      <c r="U483" s="4"/>
      <c r="V483" s="4"/>
      <c r="W483" s="4"/>
      <c r="X483" s="4"/>
      <c r="Y483" s="4"/>
      <c r="Z483" s="4"/>
      <c r="AA483" s="4"/>
    </row>
    <row r="484" spans="1:27" ht="16">
      <c r="A484" s="1"/>
      <c r="B484" s="2"/>
      <c r="C484" s="6"/>
      <c r="D484" s="2"/>
      <c r="E484" s="2"/>
      <c r="F484" s="2"/>
      <c r="G484" s="2"/>
      <c r="H484" s="1"/>
      <c r="I484" s="4"/>
      <c r="J484" s="4"/>
      <c r="K484" s="4"/>
      <c r="L484" s="4"/>
      <c r="M484" s="4"/>
      <c r="N484" s="4"/>
      <c r="O484" s="4"/>
      <c r="P484" s="4"/>
      <c r="Q484" s="4"/>
      <c r="R484" s="4"/>
      <c r="S484" s="4"/>
      <c r="T484" s="4"/>
      <c r="U484" s="4"/>
      <c r="V484" s="4"/>
      <c r="W484" s="4"/>
      <c r="X484" s="4"/>
      <c r="Y484" s="4"/>
      <c r="Z484" s="4"/>
      <c r="AA484" s="4"/>
    </row>
    <row r="485" spans="1:27" ht="16">
      <c r="A485" s="1"/>
      <c r="B485" s="2"/>
      <c r="C485" s="6"/>
      <c r="D485" s="2"/>
      <c r="E485" s="2"/>
      <c r="F485" s="2"/>
      <c r="G485" s="2"/>
      <c r="H485" s="1"/>
      <c r="I485" s="4"/>
      <c r="J485" s="4"/>
      <c r="K485" s="4"/>
      <c r="L485" s="4"/>
      <c r="M485" s="4"/>
      <c r="N485" s="4"/>
      <c r="O485" s="4"/>
      <c r="P485" s="4"/>
      <c r="Q485" s="4"/>
      <c r="R485" s="4"/>
      <c r="S485" s="4"/>
      <c r="T485" s="4"/>
      <c r="U485" s="4"/>
      <c r="V485" s="4"/>
      <c r="W485" s="4"/>
      <c r="X485" s="4"/>
      <c r="Y485" s="4"/>
      <c r="Z485" s="4"/>
      <c r="AA485" s="4"/>
    </row>
    <row r="486" spans="1:27" ht="16">
      <c r="A486" s="1"/>
      <c r="B486" s="2"/>
      <c r="C486" s="6"/>
      <c r="D486" s="2"/>
      <c r="E486" s="2"/>
      <c r="F486" s="2"/>
      <c r="G486" s="2"/>
      <c r="H486" s="1"/>
      <c r="I486" s="4"/>
      <c r="J486" s="4"/>
      <c r="K486" s="4"/>
      <c r="L486" s="4"/>
      <c r="M486" s="4"/>
      <c r="N486" s="4"/>
      <c r="O486" s="4"/>
      <c r="P486" s="4"/>
      <c r="Q486" s="4"/>
      <c r="R486" s="4"/>
      <c r="S486" s="4"/>
      <c r="T486" s="4"/>
      <c r="U486" s="4"/>
      <c r="V486" s="4"/>
      <c r="W486" s="4"/>
      <c r="X486" s="4"/>
      <c r="Y486" s="4"/>
      <c r="Z486" s="4"/>
      <c r="AA486" s="4"/>
    </row>
    <row r="487" spans="1:27" ht="16">
      <c r="A487" s="1"/>
      <c r="B487" s="2"/>
      <c r="C487" s="6"/>
      <c r="D487" s="2"/>
      <c r="E487" s="2"/>
      <c r="F487" s="2"/>
      <c r="G487" s="2"/>
      <c r="H487" s="1"/>
      <c r="I487" s="4"/>
      <c r="J487" s="4"/>
      <c r="K487" s="4"/>
      <c r="L487" s="4"/>
      <c r="M487" s="4"/>
      <c r="N487" s="4"/>
      <c r="O487" s="4"/>
      <c r="P487" s="4"/>
      <c r="Q487" s="4"/>
      <c r="R487" s="4"/>
      <c r="S487" s="4"/>
      <c r="T487" s="4"/>
      <c r="U487" s="4"/>
      <c r="V487" s="4"/>
      <c r="W487" s="4"/>
      <c r="X487" s="4"/>
      <c r="Y487" s="4"/>
      <c r="Z487" s="4"/>
      <c r="AA487" s="4"/>
    </row>
    <row r="488" spans="1:27" ht="16">
      <c r="A488" s="1"/>
      <c r="B488" s="2"/>
      <c r="C488" s="6"/>
      <c r="D488" s="2"/>
      <c r="E488" s="2"/>
      <c r="F488" s="2"/>
      <c r="G488" s="2"/>
      <c r="H488" s="1"/>
      <c r="I488" s="4"/>
      <c r="J488" s="4"/>
      <c r="K488" s="4"/>
      <c r="L488" s="4"/>
      <c r="M488" s="4"/>
      <c r="N488" s="4"/>
      <c r="O488" s="4"/>
      <c r="P488" s="4"/>
      <c r="Q488" s="4"/>
      <c r="R488" s="4"/>
      <c r="S488" s="4"/>
      <c r="T488" s="4"/>
      <c r="U488" s="4"/>
      <c r="V488" s="4"/>
      <c r="W488" s="4"/>
      <c r="X488" s="4"/>
      <c r="Y488" s="4"/>
      <c r="Z488" s="4"/>
      <c r="AA488" s="4"/>
    </row>
    <row r="489" spans="1:27" ht="16">
      <c r="A489" s="1"/>
      <c r="B489" s="2"/>
      <c r="C489" s="6"/>
      <c r="D489" s="2"/>
      <c r="E489" s="2"/>
      <c r="F489" s="2"/>
      <c r="G489" s="2"/>
      <c r="H489" s="1"/>
      <c r="I489" s="4"/>
      <c r="J489" s="4"/>
      <c r="K489" s="4"/>
      <c r="L489" s="4"/>
      <c r="M489" s="4"/>
      <c r="N489" s="4"/>
      <c r="O489" s="4"/>
      <c r="P489" s="4"/>
      <c r="Q489" s="4"/>
      <c r="R489" s="4"/>
      <c r="S489" s="4"/>
      <c r="T489" s="4"/>
      <c r="U489" s="4"/>
      <c r="V489" s="4"/>
      <c r="W489" s="4"/>
      <c r="X489" s="4"/>
      <c r="Y489" s="4"/>
      <c r="Z489" s="4"/>
      <c r="AA489" s="4"/>
    </row>
    <row r="490" spans="1:27" ht="16">
      <c r="A490" s="1"/>
      <c r="B490" s="2"/>
      <c r="C490" s="6"/>
      <c r="D490" s="2"/>
      <c r="E490" s="2"/>
      <c r="F490" s="2"/>
      <c r="G490" s="2"/>
      <c r="H490" s="1"/>
      <c r="I490" s="4"/>
      <c r="J490" s="4"/>
      <c r="K490" s="4"/>
      <c r="L490" s="4"/>
      <c r="M490" s="4"/>
      <c r="N490" s="4"/>
      <c r="O490" s="4"/>
      <c r="P490" s="4"/>
      <c r="Q490" s="4"/>
      <c r="R490" s="4"/>
      <c r="S490" s="4"/>
      <c r="T490" s="4"/>
      <c r="U490" s="4"/>
      <c r="V490" s="4"/>
      <c r="W490" s="4"/>
      <c r="X490" s="4"/>
      <c r="Y490" s="4"/>
      <c r="Z490" s="4"/>
      <c r="AA490" s="4"/>
    </row>
    <row r="491" spans="1:27" ht="16">
      <c r="A491" s="1"/>
      <c r="B491" s="2"/>
      <c r="C491" s="6"/>
      <c r="D491" s="2"/>
      <c r="E491" s="2"/>
      <c r="F491" s="2"/>
      <c r="G491" s="2"/>
      <c r="H491" s="1"/>
      <c r="I491" s="4"/>
      <c r="J491" s="4"/>
      <c r="K491" s="4"/>
      <c r="L491" s="4"/>
      <c r="M491" s="4"/>
      <c r="N491" s="4"/>
      <c r="O491" s="4"/>
      <c r="P491" s="4"/>
      <c r="Q491" s="4"/>
      <c r="R491" s="4"/>
      <c r="S491" s="4"/>
      <c r="T491" s="4"/>
      <c r="U491" s="4"/>
      <c r="V491" s="4"/>
      <c r="W491" s="4"/>
      <c r="X491" s="4"/>
      <c r="Y491" s="4"/>
      <c r="Z491" s="4"/>
      <c r="AA491" s="4"/>
    </row>
    <row r="492" spans="1:27" ht="16">
      <c r="A492" s="1"/>
      <c r="B492" s="2"/>
      <c r="C492" s="6"/>
      <c r="D492" s="2"/>
      <c r="E492" s="2"/>
      <c r="F492" s="2"/>
      <c r="G492" s="2"/>
      <c r="H492" s="1"/>
      <c r="I492" s="4"/>
      <c r="J492" s="4"/>
      <c r="K492" s="4"/>
      <c r="L492" s="4"/>
      <c r="M492" s="4"/>
      <c r="N492" s="4"/>
      <c r="O492" s="4"/>
      <c r="P492" s="4"/>
      <c r="Q492" s="4"/>
      <c r="R492" s="4"/>
      <c r="S492" s="4"/>
      <c r="T492" s="4"/>
      <c r="U492" s="4"/>
      <c r="V492" s="4"/>
      <c r="W492" s="4"/>
      <c r="X492" s="4"/>
      <c r="Y492" s="4"/>
      <c r="Z492" s="4"/>
      <c r="AA492" s="4"/>
    </row>
    <row r="493" spans="1:27" ht="16">
      <c r="A493" s="1"/>
      <c r="B493" s="2"/>
      <c r="C493" s="6"/>
      <c r="D493" s="2"/>
      <c r="E493" s="2"/>
      <c r="F493" s="2"/>
      <c r="G493" s="2"/>
      <c r="H493" s="1"/>
      <c r="I493" s="4"/>
      <c r="J493" s="4"/>
      <c r="K493" s="4"/>
      <c r="L493" s="4"/>
      <c r="M493" s="4"/>
      <c r="N493" s="4"/>
      <c r="O493" s="4"/>
      <c r="P493" s="4"/>
      <c r="Q493" s="4"/>
      <c r="R493" s="4"/>
      <c r="S493" s="4"/>
      <c r="T493" s="4"/>
      <c r="U493" s="4"/>
      <c r="V493" s="4"/>
      <c r="W493" s="4"/>
      <c r="X493" s="4"/>
      <c r="Y493" s="4"/>
      <c r="Z493" s="4"/>
      <c r="AA493" s="4"/>
    </row>
    <row r="494" spans="1:27" ht="16">
      <c r="A494" s="1"/>
      <c r="B494" s="2"/>
      <c r="C494" s="6"/>
      <c r="D494" s="2"/>
      <c r="E494" s="2"/>
      <c r="F494" s="2"/>
      <c r="G494" s="2"/>
      <c r="H494" s="1"/>
      <c r="I494" s="4"/>
      <c r="J494" s="4"/>
      <c r="K494" s="4"/>
      <c r="L494" s="4"/>
      <c r="M494" s="4"/>
      <c r="N494" s="4"/>
      <c r="O494" s="4"/>
      <c r="P494" s="4"/>
      <c r="Q494" s="4"/>
      <c r="R494" s="4"/>
      <c r="S494" s="4"/>
      <c r="T494" s="4"/>
      <c r="U494" s="4"/>
      <c r="V494" s="4"/>
      <c r="W494" s="4"/>
      <c r="X494" s="4"/>
      <c r="Y494" s="4"/>
      <c r="Z494" s="4"/>
      <c r="AA494" s="4"/>
    </row>
    <row r="495" spans="1:27" ht="16">
      <c r="A495" s="1"/>
      <c r="B495" s="2"/>
      <c r="C495" s="6"/>
      <c r="D495" s="2"/>
      <c r="E495" s="2"/>
      <c r="F495" s="2"/>
      <c r="G495" s="2"/>
      <c r="H495" s="1"/>
      <c r="I495" s="4"/>
      <c r="J495" s="4"/>
      <c r="K495" s="4"/>
      <c r="L495" s="4"/>
      <c r="M495" s="4"/>
      <c r="N495" s="4"/>
      <c r="O495" s="4"/>
      <c r="P495" s="4"/>
      <c r="Q495" s="4"/>
      <c r="R495" s="4"/>
      <c r="S495" s="4"/>
      <c r="T495" s="4"/>
      <c r="U495" s="4"/>
      <c r="V495" s="4"/>
      <c r="W495" s="4"/>
      <c r="X495" s="4"/>
      <c r="Y495" s="4"/>
      <c r="Z495" s="4"/>
      <c r="AA495" s="4"/>
    </row>
    <row r="496" spans="1:27" ht="16">
      <c r="A496" s="1"/>
      <c r="B496" s="2"/>
      <c r="C496" s="6"/>
      <c r="D496" s="2"/>
      <c r="E496" s="2"/>
      <c r="F496" s="2"/>
      <c r="G496" s="2"/>
      <c r="H496" s="1"/>
      <c r="I496" s="4"/>
      <c r="J496" s="4"/>
      <c r="K496" s="4"/>
      <c r="L496" s="4"/>
      <c r="M496" s="4"/>
      <c r="N496" s="4"/>
      <c r="O496" s="4"/>
      <c r="P496" s="4"/>
      <c r="Q496" s="4"/>
      <c r="R496" s="4"/>
      <c r="S496" s="4"/>
      <c r="T496" s="4"/>
      <c r="U496" s="4"/>
      <c r="V496" s="4"/>
      <c r="W496" s="4"/>
      <c r="X496" s="4"/>
      <c r="Y496" s="4"/>
      <c r="Z496" s="4"/>
      <c r="AA496" s="4"/>
    </row>
    <row r="497" spans="1:27" ht="16">
      <c r="A497" s="1"/>
      <c r="B497" s="2"/>
      <c r="C497" s="6"/>
      <c r="D497" s="2"/>
      <c r="E497" s="2"/>
      <c r="F497" s="2"/>
      <c r="G497" s="2"/>
      <c r="H497" s="1"/>
      <c r="I497" s="4"/>
      <c r="J497" s="4"/>
      <c r="K497" s="4"/>
      <c r="L497" s="4"/>
      <c r="M497" s="4"/>
      <c r="N497" s="4"/>
      <c r="O497" s="4"/>
      <c r="P497" s="4"/>
      <c r="Q497" s="4"/>
      <c r="R497" s="4"/>
      <c r="S497" s="4"/>
      <c r="T497" s="4"/>
      <c r="U497" s="4"/>
      <c r="V497" s="4"/>
      <c r="W497" s="4"/>
      <c r="X497" s="4"/>
      <c r="Y497" s="4"/>
      <c r="Z497" s="4"/>
      <c r="AA497" s="4"/>
    </row>
    <row r="498" spans="1:27" ht="16">
      <c r="A498" s="1"/>
      <c r="B498" s="2"/>
      <c r="C498" s="6"/>
      <c r="D498" s="2"/>
      <c r="E498" s="2"/>
      <c r="F498" s="2"/>
      <c r="G498" s="2"/>
      <c r="H498" s="1"/>
      <c r="I498" s="4"/>
      <c r="J498" s="4"/>
      <c r="K498" s="4"/>
      <c r="L498" s="4"/>
      <c r="M498" s="4"/>
      <c r="N498" s="4"/>
      <c r="O498" s="4"/>
      <c r="P498" s="4"/>
      <c r="Q498" s="4"/>
      <c r="R498" s="4"/>
      <c r="S498" s="4"/>
      <c r="T498" s="4"/>
      <c r="U498" s="4"/>
      <c r="V498" s="4"/>
      <c r="W498" s="4"/>
      <c r="X498" s="4"/>
      <c r="Y498" s="4"/>
      <c r="Z498" s="4"/>
      <c r="AA498" s="4"/>
    </row>
    <row r="499" spans="1:27" ht="16">
      <c r="A499" s="1"/>
      <c r="B499" s="2"/>
      <c r="C499" s="6"/>
      <c r="D499" s="2"/>
      <c r="E499" s="2"/>
      <c r="F499" s="2"/>
      <c r="G499" s="2"/>
      <c r="H499" s="1"/>
      <c r="I499" s="4"/>
      <c r="J499" s="4"/>
      <c r="K499" s="4"/>
      <c r="L499" s="4"/>
      <c r="M499" s="4"/>
      <c r="N499" s="4"/>
      <c r="O499" s="4"/>
      <c r="P499" s="4"/>
      <c r="Q499" s="4"/>
      <c r="R499" s="4"/>
      <c r="S499" s="4"/>
      <c r="T499" s="4"/>
      <c r="U499" s="4"/>
      <c r="V499" s="4"/>
      <c r="W499" s="4"/>
      <c r="X499" s="4"/>
      <c r="Y499" s="4"/>
      <c r="Z499" s="4"/>
      <c r="AA499" s="4"/>
    </row>
    <row r="500" spans="1:27" ht="16">
      <c r="A500" s="1"/>
      <c r="B500" s="2"/>
      <c r="C500" s="6"/>
      <c r="D500" s="2"/>
      <c r="E500" s="2"/>
      <c r="F500" s="2"/>
      <c r="G500" s="2"/>
      <c r="H500" s="1"/>
      <c r="I500" s="4"/>
      <c r="J500" s="4"/>
      <c r="K500" s="4"/>
      <c r="L500" s="4"/>
      <c r="M500" s="4"/>
      <c r="N500" s="4"/>
      <c r="O500" s="4"/>
      <c r="P500" s="4"/>
      <c r="Q500" s="4"/>
      <c r="R500" s="4"/>
      <c r="S500" s="4"/>
      <c r="T500" s="4"/>
      <c r="U500" s="4"/>
      <c r="V500" s="4"/>
      <c r="W500" s="4"/>
      <c r="X500" s="4"/>
      <c r="Y500" s="4"/>
      <c r="Z500" s="4"/>
      <c r="AA500" s="4"/>
    </row>
    <row r="501" spans="1:27" ht="16">
      <c r="A501" s="1"/>
      <c r="B501" s="2"/>
      <c r="C501" s="6"/>
      <c r="D501" s="2"/>
      <c r="E501" s="2"/>
      <c r="F501" s="2"/>
      <c r="G501" s="2"/>
      <c r="H501" s="1"/>
      <c r="I501" s="4"/>
      <c r="J501" s="4"/>
      <c r="K501" s="4"/>
      <c r="L501" s="4"/>
      <c r="M501" s="4"/>
      <c r="N501" s="4"/>
      <c r="O501" s="4"/>
      <c r="P501" s="4"/>
      <c r="Q501" s="4"/>
      <c r="R501" s="4"/>
      <c r="S501" s="4"/>
      <c r="T501" s="4"/>
      <c r="U501" s="4"/>
      <c r="V501" s="4"/>
      <c r="W501" s="4"/>
      <c r="X501" s="4"/>
      <c r="Y501" s="4"/>
      <c r="Z501" s="4"/>
      <c r="AA501" s="4"/>
    </row>
    <row r="502" spans="1:27" ht="16">
      <c r="A502" s="1"/>
      <c r="B502" s="2"/>
      <c r="C502" s="6"/>
      <c r="D502" s="2"/>
      <c r="E502" s="2"/>
      <c r="F502" s="2"/>
      <c r="G502" s="2"/>
      <c r="H502" s="1"/>
      <c r="I502" s="4"/>
      <c r="J502" s="4"/>
      <c r="K502" s="4"/>
      <c r="L502" s="4"/>
      <c r="M502" s="4"/>
      <c r="N502" s="4"/>
      <c r="O502" s="4"/>
      <c r="P502" s="4"/>
      <c r="Q502" s="4"/>
      <c r="R502" s="4"/>
      <c r="S502" s="4"/>
      <c r="T502" s="4"/>
      <c r="U502" s="4"/>
      <c r="V502" s="4"/>
      <c r="W502" s="4"/>
      <c r="X502" s="4"/>
      <c r="Y502" s="4"/>
      <c r="Z502" s="4"/>
      <c r="AA502" s="4"/>
    </row>
    <row r="503" spans="1:27" ht="16">
      <c r="A503" s="1"/>
      <c r="B503" s="2"/>
      <c r="C503" s="6"/>
      <c r="D503" s="2"/>
      <c r="E503" s="2"/>
      <c r="F503" s="2"/>
      <c r="G503" s="2"/>
      <c r="H503" s="1"/>
      <c r="I503" s="4"/>
      <c r="J503" s="4"/>
      <c r="K503" s="4"/>
      <c r="L503" s="4"/>
      <c r="M503" s="4"/>
      <c r="N503" s="4"/>
      <c r="O503" s="4"/>
      <c r="P503" s="4"/>
      <c r="Q503" s="4"/>
      <c r="R503" s="4"/>
      <c r="S503" s="4"/>
      <c r="T503" s="4"/>
      <c r="U503" s="4"/>
      <c r="V503" s="4"/>
      <c r="W503" s="4"/>
      <c r="X503" s="4"/>
      <c r="Y503" s="4"/>
      <c r="Z503" s="4"/>
      <c r="AA503" s="4"/>
    </row>
    <row r="504" spans="1:27" ht="16">
      <c r="A504" s="1"/>
      <c r="B504" s="2"/>
      <c r="C504" s="6"/>
      <c r="D504" s="2"/>
      <c r="E504" s="2"/>
      <c r="F504" s="2"/>
      <c r="G504" s="2"/>
      <c r="H504" s="1"/>
      <c r="I504" s="4"/>
      <c r="J504" s="4"/>
      <c r="K504" s="4"/>
      <c r="L504" s="4"/>
      <c r="M504" s="4"/>
      <c r="N504" s="4"/>
      <c r="O504" s="4"/>
      <c r="P504" s="4"/>
      <c r="Q504" s="4"/>
      <c r="R504" s="4"/>
      <c r="S504" s="4"/>
      <c r="T504" s="4"/>
      <c r="U504" s="4"/>
      <c r="V504" s="4"/>
      <c r="W504" s="4"/>
      <c r="X504" s="4"/>
      <c r="Y504" s="4"/>
      <c r="Z504" s="4"/>
      <c r="AA504" s="4"/>
    </row>
    <row r="505" spans="1:27" ht="16">
      <c r="A505" s="1"/>
      <c r="B505" s="2"/>
      <c r="C505" s="6"/>
      <c r="D505" s="2"/>
      <c r="E505" s="2"/>
      <c r="F505" s="2"/>
      <c r="G505" s="2"/>
      <c r="H505" s="1"/>
      <c r="I505" s="4"/>
      <c r="J505" s="4"/>
      <c r="K505" s="4"/>
      <c r="L505" s="4"/>
      <c r="M505" s="4"/>
      <c r="N505" s="4"/>
      <c r="O505" s="4"/>
      <c r="P505" s="4"/>
      <c r="Q505" s="4"/>
      <c r="R505" s="4"/>
      <c r="S505" s="4"/>
      <c r="T505" s="4"/>
      <c r="U505" s="4"/>
      <c r="V505" s="4"/>
      <c r="W505" s="4"/>
      <c r="X505" s="4"/>
      <c r="Y505" s="4"/>
      <c r="Z505" s="4"/>
      <c r="AA505" s="4"/>
    </row>
    <row r="506" spans="1:27" ht="16">
      <c r="A506" s="1"/>
      <c r="B506" s="2"/>
      <c r="C506" s="6"/>
      <c r="D506" s="2"/>
      <c r="E506" s="2"/>
      <c r="F506" s="2"/>
      <c r="G506" s="2"/>
      <c r="H506" s="1"/>
      <c r="I506" s="4"/>
      <c r="J506" s="4"/>
      <c r="K506" s="4"/>
      <c r="L506" s="4"/>
      <c r="M506" s="4"/>
      <c r="N506" s="4"/>
      <c r="O506" s="4"/>
      <c r="P506" s="4"/>
      <c r="Q506" s="4"/>
      <c r="R506" s="4"/>
      <c r="S506" s="4"/>
      <c r="T506" s="4"/>
      <c r="U506" s="4"/>
      <c r="V506" s="4"/>
      <c r="W506" s="4"/>
      <c r="X506" s="4"/>
      <c r="Y506" s="4"/>
      <c r="Z506" s="4"/>
      <c r="AA506" s="4"/>
    </row>
    <row r="507" spans="1:27" ht="16">
      <c r="A507" s="1"/>
      <c r="B507" s="2"/>
      <c r="C507" s="6"/>
      <c r="D507" s="2"/>
      <c r="E507" s="2"/>
      <c r="F507" s="2"/>
      <c r="G507" s="2"/>
      <c r="H507" s="1"/>
      <c r="I507" s="4"/>
      <c r="J507" s="4"/>
      <c r="K507" s="4"/>
      <c r="L507" s="4"/>
      <c r="M507" s="4"/>
      <c r="N507" s="4"/>
      <c r="O507" s="4"/>
      <c r="P507" s="4"/>
      <c r="Q507" s="4"/>
      <c r="R507" s="4"/>
      <c r="S507" s="4"/>
      <c r="T507" s="4"/>
      <c r="U507" s="4"/>
      <c r="V507" s="4"/>
      <c r="W507" s="4"/>
      <c r="X507" s="4"/>
      <c r="Y507" s="4"/>
      <c r="Z507" s="4"/>
      <c r="AA507" s="4"/>
    </row>
    <row r="508" spans="1:27" ht="16">
      <c r="A508" s="1"/>
      <c r="B508" s="2"/>
      <c r="C508" s="6"/>
      <c r="D508" s="2"/>
      <c r="E508" s="2"/>
      <c r="F508" s="2"/>
      <c r="G508" s="2"/>
      <c r="H508" s="1"/>
      <c r="I508" s="4"/>
      <c r="J508" s="4"/>
      <c r="K508" s="4"/>
      <c r="L508" s="4"/>
      <c r="M508" s="4"/>
      <c r="N508" s="4"/>
      <c r="O508" s="4"/>
      <c r="P508" s="4"/>
      <c r="Q508" s="4"/>
      <c r="R508" s="4"/>
      <c r="S508" s="4"/>
      <c r="T508" s="4"/>
      <c r="U508" s="4"/>
      <c r="V508" s="4"/>
      <c r="W508" s="4"/>
      <c r="X508" s="4"/>
      <c r="Y508" s="4"/>
      <c r="Z508" s="4"/>
      <c r="AA508" s="4"/>
    </row>
    <row r="509" spans="1:27" ht="16">
      <c r="A509" s="1"/>
      <c r="B509" s="2"/>
      <c r="C509" s="6"/>
      <c r="D509" s="2"/>
      <c r="E509" s="2"/>
      <c r="F509" s="2"/>
      <c r="G509" s="2"/>
      <c r="H509" s="1"/>
      <c r="I509" s="4"/>
      <c r="J509" s="4"/>
      <c r="K509" s="4"/>
      <c r="L509" s="4"/>
      <c r="M509" s="4"/>
      <c r="N509" s="4"/>
      <c r="O509" s="4"/>
      <c r="P509" s="4"/>
      <c r="Q509" s="4"/>
      <c r="R509" s="4"/>
      <c r="S509" s="4"/>
      <c r="T509" s="4"/>
      <c r="U509" s="4"/>
      <c r="V509" s="4"/>
      <c r="W509" s="4"/>
      <c r="X509" s="4"/>
      <c r="Y509" s="4"/>
      <c r="Z509" s="4"/>
      <c r="AA509" s="4"/>
    </row>
    <row r="510" spans="1:27" ht="16">
      <c r="A510" s="1"/>
      <c r="B510" s="2"/>
      <c r="C510" s="6"/>
      <c r="D510" s="2"/>
      <c r="E510" s="2"/>
      <c r="F510" s="2"/>
      <c r="G510" s="2"/>
      <c r="H510" s="1"/>
      <c r="I510" s="4"/>
      <c r="J510" s="4"/>
      <c r="K510" s="4"/>
      <c r="L510" s="4"/>
      <c r="M510" s="4"/>
      <c r="N510" s="4"/>
      <c r="O510" s="4"/>
      <c r="P510" s="4"/>
      <c r="Q510" s="4"/>
      <c r="R510" s="4"/>
      <c r="S510" s="4"/>
      <c r="T510" s="4"/>
      <c r="U510" s="4"/>
      <c r="V510" s="4"/>
      <c r="W510" s="4"/>
      <c r="X510" s="4"/>
      <c r="Y510" s="4"/>
      <c r="Z510" s="4"/>
      <c r="AA510" s="4"/>
    </row>
    <row r="511" spans="1:27" ht="16">
      <c r="A511" s="1"/>
      <c r="B511" s="2"/>
      <c r="C511" s="6"/>
      <c r="D511" s="2"/>
      <c r="E511" s="2"/>
      <c r="F511" s="2"/>
      <c r="G511" s="2"/>
      <c r="H511" s="1"/>
      <c r="I511" s="4"/>
      <c r="J511" s="4"/>
      <c r="K511" s="4"/>
      <c r="L511" s="4"/>
      <c r="M511" s="4"/>
      <c r="N511" s="4"/>
      <c r="O511" s="4"/>
      <c r="P511" s="4"/>
      <c r="Q511" s="4"/>
      <c r="R511" s="4"/>
      <c r="S511" s="4"/>
      <c r="T511" s="4"/>
      <c r="U511" s="4"/>
      <c r="V511" s="4"/>
      <c r="W511" s="4"/>
      <c r="X511" s="4"/>
      <c r="Y511" s="4"/>
      <c r="Z511" s="4"/>
      <c r="AA511" s="4"/>
    </row>
    <row r="512" spans="1:27" ht="16">
      <c r="A512" s="1"/>
      <c r="B512" s="2"/>
      <c r="C512" s="6"/>
      <c r="D512" s="2"/>
      <c r="E512" s="2"/>
      <c r="F512" s="2"/>
      <c r="G512" s="2"/>
      <c r="H512" s="1"/>
      <c r="I512" s="4"/>
      <c r="J512" s="4"/>
      <c r="K512" s="4"/>
      <c r="L512" s="4"/>
      <c r="M512" s="4"/>
      <c r="N512" s="4"/>
      <c r="O512" s="4"/>
      <c r="P512" s="4"/>
      <c r="Q512" s="4"/>
      <c r="R512" s="4"/>
      <c r="S512" s="4"/>
      <c r="T512" s="4"/>
      <c r="U512" s="4"/>
      <c r="V512" s="4"/>
      <c r="W512" s="4"/>
      <c r="X512" s="4"/>
      <c r="Y512" s="4"/>
      <c r="Z512" s="4"/>
      <c r="AA512" s="4"/>
    </row>
    <row r="513" spans="1:27" ht="16">
      <c r="A513" s="1"/>
      <c r="B513" s="2"/>
      <c r="C513" s="6"/>
      <c r="D513" s="2"/>
      <c r="E513" s="2"/>
      <c r="F513" s="2"/>
      <c r="G513" s="2"/>
      <c r="H513" s="1"/>
      <c r="I513" s="4"/>
      <c r="J513" s="4"/>
      <c r="K513" s="4"/>
      <c r="L513" s="4"/>
      <c r="M513" s="4"/>
      <c r="N513" s="4"/>
      <c r="O513" s="4"/>
      <c r="P513" s="4"/>
      <c r="Q513" s="4"/>
      <c r="R513" s="4"/>
      <c r="S513" s="4"/>
      <c r="T513" s="4"/>
      <c r="U513" s="4"/>
      <c r="V513" s="4"/>
      <c r="W513" s="4"/>
      <c r="X513" s="4"/>
      <c r="Y513" s="4"/>
      <c r="Z513" s="4"/>
      <c r="AA513" s="4"/>
    </row>
    <row r="514" spans="1:27" ht="16">
      <c r="A514" s="1"/>
      <c r="B514" s="2"/>
      <c r="C514" s="6"/>
      <c r="D514" s="2"/>
      <c r="E514" s="2"/>
      <c r="F514" s="2"/>
      <c r="G514" s="2"/>
      <c r="H514" s="1"/>
      <c r="I514" s="4"/>
      <c r="J514" s="4"/>
      <c r="K514" s="4"/>
      <c r="L514" s="4"/>
      <c r="M514" s="4"/>
      <c r="N514" s="4"/>
      <c r="O514" s="4"/>
      <c r="P514" s="4"/>
      <c r="Q514" s="4"/>
      <c r="R514" s="4"/>
      <c r="S514" s="4"/>
      <c r="T514" s="4"/>
      <c r="U514" s="4"/>
      <c r="V514" s="4"/>
      <c r="W514" s="4"/>
      <c r="X514" s="4"/>
      <c r="Y514" s="4"/>
      <c r="Z514" s="4"/>
      <c r="AA514" s="4"/>
    </row>
    <row r="515" spans="1:27" ht="16">
      <c r="A515" s="1"/>
      <c r="B515" s="2"/>
      <c r="C515" s="6"/>
      <c r="D515" s="2"/>
      <c r="E515" s="2"/>
      <c r="F515" s="2"/>
      <c r="G515" s="2"/>
      <c r="H515" s="1"/>
      <c r="I515" s="4"/>
      <c r="J515" s="4"/>
      <c r="K515" s="4"/>
      <c r="L515" s="4"/>
      <c r="M515" s="4"/>
      <c r="N515" s="4"/>
      <c r="O515" s="4"/>
      <c r="P515" s="4"/>
      <c r="Q515" s="4"/>
      <c r="R515" s="4"/>
      <c r="S515" s="4"/>
      <c r="T515" s="4"/>
      <c r="U515" s="4"/>
      <c r="V515" s="4"/>
      <c r="W515" s="4"/>
      <c r="X515" s="4"/>
      <c r="Y515" s="4"/>
      <c r="Z515" s="4"/>
      <c r="AA515" s="4"/>
    </row>
    <row r="516" spans="1:27" ht="16">
      <c r="A516" s="1"/>
      <c r="B516" s="2"/>
      <c r="C516" s="6"/>
      <c r="D516" s="2"/>
      <c r="E516" s="2"/>
      <c r="F516" s="2"/>
      <c r="G516" s="2"/>
      <c r="H516" s="1"/>
      <c r="I516" s="4"/>
      <c r="J516" s="4"/>
      <c r="K516" s="4"/>
      <c r="L516" s="4"/>
      <c r="M516" s="4"/>
      <c r="N516" s="4"/>
      <c r="O516" s="4"/>
      <c r="P516" s="4"/>
      <c r="Q516" s="4"/>
      <c r="R516" s="4"/>
      <c r="S516" s="4"/>
      <c r="T516" s="4"/>
      <c r="U516" s="4"/>
      <c r="V516" s="4"/>
      <c r="W516" s="4"/>
      <c r="X516" s="4"/>
      <c r="Y516" s="4"/>
      <c r="Z516" s="4"/>
      <c r="AA516" s="4"/>
    </row>
    <row r="517" spans="1:27" ht="16">
      <c r="A517" s="1"/>
      <c r="B517" s="2"/>
      <c r="C517" s="6"/>
      <c r="D517" s="2"/>
      <c r="E517" s="2"/>
      <c r="F517" s="2"/>
      <c r="G517" s="2"/>
      <c r="H517" s="1"/>
      <c r="I517" s="4"/>
      <c r="J517" s="4"/>
      <c r="K517" s="4"/>
      <c r="L517" s="4"/>
      <c r="M517" s="4"/>
      <c r="N517" s="4"/>
      <c r="O517" s="4"/>
      <c r="P517" s="4"/>
      <c r="Q517" s="4"/>
      <c r="R517" s="4"/>
      <c r="S517" s="4"/>
      <c r="T517" s="4"/>
      <c r="U517" s="4"/>
      <c r="V517" s="4"/>
      <c r="W517" s="4"/>
      <c r="X517" s="4"/>
      <c r="Y517" s="4"/>
      <c r="Z517" s="4"/>
      <c r="AA517" s="4"/>
    </row>
    <row r="518" spans="1:27" ht="16">
      <c r="A518" s="1"/>
      <c r="B518" s="2"/>
      <c r="C518" s="6"/>
      <c r="D518" s="2"/>
      <c r="E518" s="2"/>
      <c r="F518" s="2"/>
      <c r="G518" s="2"/>
      <c r="H518" s="1"/>
      <c r="I518" s="4"/>
      <c r="J518" s="4"/>
      <c r="K518" s="4"/>
      <c r="L518" s="4"/>
      <c r="M518" s="4"/>
      <c r="N518" s="4"/>
      <c r="O518" s="4"/>
      <c r="P518" s="4"/>
      <c r="Q518" s="4"/>
      <c r="R518" s="4"/>
      <c r="S518" s="4"/>
      <c r="T518" s="4"/>
      <c r="U518" s="4"/>
      <c r="V518" s="4"/>
      <c r="W518" s="4"/>
      <c r="X518" s="4"/>
      <c r="Y518" s="4"/>
      <c r="Z518" s="4"/>
      <c r="AA518" s="4"/>
    </row>
    <row r="519" spans="1:27" ht="16">
      <c r="A519" s="1"/>
      <c r="B519" s="2"/>
      <c r="C519" s="6"/>
      <c r="D519" s="2"/>
      <c r="E519" s="2"/>
      <c r="F519" s="2"/>
      <c r="G519" s="2"/>
      <c r="H519" s="1"/>
      <c r="I519" s="4"/>
      <c r="J519" s="4"/>
      <c r="K519" s="4"/>
      <c r="L519" s="4"/>
      <c r="M519" s="4"/>
      <c r="N519" s="4"/>
      <c r="O519" s="4"/>
      <c r="P519" s="4"/>
      <c r="Q519" s="4"/>
      <c r="R519" s="4"/>
      <c r="S519" s="4"/>
      <c r="T519" s="4"/>
      <c r="U519" s="4"/>
      <c r="V519" s="4"/>
      <c r="W519" s="4"/>
      <c r="X519" s="4"/>
      <c r="Y519" s="4"/>
      <c r="Z519" s="4"/>
      <c r="AA519" s="4"/>
    </row>
    <row r="520" spans="1:27" ht="16">
      <c r="A520" s="1"/>
      <c r="B520" s="2"/>
      <c r="C520" s="6"/>
      <c r="D520" s="2"/>
      <c r="E520" s="2"/>
      <c r="F520" s="2"/>
      <c r="G520" s="2"/>
      <c r="H520" s="1"/>
      <c r="I520" s="4"/>
      <c r="J520" s="4"/>
      <c r="K520" s="4"/>
      <c r="L520" s="4"/>
      <c r="M520" s="4"/>
      <c r="N520" s="4"/>
      <c r="O520" s="4"/>
      <c r="P520" s="4"/>
      <c r="Q520" s="4"/>
      <c r="R520" s="4"/>
      <c r="S520" s="4"/>
      <c r="T520" s="4"/>
      <c r="U520" s="4"/>
      <c r="V520" s="4"/>
      <c r="W520" s="4"/>
      <c r="X520" s="4"/>
      <c r="Y520" s="4"/>
      <c r="Z520" s="4"/>
      <c r="AA520" s="4"/>
    </row>
    <row r="521" spans="1:27" ht="16">
      <c r="A521" s="1"/>
      <c r="B521" s="2"/>
      <c r="C521" s="6"/>
      <c r="D521" s="2"/>
      <c r="E521" s="2"/>
      <c r="F521" s="2"/>
      <c r="G521" s="2"/>
      <c r="H521" s="1"/>
      <c r="I521" s="4"/>
      <c r="J521" s="4"/>
      <c r="K521" s="4"/>
      <c r="L521" s="4"/>
      <c r="M521" s="4"/>
      <c r="N521" s="4"/>
      <c r="O521" s="4"/>
      <c r="P521" s="4"/>
      <c r="Q521" s="4"/>
      <c r="R521" s="4"/>
      <c r="S521" s="4"/>
      <c r="T521" s="4"/>
      <c r="U521" s="4"/>
      <c r="V521" s="4"/>
      <c r="W521" s="4"/>
      <c r="X521" s="4"/>
      <c r="Y521" s="4"/>
      <c r="Z521" s="4"/>
      <c r="AA521" s="4"/>
    </row>
    <row r="522" spans="1:27" ht="16">
      <c r="A522" s="1"/>
      <c r="B522" s="2"/>
      <c r="C522" s="6"/>
      <c r="D522" s="2"/>
      <c r="E522" s="2"/>
      <c r="F522" s="2"/>
      <c r="G522" s="2"/>
      <c r="H522" s="1"/>
      <c r="I522" s="4"/>
      <c r="J522" s="4"/>
      <c r="K522" s="4"/>
      <c r="L522" s="4"/>
      <c r="M522" s="4"/>
      <c r="N522" s="4"/>
      <c r="O522" s="4"/>
      <c r="P522" s="4"/>
      <c r="Q522" s="4"/>
      <c r="R522" s="4"/>
      <c r="S522" s="4"/>
      <c r="T522" s="4"/>
      <c r="U522" s="4"/>
      <c r="V522" s="4"/>
      <c r="W522" s="4"/>
      <c r="X522" s="4"/>
      <c r="Y522" s="4"/>
      <c r="Z522" s="4"/>
      <c r="AA522" s="4"/>
    </row>
    <row r="523" spans="1:27" ht="16">
      <c r="A523" s="1"/>
      <c r="B523" s="2"/>
      <c r="C523" s="6"/>
      <c r="D523" s="2"/>
      <c r="E523" s="2"/>
      <c r="F523" s="2"/>
      <c r="G523" s="2"/>
      <c r="H523" s="1"/>
      <c r="I523" s="4"/>
      <c r="J523" s="4"/>
      <c r="K523" s="4"/>
      <c r="L523" s="4"/>
      <c r="M523" s="4"/>
      <c r="N523" s="4"/>
      <c r="O523" s="4"/>
      <c r="P523" s="4"/>
      <c r="Q523" s="4"/>
      <c r="R523" s="4"/>
      <c r="S523" s="4"/>
      <c r="T523" s="4"/>
      <c r="U523" s="4"/>
      <c r="V523" s="4"/>
      <c r="W523" s="4"/>
      <c r="X523" s="4"/>
      <c r="Y523" s="4"/>
      <c r="Z523" s="4"/>
      <c r="AA523" s="4"/>
    </row>
    <row r="524" spans="1:27" ht="16">
      <c r="A524" s="1"/>
      <c r="B524" s="2"/>
      <c r="C524" s="6"/>
      <c r="D524" s="2"/>
      <c r="E524" s="2"/>
      <c r="F524" s="2"/>
      <c r="G524" s="2"/>
      <c r="H524" s="1"/>
      <c r="I524" s="4"/>
      <c r="J524" s="4"/>
      <c r="K524" s="4"/>
      <c r="L524" s="4"/>
      <c r="M524" s="4"/>
      <c r="N524" s="4"/>
      <c r="O524" s="4"/>
      <c r="P524" s="4"/>
      <c r="Q524" s="4"/>
      <c r="R524" s="4"/>
      <c r="S524" s="4"/>
      <c r="T524" s="4"/>
      <c r="U524" s="4"/>
      <c r="V524" s="4"/>
      <c r="W524" s="4"/>
      <c r="X524" s="4"/>
      <c r="Y524" s="4"/>
      <c r="Z524" s="4"/>
      <c r="AA524" s="4"/>
    </row>
    <row r="525" spans="1:27" ht="16">
      <c r="A525" s="1"/>
      <c r="B525" s="2"/>
      <c r="C525" s="6"/>
      <c r="D525" s="2"/>
      <c r="E525" s="2"/>
      <c r="F525" s="2"/>
      <c r="G525" s="2"/>
      <c r="H525" s="1"/>
      <c r="I525" s="4"/>
      <c r="J525" s="4"/>
      <c r="K525" s="4"/>
      <c r="L525" s="4"/>
      <c r="M525" s="4"/>
      <c r="N525" s="4"/>
      <c r="O525" s="4"/>
      <c r="P525" s="4"/>
      <c r="Q525" s="4"/>
      <c r="R525" s="4"/>
      <c r="S525" s="4"/>
      <c r="T525" s="4"/>
      <c r="U525" s="4"/>
      <c r="V525" s="4"/>
      <c r="W525" s="4"/>
      <c r="X525" s="4"/>
      <c r="Y525" s="4"/>
      <c r="Z525" s="4"/>
      <c r="AA525" s="4"/>
    </row>
    <row r="526" spans="1:27" ht="16">
      <c r="A526" s="1"/>
      <c r="B526" s="2"/>
      <c r="C526" s="6"/>
      <c r="D526" s="2"/>
      <c r="E526" s="2"/>
      <c r="F526" s="2"/>
      <c r="G526" s="2"/>
      <c r="H526" s="1"/>
      <c r="I526" s="4"/>
      <c r="J526" s="4"/>
      <c r="K526" s="4"/>
      <c r="L526" s="4"/>
      <c r="M526" s="4"/>
      <c r="N526" s="4"/>
      <c r="O526" s="4"/>
      <c r="P526" s="4"/>
      <c r="Q526" s="4"/>
      <c r="R526" s="4"/>
      <c r="S526" s="4"/>
      <c r="T526" s="4"/>
      <c r="U526" s="4"/>
      <c r="V526" s="4"/>
      <c r="W526" s="4"/>
      <c r="X526" s="4"/>
      <c r="Y526" s="4"/>
      <c r="Z526" s="4"/>
      <c r="AA526" s="4"/>
    </row>
    <row r="527" spans="1:27" ht="16">
      <c r="A527" s="1"/>
      <c r="B527" s="2"/>
      <c r="C527" s="6"/>
      <c r="D527" s="2"/>
      <c r="E527" s="2"/>
      <c r="F527" s="2"/>
      <c r="G527" s="2"/>
      <c r="H527" s="1"/>
      <c r="I527" s="4"/>
      <c r="J527" s="4"/>
      <c r="K527" s="4"/>
      <c r="L527" s="4"/>
      <c r="M527" s="4"/>
      <c r="N527" s="4"/>
      <c r="O527" s="4"/>
      <c r="P527" s="4"/>
      <c r="Q527" s="4"/>
      <c r="R527" s="4"/>
      <c r="S527" s="4"/>
      <c r="T527" s="4"/>
      <c r="U527" s="4"/>
      <c r="V527" s="4"/>
      <c r="W527" s="4"/>
      <c r="X527" s="4"/>
      <c r="Y527" s="4"/>
      <c r="Z527" s="4"/>
      <c r="AA527" s="4"/>
    </row>
    <row r="528" spans="1:27" ht="16">
      <c r="A528" s="1"/>
      <c r="B528" s="2"/>
      <c r="C528" s="6"/>
      <c r="D528" s="2"/>
      <c r="E528" s="2"/>
      <c r="F528" s="2"/>
      <c r="G528" s="2"/>
      <c r="H528" s="1"/>
      <c r="I528" s="4"/>
      <c r="J528" s="4"/>
      <c r="K528" s="4"/>
      <c r="L528" s="4"/>
      <c r="M528" s="4"/>
      <c r="N528" s="4"/>
      <c r="O528" s="4"/>
      <c r="P528" s="4"/>
      <c r="Q528" s="4"/>
      <c r="R528" s="4"/>
      <c r="S528" s="4"/>
      <c r="T528" s="4"/>
      <c r="U528" s="4"/>
      <c r="V528" s="4"/>
      <c r="W528" s="4"/>
      <c r="X528" s="4"/>
      <c r="Y528" s="4"/>
      <c r="Z528" s="4"/>
      <c r="AA528" s="4"/>
    </row>
    <row r="529" spans="1:27" ht="16">
      <c r="A529" s="1"/>
      <c r="B529" s="2"/>
      <c r="C529" s="6"/>
      <c r="D529" s="2"/>
      <c r="E529" s="2"/>
      <c r="F529" s="2"/>
      <c r="G529" s="2"/>
      <c r="H529" s="1"/>
      <c r="I529" s="4"/>
      <c r="J529" s="4"/>
      <c r="K529" s="4"/>
      <c r="L529" s="4"/>
      <c r="M529" s="4"/>
      <c r="N529" s="4"/>
      <c r="O529" s="4"/>
      <c r="P529" s="4"/>
      <c r="Q529" s="4"/>
      <c r="R529" s="4"/>
      <c r="S529" s="4"/>
      <c r="T529" s="4"/>
      <c r="U529" s="4"/>
      <c r="V529" s="4"/>
      <c r="W529" s="4"/>
      <c r="X529" s="4"/>
      <c r="Y529" s="4"/>
      <c r="Z529" s="4"/>
      <c r="AA529" s="4"/>
    </row>
    <row r="530" spans="1:27" ht="16">
      <c r="A530" s="1"/>
      <c r="B530" s="2"/>
      <c r="C530" s="6"/>
      <c r="D530" s="2"/>
      <c r="E530" s="2"/>
      <c r="F530" s="2"/>
      <c r="G530" s="2"/>
      <c r="H530" s="1"/>
      <c r="I530" s="4"/>
      <c r="J530" s="4"/>
      <c r="K530" s="4"/>
      <c r="L530" s="4"/>
      <c r="M530" s="4"/>
      <c r="N530" s="4"/>
      <c r="O530" s="4"/>
      <c r="P530" s="4"/>
      <c r="Q530" s="4"/>
      <c r="R530" s="4"/>
      <c r="S530" s="4"/>
      <c r="T530" s="4"/>
      <c r="U530" s="4"/>
      <c r="V530" s="4"/>
      <c r="W530" s="4"/>
      <c r="X530" s="4"/>
      <c r="Y530" s="4"/>
      <c r="Z530" s="4"/>
      <c r="AA530" s="4"/>
    </row>
    <row r="531" spans="1:27" ht="16">
      <c r="A531" s="1"/>
      <c r="B531" s="2"/>
      <c r="C531" s="6"/>
      <c r="D531" s="2"/>
      <c r="E531" s="2"/>
      <c r="F531" s="2"/>
      <c r="G531" s="2"/>
      <c r="H531" s="1"/>
      <c r="I531" s="4"/>
      <c r="J531" s="4"/>
      <c r="K531" s="4"/>
      <c r="L531" s="4"/>
      <c r="M531" s="4"/>
      <c r="N531" s="4"/>
      <c r="O531" s="4"/>
      <c r="P531" s="4"/>
      <c r="Q531" s="4"/>
      <c r="R531" s="4"/>
      <c r="S531" s="4"/>
      <c r="T531" s="4"/>
      <c r="U531" s="4"/>
      <c r="V531" s="4"/>
      <c r="W531" s="4"/>
      <c r="X531" s="4"/>
      <c r="Y531" s="4"/>
      <c r="Z531" s="4"/>
      <c r="AA531" s="4"/>
    </row>
    <row r="532" spans="1:27" ht="16">
      <c r="A532" s="1"/>
      <c r="B532" s="2"/>
      <c r="C532" s="6"/>
      <c r="D532" s="2"/>
      <c r="E532" s="2"/>
      <c r="F532" s="2"/>
      <c r="G532" s="2"/>
      <c r="H532" s="1"/>
      <c r="I532" s="4"/>
      <c r="J532" s="4"/>
      <c r="K532" s="4"/>
      <c r="L532" s="4"/>
      <c r="M532" s="4"/>
      <c r="N532" s="4"/>
      <c r="O532" s="4"/>
      <c r="P532" s="4"/>
      <c r="Q532" s="4"/>
      <c r="R532" s="4"/>
      <c r="S532" s="4"/>
      <c r="T532" s="4"/>
      <c r="U532" s="4"/>
      <c r="V532" s="4"/>
      <c r="W532" s="4"/>
      <c r="X532" s="4"/>
      <c r="Y532" s="4"/>
      <c r="Z532" s="4"/>
      <c r="AA532" s="4"/>
    </row>
    <row r="533" spans="1:27" ht="16">
      <c r="A533" s="1"/>
      <c r="B533" s="2"/>
      <c r="C533" s="6"/>
      <c r="D533" s="2"/>
      <c r="E533" s="2"/>
      <c r="F533" s="2"/>
      <c r="G533" s="2"/>
      <c r="H533" s="1"/>
      <c r="I533" s="4"/>
      <c r="J533" s="4"/>
      <c r="K533" s="4"/>
      <c r="L533" s="4"/>
      <c r="M533" s="4"/>
      <c r="N533" s="4"/>
      <c r="O533" s="4"/>
      <c r="P533" s="4"/>
      <c r="Q533" s="4"/>
      <c r="R533" s="4"/>
      <c r="S533" s="4"/>
      <c r="T533" s="4"/>
      <c r="U533" s="4"/>
      <c r="V533" s="4"/>
      <c r="W533" s="4"/>
      <c r="X533" s="4"/>
      <c r="Y533" s="4"/>
      <c r="Z533" s="4"/>
      <c r="AA533" s="4"/>
    </row>
    <row r="534" spans="1:27" ht="16">
      <c r="A534" s="1"/>
      <c r="B534" s="2"/>
      <c r="C534" s="6"/>
      <c r="D534" s="2"/>
      <c r="E534" s="2"/>
      <c r="F534" s="2"/>
      <c r="G534" s="2"/>
      <c r="H534" s="1"/>
      <c r="I534" s="4"/>
      <c r="J534" s="4"/>
      <c r="K534" s="4"/>
      <c r="L534" s="4"/>
      <c r="M534" s="4"/>
      <c r="N534" s="4"/>
      <c r="O534" s="4"/>
      <c r="P534" s="4"/>
      <c r="Q534" s="4"/>
      <c r="R534" s="4"/>
      <c r="S534" s="4"/>
      <c r="T534" s="4"/>
      <c r="U534" s="4"/>
      <c r="V534" s="4"/>
      <c r="W534" s="4"/>
      <c r="X534" s="4"/>
      <c r="Y534" s="4"/>
      <c r="Z534" s="4"/>
      <c r="AA534" s="4"/>
    </row>
    <row r="535" spans="1:27" ht="16">
      <c r="A535" s="1"/>
      <c r="B535" s="2"/>
      <c r="C535" s="6"/>
      <c r="D535" s="2"/>
      <c r="E535" s="2"/>
      <c r="F535" s="2"/>
      <c r="G535" s="2"/>
      <c r="H535" s="1"/>
      <c r="I535" s="4"/>
      <c r="J535" s="4"/>
      <c r="K535" s="4"/>
      <c r="L535" s="4"/>
      <c r="M535" s="4"/>
      <c r="N535" s="4"/>
      <c r="O535" s="4"/>
      <c r="P535" s="4"/>
      <c r="Q535" s="4"/>
      <c r="R535" s="4"/>
      <c r="S535" s="4"/>
      <c r="T535" s="4"/>
      <c r="U535" s="4"/>
      <c r="V535" s="4"/>
      <c r="W535" s="4"/>
      <c r="X535" s="4"/>
      <c r="Y535" s="4"/>
      <c r="Z535" s="4"/>
      <c r="AA535" s="4"/>
    </row>
    <row r="536" spans="1:27" ht="16">
      <c r="A536" s="1"/>
      <c r="B536" s="2"/>
      <c r="C536" s="6"/>
      <c r="D536" s="2"/>
      <c r="E536" s="2"/>
      <c r="F536" s="2"/>
      <c r="G536" s="2"/>
      <c r="H536" s="1"/>
      <c r="I536" s="4"/>
      <c r="J536" s="4"/>
      <c r="K536" s="4"/>
      <c r="L536" s="4"/>
      <c r="M536" s="4"/>
      <c r="N536" s="4"/>
      <c r="O536" s="4"/>
      <c r="P536" s="4"/>
      <c r="Q536" s="4"/>
      <c r="R536" s="4"/>
      <c r="S536" s="4"/>
      <c r="T536" s="4"/>
      <c r="U536" s="4"/>
      <c r="V536" s="4"/>
      <c r="W536" s="4"/>
      <c r="X536" s="4"/>
      <c r="Y536" s="4"/>
      <c r="Z536" s="4"/>
      <c r="AA536" s="4"/>
    </row>
    <row r="537" spans="1:27" ht="16">
      <c r="A537" s="1"/>
      <c r="B537" s="2"/>
      <c r="C537" s="6"/>
      <c r="D537" s="2"/>
      <c r="E537" s="2"/>
      <c r="F537" s="2"/>
      <c r="G537" s="2"/>
      <c r="H537" s="1"/>
      <c r="I537" s="4"/>
      <c r="J537" s="4"/>
      <c r="K537" s="4"/>
      <c r="L537" s="4"/>
      <c r="M537" s="4"/>
      <c r="N537" s="4"/>
      <c r="O537" s="4"/>
      <c r="P537" s="4"/>
      <c r="Q537" s="4"/>
      <c r="R537" s="4"/>
      <c r="S537" s="4"/>
      <c r="T537" s="4"/>
      <c r="U537" s="4"/>
      <c r="V537" s="4"/>
      <c r="W537" s="4"/>
      <c r="X537" s="4"/>
      <c r="Y537" s="4"/>
      <c r="Z537" s="4"/>
      <c r="AA537" s="4"/>
    </row>
    <row r="538" spans="1:27" ht="16">
      <c r="A538" s="1"/>
      <c r="B538" s="2"/>
      <c r="C538" s="6"/>
      <c r="D538" s="2"/>
      <c r="E538" s="2"/>
      <c r="F538" s="2"/>
      <c r="G538" s="2"/>
      <c r="H538" s="1"/>
      <c r="I538" s="4"/>
      <c r="J538" s="4"/>
      <c r="K538" s="4"/>
      <c r="L538" s="4"/>
      <c r="M538" s="4"/>
      <c r="N538" s="4"/>
      <c r="O538" s="4"/>
      <c r="P538" s="4"/>
      <c r="Q538" s="4"/>
      <c r="R538" s="4"/>
      <c r="S538" s="4"/>
      <c r="T538" s="4"/>
      <c r="U538" s="4"/>
      <c r="V538" s="4"/>
      <c r="W538" s="4"/>
      <c r="X538" s="4"/>
      <c r="Y538" s="4"/>
      <c r="Z538" s="4"/>
      <c r="AA538" s="4"/>
    </row>
    <row r="539" spans="1:27" ht="16">
      <c r="A539" s="1"/>
      <c r="B539" s="2"/>
      <c r="C539" s="6"/>
      <c r="D539" s="2"/>
      <c r="E539" s="2"/>
      <c r="F539" s="2"/>
      <c r="G539" s="2"/>
      <c r="H539" s="1"/>
      <c r="I539" s="4"/>
      <c r="J539" s="4"/>
      <c r="K539" s="4"/>
      <c r="L539" s="4"/>
      <c r="M539" s="4"/>
      <c r="N539" s="4"/>
      <c r="O539" s="4"/>
      <c r="P539" s="4"/>
      <c r="Q539" s="4"/>
      <c r="R539" s="4"/>
      <c r="S539" s="4"/>
      <c r="T539" s="4"/>
      <c r="U539" s="4"/>
      <c r="V539" s="4"/>
      <c r="W539" s="4"/>
      <c r="X539" s="4"/>
      <c r="Y539" s="4"/>
      <c r="Z539" s="4"/>
      <c r="AA539" s="4"/>
    </row>
    <row r="540" spans="1:27" ht="16">
      <c r="A540" s="1"/>
      <c r="B540" s="2"/>
      <c r="C540" s="6"/>
      <c r="D540" s="2"/>
      <c r="E540" s="2"/>
      <c r="F540" s="2"/>
      <c r="G540" s="2"/>
      <c r="H540" s="1"/>
      <c r="I540" s="4"/>
      <c r="J540" s="4"/>
      <c r="K540" s="4"/>
      <c r="L540" s="4"/>
      <c r="M540" s="4"/>
      <c r="N540" s="4"/>
      <c r="O540" s="4"/>
      <c r="P540" s="4"/>
      <c r="Q540" s="4"/>
      <c r="R540" s="4"/>
      <c r="S540" s="4"/>
      <c r="T540" s="4"/>
      <c r="U540" s="4"/>
      <c r="V540" s="4"/>
      <c r="W540" s="4"/>
      <c r="X540" s="4"/>
      <c r="Y540" s="4"/>
      <c r="Z540" s="4"/>
      <c r="AA540" s="4"/>
    </row>
    <row r="541" spans="1:27" ht="16">
      <c r="A541" s="1"/>
      <c r="B541" s="2"/>
      <c r="C541" s="6"/>
      <c r="D541" s="2"/>
      <c r="E541" s="2"/>
      <c r="F541" s="2"/>
      <c r="G541" s="2"/>
      <c r="H541" s="1"/>
      <c r="I541" s="4"/>
      <c r="J541" s="4"/>
      <c r="K541" s="4"/>
      <c r="L541" s="4"/>
      <c r="M541" s="4"/>
      <c r="N541" s="4"/>
      <c r="O541" s="4"/>
      <c r="P541" s="4"/>
      <c r="Q541" s="4"/>
      <c r="R541" s="4"/>
      <c r="S541" s="4"/>
      <c r="T541" s="4"/>
      <c r="U541" s="4"/>
      <c r="V541" s="4"/>
      <c r="W541" s="4"/>
      <c r="X541" s="4"/>
      <c r="Y541" s="4"/>
      <c r="Z541" s="4"/>
      <c r="AA541" s="4"/>
    </row>
    <row r="542" spans="1:27" ht="16">
      <c r="A542" s="1"/>
      <c r="B542" s="2"/>
      <c r="C542" s="6"/>
      <c r="D542" s="2"/>
      <c r="E542" s="2"/>
      <c r="F542" s="2"/>
      <c r="G542" s="2"/>
      <c r="H542" s="1"/>
      <c r="I542" s="4"/>
      <c r="J542" s="4"/>
      <c r="K542" s="4"/>
      <c r="L542" s="4"/>
      <c r="M542" s="4"/>
      <c r="N542" s="4"/>
      <c r="O542" s="4"/>
      <c r="P542" s="4"/>
      <c r="Q542" s="4"/>
      <c r="R542" s="4"/>
      <c r="S542" s="4"/>
      <c r="T542" s="4"/>
      <c r="U542" s="4"/>
      <c r="V542" s="4"/>
      <c r="W542" s="4"/>
      <c r="X542" s="4"/>
      <c r="Y542" s="4"/>
      <c r="Z542" s="4"/>
      <c r="AA542" s="4"/>
    </row>
    <row r="543" spans="1:27" ht="16">
      <c r="A543" s="1"/>
      <c r="B543" s="2"/>
      <c r="C543" s="6"/>
      <c r="D543" s="2"/>
      <c r="E543" s="2"/>
      <c r="F543" s="2"/>
      <c r="G543" s="2"/>
      <c r="H543" s="1"/>
      <c r="I543" s="4"/>
      <c r="J543" s="4"/>
      <c r="K543" s="4"/>
      <c r="L543" s="4"/>
      <c r="M543" s="4"/>
      <c r="N543" s="4"/>
      <c r="O543" s="4"/>
      <c r="P543" s="4"/>
      <c r="Q543" s="4"/>
      <c r="R543" s="4"/>
      <c r="S543" s="4"/>
      <c r="T543" s="4"/>
      <c r="U543" s="4"/>
      <c r="V543" s="4"/>
      <c r="W543" s="4"/>
      <c r="X543" s="4"/>
      <c r="Y543" s="4"/>
      <c r="Z543" s="4"/>
      <c r="AA543" s="4"/>
    </row>
    <row r="544" spans="1:27" ht="16">
      <c r="A544" s="1"/>
      <c r="B544" s="2"/>
      <c r="C544" s="6"/>
      <c r="D544" s="2"/>
      <c r="E544" s="2"/>
      <c r="F544" s="2"/>
      <c r="G544" s="2"/>
      <c r="H544" s="1"/>
      <c r="I544" s="4"/>
      <c r="J544" s="4"/>
      <c r="K544" s="4"/>
      <c r="L544" s="4"/>
      <c r="M544" s="4"/>
      <c r="N544" s="4"/>
      <c r="O544" s="4"/>
      <c r="P544" s="4"/>
      <c r="Q544" s="4"/>
      <c r="R544" s="4"/>
      <c r="S544" s="4"/>
      <c r="T544" s="4"/>
      <c r="U544" s="4"/>
      <c r="V544" s="4"/>
      <c r="W544" s="4"/>
      <c r="X544" s="4"/>
      <c r="Y544" s="4"/>
      <c r="Z544" s="4"/>
      <c r="AA544" s="4"/>
    </row>
    <row r="545" spans="1:27" ht="16">
      <c r="A545" s="1"/>
      <c r="B545" s="2"/>
      <c r="C545" s="6"/>
      <c r="D545" s="2"/>
      <c r="E545" s="2"/>
      <c r="F545" s="2"/>
      <c r="G545" s="2"/>
      <c r="H545" s="1"/>
      <c r="I545" s="4"/>
      <c r="J545" s="4"/>
      <c r="K545" s="4"/>
      <c r="L545" s="4"/>
      <c r="M545" s="4"/>
      <c r="N545" s="4"/>
      <c r="O545" s="4"/>
      <c r="P545" s="4"/>
      <c r="Q545" s="4"/>
      <c r="R545" s="4"/>
      <c r="S545" s="4"/>
      <c r="T545" s="4"/>
      <c r="U545" s="4"/>
      <c r="V545" s="4"/>
      <c r="W545" s="4"/>
      <c r="X545" s="4"/>
      <c r="Y545" s="4"/>
      <c r="Z545" s="4"/>
      <c r="AA545" s="4"/>
    </row>
    <row r="546" spans="1:27" ht="16">
      <c r="A546" s="1"/>
      <c r="B546" s="2"/>
      <c r="C546" s="6"/>
      <c r="D546" s="2"/>
      <c r="E546" s="2"/>
      <c r="F546" s="2"/>
      <c r="G546" s="2"/>
      <c r="H546" s="1"/>
      <c r="I546" s="4"/>
      <c r="J546" s="4"/>
      <c r="K546" s="4"/>
      <c r="L546" s="4"/>
      <c r="M546" s="4"/>
      <c r="N546" s="4"/>
      <c r="O546" s="4"/>
      <c r="P546" s="4"/>
      <c r="Q546" s="4"/>
      <c r="R546" s="4"/>
      <c r="S546" s="4"/>
      <c r="T546" s="4"/>
      <c r="U546" s="4"/>
      <c r="V546" s="4"/>
      <c r="W546" s="4"/>
      <c r="X546" s="4"/>
      <c r="Y546" s="4"/>
      <c r="Z546" s="4"/>
      <c r="AA546" s="4"/>
    </row>
    <row r="547" spans="1:27" ht="16">
      <c r="A547" s="1"/>
      <c r="B547" s="2"/>
      <c r="C547" s="6"/>
      <c r="D547" s="2"/>
      <c r="E547" s="2"/>
      <c r="F547" s="2"/>
      <c r="G547" s="2"/>
      <c r="H547" s="1"/>
      <c r="I547" s="4"/>
      <c r="J547" s="4"/>
      <c r="K547" s="4"/>
      <c r="L547" s="4"/>
      <c r="M547" s="4"/>
      <c r="N547" s="4"/>
      <c r="O547" s="4"/>
      <c r="P547" s="4"/>
      <c r="Q547" s="4"/>
      <c r="R547" s="4"/>
      <c r="S547" s="4"/>
      <c r="T547" s="4"/>
      <c r="U547" s="4"/>
      <c r="V547" s="4"/>
      <c r="W547" s="4"/>
      <c r="X547" s="4"/>
      <c r="Y547" s="4"/>
      <c r="Z547" s="4"/>
      <c r="AA547" s="4"/>
    </row>
    <row r="548" spans="1:27" ht="16">
      <c r="A548" s="1"/>
      <c r="B548" s="2"/>
      <c r="C548" s="6"/>
      <c r="D548" s="2"/>
      <c r="E548" s="2"/>
      <c r="F548" s="2"/>
      <c r="G548" s="2"/>
      <c r="H548" s="1"/>
      <c r="I548" s="4"/>
      <c r="J548" s="4"/>
      <c r="K548" s="4"/>
      <c r="L548" s="4"/>
      <c r="M548" s="4"/>
      <c r="N548" s="4"/>
      <c r="O548" s="4"/>
      <c r="P548" s="4"/>
      <c r="Q548" s="4"/>
      <c r="R548" s="4"/>
      <c r="S548" s="4"/>
      <c r="T548" s="4"/>
      <c r="U548" s="4"/>
      <c r="V548" s="4"/>
      <c r="W548" s="4"/>
      <c r="X548" s="4"/>
      <c r="Y548" s="4"/>
      <c r="Z548" s="4"/>
      <c r="AA548" s="4"/>
    </row>
    <row r="549" spans="1:27" ht="16">
      <c r="A549" s="1"/>
      <c r="B549" s="2"/>
      <c r="C549" s="6"/>
      <c r="D549" s="2"/>
      <c r="E549" s="2"/>
      <c r="F549" s="2"/>
      <c r="G549" s="2"/>
      <c r="H549" s="1"/>
      <c r="I549" s="4"/>
      <c r="J549" s="4"/>
      <c r="K549" s="4"/>
      <c r="L549" s="4"/>
      <c r="M549" s="4"/>
      <c r="N549" s="4"/>
      <c r="O549" s="4"/>
      <c r="P549" s="4"/>
      <c r="Q549" s="4"/>
      <c r="R549" s="4"/>
      <c r="S549" s="4"/>
      <c r="T549" s="4"/>
      <c r="U549" s="4"/>
      <c r="V549" s="4"/>
      <c r="W549" s="4"/>
      <c r="X549" s="4"/>
      <c r="Y549" s="4"/>
      <c r="Z549" s="4"/>
      <c r="AA549" s="4"/>
    </row>
    <row r="550" spans="1:27" ht="16">
      <c r="A550" s="1"/>
      <c r="B550" s="2"/>
      <c r="C550" s="6"/>
      <c r="D550" s="2"/>
      <c r="E550" s="2"/>
      <c r="F550" s="2"/>
      <c r="G550" s="2"/>
      <c r="H550" s="1"/>
      <c r="I550" s="4"/>
      <c r="J550" s="4"/>
      <c r="K550" s="4"/>
      <c r="L550" s="4"/>
      <c r="M550" s="4"/>
      <c r="N550" s="4"/>
      <c r="O550" s="4"/>
      <c r="P550" s="4"/>
      <c r="Q550" s="4"/>
      <c r="R550" s="4"/>
      <c r="S550" s="4"/>
      <c r="T550" s="4"/>
      <c r="U550" s="4"/>
      <c r="V550" s="4"/>
      <c r="W550" s="4"/>
      <c r="X550" s="4"/>
      <c r="Y550" s="4"/>
      <c r="Z550" s="4"/>
      <c r="AA550" s="4"/>
    </row>
    <row r="551" spans="1:27" ht="16">
      <c r="A551" s="1"/>
      <c r="B551" s="2"/>
      <c r="C551" s="6"/>
      <c r="D551" s="2"/>
      <c r="E551" s="2"/>
      <c r="F551" s="2"/>
      <c r="G551" s="2"/>
      <c r="H551" s="1"/>
      <c r="I551" s="4"/>
      <c r="J551" s="4"/>
      <c r="K551" s="4"/>
      <c r="L551" s="4"/>
      <c r="M551" s="4"/>
      <c r="N551" s="4"/>
      <c r="O551" s="4"/>
      <c r="P551" s="4"/>
      <c r="Q551" s="4"/>
      <c r="R551" s="4"/>
      <c r="S551" s="4"/>
      <c r="T551" s="4"/>
      <c r="U551" s="4"/>
      <c r="V551" s="4"/>
      <c r="W551" s="4"/>
      <c r="X551" s="4"/>
      <c r="Y551" s="4"/>
      <c r="Z551" s="4"/>
      <c r="AA551" s="4"/>
    </row>
    <row r="552" spans="1:27" ht="16">
      <c r="A552" s="1"/>
      <c r="B552" s="2"/>
      <c r="C552" s="6"/>
      <c r="D552" s="2"/>
      <c r="E552" s="2"/>
      <c r="F552" s="2"/>
      <c r="G552" s="2"/>
      <c r="H552" s="1"/>
      <c r="I552" s="4"/>
      <c r="J552" s="4"/>
      <c r="K552" s="4"/>
      <c r="L552" s="4"/>
      <c r="M552" s="4"/>
      <c r="N552" s="4"/>
      <c r="O552" s="4"/>
      <c r="P552" s="4"/>
      <c r="Q552" s="4"/>
      <c r="R552" s="4"/>
      <c r="S552" s="4"/>
      <c r="T552" s="4"/>
      <c r="U552" s="4"/>
      <c r="V552" s="4"/>
      <c r="W552" s="4"/>
      <c r="X552" s="4"/>
      <c r="Y552" s="4"/>
      <c r="Z552" s="4"/>
      <c r="AA552" s="4"/>
    </row>
    <row r="553" spans="1:27" ht="16">
      <c r="A553" s="1"/>
      <c r="B553" s="2"/>
      <c r="C553" s="6"/>
      <c r="D553" s="2"/>
      <c r="E553" s="2"/>
      <c r="F553" s="2"/>
      <c r="G553" s="2"/>
      <c r="H553" s="1"/>
      <c r="I553" s="4"/>
      <c r="J553" s="4"/>
      <c r="K553" s="4"/>
      <c r="L553" s="4"/>
      <c r="M553" s="4"/>
      <c r="N553" s="4"/>
      <c r="O553" s="4"/>
      <c r="P553" s="4"/>
      <c r="Q553" s="4"/>
      <c r="R553" s="4"/>
      <c r="S553" s="4"/>
      <c r="T553" s="4"/>
      <c r="U553" s="4"/>
      <c r="V553" s="4"/>
      <c r="W553" s="4"/>
      <c r="X553" s="4"/>
      <c r="Y553" s="4"/>
      <c r="Z553" s="4"/>
      <c r="AA553" s="4"/>
    </row>
    <row r="554" spans="1:27" ht="16">
      <c r="A554" s="1"/>
      <c r="B554" s="2"/>
      <c r="C554" s="6"/>
      <c r="D554" s="2"/>
      <c r="E554" s="2"/>
      <c r="F554" s="2"/>
      <c r="G554" s="2"/>
      <c r="H554" s="1"/>
      <c r="I554" s="4"/>
      <c r="J554" s="4"/>
      <c r="K554" s="4"/>
      <c r="L554" s="4"/>
      <c r="M554" s="4"/>
      <c r="N554" s="4"/>
      <c r="O554" s="4"/>
      <c r="P554" s="4"/>
      <c r="Q554" s="4"/>
      <c r="R554" s="4"/>
      <c r="S554" s="4"/>
      <c r="T554" s="4"/>
      <c r="U554" s="4"/>
      <c r="V554" s="4"/>
      <c r="W554" s="4"/>
      <c r="X554" s="4"/>
      <c r="Y554" s="4"/>
      <c r="Z554" s="4"/>
      <c r="AA554" s="4"/>
    </row>
    <row r="555" spans="1:27" ht="16">
      <c r="A555" s="1"/>
      <c r="B555" s="2"/>
      <c r="C555" s="6"/>
      <c r="D555" s="2"/>
      <c r="E555" s="2"/>
      <c r="F555" s="2"/>
      <c r="G555" s="2"/>
      <c r="H555" s="1"/>
      <c r="I555" s="4"/>
      <c r="J555" s="4"/>
      <c r="K555" s="4"/>
      <c r="L555" s="4"/>
      <c r="M555" s="4"/>
      <c r="N555" s="4"/>
      <c r="O555" s="4"/>
      <c r="P555" s="4"/>
      <c r="Q555" s="4"/>
      <c r="R555" s="4"/>
      <c r="S555" s="4"/>
      <c r="T555" s="4"/>
      <c r="U555" s="4"/>
      <c r="V555" s="4"/>
      <c r="W555" s="4"/>
      <c r="X555" s="4"/>
      <c r="Y555" s="4"/>
      <c r="Z555" s="4"/>
      <c r="AA555" s="4"/>
    </row>
    <row r="556" spans="1:27" ht="16">
      <c r="A556" s="1"/>
      <c r="B556" s="2"/>
      <c r="C556" s="6"/>
      <c r="D556" s="2"/>
      <c r="E556" s="2"/>
      <c r="F556" s="2"/>
      <c r="G556" s="2"/>
      <c r="H556" s="1"/>
      <c r="I556" s="4"/>
      <c r="J556" s="4"/>
      <c r="K556" s="4"/>
      <c r="L556" s="4"/>
      <c r="M556" s="4"/>
      <c r="N556" s="4"/>
      <c r="O556" s="4"/>
      <c r="P556" s="4"/>
      <c r="Q556" s="4"/>
      <c r="R556" s="4"/>
      <c r="S556" s="4"/>
      <c r="T556" s="4"/>
      <c r="U556" s="4"/>
      <c r="V556" s="4"/>
      <c r="W556" s="4"/>
      <c r="X556" s="4"/>
      <c r="Y556" s="4"/>
      <c r="Z556" s="4"/>
      <c r="AA556" s="4"/>
    </row>
    <row r="557" spans="1:27" ht="16">
      <c r="A557" s="1"/>
      <c r="B557" s="2"/>
      <c r="C557" s="6"/>
      <c r="D557" s="2"/>
      <c r="E557" s="2"/>
      <c r="F557" s="2"/>
      <c r="G557" s="2"/>
      <c r="H557" s="1"/>
      <c r="I557" s="4"/>
      <c r="J557" s="4"/>
      <c r="K557" s="4"/>
      <c r="L557" s="4"/>
      <c r="M557" s="4"/>
      <c r="N557" s="4"/>
      <c r="O557" s="4"/>
      <c r="P557" s="4"/>
      <c r="Q557" s="4"/>
      <c r="R557" s="4"/>
      <c r="S557" s="4"/>
      <c r="T557" s="4"/>
      <c r="U557" s="4"/>
      <c r="V557" s="4"/>
      <c r="W557" s="4"/>
      <c r="X557" s="4"/>
      <c r="Y557" s="4"/>
      <c r="Z557" s="4"/>
      <c r="AA557" s="4"/>
    </row>
    <row r="558" spans="1:27" ht="16">
      <c r="A558" s="1"/>
      <c r="B558" s="2"/>
      <c r="C558" s="6"/>
      <c r="D558" s="2"/>
      <c r="E558" s="2"/>
      <c r="F558" s="2"/>
      <c r="G558" s="2"/>
      <c r="H558" s="1"/>
      <c r="I558" s="4"/>
      <c r="J558" s="4"/>
      <c r="K558" s="4"/>
      <c r="L558" s="4"/>
      <c r="M558" s="4"/>
      <c r="N558" s="4"/>
      <c r="O558" s="4"/>
      <c r="P558" s="4"/>
      <c r="Q558" s="4"/>
      <c r="R558" s="4"/>
      <c r="S558" s="4"/>
      <c r="T558" s="4"/>
      <c r="U558" s="4"/>
      <c r="V558" s="4"/>
      <c r="W558" s="4"/>
      <c r="X558" s="4"/>
      <c r="Y558" s="4"/>
      <c r="Z558" s="4"/>
      <c r="AA558" s="4"/>
    </row>
    <row r="559" spans="1:27" ht="16">
      <c r="A559" s="1"/>
      <c r="B559" s="2"/>
      <c r="C559" s="6"/>
      <c r="D559" s="2"/>
      <c r="E559" s="2"/>
      <c r="F559" s="2"/>
      <c r="G559" s="2"/>
      <c r="H559" s="1"/>
      <c r="I559" s="4"/>
      <c r="J559" s="4"/>
      <c r="K559" s="4"/>
      <c r="L559" s="4"/>
      <c r="M559" s="4"/>
      <c r="N559" s="4"/>
      <c r="O559" s="4"/>
      <c r="P559" s="4"/>
      <c r="Q559" s="4"/>
      <c r="R559" s="4"/>
      <c r="S559" s="4"/>
      <c r="T559" s="4"/>
      <c r="U559" s="4"/>
      <c r="V559" s="4"/>
      <c r="W559" s="4"/>
      <c r="X559" s="4"/>
      <c r="Y559" s="4"/>
      <c r="Z559" s="4"/>
      <c r="AA559" s="4"/>
    </row>
    <row r="560" spans="1:27" ht="16">
      <c r="A560" s="1"/>
      <c r="B560" s="2"/>
      <c r="C560" s="6"/>
      <c r="D560" s="2"/>
      <c r="E560" s="2"/>
      <c r="F560" s="2"/>
      <c r="G560" s="2"/>
      <c r="H560" s="1"/>
      <c r="I560" s="4"/>
      <c r="J560" s="4"/>
      <c r="K560" s="4"/>
      <c r="L560" s="4"/>
      <c r="M560" s="4"/>
      <c r="N560" s="4"/>
      <c r="O560" s="4"/>
      <c r="P560" s="4"/>
      <c r="Q560" s="4"/>
      <c r="R560" s="4"/>
      <c r="S560" s="4"/>
      <c r="T560" s="4"/>
      <c r="U560" s="4"/>
      <c r="V560" s="4"/>
      <c r="W560" s="4"/>
      <c r="X560" s="4"/>
      <c r="Y560" s="4"/>
      <c r="Z560" s="4"/>
      <c r="AA560" s="4"/>
    </row>
    <row r="561" spans="1:27" ht="16">
      <c r="A561" s="1"/>
      <c r="B561" s="2"/>
      <c r="C561" s="6"/>
      <c r="D561" s="2"/>
      <c r="E561" s="2"/>
      <c r="F561" s="2"/>
      <c r="G561" s="2"/>
      <c r="H561" s="1"/>
      <c r="I561" s="4"/>
      <c r="J561" s="4"/>
      <c r="K561" s="4"/>
      <c r="L561" s="4"/>
      <c r="M561" s="4"/>
      <c r="N561" s="4"/>
      <c r="O561" s="4"/>
      <c r="P561" s="4"/>
      <c r="Q561" s="4"/>
      <c r="R561" s="4"/>
      <c r="S561" s="4"/>
      <c r="T561" s="4"/>
      <c r="U561" s="4"/>
      <c r="V561" s="4"/>
      <c r="W561" s="4"/>
      <c r="X561" s="4"/>
      <c r="Y561" s="4"/>
      <c r="Z561" s="4"/>
      <c r="AA561" s="4"/>
    </row>
    <row r="562" spans="1:27" ht="16">
      <c r="A562" s="1"/>
      <c r="B562" s="2"/>
      <c r="C562" s="6"/>
      <c r="D562" s="2"/>
      <c r="E562" s="2"/>
      <c r="F562" s="2"/>
      <c r="G562" s="2"/>
      <c r="H562" s="1"/>
      <c r="I562" s="4"/>
      <c r="J562" s="4"/>
      <c r="K562" s="4"/>
      <c r="L562" s="4"/>
      <c r="M562" s="4"/>
      <c r="N562" s="4"/>
      <c r="O562" s="4"/>
      <c r="P562" s="4"/>
      <c r="Q562" s="4"/>
      <c r="R562" s="4"/>
      <c r="S562" s="4"/>
      <c r="T562" s="4"/>
      <c r="U562" s="4"/>
      <c r="V562" s="4"/>
      <c r="W562" s="4"/>
      <c r="X562" s="4"/>
      <c r="Y562" s="4"/>
      <c r="Z562" s="4"/>
      <c r="AA562" s="4"/>
    </row>
    <row r="563" spans="1:27" ht="16">
      <c r="A563" s="1"/>
      <c r="B563" s="2"/>
      <c r="C563" s="6"/>
      <c r="D563" s="2"/>
      <c r="E563" s="2"/>
      <c r="F563" s="2"/>
      <c r="G563" s="2"/>
      <c r="H563" s="1"/>
      <c r="I563" s="4"/>
      <c r="J563" s="4"/>
      <c r="K563" s="4"/>
      <c r="L563" s="4"/>
      <c r="M563" s="4"/>
      <c r="N563" s="4"/>
      <c r="O563" s="4"/>
      <c r="P563" s="4"/>
      <c r="Q563" s="4"/>
      <c r="R563" s="4"/>
      <c r="S563" s="4"/>
      <c r="T563" s="4"/>
      <c r="U563" s="4"/>
      <c r="V563" s="4"/>
      <c r="W563" s="4"/>
      <c r="X563" s="4"/>
      <c r="Y563" s="4"/>
      <c r="Z563" s="4"/>
      <c r="AA563" s="4"/>
    </row>
    <row r="564" spans="1:27" ht="16">
      <c r="A564" s="1"/>
      <c r="B564" s="2"/>
      <c r="C564" s="6"/>
      <c r="D564" s="2"/>
      <c r="E564" s="2"/>
      <c r="F564" s="2"/>
      <c r="G564" s="2"/>
      <c r="H564" s="1"/>
      <c r="I564" s="4"/>
      <c r="J564" s="4"/>
      <c r="K564" s="4"/>
      <c r="L564" s="4"/>
      <c r="M564" s="4"/>
      <c r="N564" s="4"/>
      <c r="O564" s="4"/>
      <c r="P564" s="4"/>
      <c r="Q564" s="4"/>
      <c r="R564" s="4"/>
      <c r="S564" s="4"/>
      <c r="T564" s="4"/>
      <c r="U564" s="4"/>
      <c r="V564" s="4"/>
      <c r="W564" s="4"/>
      <c r="X564" s="4"/>
      <c r="Y564" s="4"/>
      <c r="Z564" s="4"/>
      <c r="AA564" s="4"/>
    </row>
    <row r="565" spans="1:27" ht="16">
      <c r="A565" s="1"/>
      <c r="B565" s="2"/>
      <c r="C565" s="6"/>
      <c r="D565" s="2"/>
      <c r="E565" s="2"/>
      <c r="F565" s="2"/>
      <c r="G565" s="2"/>
      <c r="H565" s="1"/>
      <c r="I565" s="4"/>
      <c r="J565" s="4"/>
      <c r="K565" s="4"/>
      <c r="L565" s="4"/>
      <c r="M565" s="4"/>
      <c r="N565" s="4"/>
      <c r="O565" s="4"/>
      <c r="P565" s="4"/>
      <c r="Q565" s="4"/>
      <c r="R565" s="4"/>
      <c r="S565" s="4"/>
      <c r="T565" s="4"/>
      <c r="U565" s="4"/>
      <c r="V565" s="4"/>
      <c r="W565" s="4"/>
      <c r="X565" s="4"/>
      <c r="Y565" s="4"/>
      <c r="Z565" s="4"/>
      <c r="AA565" s="4"/>
    </row>
    <row r="566" spans="1:27" ht="16">
      <c r="A566" s="1"/>
      <c r="B566" s="2"/>
      <c r="C566" s="6"/>
      <c r="D566" s="2"/>
      <c r="E566" s="2"/>
      <c r="F566" s="2"/>
      <c r="G566" s="2"/>
      <c r="H566" s="1"/>
      <c r="I566" s="4"/>
      <c r="J566" s="4"/>
      <c r="K566" s="4"/>
      <c r="L566" s="4"/>
      <c r="M566" s="4"/>
      <c r="N566" s="4"/>
      <c r="O566" s="4"/>
      <c r="P566" s="4"/>
      <c r="Q566" s="4"/>
      <c r="R566" s="4"/>
      <c r="S566" s="4"/>
      <c r="T566" s="4"/>
      <c r="U566" s="4"/>
      <c r="V566" s="4"/>
      <c r="W566" s="4"/>
      <c r="X566" s="4"/>
      <c r="Y566" s="4"/>
      <c r="Z566" s="4"/>
      <c r="AA566" s="4"/>
    </row>
    <row r="567" spans="1:27" ht="16">
      <c r="A567" s="1"/>
      <c r="B567" s="2"/>
      <c r="C567" s="6"/>
      <c r="D567" s="2"/>
      <c r="E567" s="2"/>
      <c r="F567" s="2"/>
      <c r="G567" s="2"/>
      <c r="H567" s="1"/>
      <c r="I567" s="4"/>
      <c r="J567" s="4"/>
      <c r="K567" s="4"/>
      <c r="L567" s="4"/>
      <c r="M567" s="4"/>
      <c r="N567" s="4"/>
      <c r="O567" s="4"/>
      <c r="P567" s="4"/>
      <c r="Q567" s="4"/>
      <c r="R567" s="4"/>
      <c r="S567" s="4"/>
      <c r="T567" s="4"/>
      <c r="U567" s="4"/>
      <c r="V567" s="4"/>
      <c r="W567" s="4"/>
      <c r="X567" s="4"/>
      <c r="Y567" s="4"/>
      <c r="Z567" s="4"/>
      <c r="AA567" s="4"/>
    </row>
    <row r="568" spans="1:27" ht="16">
      <c r="A568" s="1"/>
      <c r="B568" s="2"/>
      <c r="C568" s="6"/>
      <c r="D568" s="2"/>
      <c r="E568" s="2"/>
      <c r="F568" s="2"/>
      <c r="G568" s="2"/>
      <c r="H568" s="1"/>
      <c r="I568" s="4"/>
      <c r="J568" s="4"/>
      <c r="K568" s="4"/>
      <c r="L568" s="4"/>
      <c r="M568" s="4"/>
      <c r="N568" s="4"/>
      <c r="O568" s="4"/>
      <c r="P568" s="4"/>
      <c r="Q568" s="4"/>
      <c r="R568" s="4"/>
      <c r="S568" s="4"/>
      <c r="T568" s="4"/>
      <c r="U568" s="4"/>
      <c r="V568" s="4"/>
      <c r="W568" s="4"/>
      <c r="X568" s="4"/>
      <c r="Y568" s="4"/>
      <c r="Z568" s="4"/>
      <c r="AA568" s="4"/>
    </row>
    <row r="569" spans="1:27" ht="16">
      <c r="A569" s="1"/>
      <c r="B569" s="2"/>
      <c r="C569" s="6"/>
      <c r="D569" s="2"/>
      <c r="E569" s="2"/>
      <c r="F569" s="2"/>
      <c r="G569" s="2"/>
      <c r="H569" s="1"/>
      <c r="I569" s="4"/>
      <c r="J569" s="4"/>
      <c r="K569" s="4"/>
      <c r="L569" s="4"/>
      <c r="M569" s="4"/>
      <c r="N569" s="4"/>
      <c r="O569" s="4"/>
      <c r="P569" s="4"/>
      <c r="Q569" s="4"/>
      <c r="R569" s="4"/>
      <c r="S569" s="4"/>
      <c r="T569" s="4"/>
      <c r="U569" s="4"/>
      <c r="V569" s="4"/>
      <c r="W569" s="4"/>
      <c r="X569" s="4"/>
      <c r="Y569" s="4"/>
      <c r="Z569" s="4"/>
      <c r="AA569" s="4"/>
    </row>
    <row r="570" spans="1:27" ht="16">
      <c r="A570" s="1"/>
      <c r="B570" s="2"/>
      <c r="C570" s="6"/>
      <c r="D570" s="2"/>
      <c r="E570" s="2"/>
      <c r="F570" s="2"/>
      <c r="G570" s="2"/>
      <c r="H570" s="1"/>
      <c r="I570" s="4"/>
      <c r="J570" s="4"/>
      <c r="K570" s="4"/>
      <c r="L570" s="4"/>
      <c r="M570" s="4"/>
      <c r="N570" s="4"/>
      <c r="O570" s="4"/>
      <c r="P570" s="4"/>
      <c r="Q570" s="4"/>
      <c r="R570" s="4"/>
      <c r="S570" s="4"/>
      <c r="T570" s="4"/>
      <c r="U570" s="4"/>
      <c r="V570" s="4"/>
      <c r="W570" s="4"/>
      <c r="X570" s="4"/>
      <c r="Y570" s="4"/>
      <c r="Z570" s="4"/>
      <c r="AA570" s="4"/>
    </row>
    <row r="571" spans="1:27" ht="16">
      <c r="A571" s="1"/>
      <c r="B571" s="2"/>
      <c r="C571" s="6"/>
      <c r="D571" s="2"/>
      <c r="E571" s="2"/>
      <c r="F571" s="2"/>
      <c r="G571" s="2"/>
      <c r="H571" s="1"/>
      <c r="I571" s="4"/>
      <c r="J571" s="4"/>
      <c r="K571" s="4"/>
      <c r="L571" s="4"/>
      <c r="M571" s="4"/>
      <c r="N571" s="4"/>
      <c r="O571" s="4"/>
      <c r="P571" s="4"/>
      <c r="Q571" s="4"/>
      <c r="R571" s="4"/>
      <c r="S571" s="4"/>
      <c r="T571" s="4"/>
      <c r="U571" s="4"/>
      <c r="V571" s="4"/>
      <c r="W571" s="4"/>
      <c r="X571" s="4"/>
      <c r="Y571" s="4"/>
      <c r="Z571" s="4"/>
      <c r="AA571" s="4"/>
    </row>
    <row r="572" spans="1:27" ht="16">
      <c r="A572" s="1"/>
      <c r="B572" s="2"/>
      <c r="C572" s="6"/>
      <c r="D572" s="2"/>
      <c r="E572" s="2"/>
      <c r="F572" s="2"/>
      <c r="G572" s="2"/>
      <c r="H572" s="1"/>
      <c r="I572" s="4"/>
      <c r="J572" s="4"/>
      <c r="K572" s="4"/>
      <c r="L572" s="4"/>
      <c r="M572" s="4"/>
      <c r="N572" s="4"/>
      <c r="O572" s="4"/>
      <c r="P572" s="4"/>
      <c r="Q572" s="4"/>
      <c r="R572" s="4"/>
      <c r="S572" s="4"/>
      <c r="T572" s="4"/>
      <c r="U572" s="4"/>
      <c r="V572" s="4"/>
      <c r="W572" s="4"/>
      <c r="X572" s="4"/>
      <c r="Y572" s="4"/>
      <c r="Z572" s="4"/>
      <c r="AA572" s="4"/>
    </row>
    <row r="573" spans="1:27" ht="16">
      <c r="A573" s="1"/>
      <c r="B573" s="2"/>
      <c r="C573" s="6"/>
      <c r="D573" s="2"/>
      <c r="E573" s="2"/>
      <c r="F573" s="2"/>
      <c r="G573" s="2"/>
      <c r="H573" s="1"/>
      <c r="I573" s="4"/>
      <c r="J573" s="4"/>
      <c r="K573" s="4"/>
      <c r="L573" s="4"/>
      <c r="M573" s="4"/>
      <c r="N573" s="4"/>
      <c r="O573" s="4"/>
      <c r="P573" s="4"/>
      <c r="Q573" s="4"/>
      <c r="R573" s="4"/>
      <c r="S573" s="4"/>
      <c r="T573" s="4"/>
      <c r="U573" s="4"/>
      <c r="V573" s="4"/>
      <c r="W573" s="4"/>
      <c r="X573" s="4"/>
      <c r="Y573" s="4"/>
      <c r="Z573" s="4"/>
      <c r="AA573" s="4"/>
    </row>
    <row r="574" spans="1:27" ht="16">
      <c r="A574" s="1"/>
      <c r="B574" s="2"/>
      <c r="C574" s="6"/>
      <c r="D574" s="2"/>
      <c r="E574" s="2"/>
      <c r="F574" s="2"/>
      <c r="G574" s="2"/>
      <c r="H574" s="1"/>
      <c r="I574" s="4"/>
      <c r="J574" s="4"/>
      <c r="K574" s="4"/>
      <c r="L574" s="4"/>
      <c r="M574" s="4"/>
      <c r="N574" s="4"/>
      <c r="O574" s="4"/>
      <c r="P574" s="4"/>
      <c r="Q574" s="4"/>
      <c r="R574" s="4"/>
      <c r="S574" s="4"/>
      <c r="T574" s="4"/>
      <c r="U574" s="4"/>
      <c r="V574" s="4"/>
      <c r="W574" s="4"/>
      <c r="X574" s="4"/>
      <c r="Y574" s="4"/>
      <c r="Z574" s="4"/>
      <c r="AA574" s="4"/>
    </row>
    <row r="575" spans="1:27" ht="16">
      <c r="A575" s="1"/>
      <c r="B575" s="2"/>
      <c r="C575" s="6"/>
      <c r="D575" s="2"/>
      <c r="E575" s="2"/>
      <c r="F575" s="2"/>
      <c r="G575" s="2"/>
      <c r="H575" s="1"/>
      <c r="I575" s="4"/>
      <c r="J575" s="4"/>
      <c r="K575" s="4"/>
      <c r="L575" s="4"/>
      <c r="M575" s="4"/>
      <c r="N575" s="4"/>
      <c r="O575" s="4"/>
      <c r="P575" s="4"/>
      <c r="Q575" s="4"/>
      <c r="R575" s="4"/>
      <c r="S575" s="4"/>
      <c r="T575" s="4"/>
      <c r="U575" s="4"/>
      <c r="V575" s="4"/>
      <c r="W575" s="4"/>
      <c r="X575" s="4"/>
      <c r="Y575" s="4"/>
      <c r="Z575" s="4"/>
      <c r="AA575" s="4"/>
    </row>
    <row r="576" spans="1:27" ht="16">
      <c r="A576" s="1"/>
      <c r="B576" s="2"/>
      <c r="C576" s="6"/>
      <c r="D576" s="2"/>
      <c r="E576" s="2"/>
      <c r="F576" s="2"/>
      <c r="G576" s="2"/>
      <c r="H576" s="1"/>
      <c r="I576" s="4"/>
      <c r="J576" s="4"/>
      <c r="K576" s="4"/>
      <c r="L576" s="4"/>
      <c r="M576" s="4"/>
      <c r="N576" s="4"/>
      <c r="O576" s="4"/>
      <c r="P576" s="4"/>
      <c r="Q576" s="4"/>
      <c r="R576" s="4"/>
      <c r="S576" s="4"/>
      <c r="T576" s="4"/>
      <c r="U576" s="4"/>
      <c r="V576" s="4"/>
      <c r="W576" s="4"/>
      <c r="X576" s="4"/>
      <c r="Y576" s="4"/>
      <c r="Z576" s="4"/>
      <c r="AA576" s="4"/>
    </row>
    <row r="577" spans="1:27" ht="16">
      <c r="A577" s="1"/>
      <c r="B577" s="2"/>
      <c r="C577" s="6"/>
      <c r="D577" s="2"/>
      <c r="E577" s="2"/>
      <c r="F577" s="2"/>
      <c r="G577" s="2"/>
      <c r="H577" s="1"/>
      <c r="I577" s="4"/>
      <c r="J577" s="4"/>
      <c r="K577" s="4"/>
      <c r="L577" s="4"/>
      <c r="M577" s="4"/>
      <c r="N577" s="4"/>
      <c r="O577" s="4"/>
      <c r="P577" s="4"/>
      <c r="Q577" s="4"/>
      <c r="R577" s="4"/>
      <c r="S577" s="4"/>
      <c r="T577" s="4"/>
      <c r="U577" s="4"/>
      <c r="V577" s="4"/>
      <c r="W577" s="4"/>
      <c r="X577" s="4"/>
      <c r="Y577" s="4"/>
      <c r="Z577" s="4"/>
      <c r="AA577" s="4"/>
    </row>
    <row r="578" spans="1:27" ht="16">
      <c r="A578" s="1"/>
      <c r="B578" s="2"/>
      <c r="C578" s="6"/>
      <c r="D578" s="2"/>
      <c r="E578" s="2"/>
      <c r="F578" s="2"/>
      <c r="G578" s="2"/>
      <c r="H578" s="1"/>
      <c r="I578" s="4"/>
      <c r="J578" s="4"/>
      <c r="K578" s="4"/>
      <c r="L578" s="4"/>
      <c r="M578" s="4"/>
      <c r="N578" s="4"/>
      <c r="O578" s="4"/>
      <c r="P578" s="4"/>
      <c r="Q578" s="4"/>
      <c r="R578" s="4"/>
      <c r="S578" s="4"/>
      <c r="T578" s="4"/>
      <c r="U578" s="4"/>
      <c r="V578" s="4"/>
      <c r="W578" s="4"/>
      <c r="X578" s="4"/>
      <c r="Y578" s="4"/>
      <c r="Z578" s="4"/>
      <c r="AA578" s="4"/>
    </row>
    <row r="579" spans="1:27" ht="16">
      <c r="A579" s="1"/>
      <c r="B579" s="2"/>
      <c r="C579" s="6"/>
      <c r="D579" s="2"/>
      <c r="E579" s="2"/>
      <c r="F579" s="2"/>
      <c r="G579" s="2"/>
      <c r="H579" s="1"/>
      <c r="I579" s="4"/>
      <c r="J579" s="4"/>
      <c r="K579" s="4"/>
      <c r="L579" s="4"/>
      <c r="M579" s="4"/>
      <c r="N579" s="4"/>
      <c r="O579" s="4"/>
      <c r="P579" s="4"/>
      <c r="Q579" s="4"/>
      <c r="R579" s="4"/>
      <c r="S579" s="4"/>
      <c r="T579" s="4"/>
      <c r="U579" s="4"/>
      <c r="V579" s="4"/>
      <c r="W579" s="4"/>
      <c r="X579" s="4"/>
      <c r="Y579" s="4"/>
      <c r="Z579" s="4"/>
      <c r="AA579" s="4"/>
    </row>
    <row r="580" spans="1:27" ht="16">
      <c r="A580" s="1"/>
      <c r="B580" s="2"/>
      <c r="C580" s="6"/>
      <c r="D580" s="2"/>
      <c r="E580" s="2"/>
      <c r="F580" s="2"/>
      <c r="G580" s="2"/>
      <c r="H580" s="1"/>
      <c r="I580" s="4"/>
      <c r="J580" s="4"/>
      <c r="K580" s="4"/>
      <c r="L580" s="4"/>
      <c r="M580" s="4"/>
      <c r="N580" s="4"/>
      <c r="O580" s="4"/>
      <c r="P580" s="4"/>
      <c r="Q580" s="4"/>
      <c r="R580" s="4"/>
      <c r="S580" s="4"/>
      <c r="T580" s="4"/>
      <c r="U580" s="4"/>
      <c r="V580" s="4"/>
      <c r="W580" s="4"/>
      <c r="X580" s="4"/>
      <c r="Y580" s="4"/>
      <c r="Z580" s="4"/>
      <c r="AA580" s="4"/>
    </row>
    <row r="581" spans="1:27" ht="16">
      <c r="A581" s="1"/>
      <c r="B581" s="2"/>
      <c r="C581" s="6"/>
      <c r="D581" s="2"/>
      <c r="E581" s="2"/>
      <c r="F581" s="2"/>
      <c r="G581" s="2"/>
      <c r="H581" s="1"/>
      <c r="I581" s="4"/>
      <c r="J581" s="4"/>
      <c r="K581" s="4"/>
      <c r="L581" s="4"/>
      <c r="M581" s="4"/>
      <c r="N581" s="4"/>
      <c r="O581" s="4"/>
      <c r="P581" s="4"/>
      <c r="Q581" s="4"/>
      <c r="R581" s="4"/>
      <c r="S581" s="4"/>
      <c r="T581" s="4"/>
      <c r="U581" s="4"/>
      <c r="V581" s="4"/>
      <c r="W581" s="4"/>
      <c r="X581" s="4"/>
      <c r="Y581" s="4"/>
      <c r="Z581" s="4"/>
      <c r="AA581" s="4"/>
    </row>
    <row r="582" spans="1:27" ht="16">
      <c r="A582" s="1"/>
      <c r="B582" s="2"/>
      <c r="C582" s="6"/>
      <c r="D582" s="2"/>
      <c r="E582" s="2"/>
      <c r="F582" s="2"/>
      <c r="G582" s="2"/>
      <c r="H582" s="1"/>
      <c r="I582" s="4"/>
      <c r="J582" s="4"/>
      <c r="K582" s="4"/>
      <c r="L582" s="4"/>
      <c r="M582" s="4"/>
      <c r="N582" s="4"/>
      <c r="O582" s="4"/>
      <c r="P582" s="4"/>
      <c r="Q582" s="4"/>
      <c r="R582" s="4"/>
      <c r="S582" s="4"/>
      <c r="T582" s="4"/>
      <c r="U582" s="4"/>
      <c r="V582" s="4"/>
      <c r="W582" s="4"/>
      <c r="X582" s="4"/>
      <c r="Y582" s="4"/>
      <c r="Z582" s="4"/>
      <c r="AA582" s="4"/>
    </row>
    <row r="583" spans="1:27" ht="16">
      <c r="A583" s="1"/>
      <c r="B583" s="2"/>
      <c r="C583" s="6"/>
      <c r="D583" s="2"/>
      <c r="E583" s="2"/>
      <c r="F583" s="2"/>
      <c r="G583" s="2"/>
      <c r="H583" s="1"/>
      <c r="I583" s="4"/>
      <c r="J583" s="4"/>
      <c r="K583" s="4"/>
      <c r="L583" s="4"/>
      <c r="M583" s="4"/>
      <c r="N583" s="4"/>
      <c r="O583" s="4"/>
      <c r="P583" s="4"/>
      <c r="Q583" s="4"/>
      <c r="R583" s="4"/>
      <c r="S583" s="4"/>
      <c r="T583" s="4"/>
      <c r="U583" s="4"/>
      <c r="V583" s="4"/>
      <c r="W583" s="4"/>
      <c r="X583" s="4"/>
      <c r="Y583" s="4"/>
      <c r="Z583" s="4"/>
      <c r="AA583" s="4"/>
    </row>
    <row r="584" spans="1:27" ht="16">
      <c r="A584" s="1"/>
      <c r="B584" s="2"/>
      <c r="C584" s="6"/>
      <c r="D584" s="2"/>
      <c r="E584" s="2"/>
      <c r="F584" s="2"/>
      <c r="G584" s="2"/>
      <c r="H584" s="1"/>
      <c r="I584" s="4"/>
      <c r="J584" s="4"/>
      <c r="K584" s="4"/>
      <c r="L584" s="4"/>
      <c r="M584" s="4"/>
      <c r="N584" s="4"/>
      <c r="O584" s="4"/>
      <c r="P584" s="4"/>
      <c r="Q584" s="4"/>
      <c r="R584" s="4"/>
      <c r="S584" s="4"/>
      <c r="T584" s="4"/>
      <c r="U584" s="4"/>
      <c r="V584" s="4"/>
      <c r="W584" s="4"/>
      <c r="X584" s="4"/>
      <c r="Y584" s="4"/>
      <c r="Z584" s="4"/>
      <c r="AA584" s="4"/>
    </row>
    <row r="585" spans="1:27" ht="16">
      <c r="A585" s="1"/>
      <c r="B585" s="2"/>
      <c r="C585" s="6"/>
      <c r="D585" s="2"/>
      <c r="E585" s="2"/>
      <c r="F585" s="2"/>
      <c r="G585" s="2"/>
      <c r="H585" s="1"/>
      <c r="I585" s="4"/>
      <c r="J585" s="4"/>
      <c r="K585" s="4"/>
      <c r="L585" s="4"/>
      <c r="M585" s="4"/>
      <c r="N585" s="4"/>
      <c r="O585" s="4"/>
      <c r="P585" s="4"/>
      <c r="Q585" s="4"/>
      <c r="R585" s="4"/>
      <c r="S585" s="4"/>
      <c r="T585" s="4"/>
      <c r="U585" s="4"/>
      <c r="V585" s="4"/>
      <c r="W585" s="4"/>
      <c r="X585" s="4"/>
      <c r="Y585" s="4"/>
      <c r="Z585" s="4"/>
      <c r="AA585" s="4"/>
    </row>
    <row r="586" spans="1:27" ht="16">
      <c r="A586" s="1"/>
      <c r="B586" s="2"/>
      <c r="C586" s="6"/>
      <c r="D586" s="2"/>
      <c r="E586" s="2"/>
      <c r="F586" s="2"/>
      <c r="G586" s="2"/>
      <c r="H586" s="1"/>
      <c r="I586" s="4"/>
      <c r="J586" s="4"/>
      <c r="K586" s="4"/>
      <c r="L586" s="4"/>
      <c r="M586" s="4"/>
      <c r="N586" s="4"/>
      <c r="O586" s="4"/>
      <c r="P586" s="4"/>
      <c r="Q586" s="4"/>
      <c r="R586" s="4"/>
      <c r="S586" s="4"/>
      <c r="T586" s="4"/>
      <c r="U586" s="4"/>
      <c r="V586" s="4"/>
      <c r="W586" s="4"/>
      <c r="X586" s="4"/>
      <c r="Y586" s="4"/>
      <c r="Z586" s="4"/>
      <c r="AA586" s="4"/>
    </row>
    <row r="587" spans="1:27" ht="16">
      <c r="A587" s="1"/>
      <c r="B587" s="2"/>
      <c r="C587" s="6"/>
      <c r="D587" s="2"/>
      <c r="E587" s="2"/>
      <c r="F587" s="2"/>
      <c r="G587" s="2"/>
      <c r="H587" s="1"/>
      <c r="I587" s="4"/>
      <c r="J587" s="4"/>
      <c r="K587" s="4"/>
      <c r="L587" s="4"/>
      <c r="M587" s="4"/>
      <c r="N587" s="4"/>
      <c r="O587" s="4"/>
      <c r="P587" s="4"/>
      <c r="Q587" s="4"/>
      <c r="R587" s="4"/>
      <c r="S587" s="4"/>
      <c r="T587" s="4"/>
      <c r="U587" s="4"/>
      <c r="V587" s="4"/>
      <c r="W587" s="4"/>
      <c r="X587" s="4"/>
      <c r="Y587" s="4"/>
      <c r="Z587" s="4"/>
      <c r="AA587" s="4"/>
    </row>
    <row r="588" spans="1:27" ht="16">
      <c r="A588" s="1"/>
      <c r="B588" s="2"/>
      <c r="C588" s="6"/>
      <c r="D588" s="2"/>
      <c r="E588" s="2"/>
      <c r="F588" s="2"/>
      <c r="G588" s="2"/>
      <c r="H588" s="1"/>
      <c r="I588" s="4"/>
      <c r="J588" s="4"/>
      <c r="K588" s="4"/>
      <c r="L588" s="4"/>
      <c r="M588" s="4"/>
      <c r="N588" s="4"/>
      <c r="O588" s="4"/>
      <c r="P588" s="4"/>
      <c r="Q588" s="4"/>
      <c r="R588" s="4"/>
      <c r="S588" s="4"/>
      <c r="T588" s="4"/>
      <c r="U588" s="4"/>
      <c r="V588" s="4"/>
      <c r="W588" s="4"/>
      <c r="X588" s="4"/>
      <c r="Y588" s="4"/>
      <c r="Z588" s="4"/>
      <c r="AA588" s="4"/>
    </row>
    <row r="589" spans="1:27" ht="16">
      <c r="A589" s="1"/>
      <c r="B589" s="2"/>
      <c r="C589" s="6"/>
      <c r="D589" s="2"/>
      <c r="E589" s="2"/>
      <c r="F589" s="2"/>
      <c r="G589" s="2"/>
      <c r="H589" s="1"/>
      <c r="I589" s="4"/>
      <c r="J589" s="4"/>
      <c r="K589" s="4"/>
      <c r="L589" s="4"/>
      <c r="M589" s="4"/>
      <c r="N589" s="4"/>
      <c r="O589" s="4"/>
      <c r="P589" s="4"/>
      <c r="Q589" s="4"/>
      <c r="R589" s="4"/>
      <c r="S589" s="4"/>
      <c r="T589" s="4"/>
      <c r="U589" s="4"/>
      <c r="V589" s="4"/>
      <c r="W589" s="4"/>
      <c r="X589" s="4"/>
      <c r="Y589" s="4"/>
      <c r="Z589" s="4"/>
      <c r="AA589" s="4"/>
    </row>
    <row r="590" spans="1:27" ht="16">
      <c r="A590" s="1"/>
      <c r="B590" s="2"/>
      <c r="C590" s="6"/>
      <c r="D590" s="2"/>
      <c r="E590" s="2"/>
      <c r="F590" s="2"/>
      <c r="G590" s="2"/>
      <c r="H590" s="1"/>
      <c r="I590" s="4"/>
      <c r="J590" s="4"/>
      <c r="K590" s="4"/>
      <c r="L590" s="4"/>
      <c r="M590" s="4"/>
      <c r="N590" s="4"/>
      <c r="O590" s="4"/>
      <c r="P590" s="4"/>
      <c r="Q590" s="4"/>
      <c r="R590" s="4"/>
      <c r="S590" s="4"/>
      <c r="T590" s="4"/>
      <c r="U590" s="4"/>
      <c r="V590" s="4"/>
      <c r="W590" s="4"/>
      <c r="X590" s="4"/>
      <c r="Y590" s="4"/>
      <c r="Z590" s="4"/>
      <c r="AA590" s="4"/>
    </row>
    <row r="591" spans="1:27" ht="16">
      <c r="A591" s="1"/>
      <c r="B591" s="2"/>
      <c r="C591" s="6"/>
      <c r="D591" s="2"/>
      <c r="E591" s="2"/>
      <c r="F591" s="2"/>
      <c r="G591" s="2"/>
      <c r="H591" s="1"/>
      <c r="I591" s="4"/>
      <c r="J591" s="4"/>
      <c r="K591" s="4"/>
      <c r="L591" s="4"/>
      <c r="M591" s="4"/>
      <c r="N591" s="4"/>
      <c r="O591" s="4"/>
      <c r="P591" s="4"/>
      <c r="Q591" s="4"/>
      <c r="R591" s="4"/>
      <c r="S591" s="4"/>
      <c r="T591" s="4"/>
      <c r="U591" s="4"/>
      <c r="V591" s="4"/>
      <c r="W591" s="4"/>
      <c r="X591" s="4"/>
      <c r="Y591" s="4"/>
      <c r="Z591" s="4"/>
      <c r="AA591" s="4"/>
    </row>
    <row r="592" spans="1:27" ht="16">
      <c r="A592" s="1"/>
      <c r="B592" s="2"/>
      <c r="C592" s="6"/>
      <c r="D592" s="2"/>
      <c r="E592" s="2"/>
      <c r="F592" s="2"/>
      <c r="G592" s="2"/>
      <c r="H592" s="1"/>
      <c r="I592" s="4"/>
      <c r="J592" s="4"/>
      <c r="K592" s="4"/>
      <c r="L592" s="4"/>
      <c r="M592" s="4"/>
      <c r="N592" s="4"/>
      <c r="O592" s="4"/>
      <c r="P592" s="4"/>
      <c r="Q592" s="4"/>
      <c r="R592" s="4"/>
      <c r="S592" s="4"/>
      <c r="T592" s="4"/>
      <c r="U592" s="4"/>
      <c r="V592" s="4"/>
      <c r="W592" s="4"/>
      <c r="X592" s="4"/>
      <c r="Y592" s="4"/>
      <c r="Z592" s="4"/>
      <c r="AA592" s="4"/>
    </row>
    <row r="593" spans="1:27" ht="16">
      <c r="A593" s="1"/>
      <c r="B593" s="2"/>
      <c r="C593" s="6"/>
      <c r="D593" s="2"/>
      <c r="E593" s="2"/>
      <c r="F593" s="2"/>
      <c r="G593" s="2"/>
      <c r="H593" s="1"/>
      <c r="I593" s="4"/>
      <c r="J593" s="4"/>
      <c r="K593" s="4"/>
      <c r="L593" s="4"/>
      <c r="M593" s="4"/>
      <c r="N593" s="4"/>
      <c r="O593" s="4"/>
      <c r="P593" s="4"/>
      <c r="Q593" s="4"/>
      <c r="R593" s="4"/>
      <c r="S593" s="4"/>
      <c r="T593" s="4"/>
      <c r="U593" s="4"/>
      <c r="V593" s="4"/>
      <c r="W593" s="4"/>
      <c r="X593" s="4"/>
      <c r="Y593" s="4"/>
      <c r="Z593" s="4"/>
      <c r="AA593" s="4"/>
    </row>
    <row r="594" spans="1:27" ht="16">
      <c r="A594" s="1"/>
      <c r="B594" s="2"/>
      <c r="C594" s="6"/>
      <c r="D594" s="2"/>
      <c r="E594" s="2"/>
      <c r="F594" s="2"/>
      <c r="G594" s="2"/>
      <c r="H594" s="1"/>
      <c r="I594" s="4"/>
      <c r="J594" s="4"/>
      <c r="K594" s="4"/>
      <c r="L594" s="4"/>
      <c r="M594" s="4"/>
      <c r="N594" s="4"/>
      <c r="O594" s="4"/>
      <c r="P594" s="4"/>
      <c r="Q594" s="4"/>
      <c r="R594" s="4"/>
      <c r="S594" s="4"/>
      <c r="T594" s="4"/>
      <c r="U594" s="4"/>
      <c r="V594" s="4"/>
      <c r="W594" s="4"/>
      <c r="X594" s="4"/>
      <c r="Y594" s="4"/>
      <c r="Z594" s="4"/>
      <c r="AA594" s="4"/>
    </row>
    <row r="595" spans="1:27" ht="16">
      <c r="A595" s="1"/>
      <c r="B595" s="2"/>
      <c r="C595" s="6"/>
      <c r="D595" s="2"/>
      <c r="E595" s="2"/>
      <c r="F595" s="2"/>
      <c r="G595" s="2"/>
      <c r="H595" s="1"/>
      <c r="I595" s="4"/>
      <c r="J595" s="4"/>
      <c r="K595" s="4"/>
      <c r="L595" s="4"/>
      <c r="M595" s="4"/>
      <c r="N595" s="4"/>
      <c r="O595" s="4"/>
      <c r="P595" s="4"/>
      <c r="Q595" s="4"/>
      <c r="R595" s="4"/>
      <c r="S595" s="4"/>
      <c r="T595" s="4"/>
      <c r="U595" s="4"/>
      <c r="V595" s="4"/>
      <c r="W595" s="4"/>
      <c r="X595" s="4"/>
      <c r="Y595" s="4"/>
      <c r="Z595" s="4"/>
      <c r="AA595" s="4"/>
    </row>
    <row r="596" spans="1:27" ht="16">
      <c r="A596" s="1"/>
      <c r="B596" s="2"/>
      <c r="C596" s="6"/>
      <c r="D596" s="2"/>
      <c r="E596" s="2"/>
      <c r="F596" s="2"/>
      <c r="G596" s="2"/>
      <c r="H596" s="1"/>
      <c r="I596" s="4"/>
      <c r="J596" s="4"/>
      <c r="K596" s="4"/>
      <c r="L596" s="4"/>
      <c r="M596" s="4"/>
      <c r="N596" s="4"/>
      <c r="O596" s="4"/>
      <c r="P596" s="4"/>
      <c r="Q596" s="4"/>
      <c r="R596" s="4"/>
      <c r="S596" s="4"/>
      <c r="T596" s="4"/>
      <c r="U596" s="4"/>
      <c r="V596" s="4"/>
      <c r="W596" s="4"/>
      <c r="X596" s="4"/>
      <c r="Y596" s="4"/>
      <c r="Z596" s="4"/>
      <c r="AA596" s="4"/>
    </row>
    <row r="597" spans="1:27" ht="16">
      <c r="A597" s="1"/>
      <c r="B597" s="2"/>
      <c r="C597" s="6"/>
      <c r="D597" s="2"/>
      <c r="E597" s="2"/>
      <c r="F597" s="2"/>
      <c r="G597" s="2"/>
      <c r="H597" s="1"/>
      <c r="I597" s="4"/>
      <c r="J597" s="4"/>
      <c r="K597" s="4"/>
      <c r="L597" s="4"/>
      <c r="M597" s="4"/>
      <c r="N597" s="4"/>
      <c r="O597" s="4"/>
      <c r="P597" s="4"/>
      <c r="Q597" s="4"/>
      <c r="R597" s="4"/>
      <c r="S597" s="4"/>
      <c r="T597" s="4"/>
      <c r="U597" s="4"/>
      <c r="V597" s="4"/>
      <c r="W597" s="4"/>
      <c r="X597" s="4"/>
      <c r="Y597" s="4"/>
      <c r="Z597" s="4"/>
      <c r="AA597" s="4"/>
    </row>
    <row r="598" spans="1:27" ht="16">
      <c r="A598" s="1"/>
      <c r="B598" s="2"/>
      <c r="C598" s="6"/>
      <c r="D598" s="2"/>
      <c r="E598" s="2"/>
      <c r="F598" s="2"/>
      <c r="G598" s="2"/>
      <c r="H598" s="1"/>
      <c r="I598" s="4"/>
      <c r="J598" s="4"/>
      <c r="K598" s="4"/>
      <c r="L598" s="4"/>
      <c r="M598" s="4"/>
      <c r="N598" s="4"/>
      <c r="O598" s="4"/>
      <c r="P598" s="4"/>
      <c r="Q598" s="4"/>
      <c r="R598" s="4"/>
      <c r="S598" s="4"/>
      <c r="T598" s="4"/>
      <c r="U598" s="4"/>
      <c r="V598" s="4"/>
      <c r="W598" s="4"/>
      <c r="X598" s="4"/>
      <c r="Y598" s="4"/>
      <c r="Z598" s="4"/>
      <c r="AA598" s="4"/>
    </row>
    <row r="599" spans="1:27" ht="16">
      <c r="A599" s="1"/>
      <c r="B599" s="2"/>
      <c r="C599" s="6"/>
      <c r="D599" s="2"/>
      <c r="E599" s="2"/>
      <c r="F599" s="2"/>
      <c r="G599" s="2"/>
      <c r="H599" s="1"/>
      <c r="I599" s="4"/>
      <c r="J599" s="4"/>
      <c r="K599" s="4"/>
      <c r="L599" s="4"/>
      <c r="M599" s="4"/>
      <c r="N599" s="4"/>
      <c r="O599" s="4"/>
      <c r="P599" s="4"/>
      <c r="Q599" s="4"/>
      <c r="R599" s="4"/>
      <c r="S599" s="4"/>
      <c r="T599" s="4"/>
      <c r="U599" s="4"/>
      <c r="V599" s="4"/>
      <c r="W599" s="4"/>
      <c r="X599" s="4"/>
      <c r="Y599" s="4"/>
      <c r="Z599" s="4"/>
      <c r="AA599" s="4"/>
    </row>
    <row r="600" spans="1:27" ht="16">
      <c r="A600" s="1"/>
      <c r="B600" s="2"/>
      <c r="C600" s="6"/>
      <c r="D600" s="2"/>
      <c r="E600" s="2"/>
      <c r="F600" s="2"/>
      <c r="G600" s="2"/>
      <c r="H600" s="1"/>
      <c r="I600" s="4"/>
      <c r="J600" s="4"/>
      <c r="K600" s="4"/>
      <c r="L600" s="4"/>
      <c r="M600" s="4"/>
      <c r="N600" s="4"/>
      <c r="O600" s="4"/>
      <c r="P600" s="4"/>
      <c r="Q600" s="4"/>
      <c r="R600" s="4"/>
      <c r="S600" s="4"/>
      <c r="T600" s="4"/>
      <c r="U600" s="4"/>
      <c r="V600" s="4"/>
      <c r="W600" s="4"/>
      <c r="X600" s="4"/>
      <c r="Y600" s="4"/>
      <c r="Z600" s="4"/>
      <c r="AA600" s="4"/>
    </row>
    <row r="601" spans="1:27" ht="16">
      <c r="A601" s="1"/>
      <c r="B601" s="2"/>
      <c r="C601" s="6"/>
      <c r="D601" s="2"/>
      <c r="E601" s="2"/>
      <c r="F601" s="2"/>
      <c r="G601" s="2"/>
      <c r="H601" s="1"/>
      <c r="I601" s="4"/>
      <c r="J601" s="4"/>
      <c r="K601" s="4"/>
      <c r="L601" s="4"/>
      <c r="M601" s="4"/>
      <c r="N601" s="4"/>
      <c r="O601" s="4"/>
      <c r="P601" s="4"/>
      <c r="Q601" s="4"/>
      <c r="R601" s="4"/>
      <c r="S601" s="4"/>
      <c r="T601" s="4"/>
      <c r="U601" s="4"/>
      <c r="V601" s="4"/>
      <c r="W601" s="4"/>
      <c r="X601" s="4"/>
      <c r="Y601" s="4"/>
      <c r="Z601" s="4"/>
      <c r="AA601" s="4"/>
    </row>
    <row r="602" spans="1:27" ht="16">
      <c r="A602" s="1"/>
      <c r="B602" s="2"/>
      <c r="C602" s="6"/>
      <c r="D602" s="2"/>
      <c r="E602" s="2"/>
      <c r="F602" s="2"/>
      <c r="G602" s="2"/>
      <c r="H602" s="1"/>
      <c r="I602" s="4"/>
      <c r="J602" s="4"/>
      <c r="K602" s="4"/>
      <c r="L602" s="4"/>
      <c r="M602" s="4"/>
      <c r="N602" s="4"/>
      <c r="O602" s="4"/>
      <c r="P602" s="4"/>
      <c r="Q602" s="4"/>
      <c r="R602" s="4"/>
      <c r="S602" s="4"/>
      <c r="T602" s="4"/>
      <c r="U602" s="4"/>
      <c r="V602" s="4"/>
      <c r="W602" s="4"/>
      <c r="X602" s="4"/>
      <c r="Y602" s="4"/>
      <c r="Z602" s="4"/>
      <c r="AA602" s="4"/>
    </row>
    <row r="603" spans="1:27" ht="16">
      <c r="A603" s="1"/>
      <c r="B603" s="2"/>
      <c r="C603" s="6"/>
      <c r="D603" s="2"/>
      <c r="E603" s="2"/>
      <c r="F603" s="2"/>
      <c r="G603" s="2"/>
      <c r="H603" s="1"/>
      <c r="I603" s="4"/>
      <c r="J603" s="4"/>
      <c r="K603" s="4"/>
      <c r="L603" s="4"/>
      <c r="M603" s="4"/>
      <c r="N603" s="4"/>
      <c r="O603" s="4"/>
      <c r="P603" s="4"/>
      <c r="Q603" s="4"/>
      <c r="R603" s="4"/>
      <c r="S603" s="4"/>
      <c r="T603" s="4"/>
      <c r="U603" s="4"/>
      <c r="V603" s="4"/>
      <c r="W603" s="4"/>
      <c r="X603" s="4"/>
      <c r="Y603" s="4"/>
      <c r="Z603" s="4"/>
      <c r="AA603" s="4"/>
    </row>
    <row r="604" spans="1:27" ht="16">
      <c r="A604" s="1"/>
      <c r="B604" s="2"/>
      <c r="C604" s="6"/>
      <c r="D604" s="2"/>
      <c r="E604" s="2"/>
      <c r="F604" s="2"/>
      <c r="G604" s="2"/>
      <c r="H604" s="1"/>
      <c r="I604" s="4"/>
      <c r="J604" s="4"/>
      <c r="K604" s="4"/>
      <c r="L604" s="4"/>
      <c r="M604" s="4"/>
      <c r="N604" s="4"/>
      <c r="O604" s="4"/>
      <c r="P604" s="4"/>
      <c r="Q604" s="4"/>
      <c r="R604" s="4"/>
      <c r="S604" s="4"/>
      <c r="T604" s="4"/>
      <c r="U604" s="4"/>
      <c r="V604" s="4"/>
      <c r="W604" s="4"/>
      <c r="X604" s="4"/>
      <c r="Y604" s="4"/>
      <c r="Z604" s="4"/>
      <c r="AA604" s="4"/>
    </row>
    <row r="605" spans="1:27" ht="16">
      <c r="A605" s="1"/>
      <c r="B605" s="2"/>
      <c r="C605" s="6"/>
      <c r="D605" s="2"/>
      <c r="E605" s="2"/>
      <c r="F605" s="2"/>
      <c r="G605" s="2"/>
      <c r="H605" s="1"/>
      <c r="I605" s="4"/>
      <c r="J605" s="4"/>
      <c r="K605" s="4"/>
      <c r="L605" s="4"/>
      <c r="M605" s="4"/>
      <c r="N605" s="4"/>
      <c r="O605" s="4"/>
      <c r="P605" s="4"/>
      <c r="Q605" s="4"/>
      <c r="R605" s="4"/>
      <c r="S605" s="4"/>
      <c r="T605" s="4"/>
      <c r="U605" s="4"/>
      <c r="V605" s="4"/>
      <c r="W605" s="4"/>
      <c r="X605" s="4"/>
      <c r="Y605" s="4"/>
      <c r="Z605" s="4"/>
      <c r="AA605" s="4"/>
    </row>
    <row r="606" spans="1:27" ht="16">
      <c r="A606" s="1"/>
      <c r="B606" s="2"/>
      <c r="C606" s="6"/>
      <c r="D606" s="2"/>
      <c r="E606" s="2"/>
      <c r="F606" s="2"/>
      <c r="G606" s="2"/>
      <c r="H606" s="1"/>
      <c r="I606" s="4"/>
      <c r="J606" s="4"/>
      <c r="K606" s="4"/>
      <c r="L606" s="4"/>
      <c r="M606" s="4"/>
      <c r="N606" s="4"/>
      <c r="O606" s="4"/>
      <c r="P606" s="4"/>
      <c r="Q606" s="4"/>
      <c r="R606" s="4"/>
      <c r="S606" s="4"/>
      <c r="T606" s="4"/>
      <c r="U606" s="4"/>
      <c r="V606" s="4"/>
      <c r="W606" s="4"/>
      <c r="X606" s="4"/>
      <c r="Y606" s="4"/>
      <c r="Z606" s="4"/>
      <c r="AA606" s="4"/>
    </row>
    <row r="607" spans="1:27" ht="16">
      <c r="A607" s="1"/>
      <c r="B607" s="2"/>
      <c r="C607" s="6"/>
      <c r="D607" s="2"/>
      <c r="E607" s="2"/>
      <c r="F607" s="2"/>
      <c r="G607" s="2"/>
      <c r="H607" s="1"/>
      <c r="I607" s="4"/>
      <c r="J607" s="4"/>
      <c r="K607" s="4"/>
      <c r="L607" s="4"/>
      <c r="M607" s="4"/>
      <c r="N607" s="4"/>
      <c r="O607" s="4"/>
      <c r="P607" s="4"/>
      <c r="Q607" s="4"/>
      <c r="R607" s="4"/>
      <c r="S607" s="4"/>
      <c r="T607" s="4"/>
      <c r="U607" s="4"/>
      <c r="V607" s="4"/>
      <c r="W607" s="4"/>
      <c r="X607" s="4"/>
      <c r="Y607" s="4"/>
      <c r="Z607" s="4"/>
      <c r="AA607" s="4"/>
    </row>
    <row r="608" spans="1:27" ht="16">
      <c r="A608" s="1"/>
      <c r="B608" s="2"/>
      <c r="C608" s="6"/>
      <c r="D608" s="2"/>
      <c r="E608" s="2"/>
      <c r="F608" s="2"/>
      <c r="G608" s="2"/>
      <c r="H608" s="1"/>
      <c r="I608" s="4"/>
      <c r="J608" s="4"/>
      <c r="K608" s="4"/>
      <c r="L608" s="4"/>
      <c r="M608" s="4"/>
      <c r="N608" s="4"/>
      <c r="O608" s="4"/>
      <c r="P608" s="4"/>
      <c r="Q608" s="4"/>
      <c r="R608" s="4"/>
      <c r="S608" s="4"/>
      <c r="T608" s="4"/>
      <c r="U608" s="4"/>
      <c r="V608" s="4"/>
      <c r="W608" s="4"/>
      <c r="X608" s="4"/>
      <c r="Y608" s="4"/>
      <c r="Z608" s="4"/>
      <c r="AA608" s="4"/>
    </row>
    <row r="609" spans="1:27" ht="16">
      <c r="A609" s="1"/>
      <c r="B609" s="2"/>
      <c r="C609" s="6"/>
      <c r="D609" s="2"/>
      <c r="E609" s="2"/>
      <c r="F609" s="2"/>
      <c r="G609" s="2"/>
      <c r="H609" s="1"/>
      <c r="I609" s="4"/>
      <c r="J609" s="4"/>
      <c r="K609" s="4"/>
      <c r="L609" s="4"/>
      <c r="M609" s="4"/>
      <c r="N609" s="4"/>
      <c r="O609" s="4"/>
      <c r="P609" s="4"/>
      <c r="Q609" s="4"/>
      <c r="R609" s="4"/>
      <c r="S609" s="4"/>
      <c r="T609" s="4"/>
      <c r="U609" s="4"/>
      <c r="V609" s="4"/>
      <c r="W609" s="4"/>
      <c r="X609" s="4"/>
      <c r="Y609" s="4"/>
      <c r="Z609" s="4"/>
      <c r="AA609" s="4"/>
    </row>
    <row r="610" spans="1:27" ht="16">
      <c r="A610" s="1"/>
      <c r="B610" s="2"/>
      <c r="C610" s="6"/>
      <c r="D610" s="2"/>
      <c r="E610" s="2"/>
      <c r="F610" s="2"/>
      <c r="G610" s="2"/>
      <c r="H610" s="1"/>
      <c r="I610" s="4"/>
      <c r="J610" s="4"/>
      <c r="K610" s="4"/>
      <c r="L610" s="4"/>
      <c r="M610" s="4"/>
      <c r="N610" s="4"/>
      <c r="O610" s="4"/>
      <c r="P610" s="4"/>
      <c r="Q610" s="4"/>
      <c r="R610" s="4"/>
      <c r="S610" s="4"/>
      <c r="T610" s="4"/>
      <c r="U610" s="4"/>
      <c r="V610" s="4"/>
      <c r="W610" s="4"/>
      <c r="X610" s="4"/>
      <c r="Y610" s="4"/>
      <c r="Z610" s="4"/>
      <c r="AA610" s="4"/>
    </row>
    <row r="611" spans="1:27" ht="16">
      <c r="A611" s="1"/>
      <c r="B611" s="2"/>
      <c r="C611" s="6"/>
      <c r="D611" s="2"/>
      <c r="E611" s="2"/>
      <c r="F611" s="2"/>
      <c r="G611" s="2"/>
      <c r="H611" s="1"/>
      <c r="I611" s="4"/>
      <c r="J611" s="4"/>
      <c r="K611" s="4"/>
      <c r="L611" s="4"/>
      <c r="M611" s="4"/>
      <c r="N611" s="4"/>
      <c r="O611" s="4"/>
      <c r="P611" s="4"/>
      <c r="Q611" s="4"/>
      <c r="R611" s="4"/>
      <c r="S611" s="4"/>
      <c r="T611" s="4"/>
      <c r="U611" s="4"/>
      <c r="V611" s="4"/>
      <c r="W611" s="4"/>
      <c r="X611" s="4"/>
      <c r="Y611" s="4"/>
      <c r="Z611" s="4"/>
      <c r="AA611" s="4"/>
    </row>
    <row r="612" spans="1:27" ht="16">
      <c r="A612" s="1"/>
      <c r="B612" s="2"/>
      <c r="C612" s="6"/>
      <c r="D612" s="2"/>
      <c r="E612" s="2"/>
      <c r="F612" s="2"/>
      <c r="G612" s="2"/>
      <c r="H612" s="1"/>
      <c r="I612" s="4"/>
      <c r="J612" s="4"/>
      <c r="K612" s="4"/>
      <c r="L612" s="4"/>
      <c r="M612" s="4"/>
      <c r="N612" s="4"/>
      <c r="O612" s="4"/>
      <c r="P612" s="4"/>
      <c r="Q612" s="4"/>
      <c r="R612" s="4"/>
      <c r="S612" s="4"/>
      <c r="T612" s="4"/>
      <c r="U612" s="4"/>
      <c r="V612" s="4"/>
      <c r="W612" s="4"/>
      <c r="X612" s="4"/>
      <c r="Y612" s="4"/>
      <c r="Z612" s="4"/>
      <c r="AA612" s="4"/>
    </row>
    <row r="613" spans="1:27" ht="16">
      <c r="A613" s="1"/>
      <c r="B613" s="2"/>
      <c r="C613" s="6"/>
      <c r="D613" s="2"/>
      <c r="E613" s="2"/>
      <c r="F613" s="2"/>
      <c r="G613" s="2"/>
      <c r="H613" s="1"/>
      <c r="I613" s="4"/>
      <c r="J613" s="4"/>
      <c r="K613" s="4"/>
      <c r="L613" s="4"/>
      <c r="M613" s="4"/>
      <c r="N613" s="4"/>
      <c r="O613" s="4"/>
      <c r="P613" s="4"/>
      <c r="Q613" s="4"/>
      <c r="R613" s="4"/>
      <c r="S613" s="4"/>
      <c r="T613" s="4"/>
      <c r="U613" s="4"/>
      <c r="V613" s="4"/>
      <c r="W613" s="4"/>
      <c r="X613" s="4"/>
      <c r="Y613" s="4"/>
      <c r="Z613" s="4"/>
      <c r="AA613" s="4"/>
    </row>
    <row r="614" spans="1:27" ht="16">
      <c r="A614" s="1"/>
      <c r="B614" s="2"/>
      <c r="C614" s="6"/>
      <c r="D614" s="2"/>
      <c r="E614" s="2"/>
      <c r="F614" s="2"/>
      <c r="G614" s="2"/>
      <c r="H614" s="1"/>
      <c r="I614" s="4"/>
      <c r="J614" s="4"/>
      <c r="K614" s="4"/>
      <c r="L614" s="4"/>
      <c r="M614" s="4"/>
      <c r="N614" s="4"/>
      <c r="O614" s="4"/>
      <c r="P614" s="4"/>
      <c r="Q614" s="4"/>
      <c r="R614" s="4"/>
      <c r="S614" s="4"/>
      <c r="T614" s="4"/>
      <c r="U614" s="4"/>
      <c r="V614" s="4"/>
      <c r="W614" s="4"/>
      <c r="X614" s="4"/>
      <c r="Y614" s="4"/>
      <c r="Z614" s="4"/>
      <c r="AA614" s="4"/>
    </row>
    <row r="615" spans="1:27" ht="16">
      <c r="A615" s="1"/>
      <c r="B615" s="2"/>
      <c r="C615" s="6"/>
      <c r="D615" s="2"/>
      <c r="E615" s="2"/>
      <c r="F615" s="2"/>
      <c r="G615" s="2"/>
      <c r="H615" s="1"/>
      <c r="I615" s="4"/>
      <c r="J615" s="4"/>
      <c r="K615" s="4"/>
      <c r="L615" s="4"/>
      <c r="M615" s="4"/>
      <c r="N615" s="4"/>
      <c r="O615" s="4"/>
      <c r="P615" s="4"/>
      <c r="Q615" s="4"/>
      <c r="R615" s="4"/>
      <c r="S615" s="4"/>
      <c r="T615" s="4"/>
      <c r="U615" s="4"/>
      <c r="V615" s="4"/>
      <c r="W615" s="4"/>
      <c r="X615" s="4"/>
      <c r="Y615" s="4"/>
      <c r="Z615" s="4"/>
      <c r="AA615" s="4"/>
    </row>
    <row r="616" spans="1:27" ht="16">
      <c r="A616" s="1"/>
      <c r="B616" s="2"/>
      <c r="C616" s="6"/>
      <c r="D616" s="2"/>
      <c r="E616" s="2"/>
      <c r="F616" s="2"/>
      <c r="G616" s="2"/>
      <c r="H616" s="1"/>
      <c r="I616" s="4"/>
      <c r="J616" s="4"/>
      <c r="K616" s="4"/>
      <c r="L616" s="4"/>
      <c r="M616" s="4"/>
      <c r="N616" s="4"/>
      <c r="O616" s="4"/>
      <c r="P616" s="4"/>
      <c r="Q616" s="4"/>
      <c r="R616" s="4"/>
      <c r="S616" s="4"/>
      <c r="T616" s="4"/>
      <c r="U616" s="4"/>
      <c r="V616" s="4"/>
      <c r="W616" s="4"/>
      <c r="X616" s="4"/>
      <c r="Y616" s="4"/>
      <c r="Z616" s="4"/>
      <c r="AA616" s="4"/>
    </row>
    <row r="617" spans="1:27" ht="16">
      <c r="A617" s="1"/>
      <c r="B617" s="2"/>
      <c r="C617" s="6"/>
      <c r="D617" s="2"/>
      <c r="E617" s="2"/>
      <c r="F617" s="2"/>
      <c r="G617" s="2"/>
      <c r="H617" s="1"/>
      <c r="I617" s="4"/>
      <c r="J617" s="4"/>
      <c r="K617" s="4"/>
      <c r="L617" s="4"/>
      <c r="M617" s="4"/>
      <c r="N617" s="4"/>
      <c r="O617" s="4"/>
      <c r="P617" s="4"/>
      <c r="Q617" s="4"/>
      <c r="R617" s="4"/>
      <c r="S617" s="4"/>
      <c r="T617" s="4"/>
      <c r="U617" s="4"/>
      <c r="V617" s="4"/>
      <c r="W617" s="4"/>
      <c r="X617" s="4"/>
      <c r="Y617" s="4"/>
      <c r="Z617" s="4"/>
      <c r="AA617" s="4"/>
    </row>
    <row r="618" spans="1:27" ht="16">
      <c r="A618" s="1"/>
      <c r="B618" s="2"/>
      <c r="C618" s="6"/>
      <c r="D618" s="2"/>
      <c r="E618" s="2"/>
      <c r="F618" s="2"/>
      <c r="G618" s="2"/>
      <c r="H618" s="1"/>
      <c r="I618" s="4"/>
      <c r="J618" s="4"/>
      <c r="K618" s="4"/>
      <c r="L618" s="4"/>
      <c r="M618" s="4"/>
      <c r="N618" s="4"/>
      <c r="O618" s="4"/>
      <c r="P618" s="4"/>
      <c r="Q618" s="4"/>
      <c r="R618" s="4"/>
      <c r="S618" s="4"/>
      <c r="T618" s="4"/>
      <c r="U618" s="4"/>
      <c r="V618" s="4"/>
      <c r="W618" s="4"/>
      <c r="X618" s="4"/>
      <c r="Y618" s="4"/>
      <c r="Z618" s="4"/>
      <c r="AA618" s="4"/>
    </row>
    <row r="619" spans="1:27" ht="16">
      <c r="A619" s="1"/>
      <c r="B619" s="2"/>
      <c r="C619" s="6"/>
      <c r="D619" s="2"/>
      <c r="E619" s="2"/>
      <c r="F619" s="2"/>
      <c r="G619" s="2"/>
      <c r="H619" s="1"/>
      <c r="I619" s="4"/>
      <c r="J619" s="4"/>
      <c r="K619" s="4"/>
      <c r="L619" s="4"/>
      <c r="M619" s="4"/>
      <c r="N619" s="4"/>
      <c r="O619" s="4"/>
      <c r="P619" s="4"/>
      <c r="Q619" s="4"/>
      <c r="R619" s="4"/>
      <c r="S619" s="4"/>
      <c r="T619" s="4"/>
      <c r="U619" s="4"/>
      <c r="V619" s="4"/>
      <c r="W619" s="4"/>
      <c r="X619" s="4"/>
      <c r="Y619" s="4"/>
      <c r="Z619" s="4"/>
      <c r="AA619" s="4"/>
    </row>
    <row r="620" spans="1:27" ht="16">
      <c r="A620" s="1"/>
      <c r="B620" s="2"/>
      <c r="C620" s="6"/>
      <c r="D620" s="2"/>
      <c r="E620" s="2"/>
      <c r="F620" s="2"/>
      <c r="G620" s="2"/>
      <c r="H620" s="1"/>
      <c r="I620" s="4"/>
      <c r="J620" s="4"/>
      <c r="K620" s="4"/>
      <c r="L620" s="4"/>
      <c r="M620" s="4"/>
      <c r="N620" s="4"/>
      <c r="O620" s="4"/>
      <c r="P620" s="4"/>
      <c r="Q620" s="4"/>
      <c r="R620" s="4"/>
      <c r="S620" s="4"/>
      <c r="T620" s="4"/>
      <c r="U620" s="4"/>
      <c r="V620" s="4"/>
      <c r="W620" s="4"/>
      <c r="X620" s="4"/>
      <c r="Y620" s="4"/>
      <c r="Z620" s="4"/>
      <c r="AA620" s="4"/>
    </row>
    <row r="621" spans="1:27" ht="16">
      <c r="A621" s="1"/>
      <c r="B621" s="2"/>
      <c r="C621" s="6"/>
      <c r="D621" s="2"/>
      <c r="E621" s="2"/>
      <c r="F621" s="2"/>
      <c r="G621" s="2"/>
      <c r="H621" s="1"/>
      <c r="I621" s="4"/>
      <c r="J621" s="4"/>
      <c r="K621" s="4"/>
      <c r="L621" s="4"/>
      <c r="M621" s="4"/>
      <c r="N621" s="4"/>
      <c r="O621" s="4"/>
      <c r="P621" s="4"/>
      <c r="Q621" s="4"/>
      <c r="R621" s="4"/>
      <c r="S621" s="4"/>
      <c r="T621" s="4"/>
      <c r="U621" s="4"/>
      <c r="V621" s="4"/>
      <c r="W621" s="4"/>
      <c r="X621" s="4"/>
      <c r="Y621" s="4"/>
      <c r="Z621" s="4"/>
      <c r="AA621" s="4"/>
    </row>
    <row r="622" spans="1:27" ht="16">
      <c r="A622" s="1"/>
      <c r="B622" s="2"/>
      <c r="C622" s="6"/>
      <c r="D622" s="2"/>
      <c r="E622" s="2"/>
      <c r="F622" s="2"/>
      <c r="G622" s="2"/>
      <c r="H622" s="1"/>
      <c r="I622" s="4"/>
      <c r="J622" s="4"/>
      <c r="K622" s="4"/>
      <c r="L622" s="4"/>
      <c r="M622" s="4"/>
      <c r="N622" s="4"/>
      <c r="O622" s="4"/>
      <c r="P622" s="4"/>
      <c r="Q622" s="4"/>
      <c r="R622" s="4"/>
      <c r="S622" s="4"/>
      <c r="T622" s="4"/>
      <c r="U622" s="4"/>
      <c r="V622" s="4"/>
      <c r="W622" s="4"/>
      <c r="X622" s="4"/>
      <c r="Y622" s="4"/>
      <c r="Z622" s="4"/>
      <c r="AA622" s="4"/>
    </row>
    <row r="623" spans="1:27" ht="16">
      <c r="A623" s="1"/>
      <c r="B623" s="2"/>
      <c r="C623" s="6"/>
      <c r="D623" s="2"/>
      <c r="E623" s="2"/>
      <c r="F623" s="2"/>
      <c r="G623" s="2"/>
      <c r="H623" s="1"/>
      <c r="I623" s="4"/>
      <c r="J623" s="4"/>
      <c r="K623" s="4"/>
      <c r="L623" s="4"/>
      <c r="M623" s="4"/>
      <c r="N623" s="4"/>
      <c r="O623" s="4"/>
      <c r="P623" s="4"/>
      <c r="Q623" s="4"/>
      <c r="R623" s="4"/>
      <c r="S623" s="4"/>
      <c r="T623" s="4"/>
      <c r="U623" s="4"/>
      <c r="V623" s="4"/>
      <c r="W623" s="4"/>
      <c r="X623" s="4"/>
      <c r="Y623" s="4"/>
      <c r="Z623" s="4"/>
      <c r="AA623" s="4"/>
    </row>
    <row r="624" spans="1:27" ht="16">
      <c r="A624" s="1"/>
      <c r="B624" s="2"/>
      <c r="C624" s="6"/>
      <c r="D624" s="2"/>
      <c r="E624" s="2"/>
      <c r="F624" s="2"/>
      <c r="G624" s="2"/>
      <c r="H624" s="1"/>
      <c r="I624" s="4"/>
      <c r="J624" s="4"/>
      <c r="K624" s="4"/>
      <c r="L624" s="4"/>
      <c r="M624" s="4"/>
      <c r="N624" s="4"/>
      <c r="O624" s="4"/>
      <c r="P624" s="4"/>
      <c r="Q624" s="4"/>
      <c r="R624" s="4"/>
      <c r="S624" s="4"/>
      <c r="T624" s="4"/>
      <c r="U624" s="4"/>
      <c r="V624" s="4"/>
      <c r="W624" s="4"/>
      <c r="X624" s="4"/>
      <c r="Y624" s="4"/>
      <c r="Z624" s="4"/>
      <c r="AA624" s="4"/>
    </row>
    <row r="625" spans="1:27" ht="16">
      <c r="A625" s="1"/>
      <c r="B625" s="2"/>
      <c r="C625" s="6"/>
      <c r="D625" s="2"/>
      <c r="E625" s="2"/>
      <c r="F625" s="2"/>
      <c r="G625" s="2"/>
      <c r="H625" s="1"/>
      <c r="I625" s="4"/>
      <c r="J625" s="4"/>
      <c r="K625" s="4"/>
      <c r="L625" s="4"/>
      <c r="M625" s="4"/>
      <c r="N625" s="4"/>
      <c r="O625" s="4"/>
      <c r="P625" s="4"/>
      <c r="Q625" s="4"/>
      <c r="R625" s="4"/>
      <c r="S625" s="4"/>
      <c r="T625" s="4"/>
      <c r="U625" s="4"/>
      <c r="V625" s="4"/>
      <c r="W625" s="4"/>
      <c r="X625" s="4"/>
      <c r="Y625" s="4"/>
      <c r="Z625" s="4"/>
      <c r="AA625" s="4"/>
    </row>
    <row r="626" spans="1:27" ht="16">
      <c r="A626" s="1"/>
      <c r="B626" s="2"/>
      <c r="C626" s="6"/>
      <c r="D626" s="2"/>
      <c r="E626" s="2"/>
      <c r="F626" s="2"/>
      <c r="G626" s="2"/>
      <c r="H626" s="1"/>
      <c r="I626" s="4"/>
      <c r="J626" s="4"/>
      <c r="K626" s="4"/>
      <c r="L626" s="4"/>
      <c r="M626" s="4"/>
      <c r="N626" s="4"/>
      <c r="O626" s="4"/>
      <c r="P626" s="4"/>
      <c r="Q626" s="4"/>
      <c r="R626" s="4"/>
      <c r="S626" s="4"/>
      <c r="T626" s="4"/>
      <c r="U626" s="4"/>
      <c r="V626" s="4"/>
      <c r="W626" s="4"/>
      <c r="X626" s="4"/>
      <c r="Y626" s="4"/>
      <c r="Z626" s="4"/>
      <c r="AA626" s="4"/>
    </row>
    <row r="627" spans="1:27" ht="16">
      <c r="A627" s="1"/>
      <c r="B627" s="2"/>
      <c r="C627" s="6"/>
      <c r="D627" s="2"/>
      <c r="E627" s="2"/>
      <c r="F627" s="2"/>
      <c r="G627" s="2"/>
      <c r="H627" s="1"/>
      <c r="I627" s="4"/>
      <c r="J627" s="4"/>
      <c r="K627" s="4"/>
      <c r="L627" s="4"/>
      <c r="M627" s="4"/>
      <c r="N627" s="4"/>
      <c r="O627" s="4"/>
      <c r="P627" s="4"/>
      <c r="Q627" s="4"/>
      <c r="R627" s="4"/>
      <c r="S627" s="4"/>
      <c r="T627" s="4"/>
      <c r="U627" s="4"/>
      <c r="V627" s="4"/>
      <c r="W627" s="4"/>
      <c r="X627" s="4"/>
      <c r="Y627" s="4"/>
      <c r="Z627" s="4"/>
      <c r="AA627" s="4"/>
    </row>
    <row r="628" spans="1:27" ht="16">
      <c r="A628" s="1"/>
      <c r="B628" s="2"/>
      <c r="C628" s="6"/>
      <c r="D628" s="2"/>
      <c r="E628" s="2"/>
      <c r="F628" s="2"/>
      <c r="G628" s="2"/>
      <c r="H628" s="1"/>
      <c r="I628" s="4"/>
      <c r="J628" s="4"/>
      <c r="K628" s="4"/>
      <c r="L628" s="4"/>
      <c r="M628" s="4"/>
      <c r="N628" s="4"/>
      <c r="O628" s="4"/>
      <c r="P628" s="4"/>
      <c r="Q628" s="4"/>
      <c r="R628" s="4"/>
      <c r="S628" s="4"/>
      <c r="T628" s="4"/>
      <c r="U628" s="4"/>
      <c r="V628" s="4"/>
      <c r="W628" s="4"/>
      <c r="X628" s="4"/>
      <c r="Y628" s="4"/>
      <c r="Z628" s="4"/>
      <c r="AA628" s="4"/>
    </row>
    <row r="629" spans="1:27" ht="16">
      <c r="A629" s="1"/>
      <c r="B629" s="2"/>
      <c r="C629" s="6"/>
      <c r="D629" s="2"/>
      <c r="E629" s="2"/>
      <c r="F629" s="2"/>
      <c r="G629" s="2"/>
      <c r="H629" s="1"/>
      <c r="I629" s="4"/>
      <c r="J629" s="4"/>
      <c r="K629" s="4"/>
      <c r="L629" s="4"/>
      <c r="M629" s="4"/>
      <c r="N629" s="4"/>
      <c r="O629" s="4"/>
      <c r="P629" s="4"/>
      <c r="Q629" s="4"/>
      <c r="R629" s="4"/>
      <c r="S629" s="4"/>
      <c r="T629" s="4"/>
      <c r="U629" s="4"/>
      <c r="V629" s="4"/>
      <c r="W629" s="4"/>
      <c r="X629" s="4"/>
      <c r="Y629" s="4"/>
      <c r="Z629" s="4"/>
      <c r="AA629" s="4"/>
    </row>
    <row r="630" spans="1:27" ht="16">
      <c r="A630" s="1"/>
      <c r="B630" s="2"/>
      <c r="C630" s="6"/>
      <c r="D630" s="2"/>
      <c r="E630" s="2"/>
      <c r="F630" s="2"/>
      <c r="G630" s="2"/>
      <c r="H630" s="1"/>
      <c r="I630" s="4"/>
      <c r="J630" s="4"/>
      <c r="K630" s="4"/>
      <c r="L630" s="4"/>
      <c r="M630" s="4"/>
      <c r="N630" s="4"/>
      <c r="O630" s="4"/>
      <c r="P630" s="4"/>
      <c r="Q630" s="4"/>
      <c r="R630" s="4"/>
      <c r="S630" s="4"/>
      <c r="T630" s="4"/>
      <c r="U630" s="4"/>
      <c r="V630" s="4"/>
      <c r="W630" s="4"/>
      <c r="X630" s="4"/>
      <c r="Y630" s="4"/>
      <c r="Z630" s="4"/>
      <c r="AA630" s="4"/>
    </row>
    <row r="631" spans="1:27" ht="16">
      <c r="A631" s="1"/>
      <c r="B631" s="2"/>
      <c r="C631" s="6"/>
      <c r="D631" s="2"/>
      <c r="E631" s="2"/>
      <c r="F631" s="2"/>
      <c r="G631" s="2"/>
      <c r="H631" s="1"/>
      <c r="I631" s="4"/>
      <c r="J631" s="4"/>
      <c r="K631" s="4"/>
      <c r="L631" s="4"/>
      <c r="M631" s="4"/>
      <c r="N631" s="4"/>
      <c r="O631" s="4"/>
      <c r="P631" s="4"/>
      <c r="Q631" s="4"/>
      <c r="R631" s="4"/>
      <c r="S631" s="4"/>
      <c r="T631" s="4"/>
      <c r="U631" s="4"/>
      <c r="V631" s="4"/>
      <c r="W631" s="4"/>
      <c r="X631" s="4"/>
      <c r="Y631" s="4"/>
      <c r="Z631" s="4"/>
      <c r="AA631" s="4"/>
    </row>
    <row r="632" spans="1:27" ht="16">
      <c r="A632" s="1"/>
      <c r="B632" s="2"/>
      <c r="C632" s="6"/>
      <c r="D632" s="2"/>
      <c r="E632" s="2"/>
      <c r="F632" s="2"/>
      <c r="G632" s="2"/>
      <c r="H632" s="1"/>
      <c r="I632" s="4"/>
      <c r="J632" s="4"/>
      <c r="K632" s="4"/>
      <c r="L632" s="4"/>
      <c r="M632" s="4"/>
      <c r="N632" s="4"/>
      <c r="O632" s="4"/>
      <c r="P632" s="4"/>
      <c r="Q632" s="4"/>
      <c r="R632" s="4"/>
      <c r="S632" s="4"/>
      <c r="T632" s="4"/>
      <c r="U632" s="4"/>
      <c r="V632" s="4"/>
      <c r="W632" s="4"/>
      <c r="X632" s="4"/>
      <c r="Y632" s="4"/>
      <c r="Z632" s="4"/>
      <c r="AA632" s="4"/>
    </row>
    <row r="633" spans="1:27" ht="16">
      <c r="A633" s="1"/>
      <c r="B633" s="2"/>
      <c r="C633" s="6"/>
      <c r="D633" s="2"/>
      <c r="E633" s="2"/>
      <c r="F633" s="2"/>
      <c r="G633" s="2"/>
      <c r="H633" s="1"/>
      <c r="I633" s="4"/>
      <c r="J633" s="4"/>
      <c r="K633" s="4"/>
      <c r="L633" s="4"/>
      <c r="M633" s="4"/>
      <c r="N633" s="4"/>
      <c r="O633" s="4"/>
      <c r="P633" s="4"/>
      <c r="Q633" s="4"/>
      <c r="R633" s="4"/>
      <c r="S633" s="4"/>
      <c r="T633" s="4"/>
      <c r="U633" s="4"/>
      <c r="V633" s="4"/>
      <c r="W633" s="4"/>
      <c r="X633" s="4"/>
      <c r="Y633" s="4"/>
      <c r="Z633" s="4"/>
      <c r="AA633" s="4"/>
    </row>
    <row r="634" spans="1:27" ht="16">
      <c r="A634" s="1"/>
      <c r="B634" s="2"/>
      <c r="C634" s="6"/>
      <c r="D634" s="2"/>
      <c r="E634" s="2"/>
      <c r="F634" s="2"/>
      <c r="G634" s="2"/>
      <c r="H634" s="1"/>
      <c r="I634" s="4"/>
      <c r="J634" s="4"/>
      <c r="K634" s="4"/>
      <c r="L634" s="4"/>
      <c r="M634" s="4"/>
      <c r="N634" s="4"/>
      <c r="O634" s="4"/>
      <c r="P634" s="4"/>
      <c r="Q634" s="4"/>
      <c r="R634" s="4"/>
      <c r="S634" s="4"/>
      <c r="T634" s="4"/>
      <c r="U634" s="4"/>
      <c r="V634" s="4"/>
      <c r="W634" s="4"/>
      <c r="X634" s="4"/>
      <c r="Y634" s="4"/>
      <c r="Z634" s="4"/>
      <c r="AA634" s="4"/>
    </row>
    <row r="635" spans="1:27" ht="16">
      <c r="A635" s="1"/>
      <c r="B635" s="2"/>
      <c r="C635" s="6"/>
      <c r="D635" s="2"/>
      <c r="E635" s="2"/>
      <c r="F635" s="2"/>
      <c r="G635" s="2"/>
      <c r="H635" s="1"/>
      <c r="I635" s="4"/>
      <c r="J635" s="4"/>
      <c r="K635" s="4"/>
      <c r="L635" s="4"/>
      <c r="M635" s="4"/>
      <c r="N635" s="4"/>
      <c r="O635" s="4"/>
      <c r="P635" s="4"/>
      <c r="Q635" s="4"/>
      <c r="R635" s="4"/>
      <c r="S635" s="4"/>
      <c r="T635" s="4"/>
      <c r="U635" s="4"/>
      <c r="V635" s="4"/>
      <c r="W635" s="4"/>
      <c r="X635" s="4"/>
      <c r="Y635" s="4"/>
      <c r="Z635" s="4"/>
      <c r="AA635" s="4"/>
    </row>
    <row r="636" spans="1:27" ht="16">
      <c r="A636" s="1"/>
      <c r="B636" s="2"/>
      <c r="C636" s="6"/>
      <c r="D636" s="2"/>
      <c r="E636" s="2"/>
      <c r="F636" s="2"/>
      <c r="G636" s="2"/>
      <c r="H636" s="1"/>
      <c r="I636" s="4"/>
      <c r="J636" s="4"/>
      <c r="K636" s="4"/>
      <c r="L636" s="4"/>
      <c r="M636" s="4"/>
      <c r="N636" s="4"/>
      <c r="O636" s="4"/>
      <c r="P636" s="4"/>
      <c r="Q636" s="4"/>
      <c r="R636" s="4"/>
      <c r="S636" s="4"/>
      <c r="T636" s="4"/>
      <c r="U636" s="4"/>
      <c r="V636" s="4"/>
      <c r="W636" s="4"/>
      <c r="X636" s="4"/>
      <c r="Y636" s="4"/>
      <c r="Z636" s="4"/>
      <c r="AA636" s="4"/>
    </row>
    <row r="637" spans="1:27" ht="16">
      <c r="A637" s="1"/>
      <c r="B637" s="2"/>
      <c r="C637" s="6"/>
      <c r="D637" s="2"/>
      <c r="E637" s="2"/>
      <c r="F637" s="2"/>
      <c r="G637" s="2"/>
      <c r="H637" s="1"/>
      <c r="I637" s="4"/>
      <c r="J637" s="4"/>
      <c r="K637" s="4"/>
      <c r="L637" s="4"/>
      <c r="M637" s="4"/>
      <c r="N637" s="4"/>
      <c r="O637" s="4"/>
      <c r="P637" s="4"/>
      <c r="Q637" s="4"/>
      <c r="R637" s="4"/>
      <c r="S637" s="4"/>
      <c r="T637" s="4"/>
      <c r="U637" s="4"/>
      <c r="V637" s="4"/>
      <c r="W637" s="4"/>
      <c r="X637" s="4"/>
      <c r="Y637" s="4"/>
      <c r="Z637" s="4"/>
      <c r="AA637" s="4"/>
    </row>
    <row r="638" spans="1:27" ht="16">
      <c r="A638" s="1"/>
      <c r="B638" s="2"/>
      <c r="C638" s="6"/>
      <c r="D638" s="2"/>
      <c r="E638" s="2"/>
      <c r="F638" s="2"/>
      <c r="G638" s="2"/>
      <c r="H638" s="1"/>
      <c r="I638" s="4"/>
      <c r="J638" s="4"/>
      <c r="K638" s="4"/>
      <c r="L638" s="4"/>
      <c r="M638" s="4"/>
      <c r="N638" s="4"/>
      <c r="O638" s="4"/>
      <c r="P638" s="4"/>
      <c r="Q638" s="4"/>
      <c r="R638" s="4"/>
      <c r="S638" s="4"/>
      <c r="T638" s="4"/>
      <c r="U638" s="4"/>
      <c r="V638" s="4"/>
      <c r="W638" s="4"/>
      <c r="X638" s="4"/>
      <c r="Y638" s="4"/>
      <c r="Z638" s="4"/>
      <c r="AA638" s="4"/>
    </row>
    <row r="639" spans="1:27" ht="16">
      <c r="A639" s="1"/>
      <c r="B639" s="2"/>
      <c r="C639" s="6"/>
      <c r="D639" s="2"/>
      <c r="E639" s="2"/>
      <c r="F639" s="2"/>
      <c r="G639" s="2"/>
      <c r="H639" s="1"/>
      <c r="I639" s="4"/>
      <c r="J639" s="4"/>
      <c r="K639" s="4"/>
      <c r="L639" s="4"/>
      <c r="M639" s="4"/>
      <c r="N639" s="4"/>
      <c r="O639" s="4"/>
      <c r="P639" s="4"/>
      <c r="Q639" s="4"/>
      <c r="R639" s="4"/>
      <c r="S639" s="4"/>
      <c r="T639" s="4"/>
      <c r="U639" s="4"/>
      <c r="V639" s="4"/>
      <c r="W639" s="4"/>
      <c r="X639" s="4"/>
      <c r="Y639" s="4"/>
      <c r="Z639" s="4"/>
      <c r="AA639" s="4"/>
    </row>
    <row r="640" spans="1:27" ht="16">
      <c r="A640" s="1"/>
      <c r="B640" s="2"/>
      <c r="C640" s="6"/>
      <c r="D640" s="2"/>
      <c r="E640" s="2"/>
      <c r="F640" s="2"/>
      <c r="G640" s="2"/>
      <c r="H640" s="1"/>
      <c r="I640" s="4"/>
      <c r="J640" s="4"/>
      <c r="K640" s="4"/>
      <c r="L640" s="4"/>
      <c r="M640" s="4"/>
      <c r="N640" s="4"/>
      <c r="O640" s="4"/>
      <c r="P640" s="4"/>
      <c r="Q640" s="4"/>
      <c r="R640" s="4"/>
      <c r="S640" s="4"/>
      <c r="T640" s="4"/>
      <c r="U640" s="4"/>
      <c r="V640" s="4"/>
      <c r="W640" s="4"/>
      <c r="X640" s="4"/>
      <c r="Y640" s="4"/>
      <c r="Z640" s="4"/>
      <c r="AA640" s="4"/>
    </row>
    <row r="641" spans="1:27" ht="16">
      <c r="A641" s="1"/>
      <c r="B641" s="2"/>
      <c r="C641" s="6"/>
      <c r="D641" s="2"/>
      <c r="E641" s="2"/>
      <c r="F641" s="2"/>
      <c r="G641" s="2"/>
      <c r="H641" s="1"/>
      <c r="I641" s="4"/>
      <c r="J641" s="4"/>
      <c r="K641" s="4"/>
      <c r="L641" s="4"/>
      <c r="M641" s="4"/>
      <c r="N641" s="4"/>
      <c r="O641" s="4"/>
      <c r="P641" s="4"/>
      <c r="Q641" s="4"/>
      <c r="R641" s="4"/>
      <c r="S641" s="4"/>
      <c r="T641" s="4"/>
      <c r="U641" s="4"/>
      <c r="V641" s="4"/>
      <c r="W641" s="4"/>
      <c r="X641" s="4"/>
      <c r="Y641" s="4"/>
      <c r="Z641" s="4"/>
      <c r="AA641" s="4"/>
    </row>
    <row r="642" spans="1:27" ht="16">
      <c r="A642" s="1"/>
      <c r="B642" s="2"/>
      <c r="C642" s="6"/>
      <c r="D642" s="2"/>
      <c r="E642" s="2"/>
      <c r="F642" s="2"/>
      <c r="G642" s="2"/>
      <c r="H642" s="1"/>
      <c r="I642" s="4"/>
      <c r="J642" s="4"/>
      <c r="K642" s="4"/>
      <c r="L642" s="4"/>
      <c r="M642" s="4"/>
      <c r="N642" s="4"/>
      <c r="O642" s="4"/>
      <c r="P642" s="4"/>
      <c r="Q642" s="4"/>
      <c r="R642" s="4"/>
      <c r="S642" s="4"/>
      <c r="T642" s="4"/>
      <c r="U642" s="4"/>
      <c r="V642" s="4"/>
      <c r="W642" s="4"/>
      <c r="X642" s="4"/>
      <c r="Y642" s="4"/>
      <c r="Z642" s="4"/>
      <c r="AA642" s="4"/>
    </row>
    <row r="643" spans="1:27" ht="16">
      <c r="A643" s="1"/>
      <c r="B643" s="2"/>
      <c r="C643" s="6"/>
      <c r="D643" s="2"/>
      <c r="E643" s="2"/>
      <c r="F643" s="2"/>
      <c r="G643" s="2"/>
      <c r="H643" s="1"/>
      <c r="I643" s="4"/>
      <c r="J643" s="4"/>
      <c r="K643" s="4"/>
      <c r="L643" s="4"/>
      <c r="M643" s="4"/>
      <c r="N643" s="4"/>
      <c r="O643" s="4"/>
      <c r="P643" s="4"/>
      <c r="Q643" s="4"/>
      <c r="R643" s="4"/>
      <c r="S643" s="4"/>
      <c r="T643" s="4"/>
      <c r="U643" s="4"/>
      <c r="V643" s="4"/>
      <c r="W643" s="4"/>
      <c r="X643" s="4"/>
      <c r="Y643" s="4"/>
      <c r="Z643" s="4"/>
      <c r="AA643" s="4"/>
    </row>
    <row r="644" spans="1:27" ht="16">
      <c r="A644" s="1"/>
      <c r="B644" s="2"/>
      <c r="C644" s="6"/>
      <c r="D644" s="2"/>
      <c r="E644" s="2"/>
      <c r="F644" s="2"/>
      <c r="G644" s="2"/>
      <c r="H644" s="1"/>
      <c r="I644" s="4"/>
      <c r="J644" s="4"/>
      <c r="K644" s="4"/>
      <c r="L644" s="4"/>
      <c r="M644" s="4"/>
      <c r="N644" s="4"/>
      <c r="O644" s="4"/>
      <c r="P644" s="4"/>
      <c r="Q644" s="4"/>
      <c r="R644" s="4"/>
      <c r="S644" s="4"/>
      <c r="T644" s="4"/>
      <c r="U644" s="4"/>
      <c r="V644" s="4"/>
      <c r="W644" s="4"/>
      <c r="X644" s="4"/>
      <c r="Y644" s="4"/>
      <c r="Z644" s="4"/>
      <c r="AA644" s="4"/>
    </row>
    <row r="645" spans="1:27" ht="16">
      <c r="A645" s="1"/>
      <c r="B645" s="2"/>
      <c r="C645" s="6"/>
      <c r="D645" s="2"/>
      <c r="E645" s="2"/>
      <c r="F645" s="2"/>
      <c r="G645" s="2"/>
      <c r="H645" s="1"/>
      <c r="I645" s="4"/>
      <c r="J645" s="4"/>
      <c r="K645" s="4"/>
      <c r="L645" s="4"/>
      <c r="M645" s="4"/>
      <c r="N645" s="4"/>
      <c r="O645" s="4"/>
      <c r="P645" s="4"/>
      <c r="Q645" s="4"/>
      <c r="R645" s="4"/>
      <c r="S645" s="4"/>
      <c r="T645" s="4"/>
      <c r="U645" s="4"/>
      <c r="V645" s="4"/>
      <c r="W645" s="4"/>
      <c r="X645" s="4"/>
      <c r="Y645" s="4"/>
      <c r="Z645" s="4"/>
      <c r="AA645" s="4"/>
    </row>
    <row r="646" spans="1:27" ht="16">
      <c r="A646" s="1"/>
      <c r="B646" s="2"/>
      <c r="C646" s="6"/>
      <c r="D646" s="2"/>
      <c r="E646" s="2"/>
      <c r="F646" s="2"/>
      <c r="G646" s="2"/>
      <c r="H646" s="1"/>
      <c r="I646" s="4"/>
      <c r="J646" s="4"/>
      <c r="K646" s="4"/>
      <c r="L646" s="4"/>
      <c r="M646" s="4"/>
      <c r="N646" s="4"/>
      <c r="O646" s="4"/>
      <c r="P646" s="4"/>
      <c r="Q646" s="4"/>
      <c r="R646" s="4"/>
      <c r="S646" s="4"/>
      <c r="T646" s="4"/>
      <c r="U646" s="4"/>
      <c r="V646" s="4"/>
      <c r="W646" s="4"/>
      <c r="X646" s="4"/>
      <c r="Y646" s="4"/>
      <c r="Z646" s="4"/>
      <c r="AA646" s="4"/>
    </row>
    <row r="647" spans="1:27" ht="16">
      <c r="A647" s="1"/>
      <c r="B647" s="2"/>
      <c r="C647" s="6"/>
      <c r="D647" s="2"/>
      <c r="E647" s="2"/>
      <c r="F647" s="2"/>
      <c r="G647" s="2"/>
      <c r="H647" s="1"/>
      <c r="I647" s="4"/>
      <c r="J647" s="4"/>
      <c r="K647" s="4"/>
      <c r="L647" s="4"/>
      <c r="M647" s="4"/>
      <c r="N647" s="4"/>
      <c r="O647" s="4"/>
      <c r="P647" s="4"/>
      <c r="Q647" s="4"/>
      <c r="R647" s="4"/>
      <c r="S647" s="4"/>
      <c r="T647" s="4"/>
      <c r="U647" s="4"/>
      <c r="V647" s="4"/>
      <c r="W647" s="4"/>
      <c r="X647" s="4"/>
      <c r="Y647" s="4"/>
      <c r="Z647" s="4"/>
      <c r="AA647" s="4"/>
    </row>
    <row r="648" spans="1:27" ht="16">
      <c r="A648" s="1"/>
      <c r="B648" s="2"/>
      <c r="C648" s="6"/>
      <c r="D648" s="2"/>
      <c r="E648" s="2"/>
      <c r="F648" s="2"/>
      <c r="G648" s="2"/>
      <c r="H648" s="1"/>
      <c r="I648" s="4"/>
      <c r="J648" s="4"/>
      <c r="K648" s="4"/>
      <c r="L648" s="4"/>
      <c r="M648" s="4"/>
      <c r="N648" s="4"/>
      <c r="O648" s="4"/>
      <c r="P648" s="4"/>
      <c r="Q648" s="4"/>
      <c r="R648" s="4"/>
      <c r="S648" s="4"/>
      <c r="T648" s="4"/>
      <c r="U648" s="4"/>
      <c r="V648" s="4"/>
      <c r="W648" s="4"/>
      <c r="X648" s="4"/>
      <c r="Y648" s="4"/>
      <c r="Z648" s="4"/>
      <c r="AA648" s="4"/>
    </row>
    <row r="649" spans="1:27" ht="16">
      <c r="A649" s="1"/>
      <c r="B649" s="2"/>
      <c r="C649" s="6"/>
      <c r="D649" s="2"/>
      <c r="E649" s="2"/>
      <c r="F649" s="2"/>
      <c r="G649" s="2"/>
      <c r="H649" s="1"/>
      <c r="I649" s="4"/>
      <c r="J649" s="4"/>
      <c r="K649" s="4"/>
      <c r="L649" s="4"/>
      <c r="M649" s="4"/>
      <c r="N649" s="4"/>
      <c r="O649" s="4"/>
      <c r="P649" s="4"/>
      <c r="Q649" s="4"/>
      <c r="R649" s="4"/>
      <c r="S649" s="4"/>
      <c r="T649" s="4"/>
      <c r="U649" s="4"/>
      <c r="V649" s="4"/>
      <c r="W649" s="4"/>
      <c r="X649" s="4"/>
      <c r="Y649" s="4"/>
      <c r="Z649" s="4"/>
      <c r="AA649" s="4"/>
    </row>
    <row r="650" spans="1:27" ht="16">
      <c r="A650" s="1"/>
      <c r="B650" s="2"/>
      <c r="C650" s="6"/>
      <c r="D650" s="2"/>
      <c r="E650" s="2"/>
      <c r="F650" s="2"/>
      <c r="G650" s="2"/>
      <c r="H650" s="1"/>
      <c r="I650" s="4"/>
      <c r="J650" s="4"/>
      <c r="K650" s="4"/>
      <c r="L650" s="4"/>
      <c r="M650" s="4"/>
      <c r="N650" s="4"/>
      <c r="O650" s="4"/>
      <c r="P650" s="4"/>
      <c r="Q650" s="4"/>
      <c r="R650" s="4"/>
      <c r="S650" s="4"/>
      <c r="T650" s="4"/>
      <c r="U650" s="4"/>
      <c r="V650" s="4"/>
      <c r="W650" s="4"/>
      <c r="X650" s="4"/>
      <c r="Y650" s="4"/>
      <c r="Z650" s="4"/>
      <c r="AA650" s="4"/>
    </row>
    <row r="651" spans="1:27" ht="16">
      <c r="A651" s="1"/>
      <c r="B651" s="2"/>
      <c r="C651" s="6"/>
      <c r="D651" s="2"/>
      <c r="E651" s="2"/>
      <c r="F651" s="2"/>
      <c r="G651" s="2"/>
      <c r="H651" s="1"/>
      <c r="I651" s="4"/>
      <c r="J651" s="4"/>
      <c r="K651" s="4"/>
      <c r="L651" s="4"/>
      <c r="M651" s="4"/>
      <c r="N651" s="4"/>
      <c r="O651" s="4"/>
      <c r="P651" s="4"/>
      <c r="Q651" s="4"/>
      <c r="R651" s="4"/>
      <c r="S651" s="4"/>
      <c r="T651" s="4"/>
      <c r="U651" s="4"/>
      <c r="V651" s="4"/>
      <c r="W651" s="4"/>
      <c r="X651" s="4"/>
      <c r="Y651" s="4"/>
      <c r="Z651" s="4"/>
      <c r="AA651" s="4"/>
    </row>
    <row r="652" spans="1:27" ht="16">
      <c r="A652" s="1"/>
      <c r="B652" s="2"/>
      <c r="C652" s="6"/>
      <c r="D652" s="2"/>
      <c r="E652" s="2"/>
      <c r="F652" s="2"/>
      <c r="G652" s="2"/>
      <c r="H652" s="1"/>
      <c r="I652" s="4"/>
      <c r="J652" s="4"/>
      <c r="K652" s="4"/>
      <c r="L652" s="4"/>
      <c r="M652" s="4"/>
      <c r="N652" s="4"/>
      <c r="O652" s="4"/>
      <c r="P652" s="4"/>
      <c r="Q652" s="4"/>
      <c r="R652" s="4"/>
      <c r="S652" s="4"/>
      <c r="T652" s="4"/>
      <c r="U652" s="4"/>
      <c r="V652" s="4"/>
      <c r="W652" s="4"/>
      <c r="X652" s="4"/>
      <c r="Y652" s="4"/>
      <c r="Z652" s="4"/>
      <c r="AA652" s="4"/>
    </row>
    <row r="653" spans="1:27" ht="16">
      <c r="A653" s="1"/>
      <c r="B653" s="2"/>
      <c r="C653" s="6"/>
      <c r="D653" s="2"/>
      <c r="E653" s="2"/>
      <c r="F653" s="2"/>
      <c r="G653" s="2"/>
      <c r="H653" s="1"/>
      <c r="I653" s="4"/>
      <c r="J653" s="4"/>
      <c r="K653" s="4"/>
      <c r="L653" s="4"/>
      <c r="M653" s="4"/>
      <c r="N653" s="4"/>
      <c r="O653" s="4"/>
      <c r="P653" s="4"/>
      <c r="Q653" s="4"/>
      <c r="R653" s="4"/>
      <c r="S653" s="4"/>
      <c r="T653" s="4"/>
      <c r="U653" s="4"/>
      <c r="V653" s="4"/>
      <c r="W653" s="4"/>
      <c r="X653" s="4"/>
      <c r="Y653" s="4"/>
      <c r="Z653" s="4"/>
      <c r="AA653" s="4"/>
    </row>
    <row r="654" spans="1:27" ht="16">
      <c r="A654" s="1"/>
      <c r="B654" s="2"/>
      <c r="C654" s="6"/>
      <c r="D654" s="2"/>
      <c r="E654" s="2"/>
      <c r="F654" s="2"/>
      <c r="G654" s="2"/>
      <c r="H654" s="1"/>
      <c r="I654" s="4"/>
      <c r="J654" s="4"/>
      <c r="K654" s="4"/>
      <c r="L654" s="4"/>
      <c r="M654" s="4"/>
      <c r="N654" s="4"/>
      <c r="O654" s="4"/>
      <c r="P654" s="4"/>
      <c r="Q654" s="4"/>
      <c r="R654" s="4"/>
      <c r="S654" s="4"/>
      <c r="T654" s="4"/>
      <c r="U654" s="4"/>
      <c r="V654" s="4"/>
      <c r="W654" s="4"/>
      <c r="X654" s="4"/>
      <c r="Y654" s="4"/>
      <c r="Z654" s="4"/>
      <c r="AA654" s="4"/>
    </row>
    <row r="655" spans="1:27" ht="16">
      <c r="A655" s="1"/>
      <c r="B655" s="2"/>
      <c r="C655" s="6"/>
      <c r="D655" s="2"/>
      <c r="E655" s="2"/>
      <c r="F655" s="2"/>
      <c r="G655" s="2"/>
      <c r="H655" s="1"/>
      <c r="I655" s="4"/>
      <c r="J655" s="4"/>
      <c r="K655" s="4"/>
      <c r="L655" s="4"/>
      <c r="M655" s="4"/>
      <c r="N655" s="4"/>
      <c r="O655" s="4"/>
      <c r="P655" s="4"/>
      <c r="Q655" s="4"/>
      <c r="R655" s="4"/>
      <c r="S655" s="4"/>
      <c r="T655" s="4"/>
      <c r="U655" s="4"/>
      <c r="V655" s="4"/>
      <c r="W655" s="4"/>
      <c r="X655" s="4"/>
      <c r="Y655" s="4"/>
      <c r="Z655" s="4"/>
      <c r="AA655" s="4"/>
    </row>
    <row r="656" spans="1:27" ht="16">
      <c r="A656" s="1"/>
      <c r="B656" s="2"/>
      <c r="C656" s="6"/>
      <c r="D656" s="2"/>
      <c r="E656" s="2"/>
      <c r="F656" s="2"/>
      <c r="G656" s="2"/>
      <c r="H656" s="1"/>
      <c r="I656" s="4"/>
      <c r="J656" s="4"/>
      <c r="K656" s="4"/>
      <c r="L656" s="4"/>
      <c r="M656" s="4"/>
      <c r="N656" s="4"/>
      <c r="O656" s="4"/>
      <c r="P656" s="4"/>
      <c r="Q656" s="4"/>
      <c r="R656" s="4"/>
      <c r="S656" s="4"/>
      <c r="T656" s="4"/>
      <c r="U656" s="4"/>
      <c r="V656" s="4"/>
      <c r="W656" s="4"/>
      <c r="X656" s="4"/>
      <c r="Y656" s="4"/>
      <c r="Z656" s="4"/>
      <c r="AA656" s="4"/>
    </row>
    <row r="657" spans="1:27" ht="16">
      <c r="A657" s="1"/>
      <c r="B657" s="2"/>
      <c r="C657" s="6"/>
      <c r="D657" s="2"/>
      <c r="E657" s="2"/>
      <c r="F657" s="2"/>
      <c r="G657" s="2"/>
      <c r="H657" s="1"/>
      <c r="I657" s="4"/>
      <c r="J657" s="4"/>
      <c r="K657" s="4"/>
      <c r="L657" s="4"/>
      <c r="M657" s="4"/>
      <c r="N657" s="4"/>
      <c r="O657" s="4"/>
      <c r="P657" s="4"/>
      <c r="Q657" s="4"/>
      <c r="R657" s="4"/>
      <c r="S657" s="4"/>
      <c r="T657" s="4"/>
      <c r="U657" s="4"/>
      <c r="V657" s="4"/>
      <c r="W657" s="4"/>
      <c r="X657" s="4"/>
      <c r="Y657" s="4"/>
      <c r="Z657" s="4"/>
      <c r="AA657" s="4"/>
    </row>
    <row r="658" spans="1:27" ht="16">
      <c r="A658" s="1"/>
      <c r="B658" s="2"/>
      <c r="C658" s="6"/>
      <c r="D658" s="2"/>
      <c r="E658" s="2"/>
      <c r="F658" s="2"/>
      <c r="G658" s="2"/>
      <c r="H658" s="1"/>
      <c r="I658" s="4"/>
      <c r="J658" s="4"/>
      <c r="K658" s="4"/>
      <c r="L658" s="4"/>
      <c r="M658" s="4"/>
      <c r="N658" s="4"/>
      <c r="O658" s="4"/>
      <c r="P658" s="4"/>
      <c r="Q658" s="4"/>
      <c r="R658" s="4"/>
      <c r="S658" s="4"/>
      <c r="T658" s="4"/>
      <c r="U658" s="4"/>
      <c r="V658" s="4"/>
      <c r="W658" s="4"/>
      <c r="X658" s="4"/>
      <c r="Y658" s="4"/>
      <c r="Z658" s="4"/>
      <c r="AA658" s="4"/>
    </row>
    <row r="659" spans="1:27" ht="16">
      <c r="A659" s="1"/>
      <c r="B659" s="2"/>
      <c r="C659" s="6"/>
      <c r="D659" s="2"/>
      <c r="E659" s="2"/>
      <c r="F659" s="2"/>
      <c r="G659" s="2"/>
      <c r="H659" s="1"/>
      <c r="I659" s="4"/>
      <c r="J659" s="4"/>
      <c r="K659" s="4"/>
      <c r="L659" s="4"/>
      <c r="M659" s="4"/>
      <c r="N659" s="4"/>
      <c r="O659" s="4"/>
      <c r="P659" s="4"/>
      <c r="Q659" s="4"/>
      <c r="R659" s="4"/>
      <c r="S659" s="4"/>
      <c r="T659" s="4"/>
      <c r="U659" s="4"/>
      <c r="V659" s="4"/>
      <c r="W659" s="4"/>
      <c r="X659" s="4"/>
      <c r="Y659" s="4"/>
      <c r="Z659" s="4"/>
      <c r="AA659" s="4"/>
    </row>
    <row r="660" spans="1:27" ht="16">
      <c r="A660" s="1"/>
      <c r="B660" s="2"/>
      <c r="C660" s="6"/>
      <c r="D660" s="2"/>
      <c r="E660" s="2"/>
      <c r="F660" s="2"/>
      <c r="G660" s="2"/>
      <c r="H660" s="1"/>
      <c r="I660" s="4"/>
      <c r="J660" s="4"/>
      <c r="K660" s="4"/>
      <c r="L660" s="4"/>
      <c r="M660" s="4"/>
      <c r="N660" s="4"/>
      <c r="O660" s="4"/>
      <c r="P660" s="4"/>
      <c r="Q660" s="4"/>
      <c r="R660" s="4"/>
      <c r="S660" s="4"/>
      <c r="T660" s="4"/>
      <c r="U660" s="4"/>
      <c r="V660" s="4"/>
      <c r="W660" s="4"/>
      <c r="X660" s="4"/>
      <c r="Y660" s="4"/>
      <c r="Z660" s="4"/>
      <c r="AA660" s="4"/>
    </row>
    <row r="661" spans="1:27" ht="16">
      <c r="A661" s="1"/>
      <c r="B661" s="2"/>
      <c r="C661" s="6"/>
      <c r="D661" s="2"/>
      <c r="E661" s="2"/>
      <c r="F661" s="2"/>
      <c r="G661" s="2"/>
      <c r="H661" s="1"/>
      <c r="I661" s="4"/>
      <c r="J661" s="4"/>
      <c r="K661" s="4"/>
      <c r="L661" s="4"/>
      <c r="M661" s="4"/>
      <c r="N661" s="4"/>
      <c r="O661" s="4"/>
      <c r="P661" s="4"/>
      <c r="Q661" s="4"/>
      <c r="R661" s="4"/>
      <c r="S661" s="4"/>
      <c r="T661" s="4"/>
      <c r="U661" s="4"/>
      <c r="V661" s="4"/>
      <c r="W661" s="4"/>
      <c r="X661" s="4"/>
      <c r="Y661" s="4"/>
      <c r="Z661" s="4"/>
      <c r="AA661" s="4"/>
    </row>
    <row r="662" spans="1:27" ht="16">
      <c r="A662" s="1"/>
      <c r="B662" s="2"/>
      <c r="C662" s="6"/>
      <c r="D662" s="2"/>
      <c r="E662" s="2"/>
      <c r="F662" s="2"/>
      <c r="G662" s="2"/>
      <c r="H662" s="1"/>
      <c r="I662" s="4"/>
      <c r="J662" s="4"/>
      <c r="K662" s="4"/>
      <c r="L662" s="4"/>
      <c r="M662" s="4"/>
      <c r="N662" s="4"/>
      <c r="O662" s="4"/>
      <c r="P662" s="4"/>
      <c r="Q662" s="4"/>
      <c r="R662" s="4"/>
      <c r="S662" s="4"/>
      <c r="T662" s="4"/>
      <c r="U662" s="4"/>
      <c r="V662" s="4"/>
      <c r="W662" s="4"/>
      <c r="X662" s="4"/>
      <c r="Y662" s="4"/>
      <c r="Z662" s="4"/>
      <c r="AA662" s="4"/>
    </row>
    <row r="663" spans="1:27" ht="16">
      <c r="A663" s="1"/>
      <c r="B663" s="2"/>
      <c r="C663" s="6"/>
      <c r="D663" s="2"/>
      <c r="E663" s="2"/>
      <c r="F663" s="2"/>
      <c r="G663" s="2"/>
      <c r="H663" s="1"/>
      <c r="I663" s="4"/>
      <c r="J663" s="4"/>
      <c r="K663" s="4"/>
      <c r="L663" s="4"/>
      <c r="M663" s="4"/>
      <c r="N663" s="4"/>
      <c r="O663" s="4"/>
      <c r="P663" s="4"/>
      <c r="Q663" s="4"/>
      <c r="R663" s="4"/>
      <c r="S663" s="4"/>
      <c r="T663" s="4"/>
      <c r="U663" s="4"/>
      <c r="V663" s="4"/>
      <c r="W663" s="4"/>
      <c r="X663" s="4"/>
      <c r="Y663" s="4"/>
      <c r="Z663" s="4"/>
      <c r="AA663" s="4"/>
    </row>
    <row r="664" spans="1:27" ht="16">
      <c r="A664" s="1"/>
      <c r="B664" s="2"/>
      <c r="C664" s="6"/>
      <c r="D664" s="2"/>
      <c r="E664" s="2"/>
      <c r="F664" s="2"/>
      <c r="G664" s="2"/>
      <c r="H664" s="1"/>
      <c r="I664" s="4"/>
      <c r="J664" s="4"/>
      <c r="K664" s="4"/>
      <c r="L664" s="4"/>
      <c r="M664" s="4"/>
      <c r="N664" s="4"/>
      <c r="O664" s="4"/>
      <c r="P664" s="4"/>
      <c r="Q664" s="4"/>
      <c r="R664" s="4"/>
      <c r="S664" s="4"/>
      <c r="T664" s="4"/>
      <c r="U664" s="4"/>
      <c r="V664" s="4"/>
      <c r="W664" s="4"/>
      <c r="X664" s="4"/>
      <c r="Y664" s="4"/>
      <c r="Z664" s="4"/>
      <c r="AA664" s="4"/>
    </row>
    <row r="665" spans="1:27" ht="16">
      <c r="A665" s="1"/>
      <c r="B665" s="2"/>
      <c r="C665" s="6"/>
      <c r="D665" s="2"/>
      <c r="E665" s="2"/>
      <c r="F665" s="2"/>
      <c r="G665" s="2"/>
      <c r="H665" s="1"/>
      <c r="I665" s="4"/>
      <c r="J665" s="4"/>
      <c r="K665" s="4"/>
      <c r="L665" s="4"/>
      <c r="M665" s="4"/>
      <c r="N665" s="4"/>
      <c r="O665" s="4"/>
      <c r="P665" s="4"/>
      <c r="Q665" s="4"/>
      <c r="R665" s="4"/>
      <c r="S665" s="4"/>
      <c r="T665" s="4"/>
      <c r="U665" s="4"/>
      <c r="V665" s="4"/>
      <c r="W665" s="4"/>
      <c r="X665" s="4"/>
      <c r="Y665" s="4"/>
      <c r="Z665" s="4"/>
      <c r="AA665" s="4"/>
    </row>
    <row r="666" spans="1:27" ht="16">
      <c r="A666" s="1"/>
      <c r="B666" s="2"/>
      <c r="C666" s="6"/>
      <c r="D666" s="2"/>
      <c r="E666" s="2"/>
      <c r="F666" s="2"/>
      <c r="G666" s="2"/>
      <c r="H666" s="1"/>
      <c r="I666" s="4"/>
      <c r="J666" s="4"/>
      <c r="K666" s="4"/>
      <c r="L666" s="4"/>
      <c r="M666" s="4"/>
      <c r="N666" s="4"/>
      <c r="O666" s="4"/>
      <c r="P666" s="4"/>
      <c r="Q666" s="4"/>
      <c r="R666" s="4"/>
      <c r="S666" s="4"/>
      <c r="T666" s="4"/>
      <c r="U666" s="4"/>
      <c r="V666" s="4"/>
      <c r="W666" s="4"/>
      <c r="X666" s="4"/>
      <c r="Y666" s="4"/>
      <c r="Z666" s="4"/>
      <c r="AA666" s="4"/>
    </row>
    <row r="667" spans="1:27" ht="16">
      <c r="A667" s="1"/>
      <c r="B667" s="2"/>
      <c r="C667" s="6"/>
      <c r="D667" s="2"/>
      <c r="E667" s="2"/>
      <c r="F667" s="2"/>
      <c r="G667" s="2"/>
      <c r="H667" s="1"/>
      <c r="I667" s="4"/>
      <c r="J667" s="4"/>
      <c r="K667" s="4"/>
      <c r="L667" s="4"/>
      <c r="M667" s="4"/>
      <c r="N667" s="4"/>
      <c r="O667" s="4"/>
      <c r="P667" s="4"/>
      <c r="Q667" s="4"/>
      <c r="R667" s="4"/>
      <c r="S667" s="4"/>
      <c r="T667" s="4"/>
      <c r="U667" s="4"/>
      <c r="V667" s="4"/>
      <c r="W667" s="4"/>
      <c r="X667" s="4"/>
      <c r="Y667" s="4"/>
      <c r="Z667" s="4"/>
      <c r="AA667" s="4"/>
    </row>
    <row r="668" spans="1:27" ht="16">
      <c r="A668" s="1"/>
      <c r="B668" s="2"/>
      <c r="C668" s="6"/>
      <c r="D668" s="2"/>
      <c r="E668" s="2"/>
      <c r="F668" s="2"/>
      <c r="G668" s="2"/>
      <c r="H668" s="1"/>
      <c r="I668" s="4"/>
      <c r="J668" s="4"/>
      <c r="K668" s="4"/>
      <c r="L668" s="4"/>
      <c r="M668" s="4"/>
      <c r="N668" s="4"/>
      <c r="O668" s="4"/>
      <c r="P668" s="4"/>
      <c r="Q668" s="4"/>
      <c r="R668" s="4"/>
      <c r="S668" s="4"/>
      <c r="T668" s="4"/>
      <c r="U668" s="4"/>
      <c r="V668" s="4"/>
      <c r="W668" s="4"/>
      <c r="X668" s="4"/>
      <c r="Y668" s="4"/>
      <c r="Z668" s="4"/>
      <c r="AA668" s="4"/>
    </row>
    <row r="669" spans="1:27" ht="16">
      <c r="A669" s="1"/>
      <c r="B669" s="2"/>
      <c r="C669" s="6"/>
      <c r="D669" s="2"/>
      <c r="E669" s="2"/>
      <c r="F669" s="2"/>
      <c r="G669" s="2"/>
      <c r="H669" s="1"/>
      <c r="I669" s="4"/>
      <c r="J669" s="4"/>
      <c r="K669" s="4"/>
      <c r="L669" s="4"/>
      <c r="M669" s="4"/>
      <c r="N669" s="4"/>
      <c r="O669" s="4"/>
      <c r="P669" s="4"/>
      <c r="Q669" s="4"/>
      <c r="R669" s="4"/>
      <c r="S669" s="4"/>
      <c r="T669" s="4"/>
      <c r="U669" s="4"/>
      <c r="V669" s="4"/>
      <c r="W669" s="4"/>
      <c r="X669" s="4"/>
      <c r="Y669" s="4"/>
      <c r="Z669" s="4"/>
      <c r="AA669" s="4"/>
    </row>
    <row r="670" spans="1:27" ht="16">
      <c r="A670" s="1"/>
      <c r="B670" s="2"/>
      <c r="C670" s="6"/>
      <c r="D670" s="2"/>
      <c r="E670" s="2"/>
      <c r="F670" s="2"/>
      <c r="G670" s="2"/>
      <c r="H670" s="1"/>
      <c r="I670" s="4"/>
      <c r="J670" s="4"/>
      <c r="K670" s="4"/>
      <c r="L670" s="4"/>
      <c r="M670" s="4"/>
      <c r="N670" s="4"/>
      <c r="O670" s="4"/>
      <c r="P670" s="4"/>
      <c r="Q670" s="4"/>
      <c r="R670" s="4"/>
      <c r="S670" s="4"/>
      <c r="T670" s="4"/>
      <c r="U670" s="4"/>
      <c r="V670" s="4"/>
      <c r="W670" s="4"/>
      <c r="X670" s="4"/>
      <c r="Y670" s="4"/>
      <c r="Z670" s="4"/>
      <c r="AA670" s="4"/>
    </row>
    <row r="671" spans="1:27" ht="16">
      <c r="A671" s="1"/>
      <c r="B671" s="2"/>
      <c r="C671" s="6"/>
      <c r="D671" s="2"/>
      <c r="E671" s="2"/>
      <c r="F671" s="2"/>
      <c r="G671" s="2"/>
      <c r="H671" s="1"/>
      <c r="I671" s="4"/>
      <c r="J671" s="4"/>
      <c r="K671" s="4"/>
      <c r="L671" s="4"/>
      <c r="M671" s="4"/>
      <c r="N671" s="4"/>
      <c r="O671" s="4"/>
      <c r="P671" s="4"/>
      <c r="Q671" s="4"/>
      <c r="R671" s="4"/>
      <c r="S671" s="4"/>
      <c r="T671" s="4"/>
      <c r="U671" s="4"/>
      <c r="V671" s="4"/>
      <c r="W671" s="4"/>
      <c r="X671" s="4"/>
      <c r="Y671" s="4"/>
      <c r="Z671" s="4"/>
      <c r="AA671" s="4"/>
    </row>
    <row r="672" spans="1:27" ht="16">
      <c r="A672" s="1"/>
      <c r="B672" s="2"/>
      <c r="C672" s="6"/>
      <c r="D672" s="2"/>
      <c r="E672" s="2"/>
      <c r="F672" s="2"/>
      <c r="G672" s="2"/>
      <c r="H672" s="1"/>
      <c r="I672" s="4"/>
      <c r="J672" s="4"/>
      <c r="K672" s="4"/>
      <c r="L672" s="4"/>
      <c r="M672" s="4"/>
      <c r="N672" s="4"/>
      <c r="O672" s="4"/>
      <c r="P672" s="4"/>
      <c r="Q672" s="4"/>
      <c r="R672" s="4"/>
      <c r="S672" s="4"/>
      <c r="T672" s="4"/>
      <c r="U672" s="4"/>
      <c r="V672" s="4"/>
      <c r="W672" s="4"/>
      <c r="X672" s="4"/>
      <c r="Y672" s="4"/>
      <c r="Z672" s="4"/>
      <c r="AA672" s="4"/>
    </row>
    <row r="673" spans="1:27" ht="16">
      <c r="A673" s="1"/>
      <c r="B673" s="2"/>
      <c r="C673" s="6"/>
      <c r="D673" s="2"/>
      <c r="E673" s="2"/>
      <c r="F673" s="2"/>
      <c r="G673" s="2"/>
      <c r="H673" s="1"/>
      <c r="I673" s="4"/>
      <c r="J673" s="4"/>
      <c r="K673" s="4"/>
      <c r="L673" s="4"/>
      <c r="M673" s="4"/>
      <c r="N673" s="4"/>
      <c r="O673" s="4"/>
      <c r="P673" s="4"/>
      <c r="Q673" s="4"/>
      <c r="R673" s="4"/>
      <c r="S673" s="4"/>
      <c r="T673" s="4"/>
      <c r="U673" s="4"/>
      <c r="V673" s="4"/>
      <c r="W673" s="4"/>
      <c r="X673" s="4"/>
      <c r="Y673" s="4"/>
      <c r="Z673" s="4"/>
      <c r="AA673" s="4"/>
    </row>
    <row r="674" spans="1:27" ht="16">
      <c r="A674" s="1"/>
      <c r="B674" s="2"/>
      <c r="C674" s="6"/>
      <c r="D674" s="2"/>
      <c r="E674" s="2"/>
      <c r="F674" s="2"/>
      <c r="G674" s="2"/>
      <c r="H674" s="1"/>
      <c r="I674" s="4"/>
      <c r="J674" s="4"/>
      <c r="K674" s="4"/>
      <c r="L674" s="4"/>
      <c r="M674" s="4"/>
      <c r="N674" s="4"/>
      <c r="O674" s="4"/>
      <c r="P674" s="4"/>
      <c r="Q674" s="4"/>
      <c r="R674" s="4"/>
      <c r="S674" s="4"/>
      <c r="T674" s="4"/>
      <c r="U674" s="4"/>
      <c r="V674" s="4"/>
      <c r="W674" s="4"/>
      <c r="X674" s="4"/>
      <c r="Y674" s="4"/>
      <c r="Z674" s="4"/>
      <c r="AA674" s="4"/>
    </row>
    <row r="675" spans="1:27" ht="16">
      <c r="A675" s="1"/>
      <c r="B675" s="2"/>
      <c r="C675" s="6"/>
      <c r="D675" s="2"/>
      <c r="E675" s="2"/>
      <c r="F675" s="2"/>
      <c r="G675" s="2"/>
      <c r="H675" s="1"/>
      <c r="I675" s="4"/>
      <c r="J675" s="4"/>
      <c r="K675" s="4"/>
      <c r="L675" s="4"/>
      <c r="M675" s="4"/>
      <c r="N675" s="4"/>
      <c r="O675" s="4"/>
      <c r="P675" s="4"/>
      <c r="Q675" s="4"/>
      <c r="R675" s="4"/>
      <c r="S675" s="4"/>
      <c r="T675" s="4"/>
      <c r="U675" s="4"/>
      <c r="V675" s="4"/>
      <c r="W675" s="4"/>
      <c r="X675" s="4"/>
      <c r="Y675" s="4"/>
      <c r="Z675" s="4"/>
      <c r="AA675" s="4"/>
    </row>
    <row r="676" spans="1:27" ht="16">
      <c r="A676" s="1"/>
      <c r="B676" s="2"/>
      <c r="C676" s="6"/>
      <c r="D676" s="2"/>
      <c r="E676" s="2"/>
      <c r="F676" s="2"/>
      <c r="G676" s="2"/>
      <c r="H676" s="1"/>
      <c r="I676" s="4"/>
      <c r="J676" s="4"/>
      <c r="K676" s="4"/>
      <c r="L676" s="4"/>
      <c r="M676" s="4"/>
      <c r="N676" s="4"/>
      <c r="O676" s="4"/>
      <c r="P676" s="4"/>
      <c r="Q676" s="4"/>
      <c r="R676" s="4"/>
      <c r="S676" s="4"/>
      <c r="T676" s="4"/>
      <c r="U676" s="4"/>
      <c r="V676" s="4"/>
      <c r="W676" s="4"/>
      <c r="X676" s="4"/>
      <c r="Y676" s="4"/>
      <c r="Z676" s="4"/>
      <c r="AA676" s="4"/>
    </row>
    <row r="677" spans="1:27" ht="16">
      <c r="A677" s="1"/>
      <c r="B677" s="2"/>
      <c r="C677" s="6"/>
      <c r="D677" s="2"/>
      <c r="E677" s="2"/>
      <c r="F677" s="2"/>
      <c r="G677" s="2"/>
      <c r="H677" s="1"/>
      <c r="I677" s="4"/>
      <c r="J677" s="4"/>
      <c r="K677" s="4"/>
      <c r="L677" s="4"/>
      <c r="M677" s="4"/>
      <c r="N677" s="4"/>
      <c r="O677" s="4"/>
      <c r="P677" s="4"/>
      <c r="Q677" s="4"/>
      <c r="R677" s="4"/>
      <c r="S677" s="4"/>
      <c r="T677" s="4"/>
      <c r="U677" s="4"/>
      <c r="V677" s="4"/>
      <c r="W677" s="4"/>
      <c r="X677" s="4"/>
      <c r="Y677" s="4"/>
      <c r="Z677" s="4"/>
      <c r="AA677" s="4"/>
    </row>
    <row r="678" spans="1:27" ht="16">
      <c r="A678" s="1"/>
      <c r="B678" s="2"/>
      <c r="C678" s="6"/>
      <c r="D678" s="2"/>
      <c r="E678" s="2"/>
      <c r="F678" s="2"/>
      <c r="G678" s="2"/>
      <c r="H678" s="1"/>
      <c r="I678" s="4"/>
      <c r="J678" s="4"/>
      <c r="K678" s="4"/>
      <c r="L678" s="4"/>
      <c r="M678" s="4"/>
      <c r="N678" s="4"/>
      <c r="O678" s="4"/>
      <c r="P678" s="4"/>
      <c r="Q678" s="4"/>
      <c r="R678" s="4"/>
      <c r="S678" s="4"/>
      <c r="T678" s="4"/>
      <c r="U678" s="4"/>
      <c r="V678" s="4"/>
      <c r="W678" s="4"/>
      <c r="X678" s="4"/>
      <c r="Y678" s="4"/>
      <c r="Z678" s="4"/>
      <c r="AA678" s="4"/>
    </row>
    <row r="679" spans="1:27" ht="16">
      <c r="A679" s="1"/>
      <c r="B679" s="2"/>
      <c r="C679" s="6"/>
      <c r="D679" s="2"/>
      <c r="E679" s="2"/>
      <c r="F679" s="2"/>
      <c r="G679" s="2"/>
      <c r="H679" s="1"/>
      <c r="I679" s="4"/>
      <c r="J679" s="4"/>
      <c r="K679" s="4"/>
      <c r="L679" s="4"/>
      <c r="M679" s="4"/>
      <c r="N679" s="4"/>
      <c r="O679" s="4"/>
      <c r="P679" s="4"/>
      <c r="Q679" s="4"/>
      <c r="R679" s="4"/>
      <c r="S679" s="4"/>
      <c r="T679" s="4"/>
      <c r="U679" s="4"/>
      <c r="V679" s="4"/>
      <c r="W679" s="4"/>
      <c r="X679" s="4"/>
      <c r="Y679" s="4"/>
      <c r="Z679" s="4"/>
      <c r="AA679" s="4"/>
    </row>
    <row r="680" spans="1:27" ht="16">
      <c r="A680" s="1"/>
      <c r="B680" s="2"/>
      <c r="C680" s="6"/>
      <c r="D680" s="2"/>
      <c r="E680" s="2"/>
      <c r="F680" s="2"/>
      <c r="G680" s="2"/>
      <c r="H680" s="1"/>
      <c r="I680" s="4"/>
      <c r="J680" s="4"/>
      <c r="K680" s="4"/>
      <c r="L680" s="4"/>
      <c r="M680" s="4"/>
      <c r="N680" s="4"/>
      <c r="O680" s="4"/>
      <c r="P680" s="4"/>
      <c r="Q680" s="4"/>
      <c r="R680" s="4"/>
      <c r="S680" s="4"/>
      <c r="T680" s="4"/>
      <c r="U680" s="4"/>
      <c r="V680" s="4"/>
      <c r="W680" s="4"/>
      <c r="X680" s="4"/>
      <c r="Y680" s="4"/>
      <c r="Z680" s="4"/>
      <c r="AA680" s="4"/>
    </row>
    <row r="681" spans="1:27" ht="16">
      <c r="A681" s="1"/>
      <c r="B681" s="2"/>
      <c r="C681" s="6"/>
      <c r="D681" s="2"/>
      <c r="E681" s="2"/>
      <c r="F681" s="2"/>
      <c r="G681" s="2"/>
      <c r="H681" s="1"/>
      <c r="I681" s="4"/>
      <c r="J681" s="4"/>
      <c r="K681" s="4"/>
      <c r="L681" s="4"/>
      <c r="M681" s="4"/>
      <c r="N681" s="4"/>
      <c r="O681" s="4"/>
      <c r="P681" s="4"/>
      <c r="Q681" s="4"/>
      <c r="R681" s="4"/>
      <c r="S681" s="4"/>
      <c r="T681" s="4"/>
      <c r="U681" s="4"/>
      <c r="V681" s="4"/>
      <c r="W681" s="4"/>
      <c r="X681" s="4"/>
      <c r="Y681" s="4"/>
      <c r="Z681" s="4"/>
      <c r="AA681" s="4"/>
    </row>
    <row r="682" spans="1:27" ht="16">
      <c r="A682" s="1"/>
      <c r="B682" s="2"/>
      <c r="C682" s="6"/>
      <c r="D682" s="2"/>
      <c r="E682" s="2"/>
      <c r="F682" s="2"/>
      <c r="G682" s="2"/>
      <c r="H682" s="1"/>
      <c r="I682" s="4"/>
      <c r="J682" s="4"/>
      <c r="K682" s="4"/>
      <c r="L682" s="4"/>
      <c r="M682" s="4"/>
      <c r="N682" s="4"/>
      <c r="O682" s="4"/>
      <c r="P682" s="4"/>
      <c r="Q682" s="4"/>
      <c r="R682" s="4"/>
      <c r="S682" s="4"/>
      <c r="T682" s="4"/>
      <c r="U682" s="4"/>
      <c r="V682" s="4"/>
      <c r="W682" s="4"/>
      <c r="X682" s="4"/>
      <c r="Y682" s="4"/>
      <c r="Z682" s="4"/>
      <c r="AA682" s="4"/>
    </row>
    <row r="683" spans="1:27" ht="16">
      <c r="A683" s="1"/>
      <c r="B683" s="2"/>
      <c r="C683" s="6"/>
      <c r="D683" s="2"/>
      <c r="E683" s="2"/>
      <c r="F683" s="2"/>
      <c r="G683" s="2"/>
      <c r="H683" s="1"/>
      <c r="I683" s="4"/>
      <c r="J683" s="4"/>
      <c r="K683" s="4"/>
      <c r="L683" s="4"/>
      <c r="M683" s="4"/>
      <c r="N683" s="4"/>
      <c r="O683" s="4"/>
      <c r="P683" s="4"/>
      <c r="Q683" s="4"/>
      <c r="R683" s="4"/>
      <c r="S683" s="4"/>
      <c r="T683" s="4"/>
      <c r="U683" s="4"/>
      <c r="V683" s="4"/>
      <c r="W683" s="4"/>
      <c r="X683" s="4"/>
      <c r="Y683" s="4"/>
      <c r="Z683" s="4"/>
      <c r="AA683" s="4"/>
    </row>
    <row r="684" spans="1:27" ht="16">
      <c r="A684" s="1"/>
      <c r="B684" s="2"/>
      <c r="C684" s="6"/>
      <c r="D684" s="2"/>
      <c r="E684" s="2"/>
      <c r="F684" s="2"/>
      <c r="G684" s="2"/>
      <c r="H684" s="1"/>
      <c r="I684" s="4"/>
      <c r="J684" s="4"/>
      <c r="K684" s="4"/>
      <c r="L684" s="4"/>
      <c r="M684" s="4"/>
      <c r="N684" s="4"/>
      <c r="O684" s="4"/>
      <c r="P684" s="4"/>
      <c r="Q684" s="4"/>
      <c r="R684" s="4"/>
      <c r="S684" s="4"/>
      <c r="T684" s="4"/>
      <c r="U684" s="4"/>
      <c r="V684" s="4"/>
      <c r="W684" s="4"/>
      <c r="X684" s="4"/>
      <c r="Y684" s="4"/>
      <c r="Z684" s="4"/>
      <c r="AA684" s="4"/>
    </row>
    <row r="685" spans="1:27" ht="16">
      <c r="A685" s="1"/>
      <c r="B685" s="2"/>
      <c r="C685" s="6"/>
      <c r="D685" s="2"/>
      <c r="E685" s="2"/>
      <c r="F685" s="2"/>
      <c r="G685" s="2"/>
      <c r="H685" s="1"/>
      <c r="I685" s="4"/>
      <c r="J685" s="4"/>
      <c r="K685" s="4"/>
      <c r="L685" s="4"/>
      <c r="M685" s="4"/>
      <c r="N685" s="4"/>
      <c r="O685" s="4"/>
      <c r="P685" s="4"/>
      <c r="Q685" s="4"/>
      <c r="R685" s="4"/>
      <c r="S685" s="4"/>
      <c r="T685" s="4"/>
      <c r="U685" s="4"/>
      <c r="V685" s="4"/>
      <c r="W685" s="4"/>
      <c r="X685" s="4"/>
      <c r="Y685" s="4"/>
      <c r="Z685" s="4"/>
      <c r="AA685" s="4"/>
    </row>
    <row r="686" spans="1:27" ht="16">
      <c r="A686" s="1"/>
      <c r="B686" s="2"/>
      <c r="C686" s="6"/>
      <c r="D686" s="2"/>
      <c r="E686" s="2"/>
      <c r="F686" s="2"/>
      <c r="G686" s="2"/>
      <c r="H686" s="1"/>
      <c r="I686" s="4"/>
      <c r="J686" s="4"/>
      <c r="K686" s="4"/>
      <c r="L686" s="4"/>
      <c r="M686" s="4"/>
      <c r="N686" s="4"/>
      <c r="O686" s="4"/>
      <c r="P686" s="4"/>
      <c r="Q686" s="4"/>
      <c r="R686" s="4"/>
      <c r="S686" s="4"/>
      <c r="T686" s="4"/>
      <c r="U686" s="4"/>
      <c r="V686" s="4"/>
      <c r="W686" s="4"/>
      <c r="X686" s="4"/>
      <c r="Y686" s="4"/>
      <c r="Z686" s="4"/>
      <c r="AA686" s="4"/>
    </row>
    <row r="687" spans="1:27" ht="16">
      <c r="A687" s="1"/>
      <c r="B687" s="2"/>
      <c r="C687" s="6"/>
      <c r="D687" s="2"/>
      <c r="E687" s="2"/>
      <c r="F687" s="2"/>
      <c r="G687" s="2"/>
      <c r="H687" s="1"/>
      <c r="I687" s="4"/>
      <c r="J687" s="4"/>
      <c r="K687" s="4"/>
      <c r="L687" s="4"/>
      <c r="M687" s="4"/>
      <c r="N687" s="4"/>
      <c r="O687" s="4"/>
      <c r="P687" s="4"/>
      <c r="Q687" s="4"/>
      <c r="R687" s="4"/>
      <c r="S687" s="4"/>
      <c r="T687" s="4"/>
      <c r="U687" s="4"/>
      <c r="V687" s="4"/>
      <c r="W687" s="4"/>
      <c r="X687" s="4"/>
      <c r="Y687" s="4"/>
      <c r="Z687" s="4"/>
      <c r="AA687" s="4"/>
    </row>
    <row r="688" spans="1:27" ht="16">
      <c r="A688" s="1"/>
      <c r="B688" s="2"/>
      <c r="C688" s="6"/>
      <c r="D688" s="2"/>
      <c r="E688" s="2"/>
      <c r="F688" s="2"/>
      <c r="G688" s="2"/>
      <c r="H688" s="1"/>
      <c r="I688" s="4"/>
      <c r="J688" s="4"/>
      <c r="K688" s="4"/>
      <c r="L688" s="4"/>
      <c r="M688" s="4"/>
      <c r="N688" s="4"/>
      <c r="O688" s="4"/>
      <c r="P688" s="4"/>
      <c r="Q688" s="4"/>
      <c r="R688" s="4"/>
      <c r="S688" s="4"/>
      <c r="T688" s="4"/>
      <c r="U688" s="4"/>
      <c r="V688" s="4"/>
      <c r="W688" s="4"/>
      <c r="X688" s="4"/>
      <c r="Y688" s="4"/>
      <c r="Z688" s="4"/>
      <c r="AA688" s="4"/>
    </row>
    <row r="689" spans="1:27" ht="16">
      <c r="A689" s="1"/>
      <c r="B689" s="2"/>
      <c r="C689" s="6"/>
      <c r="D689" s="2"/>
      <c r="E689" s="2"/>
      <c r="F689" s="2"/>
      <c r="G689" s="2"/>
      <c r="H689" s="1"/>
      <c r="I689" s="4"/>
      <c r="J689" s="4"/>
      <c r="K689" s="4"/>
      <c r="L689" s="4"/>
      <c r="M689" s="4"/>
      <c r="N689" s="4"/>
      <c r="O689" s="4"/>
      <c r="P689" s="4"/>
      <c r="Q689" s="4"/>
      <c r="R689" s="4"/>
      <c r="S689" s="4"/>
      <c r="T689" s="4"/>
      <c r="U689" s="4"/>
      <c r="V689" s="4"/>
      <c r="W689" s="4"/>
      <c r="X689" s="4"/>
      <c r="Y689" s="4"/>
      <c r="Z689" s="4"/>
      <c r="AA689" s="4"/>
    </row>
    <row r="690" spans="1:27" ht="16">
      <c r="A690" s="1"/>
      <c r="B690" s="2"/>
      <c r="C690" s="6"/>
      <c r="D690" s="2"/>
      <c r="E690" s="2"/>
      <c r="F690" s="2"/>
      <c r="G690" s="2"/>
      <c r="H690" s="1"/>
      <c r="I690" s="4"/>
      <c r="J690" s="4"/>
      <c r="K690" s="4"/>
      <c r="L690" s="4"/>
      <c r="M690" s="4"/>
      <c r="N690" s="4"/>
      <c r="O690" s="4"/>
      <c r="P690" s="4"/>
      <c r="Q690" s="4"/>
      <c r="R690" s="4"/>
      <c r="S690" s="4"/>
      <c r="T690" s="4"/>
      <c r="U690" s="4"/>
      <c r="V690" s="4"/>
      <c r="W690" s="4"/>
      <c r="X690" s="4"/>
      <c r="Y690" s="4"/>
      <c r="Z690" s="4"/>
      <c r="AA690" s="4"/>
    </row>
    <row r="691" spans="1:27" ht="16">
      <c r="A691" s="1"/>
      <c r="B691" s="2"/>
      <c r="C691" s="6"/>
      <c r="D691" s="2"/>
      <c r="E691" s="2"/>
      <c r="F691" s="2"/>
      <c r="G691" s="2"/>
      <c r="H691" s="1"/>
      <c r="I691" s="4"/>
      <c r="J691" s="4"/>
      <c r="K691" s="4"/>
      <c r="L691" s="4"/>
      <c r="M691" s="4"/>
      <c r="N691" s="4"/>
      <c r="O691" s="4"/>
      <c r="P691" s="4"/>
      <c r="Q691" s="4"/>
      <c r="R691" s="4"/>
      <c r="S691" s="4"/>
      <c r="T691" s="4"/>
      <c r="U691" s="4"/>
      <c r="V691" s="4"/>
      <c r="W691" s="4"/>
      <c r="X691" s="4"/>
      <c r="Y691" s="4"/>
      <c r="Z691" s="4"/>
      <c r="AA691" s="4"/>
    </row>
    <row r="692" spans="1:27" ht="16">
      <c r="A692" s="1"/>
      <c r="B692" s="2"/>
      <c r="C692" s="6"/>
      <c r="D692" s="2"/>
      <c r="E692" s="2"/>
      <c r="F692" s="2"/>
      <c r="G692" s="2"/>
      <c r="H692" s="1"/>
      <c r="I692" s="4"/>
      <c r="J692" s="4"/>
      <c r="K692" s="4"/>
      <c r="L692" s="4"/>
      <c r="M692" s="4"/>
      <c r="N692" s="4"/>
      <c r="O692" s="4"/>
      <c r="P692" s="4"/>
      <c r="Q692" s="4"/>
      <c r="R692" s="4"/>
      <c r="S692" s="4"/>
      <c r="T692" s="4"/>
      <c r="U692" s="4"/>
      <c r="V692" s="4"/>
      <c r="W692" s="4"/>
      <c r="X692" s="4"/>
      <c r="Y692" s="4"/>
      <c r="Z692" s="4"/>
      <c r="AA692" s="4"/>
    </row>
    <row r="693" spans="1:27" ht="16">
      <c r="A693" s="1"/>
      <c r="B693" s="2"/>
      <c r="C693" s="6"/>
      <c r="D693" s="2"/>
      <c r="E693" s="2"/>
      <c r="F693" s="2"/>
      <c r="G693" s="2"/>
      <c r="H693" s="1"/>
      <c r="I693" s="4"/>
      <c r="J693" s="4"/>
      <c r="K693" s="4"/>
      <c r="L693" s="4"/>
      <c r="M693" s="4"/>
      <c r="N693" s="4"/>
      <c r="O693" s="4"/>
      <c r="P693" s="4"/>
      <c r="Q693" s="4"/>
      <c r="R693" s="4"/>
      <c r="S693" s="4"/>
      <c r="T693" s="4"/>
      <c r="U693" s="4"/>
      <c r="V693" s="4"/>
      <c r="W693" s="4"/>
      <c r="X693" s="4"/>
      <c r="Y693" s="4"/>
      <c r="Z693" s="4"/>
      <c r="AA693" s="4"/>
    </row>
    <row r="694" spans="1:27" ht="16">
      <c r="A694" s="1"/>
      <c r="B694" s="2"/>
      <c r="C694" s="6"/>
      <c r="D694" s="2"/>
      <c r="E694" s="2"/>
      <c r="F694" s="2"/>
      <c r="G694" s="2"/>
      <c r="H694" s="1"/>
      <c r="I694" s="4"/>
      <c r="J694" s="4"/>
      <c r="K694" s="4"/>
      <c r="L694" s="4"/>
      <c r="M694" s="4"/>
      <c r="N694" s="4"/>
      <c r="O694" s="4"/>
      <c r="P694" s="4"/>
      <c r="Q694" s="4"/>
      <c r="R694" s="4"/>
      <c r="S694" s="4"/>
      <c r="T694" s="4"/>
      <c r="U694" s="4"/>
      <c r="V694" s="4"/>
      <c r="W694" s="4"/>
      <c r="X694" s="4"/>
      <c r="Y694" s="4"/>
      <c r="Z694" s="4"/>
      <c r="AA694" s="4"/>
    </row>
    <row r="695" spans="1:27" ht="16">
      <c r="A695" s="1"/>
      <c r="B695" s="2"/>
      <c r="C695" s="6"/>
      <c r="D695" s="2"/>
      <c r="E695" s="2"/>
      <c r="F695" s="2"/>
      <c r="G695" s="2"/>
      <c r="H695" s="1"/>
      <c r="I695" s="4"/>
      <c r="J695" s="4"/>
      <c r="K695" s="4"/>
      <c r="L695" s="4"/>
      <c r="M695" s="4"/>
      <c r="N695" s="4"/>
      <c r="O695" s="4"/>
      <c r="P695" s="4"/>
      <c r="Q695" s="4"/>
      <c r="R695" s="4"/>
      <c r="S695" s="4"/>
      <c r="T695" s="4"/>
      <c r="U695" s="4"/>
      <c r="V695" s="4"/>
      <c r="W695" s="4"/>
      <c r="X695" s="4"/>
      <c r="Y695" s="4"/>
      <c r="Z695" s="4"/>
      <c r="AA695" s="4"/>
    </row>
    <row r="696" spans="1:27" ht="16">
      <c r="A696" s="1"/>
      <c r="B696" s="2"/>
      <c r="C696" s="6"/>
      <c r="D696" s="2"/>
      <c r="E696" s="2"/>
      <c r="F696" s="2"/>
      <c r="G696" s="2"/>
      <c r="H696" s="1"/>
      <c r="I696" s="4"/>
      <c r="J696" s="4"/>
      <c r="K696" s="4"/>
      <c r="L696" s="4"/>
      <c r="M696" s="4"/>
      <c r="N696" s="4"/>
      <c r="O696" s="4"/>
      <c r="P696" s="4"/>
      <c r="Q696" s="4"/>
      <c r="R696" s="4"/>
      <c r="S696" s="4"/>
      <c r="T696" s="4"/>
      <c r="U696" s="4"/>
      <c r="V696" s="4"/>
      <c r="W696" s="4"/>
      <c r="X696" s="4"/>
      <c r="Y696" s="4"/>
      <c r="Z696" s="4"/>
      <c r="AA696" s="4"/>
    </row>
    <row r="697" spans="1:27" ht="16">
      <c r="A697" s="1"/>
      <c r="B697" s="2"/>
      <c r="C697" s="6"/>
      <c r="D697" s="2"/>
      <c r="E697" s="2"/>
      <c r="F697" s="2"/>
      <c r="G697" s="2"/>
      <c r="H697" s="1"/>
      <c r="I697" s="4"/>
      <c r="J697" s="4"/>
      <c r="K697" s="4"/>
      <c r="L697" s="4"/>
      <c r="M697" s="4"/>
      <c r="N697" s="4"/>
      <c r="O697" s="4"/>
      <c r="P697" s="4"/>
      <c r="Q697" s="4"/>
      <c r="R697" s="4"/>
      <c r="S697" s="4"/>
      <c r="T697" s="4"/>
      <c r="U697" s="4"/>
      <c r="V697" s="4"/>
      <c r="W697" s="4"/>
      <c r="X697" s="4"/>
      <c r="Y697" s="4"/>
      <c r="Z697" s="4"/>
      <c r="AA697" s="4"/>
    </row>
    <row r="698" spans="1:27" ht="16">
      <c r="A698" s="1"/>
      <c r="B698" s="2"/>
      <c r="C698" s="6"/>
      <c r="D698" s="2"/>
      <c r="E698" s="2"/>
      <c r="F698" s="2"/>
      <c r="G698" s="2"/>
      <c r="H698" s="1"/>
      <c r="I698" s="4"/>
      <c r="J698" s="4"/>
      <c r="K698" s="4"/>
      <c r="L698" s="4"/>
      <c r="M698" s="4"/>
      <c r="N698" s="4"/>
      <c r="O698" s="4"/>
      <c r="P698" s="4"/>
      <c r="Q698" s="4"/>
      <c r="R698" s="4"/>
      <c r="S698" s="4"/>
      <c r="T698" s="4"/>
      <c r="U698" s="4"/>
      <c r="V698" s="4"/>
      <c r="W698" s="4"/>
      <c r="X698" s="4"/>
      <c r="Y698" s="4"/>
      <c r="Z698" s="4"/>
      <c r="AA698" s="4"/>
    </row>
    <row r="699" spans="1:27" ht="16">
      <c r="A699" s="1"/>
      <c r="B699" s="2"/>
      <c r="C699" s="6"/>
      <c r="D699" s="2"/>
      <c r="E699" s="2"/>
      <c r="F699" s="2"/>
      <c r="G699" s="2"/>
      <c r="H699" s="1"/>
      <c r="I699" s="4"/>
      <c r="J699" s="4"/>
      <c r="K699" s="4"/>
      <c r="L699" s="4"/>
      <c r="M699" s="4"/>
      <c r="N699" s="4"/>
      <c r="O699" s="4"/>
      <c r="P699" s="4"/>
      <c r="Q699" s="4"/>
      <c r="R699" s="4"/>
      <c r="S699" s="4"/>
      <c r="T699" s="4"/>
      <c r="U699" s="4"/>
      <c r="V699" s="4"/>
      <c r="W699" s="4"/>
      <c r="X699" s="4"/>
      <c r="Y699" s="4"/>
      <c r="Z699" s="4"/>
      <c r="AA699" s="4"/>
    </row>
    <row r="700" spans="1:27" ht="16">
      <c r="A700" s="1"/>
      <c r="B700" s="2"/>
      <c r="C700" s="6"/>
      <c r="D700" s="2"/>
      <c r="E700" s="2"/>
      <c r="F700" s="2"/>
      <c r="G700" s="2"/>
      <c r="H700" s="1"/>
      <c r="I700" s="4"/>
      <c r="J700" s="4"/>
      <c r="K700" s="4"/>
      <c r="L700" s="4"/>
      <c r="M700" s="4"/>
      <c r="N700" s="4"/>
      <c r="O700" s="4"/>
      <c r="P700" s="4"/>
      <c r="Q700" s="4"/>
      <c r="R700" s="4"/>
      <c r="S700" s="4"/>
      <c r="T700" s="4"/>
      <c r="U700" s="4"/>
      <c r="V700" s="4"/>
      <c r="W700" s="4"/>
      <c r="X700" s="4"/>
      <c r="Y700" s="4"/>
      <c r="Z700" s="4"/>
      <c r="AA700" s="4"/>
    </row>
    <row r="701" spans="1:27" ht="16">
      <c r="A701" s="1"/>
      <c r="B701" s="2"/>
      <c r="C701" s="6"/>
      <c r="D701" s="2"/>
      <c r="E701" s="2"/>
      <c r="F701" s="2"/>
      <c r="G701" s="2"/>
      <c r="H701" s="1"/>
      <c r="I701" s="4"/>
      <c r="J701" s="4"/>
      <c r="K701" s="4"/>
      <c r="L701" s="4"/>
      <c r="M701" s="4"/>
      <c r="N701" s="4"/>
      <c r="O701" s="4"/>
      <c r="P701" s="4"/>
      <c r="Q701" s="4"/>
      <c r="R701" s="4"/>
      <c r="S701" s="4"/>
      <c r="T701" s="4"/>
      <c r="U701" s="4"/>
      <c r="V701" s="4"/>
      <c r="W701" s="4"/>
      <c r="X701" s="4"/>
      <c r="Y701" s="4"/>
      <c r="Z701" s="4"/>
      <c r="AA701" s="4"/>
    </row>
    <row r="702" spans="1:27" ht="16">
      <c r="A702" s="1"/>
      <c r="B702" s="2"/>
      <c r="C702" s="6"/>
      <c r="D702" s="2"/>
      <c r="E702" s="2"/>
      <c r="F702" s="2"/>
      <c r="G702" s="2"/>
      <c r="H702" s="1"/>
      <c r="I702" s="4"/>
      <c r="J702" s="4"/>
      <c r="K702" s="4"/>
      <c r="L702" s="4"/>
      <c r="M702" s="4"/>
      <c r="N702" s="4"/>
      <c r="O702" s="4"/>
      <c r="P702" s="4"/>
      <c r="Q702" s="4"/>
      <c r="R702" s="4"/>
      <c r="S702" s="4"/>
      <c r="T702" s="4"/>
      <c r="U702" s="4"/>
      <c r="V702" s="4"/>
      <c r="W702" s="4"/>
      <c r="X702" s="4"/>
      <c r="Y702" s="4"/>
      <c r="Z702" s="4"/>
      <c r="AA702" s="4"/>
    </row>
    <row r="703" spans="1:27" ht="16">
      <c r="A703" s="1"/>
      <c r="B703" s="2"/>
      <c r="C703" s="6"/>
      <c r="D703" s="2"/>
      <c r="E703" s="2"/>
      <c r="F703" s="2"/>
      <c r="G703" s="2"/>
      <c r="H703" s="1"/>
      <c r="I703" s="4"/>
      <c r="J703" s="4"/>
      <c r="K703" s="4"/>
      <c r="L703" s="4"/>
      <c r="M703" s="4"/>
      <c r="N703" s="4"/>
      <c r="O703" s="4"/>
      <c r="P703" s="4"/>
      <c r="Q703" s="4"/>
      <c r="R703" s="4"/>
      <c r="S703" s="4"/>
      <c r="T703" s="4"/>
      <c r="U703" s="4"/>
      <c r="V703" s="4"/>
      <c r="W703" s="4"/>
      <c r="X703" s="4"/>
      <c r="Y703" s="4"/>
      <c r="Z703" s="4"/>
      <c r="AA703" s="4"/>
    </row>
    <row r="704" spans="1:27" ht="16">
      <c r="A704" s="1"/>
      <c r="B704" s="2"/>
      <c r="C704" s="6"/>
      <c r="D704" s="2"/>
      <c r="E704" s="2"/>
      <c r="F704" s="2"/>
      <c r="G704" s="2"/>
      <c r="H704" s="1"/>
      <c r="I704" s="4"/>
      <c r="J704" s="4"/>
      <c r="K704" s="4"/>
      <c r="L704" s="4"/>
      <c r="M704" s="4"/>
      <c r="N704" s="4"/>
      <c r="O704" s="4"/>
      <c r="P704" s="4"/>
      <c r="Q704" s="4"/>
      <c r="R704" s="4"/>
      <c r="S704" s="4"/>
      <c r="T704" s="4"/>
      <c r="U704" s="4"/>
      <c r="V704" s="4"/>
      <c r="W704" s="4"/>
      <c r="X704" s="4"/>
      <c r="Y704" s="4"/>
      <c r="Z704" s="4"/>
      <c r="AA704" s="4"/>
    </row>
    <row r="705" spans="1:27" ht="16">
      <c r="A705" s="1"/>
      <c r="B705" s="2"/>
      <c r="C705" s="6"/>
      <c r="D705" s="2"/>
      <c r="E705" s="2"/>
      <c r="F705" s="2"/>
      <c r="G705" s="2"/>
      <c r="H705" s="1"/>
      <c r="I705" s="4"/>
      <c r="J705" s="4"/>
      <c r="K705" s="4"/>
      <c r="L705" s="4"/>
      <c r="M705" s="4"/>
      <c r="N705" s="4"/>
      <c r="O705" s="4"/>
      <c r="P705" s="4"/>
      <c r="Q705" s="4"/>
      <c r="R705" s="4"/>
      <c r="S705" s="4"/>
      <c r="T705" s="4"/>
      <c r="U705" s="4"/>
      <c r="V705" s="4"/>
      <c r="W705" s="4"/>
      <c r="X705" s="4"/>
      <c r="Y705" s="4"/>
      <c r="Z705" s="4"/>
      <c r="AA705" s="4"/>
    </row>
    <row r="706" spans="1:27" ht="16">
      <c r="A706" s="1"/>
      <c r="B706" s="2"/>
      <c r="C706" s="6"/>
      <c r="D706" s="2"/>
      <c r="E706" s="2"/>
      <c r="F706" s="2"/>
      <c r="G706" s="2"/>
      <c r="H706" s="1"/>
      <c r="I706" s="4"/>
      <c r="J706" s="4"/>
      <c r="K706" s="4"/>
      <c r="L706" s="4"/>
      <c r="M706" s="4"/>
      <c r="N706" s="4"/>
      <c r="O706" s="4"/>
      <c r="P706" s="4"/>
      <c r="Q706" s="4"/>
      <c r="R706" s="4"/>
      <c r="S706" s="4"/>
      <c r="T706" s="4"/>
      <c r="U706" s="4"/>
      <c r="V706" s="4"/>
      <c r="W706" s="4"/>
      <c r="X706" s="4"/>
      <c r="Y706" s="4"/>
      <c r="Z706" s="4"/>
      <c r="AA706" s="4"/>
    </row>
    <row r="707" spans="1:27" ht="16">
      <c r="A707" s="1"/>
      <c r="B707" s="2"/>
      <c r="C707" s="6"/>
      <c r="D707" s="2"/>
      <c r="E707" s="2"/>
      <c r="F707" s="2"/>
      <c r="G707" s="2"/>
      <c r="H707" s="1"/>
      <c r="I707" s="4"/>
      <c r="J707" s="4"/>
      <c r="K707" s="4"/>
      <c r="L707" s="4"/>
      <c r="M707" s="4"/>
      <c r="N707" s="4"/>
      <c r="O707" s="4"/>
      <c r="P707" s="4"/>
      <c r="Q707" s="4"/>
      <c r="R707" s="4"/>
      <c r="S707" s="4"/>
      <c r="T707" s="4"/>
      <c r="U707" s="4"/>
      <c r="V707" s="4"/>
      <c r="W707" s="4"/>
      <c r="X707" s="4"/>
      <c r="Y707" s="4"/>
      <c r="Z707" s="4"/>
      <c r="AA707" s="4"/>
    </row>
    <row r="708" spans="1:27" ht="16">
      <c r="A708" s="1"/>
      <c r="B708" s="2"/>
      <c r="C708" s="6"/>
      <c r="D708" s="2"/>
      <c r="E708" s="2"/>
      <c r="F708" s="2"/>
      <c r="G708" s="2"/>
      <c r="H708" s="1"/>
      <c r="I708" s="4"/>
      <c r="J708" s="4"/>
      <c r="K708" s="4"/>
      <c r="L708" s="4"/>
      <c r="M708" s="4"/>
      <c r="N708" s="4"/>
      <c r="O708" s="4"/>
      <c r="P708" s="4"/>
      <c r="Q708" s="4"/>
      <c r="R708" s="4"/>
      <c r="S708" s="4"/>
      <c r="T708" s="4"/>
      <c r="U708" s="4"/>
      <c r="V708" s="4"/>
      <c r="W708" s="4"/>
      <c r="X708" s="4"/>
      <c r="Y708" s="4"/>
      <c r="Z708" s="4"/>
      <c r="AA708" s="4"/>
    </row>
    <row r="709" spans="1:27" ht="16">
      <c r="A709" s="1"/>
      <c r="B709" s="2"/>
      <c r="C709" s="6"/>
      <c r="D709" s="2"/>
      <c r="E709" s="2"/>
      <c r="F709" s="2"/>
      <c r="G709" s="2"/>
      <c r="H709" s="1"/>
      <c r="I709" s="4"/>
      <c r="J709" s="4"/>
      <c r="K709" s="4"/>
      <c r="L709" s="4"/>
      <c r="M709" s="4"/>
      <c r="N709" s="4"/>
      <c r="O709" s="4"/>
      <c r="P709" s="4"/>
      <c r="Q709" s="4"/>
      <c r="R709" s="4"/>
      <c r="S709" s="4"/>
      <c r="T709" s="4"/>
      <c r="U709" s="4"/>
      <c r="V709" s="4"/>
      <c r="W709" s="4"/>
      <c r="X709" s="4"/>
      <c r="Y709" s="4"/>
      <c r="Z709" s="4"/>
      <c r="AA709" s="4"/>
    </row>
    <row r="710" spans="1:27" ht="16">
      <c r="A710" s="1"/>
      <c r="B710" s="2"/>
      <c r="C710" s="6"/>
      <c r="D710" s="2"/>
      <c r="E710" s="2"/>
      <c r="F710" s="2"/>
      <c r="G710" s="2"/>
      <c r="H710" s="1"/>
      <c r="I710" s="4"/>
      <c r="J710" s="4"/>
      <c r="K710" s="4"/>
      <c r="L710" s="4"/>
      <c r="M710" s="4"/>
      <c r="N710" s="4"/>
      <c r="O710" s="4"/>
      <c r="P710" s="4"/>
      <c r="Q710" s="4"/>
      <c r="R710" s="4"/>
      <c r="S710" s="4"/>
      <c r="T710" s="4"/>
      <c r="U710" s="4"/>
      <c r="V710" s="4"/>
      <c r="W710" s="4"/>
      <c r="X710" s="4"/>
      <c r="Y710" s="4"/>
      <c r="Z710" s="4"/>
      <c r="AA710" s="4"/>
    </row>
    <row r="711" spans="1:27" ht="16">
      <c r="A711" s="1"/>
      <c r="B711" s="2"/>
      <c r="C711" s="6"/>
      <c r="D711" s="2"/>
      <c r="E711" s="2"/>
      <c r="F711" s="2"/>
      <c r="G711" s="2"/>
      <c r="H711" s="1"/>
      <c r="I711" s="4"/>
      <c r="J711" s="4"/>
      <c r="K711" s="4"/>
      <c r="L711" s="4"/>
      <c r="M711" s="4"/>
      <c r="N711" s="4"/>
      <c r="O711" s="4"/>
      <c r="P711" s="4"/>
      <c r="Q711" s="4"/>
      <c r="R711" s="4"/>
      <c r="S711" s="4"/>
      <c r="T711" s="4"/>
      <c r="U711" s="4"/>
      <c r="V711" s="4"/>
      <c r="W711" s="4"/>
      <c r="X711" s="4"/>
      <c r="Y711" s="4"/>
      <c r="Z711" s="4"/>
      <c r="AA711" s="4"/>
    </row>
    <row r="712" spans="1:27" ht="16">
      <c r="A712" s="1"/>
      <c r="B712" s="2"/>
      <c r="C712" s="6"/>
      <c r="D712" s="2"/>
      <c r="E712" s="2"/>
      <c r="F712" s="2"/>
      <c r="G712" s="2"/>
      <c r="H712" s="1"/>
      <c r="I712" s="4"/>
      <c r="J712" s="4"/>
      <c r="K712" s="4"/>
      <c r="L712" s="4"/>
      <c r="M712" s="4"/>
      <c r="N712" s="4"/>
      <c r="O712" s="4"/>
      <c r="P712" s="4"/>
      <c r="Q712" s="4"/>
      <c r="R712" s="4"/>
      <c r="S712" s="4"/>
      <c r="T712" s="4"/>
      <c r="U712" s="4"/>
      <c r="V712" s="4"/>
      <c r="W712" s="4"/>
      <c r="X712" s="4"/>
      <c r="Y712" s="4"/>
      <c r="Z712" s="4"/>
      <c r="AA712" s="4"/>
    </row>
    <row r="713" spans="1:27" ht="16">
      <c r="A713" s="1"/>
      <c r="B713" s="2"/>
      <c r="C713" s="6"/>
      <c r="D713" s="2"/>
      <c r="E713" s="2"/>
      <c r="F713" s="2"/>
      <c r="G713" s="2"/>
      <c r="H713" s="1"/>
      <c r="I713" s="4"/>
      <c r="J713" s="4"/>
      <c r="K713" s="4"/>
      <c r="L713" s="4"/>
      <c r="M713" s="4"/>
      <c r="N713" s="4"/>
      <c r="O713" s="4"/>
      <c r="P713" s="4"/>
      <c r="Q713" s="4"/>
      <c r="R713" s="4"/>
      <c r="S713" s="4"/>
      <c r="T713" s="4"/>
      <c r="U713" s="4"/>
      <c r="V713" s="4"/>
      <c r="W713" s="4"/>
      <c r="X713" s="4"/>
      <c r="Y713" s="4"/>
      <c r="Z713" s="4"/>
      <c r="AA713" s="4"/>
    </row>
    <row r="714" spans="1:27" ht="16">
      <c r="A714" s="1"/>
      <c r="B714" s="2"/>
      <c r="C714" s="6"/>
      <c r="D714" s="2"/>
      <c r="E714" s="2"/>
      <c r="F714" s="2"/>
      <c r="G714" s="2"/>
      <c r="H714" s="1"/>
      <c r="I714" s="4"/>
      <c r="J714" s="4"/>
      <c r="K714" s="4"/>
      <c r="L714" s="4"/>
      <c r="M714" s="4"/>
      <c r="N714" s="4"/>
      <c r="O714" s="4"/>
      <c r="P714" s="4"/>
      <c r="Q714" s="4"/>
      <c r="R714" s="4"/>
      <c r="S714" s="4"/>
      <c r="T714" s="4"/>
      <c r="U714" s="4"/>
      <c r="V714" s="4"/>
      <c r="W714" s="4"/>
      <c r="X714" s="4"/>
      <c r="Y714" s="4"/>
      <c r="Z714" s="4"/>
      <c r="AA714" s="4"/>
    </row>
    <row r="715" spans="1:27" ht="16">
      <c r="A715" s="1"/>
      <c r="B715" s="2"/>
      <c r="C715" s="6"/>
      <c r="D715" s="2"/>
      <c r="E715" s="2"/>
      <c r="F715" s="2"/>
      <c r="G715" s="2"/>
      <c r="H715" s="1"/>
      <c r="I715" s="4"/>
      <c r="J715" s="4"/>
      <c r="K715" s="4"/>
      <c r="L715" s="4"/>
      <c r="M715" s="4"/>
      <c r="N715" s="4"/>
      <c r="O715" s="4"/>
      <c r="P715" s="4"/>
      <c r="Q715" s="4"/>
      <c r="R715" s="4"/>
      <c r="S715" s="4"/>
      <c r="T715" s="4"/>
      <c r="U715" s="4"/>
      <c r="V715" s="4"/>
      <c r="W715" s="4"/>
      <c r="X715" s="4"/>
      <c r="Y715" s="4"/>
      <c r="Z715" s="4"/>
      <c r="AA715" s="4"/>
    </row>
    <row r="716" spans="1:27" ht="16">
      <c r="A716" s="1"/>
      <c r="B716" s="2"/>
      <c r="C716" s="6"/>
      <c r="D716" s="2"/>
      <c r="E716" s="2"/>
      <c r="F716" s="2"/>
      <c r="G716" s="2"/>
      <c r="H716" s="1"/>
      <c r="I716" s="4"/>
      <c r="J716" s="4"/>
      <c r="K716" s="4"/>
      <c r="L716" s="4"/>
      <c r="M716" s="4"/>
      <c r="N716" s="4"/>
      <c r="O716" s="4"/>
      <c r="P716" s="4"/>
      <c r="Q716" s="4"/>
      <c r="R716" s="4"/>
      <c r="S716" s="4"/>
      <c r="T716" s="4"/>
      <c r="U716" s="4"/>
      <c r="V716" s="4"/>
      <c r="W716" s="4"/>
      <c r="X716" s="4"/>
      <c r="Y716" s="4"/>
      <c r="Z716" s="4"/>
      <c r="AA716" s="4"/>
    </row>
    <row r="717" spans="1:27" ht="16">
      <c r="A717" s="1"/>
      <c r="B717" s="2"/>
      <c r="C717" s="6"/>
      <c r="D717" s="2"/>
      <c r="E717" s="2"/>
      <c r="F717" s="2"/>
      <c r="G717" s="2"/>
      <c r="H717" s="1"/>
      <c r="I717" s="4"/>
      <c r="J717" s="4"/>
      <c r="K717" s="4"/>
      <c r="L717" s="4"/>
      <c r="M717" s="4"/>
      <c r="N717" s="4"/>
      <c r="O717" s="4"/>
      <c r="P717" s="4"/>
      <c r="Q717" s="4"/>
      <c r="R717" s="4"/>
      <c r="S717" s="4"/>
      <c r="T717" s="4"/>
      <c r="U717" s="4"/>
      <c r="V717" s="4"/>
      <c r="W717" s="4"/>
      <c r="X717" s="4"/>
      <c r="Y717" s="4"/>
      <c r="Z717" s="4"/>
      <c r="AA717" s="4"/>
    </row>
    <row r="718" spans="1:27" ht="16">
      <c r="A718" s="1"/>
      <c r="B718" s="2"/>
      <c r="C718" s="6"/>
      <c r="D718" s="2"/>
      <c r="E718" s="2"/>
      <c r="F718" s="2"/>
      <c r="G718" s="2"/>
      <c r="H718" s="1"/>
      <c r="I718" s="4"/>
      <c r="J718" s="4"/>
      <c r="K718" s="4"/>
      <c r="L718" s="4"/>
      <c r="M718" s="4"/>
      <c r="N718" s="4"/>
      <c r="O718" s="4"/>
      <c r="P718" s="4"/>
      <c r="Q718" s="4"/>
      <c r="R718" s="4"/>
      <c r="S718" s="4"/>
      <c r="T718" s="4"/>
      <c r="U718" s="4"/>
      <c r="V718" s="4"/>
      <c r="W718" s="4"/>
      <c r="X718" s="4"/>
      <c r="Y718" s="4"/>
      <c r="Z718" s="4"/>
      <c r="AA718" s="4"/>
    </row>
    <row r="719" spans="1:27" ht="16">
      <c r="A719" s="1"/>
      <c r="B719" s="2"/>
      <c r="C719" s="6"/>
      <c r="D719" s="2"/>
      <c r="E719" s="2"/>
      <c r="F719" s="2"/>
      <c r="G719" s="2"/>
      <c r="H719" s="1"/>
      <c r="I719" s="4"/>
      <c r="J719" s="4"/>
      <c r="K719" s="4"/>
      <c r="L719" s="4"/>
      <c r="M719" s="4"/>
      <c r="N719" s="4"/>
      <c r="O719" s="4"/>
      <c r="P719" s="4"/>
      <c r="Q719" s="4"/>
      <c r="R719" s="4"/>
      <c r="S719" s="4"/>
      <c r="T719" s="4"/>
      <c r="U719" s="4"/>
      <c r="V719" s="4"/>
      <c r="W719" s="4"/>
      <c r="X719" s="4"/>
      <c r="Y719" s="4"/>
      <c r="Z719" s="4"/>
      <c r="AA719" s="4"/>
    </row>
    <row r="720" spans="1:27" ht="16">
      <c r="A720" s="1"/>
      <c r="B720" s="2"/>
      <c r="C720" s="6"/>
      <c r="D720" s="2"/>
      <c r="E720" s="2"/>
      <c r="F720" s="2"/>
      <c r="G720" s="2"/>
      <c r="H720" s="1"/>
      <c r="I720" s="4"/>
      <c r="J720" s="4"/>
      <c r="K720" s="4"/>
      <c r="L720" s="4"/>
      <c r="M720" s="4"/>
      <c r="N720" s="4"/>
      <c r="O720" s="4"/>
      <c r="P720" s="4"/>
      <c r="Q720" s="4"/>
      <c r="R720" s="4"/>
      <c r="S720" s="4"/>
      <c r="T720" s="4"/>
      <c r="U720" s="4"/>
      <c r="V720" s="4"/>
      <c r="W720" s="4"/>
      <c r="X720" s="4"/>
      <c r="Y720" s="4"/>
      <c r="Z720" s="4"/>
      <c r="AA720" s="4"/>
    </row>
    <row r="721" spans="1:27" ht="16">
      <c r="A721" s="1"/>
      <c r="B721" s="2"/>
      <c r="C721" s="6"/>
      <c r="D721" s="2"/>
      <c r="E721" s="2"/>
      <c r="F721" s="2"/>
      <c r="G721" s="2"/>
      <c r="H721" s="1"/>
      <c r="I721" s="4"/>
      <c r="J721" s="4"/>
      <c r="K721" s="4"/>
      <c r="L721" s="4"/>
      <c r="M721" s="4"/>
      <c r="N721" s="4"/>
      <c r="O721" s="4"/>
      <c r="P721" s="4"/>
      <c r="Q721" s="4"/>
      <c r="R721" s="4"/>
      <c r="S721" s="4"/>
      <c r="T721" s="4"/>
      <c r="U721" s="4"/>
      <c r="V721" s="4"/>
      <c r="W721" s="4"/>
      <c r="X721" s="4"/>
      <c r="Y721" s="4"/>
      <c r="Z721" s="4"/>
      <c r="AA721" s="4"/>
    </row>
    <row r="722" spans="1:27" ht="16">
      <c r="A722" s="1"/>
      <c r="B722" s="2"/>
      <c r="C722" s="6"/>
      <c r="D722" s="2"/>
      <c r="E722" s="2"/>
      <c r="F722" s="2"/>
      <c r="G722" s="2"/>
      <c r="H722" s="1"/>
      <c r="I722" s="4"/>
      <c r="J722" s="4"/>
      <c r="K722" s="4"/>
      <c r="L722" s="4"/>
      <c r="M722" s="4"/>
      <c r="N722" s="4"/>
      <c r="O722" s="4"/>
      <c r="P722" s="4"/>
      <c r="Q722" s="4"/>
      <c r="R722" s="4"/>
      <c r="S722" s="4"/>
      <c r="T722" s="4"/>
      <c r="U722" s="4"/>
      <c r="V722" s="4"/>
      <c r="W722" s="4"/>
      <c r="X722" s="4"/>
      <c r="Y722" s="4"/>
      <c r="Z722" s="4"/>
      <c r="AA722" s="4"/>
    </row>
    <row r="723" spans="1:27" ht="16">
      <c r="A723" s="1"/>
      <c r="B723" s="2"/>
      <c r="C723" s="6"/>
      <c r="D723" s="2"/>
      <c r="E723" s="2"/>
      <c r="F723" s="2"/>
      <c r="G723" s="2"/>
      <c r="H723" s="1"/>
      <c r="I723" s="4"/>
      <c r="J723" s="4"/>
      <c r="K723" s="4"/>
      <c r="L723" s="4"/>
      <c r="M723" s="4"/>
      <c r="N723" s="4"/>
      <c r="O723" s="4"/>
      <c r="P723" s="4"/>
      <c r="Q723" s="4"/>
      <c r="R723" s="4"/>
      <c r="S723" s="4"/>
      <c r="T723" s="4"/>
      <c r="U723" s="4"/>
      <c r="V723" s="4"/>
      <c r="W723" s="4"/>
      <c r="X723" s="4"/>
      <c r="Y723" s="4"/>
      <c r="Z723" s="4"/>
      <c r="AA723" s="4"/>
    </row>
    <row r="724" spans="1:27" ht="16">
      <c r="A724" s="1"/>
      <c r="B724" s="2"/>
      <c r="C724" s="6"/>
      <c r="D724" s="2"/>
      <c r="E724" s="2"/>
      <c r="F724" s="2"/>
      <c r="G724" s="2"/>
      <c r="H724" s="1"/>
      <c r="I724" s="4"/>
      <c r="J724" s="4"/>
      <c r="K724" s="4"/>
      <c r="L724" s="4"/>
      <c r="M724" s="4"/>
      <c r="N724" s="4"/>
      <c r="O724" s="4"/>
      <c r="P724" s="4"/>
      <c r="Q724" s="4"/>
      <c r="R724" s="4"/>
      <c r="S724" s="4"/>
      <c r="T724" s="4"/>
      <c r="U724" s="4"/>
      <c r="V724" s="4"/>
      <c r="W724" s="4"/>
      <c r="X724" s="4"/>
      <c r="Y724" s="4"/>
      <c r="Z724" s="4"/>
      <c r="AA724" s="4"/>
    </row>
    <row r="725" spans="1:27" ht="16">
      <c r="A725" s="1"/>
      <c r="B725" s="2"/>
      <c r="C725" s="6"/>
      <c r="D725" s="2"/>
      <c r="E725" s="2"/>
      <c r="F725" s="2"/>
      <c r="G725" s="2"/>
      <c r="H725" s="1"/>
      <c r="I725" s="4"/>
      <c r="J725" s="4"/>
      <c r="K725" s="4"/>
      <c r="L725" s="4"/>
      <c r="M725" s="4"/>
      <c r="N725" s="4"/>
      <c r="O725" s="4"/>
      <c r="P725" s="4"/>
      <c r="Q725" s="4"/>
      <c r="R725" s="4"/>
      <c r="S725" s="4"/>
      <c r="T725" s="4"/>
      <c r="U725" s="4"/>
      <c r="V725" s="4"/>
      <c r="W725" s="4"/>
      <c r="X725" s="4"/>
      <c r="Y725" s="4"/>
      <c r="Z725" s="4"/>
      <c r="AA725" s="4"/>
    </row>
    <row r="726" spans="1:27" ht="16">
      <c r="A726" s="1"/>
      <c r="B726" s="2"/>
      <c r="C726" s="6"/>
      <c r="D726" s="2"/>
      <c r="E726" s="2"/>
      <c r="F726" s="2"/>
      <c r="G726" s="2"/>
      <c r="H726" s="1"/>
      <c r="I726" s="4"/>
      <c r="J726" s="4"/>
      <c r="K726" s="4"/>
      <c r="L726" s="4"/>
      <c r="M726" s="4"/>
      <c r="N726" s="4"/>
      <c r="O726" s="4"/>
      <c r="P726" s="4"/>
      <c r="Q726" s="4"/>
      <c r="R726" s="4"/>
      <c r="S726" s="4"/>
      <c r="T726" s="4"/>
      <c r="U726" s="4"/>
      <c r="V726" s="4"/>
      <c r="W726" s="4"/>
      <c r="X726" s="4"/>
      <c r="Y726" s="4"/>
      <c r="Z726" s="4"/>
      <c r="AA726" s="4"/>
    </row>
    <row r="727" spans="1:27" ht="16">
      <c r="A727" s="1"/>
      <c r="B727" s="2"/>
      <c r="C727" s="6"/>
      <c r="D727" s="2"/>
      <c r="E727" s="2"/>
      <c r="F727" s="2"/>
      <c r="G727" s="2"/>
      <c r="H727" s="1"/>
      <c r="I727" s="4"/>
      <c r="J727" s="4"/>
      <c r="K727" s="4"/>
      <c r="L727" s="4"/>
      <c r="M727" s="4"/>
      <c r="N727" s="4"/>
      <c r="O727" s="4"/>
      <c r="P727" s="4"/>
      <c r="Q727" s="4"/>
      <c r="R727" s="4"/>
      <c r="S727" s="4"/>
      <c r="T727" s="4"/>
      <c r="U727" s="4"/>
      <c r="V727" s="4"/>
      <c r="W727" s="4"/>
      <c r="X727" s="4"/>
      <c r="Y727" s="4"/>
      <c r="Z727" s="4"/>
      <c r="AA727" s="4"/>
    </row>
    <row r="728" spans="1:27" ht="16">
      <c r="A728" s="1"/>
      <c r="B728" s="2"/>
      <c r="C728" s="6"/>
      <c r="D728" s="2"/>
      <c r="E728" s="2"/>
      <c r="F728" s="2"/>
      <c r="G728" s="2"/>
      <c r="H728" s="1"/>
      <c r="I728" s="4"/>
      <c r="J728" s="4"/>
      <c r="K728" s="4"/>
      <c r="L728" s="4"/>
      <c r="M728" s="4"/>
      <c r="N728" s="4"/>
      <c r="O728" s="4"/>
      <c r="P728" s="4"/>
      <c r="Q728" s="4"/>
      <c r="R728" s="4"/>
      <c r="S728" s="4"/>
      <c r="T728" s="4"/>
      <c r="U728" s="4"/>
      <c r="V728" s="4"/>
      <c r="W728" s="4"/>
      <c r="X728" s="4"/>
      <c r="Y728" s="4"/>
      <c r="Z728" s="4"/>
      <c r="AA728" s="4"/>
    </row>
    <row r="729" spans="1:27" ht="16">
      <c r="A729" s="1"/>
      <c r="B729" s="2"/>
      <c r="C729" s="6"/>
      <c r="D729" s="2"/>
      <c r="E729" s="2"/>
      <c r="F729" s="2"/>
      <c r="G729" s="2"/>
      <c r="H729" s="1"/>
      <c r="I729" s="4"/>
      <c r="J729" s="4"/>
      <c r="K729" s="4"/>
      <c r="L729" s="4"/>
      <c r="M729" s="4"/>
      <c r="N729" s="4"/>
      <c r="O729" s="4"/>
      <c r="P729" s="4"/>
      <c r="Q729" s="4"/>
      <c r="R729" s="4"/>
      <c r="S729" s="4"/>
      <c r="T729" s="4"/>
      <c r="U729" s="4"/>
      <c r="V729" s="4"/>
      <c r="W729" s="4"/>
      <c r="X729" s="4"/>
      <c r="Y729" s="4"/>
      <c r="Z729" s="4"/>
      <c r="AA729" s="4"/>
    </row>
    <row r="730" spans="1:27" ht="16">
      <c r="A730" s="1"/>
      <c r="B730" s="2"/>
      <c r="C730" s="6"/>
      <c r="D730" s="2"/>
      <c r="E730" s="2"/>
      <c r="F730" s="2"/>
      <c r="G730" s="2"/>
      <c r="H730" s="1"/>
      <c r="I730" s="4"/>
      <c r="J730" s="4"/>
      <c r="K730" s="4"/>
      <c r="L730" s="4"/>
      <c r="M730" s="4"/>
      <c r="N730" s="4"/>
      <c r="O730" s="4"/>
      <c r="P730" s="4"/>
      <c r="Q730" s="4"/>
      <c r="R730" s="4"/>
      <c r="S730" s="4"/>
      <c r="T730" s="4"/>
      <c r="U730" s="4"/>
      <c r="V730" s="4"/>
      <c r="W730" s="4"/>
      <c r="X730" s="4"/>
      <c r="Y730" s="4"/>
      <c r="Z730" s="4"/>
      <c r="AA730" s="4"/>
    </row>
    <row r="731" spans="1:27" ht="16">
      <c r="A731" s="1"/>
      <c r="B731" s="2"/>
      <c r="C731" s="6"/>
      <c r="D731" s="2"/>
      <c r="E731" s="2"/>
      <c r="F731" s="2"/>
      <c r="G731" s="2"/>
      <c r="H731" s="1"/>
      <c r="I731" s="4"/>
      <c r="J731" s="4"/>
      <c r="K731" s="4"/>
      <c r="L731" s="4"/>
      <c r="M731" s="4"/>
      <c r="N731" s="4"/>
      <c r="O731" s="4"/>
      <c r="P731" s="4"/>
      <c r="Q731" s="4"/>
      <c r="R731" s="4"/>
      <c r="S731" s="4"/>
      <c r="T731" s="4"/>
      <c r="U731" s="4"/>
      <c r="V731" s="4"/>
      <c r="W731" s="4"/>
      <c r="X731" s="4"/>
      <c r="Y731" s="4"/>
      <c r="Z731" s="4"/>
      <c r="AA731" s="4"/>
    </row>
    <row r="732" spans="1:27" ht="16">
      <c r="A732" s="1"/>
      <c r="B732" s="2"/>
      <c r="C732" s="6"/>
      <c r="D732" s="2"/>
      <c r="E732" s="2"/>
      <c r="F732" s="2"/>
      <c r="G732" s="2"/>
      <c r="H732" s="1"/>
      <c r="I732" s="4"/>
      <c r="J732" s="4"/>
      <c r="K732" s="4"/>
      <c r="L732" s="4"/>
      <c r="M732" s="4"/>
      <c r="N732" s="4"/>
      <c r="O732" s="4"/>
      <c r="P732" s="4"/>
      <c r="Q732" s="4"/>
      <c r="R732" s="4"/>
      <c r="S732" s="4"/>
      <c r="T732" s="4"/>
      <c r="U732" s="4"/>
      <c r="V732" s="4"/>
      <c r="W732" s="4"/>
      <c r="X732" s="4"/>
      <c r="Y732" s="4"/>
      <c r="Z732" s="4"/>
      <c r="AA732" s="4"/>
    </row>
    <row r="733" spans="1:27" ht="16">
      <c r="A733" s="1"/>
      <c r="B733" s="2"/>
      <c r="C733" s="6"/>
      <c r="D733" s="2"/>
      <c r="E733" s="2"/>
      <c r="F733" s="2"/>
      <c r="G733" s="2"/>
      <c r="H733" s="1"/>
      <c r="I733" s="4"/>
      <c r="J733" s="4"/>
      <c r="K733" s="4"/>
      <c r="L733" s="4"/>
      <c r="M733" s="4"/>
      <c r="N733" s="4"/>
      <c r="O733" s="4"/>
      <c r="P733" s="4"/>
      <c r="Q733" s="4"/>
      <c r="R733" s="4"/>
      <c r="S733" s="4"/>
      <c r="T733" s="4"/>
      <c r="U733" s="4"/>
      <c r="V733" s="4"/>
      <c r="W733" s="4"/>
      <c r="X733" s="4"/>
      <c r="Y733" s="4"/>
      <c r="Z733" s="4"/>
      <c r="AA733" s="4"/>
    </row>
    <row r="734" spans="1:27" ht="16">
      <c r="A734" s="1"/>
      <c r="B734" s="2"/>
      <c r="C734" s="6"/>
      <c r="D734" s="2"/>
      <c r="E734" s="2"/>
      <c r="F734" s="2"/>
      <c r="G734" s="2"/>
      <c r="H734" s="1"/>
      <c r="I734" s="4"/>
      <c r="J734" s="4"/>
      <c r="K734" s="4"/>
      <c r="L734" s="4"/>
      <c r="M734" s="4"/>
      <c r="N734" s="4"/>
      <c r="O734" s="4"/>
      <c r="P734" s="4"/>
      <c r="Q734" s="4"/>
      <c r="R734" s="4"/>
      <c r="S734" s="4"/>
      <c r="T734" s="4"/>
      <c r="U734" s="4"/>
      <c r="V734" s="4"/>
      <c r="W734" s="4"/>
      <c r="X734" s="4"/>
      <c r="Y734" s="4"/>
      <c r="Z734" s="4"/>
      <c r="AA734" s="4"/>
    </row>
    <row r="735" spans="1:27" ht="16">
      <c r="A735" s="1"/>
      <c r="B735" s="2"/>
      <c r="C735" s="6"/>
      <c r="D735" s="2"/>
      <c r="E735" s="2"/>
      <c r="F735" s="2"/>
      <c r="G735" s="2"/>
      <c r="H735" s="1"/>
      <c r="I735" s="4"/>
      <c r="J735" s="4"/>
      <c r="K735" s="4"/>
      <c r="L735" s="4"/>
      <c r="M735" s="4"/>
      <c r="N735" s="4"/>
      <c r="O735" s="4"/>
      <c r="P735" s="4"/>
      <c r="Q735" s="4"/>
      <c r="R735" s="4"/>
      <c r="S735" s="4"/>
      <c r="T735" s="4"/>
      <c r="U735" s="4"/>
      <c r="V735" s="4"/>
      <c r="W735" s="4"/>
      <c r="X735" s="4"/>
      <c r="Y735" s="4"/>
      <c r="Z735" s="4"/>
      <c r="AA735" s="4"/>
    </row>
    <row r="736" spans="1:27" ht="16">
      <c r="A736" s="1"/>
      <c r="B736" s="2"/>
      <c r="C736" s="6"/>
      <c r="D736" s="2"/>
      <c r="E736" s="2"/>
      <c r="F736" s="2"/>
      <c r="G736" s="2"/>
      <c r="H736" s="1"/>
      <c r="I736" s="4"/>
      <c r="J736" s="4"/>
      <c r="K736" s="4"/>
      <c r="L736" s="4"/>
      <c r="M736" s="4"/>
      <c r="N736" s="4"/>
      <c r="O736" s="4"/>
      <c r="P736" s="4"/>
      <c r="Q736" s="4"/>
      <c r="R736" s="4"/>
      <c r="S736" s="4"/>
      <c r="T736" s="4"/>
      <c r="U736" s="4"/>
      <c r="V736" s="4"/>
      <c r="W736" s="4"/>
      <c r="X736" s="4"/>
      <c r="Y736" s="4"/>
      <c r="Z736" s="4"/>
      <c r="AA736" s="4"/>
    </row>
    <row r="737" spans="1:27" ht="16">
      <c r="A737" s="1"/>
      <c r="B737" s="2"/>
      <c r="C737" s="6"/>
      <c r="D737" s="2"/>
      <c r="E737" s="2"/>
      <c r="F737" s="2"/>
      <c r="G737" s="2"/>
      <c r="H737" s="1"/>
      <c r="I737" s="4"/>
      <c r="J737" s="4"/>
      <c r="K737" s="4"/>
      <c r="L737" s="4"/>
      <c r="M737" s="4"/>
      <c r="N737" s="4"/>
      <c r="O737" s="4"/>
      <c r="P737" s="4"/>
      <c r="Q737" s="4"/>
      <c r="R737" s="4"/>
      <c r="S737" s="4"/>
      <c r="T737" s="4"/>
      <c r="U737" s="4"/>
      <c r="V737" s="4"/>
      <c r="W737" s="4"/>
      <c r="X737" s="4"/>
      <c r="Y737" s="4"/>
      <c r="Z737" s="4"/>
      <c r="AA737" s="4"/>
    </row>
    <row r="738" spans="1:27" ht="16">
      <c r="A738" s="1"/>
      <c r="B738" s="2"/>
      <c r="C738" s="6"/>
      <c r="D738" s="2"/>
      <c r="E738" s="2"/>
      <c r="F738" s="2"/>
      <c r="G738" s="2"/>
      <c r="H738" s="1"/>
      <c r="I738" s="4"/>
      <c r="J738" s="4"/>
      <c r="K738" s="4"/>
      <c r="L738" s="4"/>
      <c r="M738" s="4"/>
      <c r="N738" s="4"/>
      <c r="O738" s="4"/>
      <c r="P738" s="4"/>
      <c r="Q738" s="4"/>
      <c r="R738" s="4"/>
      <c r="S738" s="4"/>
      <c r="T738" s="4"/>
      <c r="U738" s="4"/>
      <c r="V738" s="4"/>
      <c r="W738" s="4"/>
      <c r="X738" s="4"/>
      <c r="Y738" s="4"/>
      <c r="Z738" s="4"/>
      <c r="AA738" s="4"/>
    </row>
    <row r="739" spans="1:27" ht="16">
      <c r="A739" s="1"/>
      <c r="B739" s="2"/>
      <c r="C739" s="6"/>
      <c r="D739" s="2"/>
      <c r="E739" s="2"/>
      <c r="F739" s="2"/>
      <c r="G739" s="2"/>
      <c r="H739" s="1"/>
      <c r="I739" s="4"/>
      <c r="J739" s="4"/>
      <c r="K739" s="4"/>
      <c r="L739" s="4"/>
      <c r="M739" s="4"/>
      <c r="N739" s="4"/>
      <c r="O739" s="4"/>
      <c r="P739" s="4"/>
      <c r="Q739" s="4"/>
      <c r="R739" s="4"/>
      <c r="S739" s="4"/>
      <c r="T739" s="4"/>
      <c r="U739" s="4"/>
      <c r="V739" s="4"/>
      <c r="W739" s="4"/>
      <c r="X739" s="4"/>
      <c r="Y739" s="4"/>
      <c r="Z739" s="4"/>
      <c r="AA739" s="4"/>
    </row>
    <row r="740" spans="1:27" ht="16">
      <c r="A740" s="1"/>
      <c r="B740" s="2"/>
      <c r="C740" s="6"/>
      <c r="D740" s="2"/>
      <c r="E740" s="2"/>
      <c r="F740" s="2"/>
      <c r="G740" s="2"/>
      <c r="H740" s="1"/>
      <c r="I740" s="4"/>
      <c r="J740" s="4"/>
      <c r="K740" s="4"/>
      <c r="L740" s="4"/>
      <c r="M740" s="4"/>
      <c r="N740" s="4"/>
      <c r="O740" s="4"/>
      <c r="P740" s="4"/>
      <c r="Q740" s="4"/>
      <c r="R740" s="4"/>
      <c r="S740" s="4"/>
      <c r="T740" s="4"/>
      <c r="U740" s="4"/>
      <c r="V740" s="4"/>
      <c r="W740" s="4"/>
      <c r="X740" s="4"/>
      <c r="Y740" s="4"/>
      <c r="Z740" s="4"/>
      <c r="AA740" s="4"/>
    </row>
    <row r="741" spans="1:27" ht="16">
      <c r="A741" s="1"/>
      <c r="B741" s="2"/>
      <c r="C741" s="6"/>
      <c r="D741" s="2"/>
      <c r="E741" s="2"/>
      <c r="F741" s="2"/>
      <c r="G741" s="2"/>
      <c r="H741" s="1"/>
      <c r="I741" s="4"/>
      <c r="J741" s="4"/>
      <c r="K741" s="4"/>
      <c r="L741" s="4"/>
      <c r="M741" s="4"/>
      <c r="N741" s="4"/>
      <c r="O741" s="4"/>
      <c r="P741" s="4"/>
      <c r="Q741" s="4"/>
      <c r="R741" s="4"/>
      <c r="S741" s="4"/>
      <c r="T741" s="4"/>
      <c r="U741" s="4"/>
      <c r="V741" s="4"/>
      <c r="W741" s="4"/>
      <c r="X741" s="4"/>
      <c r="Y741" s="4"/>
      <c r="Z741" s="4"/>
      <c r="AA741" s="4"/>
    </row>
    <row r="742" spans="1:27" ht="16">
      <c r="A742" s="1"/>
      <c r="B742" s="2"/>
      <c r="C742" s="6"/>
      <c r="D742" s="2"/>
      <c r="E742" s="2"/>
      <c r="F742" s="2"/>
      <c r="G742" s="2"/>
      <c r="H742" s="1"/>
      <c r="I742" s="4"/>
      <c r="J742" s="4"/>
      <c r="K742" s="4"/>
      <c r="L742" s="4"/>
      <c r="M742" s="4"/>
      <c r="N742" s="4"/>
      <c r="O742" s="4"/>
      <c r="P742" s="4"/>
      <c r="Q742" s="4"/>
      <c r="R742" s="4"/>
      <c r="S742" s="4"/>
      <c r="T742" s="4"/>
      <c r="U742" s="4"/>
      <c r="V742" s="4"/>
      <c r="W742" s="4"/>
      <c r="X742" s="4"/>
      <c r="Y742" s="4"/>
      <c r="Z742" s="4"/>
      <c r="AA742" s="4"/>
    </row>
    <row r="743" spans="1:27" ht="16">
      <c r="A743" s="1"/>
      <c r="B743" s="2"/>
      <c r="C743" s="6"/>
      <c r="D743" s="2"/>
      <c r="E743" s="2"/>
      <c r="F743" s="2"/>
      <c r="G743" s="2"/>
      <c r="H743" s="1"/>
      <c r="I743" s="4"/>
      <c r="J743" s="4"/>
      <c r="K743" s="4"/>
      <c r="L743" s="4"/>
      <c r="M743" s="4"/>
      <c r="N743" s="4"/>
      <c r="O743" s="4"/>
      <c r="P743" s="4"/>
      <c r="Q743" s="4"/>
      <c r="R743" s="4"/>
      <c r="S743" s="4"/>
      <c r="T743" s="4"/>
      <c r="U743" s="4"/>
      <c r="V743" s="4"/>
      <c r="W743" s="4"/>
      <c r="X743" s="4"/>
      <c r="Y743" s="4"/>
      <c r="Z743" s="4"/>
      <c r="AA743" s="4"/>
    </row>
    <row r="744" spans="1:27" ht="16">
      <c r="A744" s="1"/>
      <c r="B744" s="2"/>
      <c r="C744" s="6"/>
      <c r="D744" s="2"/>
      <c r="E744" s="2"/>
      <c r="F744" s="2"/>
      <c r="G744" s="2"/>
      <c r="H744" s="1"/>
      <c r="I744" s="4"/>
      <c r="J744" s="4"/>
      <c r="K744" s="4"/>
      <c r="L744" s="4"/>
      <c r="M744" s="4"/>
      <c r="N744" s="4"/>
      <c r="O744" s="4"/>
      <c r="P744" s="4"/>
      <c r="Q744" s="4"/>
      <c r="R744" s="4"/>
      <c r="S744" s="4"/>
      <c r="T744" s="4"/>
      <c r="U744" s="4"/>
      <c r="V744" s="4"/>
      <c r="W744" s="4"/>
      <c r="X744" s="4"/>
      <c r="Y744" s="4"/>
      <c r="Z744" s="4"/>
      <c r="AA744" s="4"/>
    </row>
    <row r="745" spans="1:27" ht="16">
      <c r="A745" s="1"/>
      <c r="B745" s="2"/>
      <c r="C745" s="6"/>
      <c r="D745" s="2"/>
      <c r="E745" s="2"/>
      <c r="F745" s="2"/>
      <c r="G745" s="2"/>
      <c r="H745" s="1"/>
      <c r="I745" s="4"/>
      <c r="J745" s="4"/>
      <c r="K745" s="4"/>
      <c r="L745" s="4"/>
      <c r="M745" s="4"/>
      <c r="N745" s="4"/>
      <c r="O745" s="4"/>
      <c r="P745" s="4"/>
      <c r="Q745" s="4"/>
      <c r="R745" s="4"/>
      <c r="S745" s="4"/>
      <c r="T745" s="4"/>
      <c r="U745" s="4"/>
      <c r="V745" s="4"/>
      <c r="W745" s="4"/>
      <c r="X745" s="4"/>
      <c r="Y745" s="4"/>
      <c r="Z745" s="4"/>
      <c r="AA745" s="4"/>
    </row>
    <row r="746" spans="1:27" ht="16">
      <c r="A746" s="1"/>
      <c r="B746" s="2"/>
      <c r="C746" s="6"/>
      <c r="D746" s="2"/>
      <c r="E746" s="2"/>
      <c r="F746" s="2"/>
      <c r="G746" s="2"/>
      <c r="H746" s="1"/>
      <c r="I746" s="4"/>
      <c r="J746" s="4"/>
      <c r="K746" s="4"/>
      <c r="L746" s="4"/>
      <c r="M746" s="4"/>
      <c r="N746" s="4"/>
      <c r="O746" s="4"/>
      <c r="P746" s="4"/>
      <c r="Q746" s="4"/>
      <c r="R746" s="4"/>
      <c r="S746" s="4"/>
      <c r="T746" s="4"/>
      <c r="U746" s="4"/>
      <c r="V746" s="4"/>
      <c r="W746" s="4"/>
      <c r="X746" s="4"/>
      <c r="Y746" s="4"/>
      <c r="Z746" s="4"/>
      <c r="AA746" s="4"/>
    </row>
    <row r="747" spans="1:27" ht="16">
      <c r="A747" s="1"/>
      <c r="B747" s="2"/>
      <c r="C747" s="6"/>
      <c r="D747" s="2"/>
      <c r="E747" s="2"/>
      <c r="F747" s="2"/>
      <c r="G747" s="2"/>
      <c r="H747" s="1"/>
      <c r="I747" s="4"/>
      <c r="J747" s="4"/>
      <c r="K747" s="4"/>
      <c r="L747" s="4"/>
      <c r="M747" s="4"/>
      <c r="N747" s="4"/>
      <c r="O747" s="4"/>
      <c r="P747" s="4"/>
      <c r="Q747" s="4"/>
      <c r="R747" s="4"/>
      <c r="S747" s="4"/>
      <c r="T747" s="4"/>
      <c r="U747" s="4"/>
      <c r="V747" s="4"/>
      <c r="W747" s="4"/>
      <c r="X747" s="4"/>
      <c r="Y747" s="4"/>
      <c r="Z747" s="4"/>
      <c r="AA747" s="4"/>
    </row>
    <row r="748" spans="1:27" ht="16">
      <c r="A748" s="1"/>
      <c r="B748" s="2"/>
      <c r="C748" s="6"/>
      <c r="D748" s="2"/>
      <c r="E748" s="2"/>
      <c r="F748" s="2"/>
      <c r="G748" s="2"/>
      <c r="H748" s="1"/>
      <c r="I748" s="4"/>
      <c r="J748" s="4"/>
      <c r="K748" s="4"/>
      <c r="L748" s="4"/>
      <c r="M748" s="4"/>
      <c r="N748" s="4"/>
      <c r="O748" s="4"/>
      <c r="P748" s="4"/>
      <c r="Q748" s="4"/>
      <c r="R748" s="4"/>
      <c r="S748" s="4"/>
      <c r="T748" s="4"/>
      <c r="U748" s="4"/>
      <c r="V748" s="4"/>
      <c r="W748" s="4"/>
      <c r="X748" s="4"/>
      <c r="Y748" s="4"/>
      <c r="Z748" s="4"/>
      <c r="AA748" s="4"/>
    </row>
    <row r="749" spans="1:27" ht="16">
      <c r="A749" s="1"/>
      <c r="B749" s="2"/>
      <c r="C749" s="6"/>
      <c r="D749" s="2"/>
      <c r="E749" s="2"/>
      <c r="F749" s="2"/>
      <c r="G749" s="2"/>
      <c r="H749" s="1"/>
      <c r="I749" s="4"/>
      <c r="J749" s="4"/>
      <c r="K749" s="4"/>
      <c r="L749" s="4"/>
      <c r="M749" s="4"/>
      <c r="N749" s="4"/>
      <c r="O749" s="4"/>
      <c r="P749" s="4"/>
      <c r="Q749" s="4"/>
      <c r="R749" s="4"/>
      <c r="S749" s="4"/>
      <c r="T749" s="4"/>
      <c r="U749" s="4"/>
      <c r="V749" s="4"/>
      <c r="W749" s="4"/>
      <c r="X749" s="4"/>
      <c r="Y749" s="4"/>
      <c r="Z749" s="4"/>
      <c r="AA749" s="4"/>
    </row>
    <row r="750" spans="1:27" ht="16">
      <c r="A750" s="1"/>
      <c r="B750" s="2"/>
      <c r="C750" s="6"/>
      <c r="D750" s="2"/>
      <c r="E750" s="2"/>
      <c r="F750" s="2"/>
      <c r="G750" s="2"/>
      <c r="H750" s="1"/>
      <c r="I750" s="4"/>
      <c r="J750" s="4"/>
      <c r="K750" s="4"/>
      <c r="L750" s="4"/>
      <c r="M750" s="4"/>
      <c r="N750" s="4"/>
      <c r="O750" s="4"/>
      <c r="P750" s="4"/>
      <c r="Q750" s="4"/>
      <c r="R750" s="4"/>
      <c r="S750" s="4"/>
      <c r="T750" s="4"/>
      <c r="U750" s="4"/>
      <c r="V750" s="4"/>
      <c r="W750" s="4"/>
      <c r="X750" s="4"/>
      <c r="Y750" s="4"/>
      <c r="Z750" s="4"/>
      <c r="AA750" s="4"/>
    </row>
    <row r="751" spans="1:27" ht="16">
      <c r="A751" s="1"/>
      <c r="B751" s="2"/>
      <c r="C751" s="6"/>
      <c r="D751" s="2"/>
      <c r="E751" s="2"/>
      <c r="F751" s="2"/>
      <c r="G751" s="2"/>
      <c r="H751" s="1"/>
      <c r="I751" s="4"/>
      <c r="J751" s="4"/>
      <c r="K751" s="4"/>
      <c r="L751" s="4"/>
      <c r="M751" s="4"/>
      <c r="N751" s="4"/>
      <c r="O751" s="4"/>
      <c r="P751" s="4"/>
      <c r="Q751" s="4"/>
      <c r="R751" s="4"/>
      <c r="S751" s="4"/>
      <c r="T751" s="4"/>
      <c r="U751" s="4"/>
      <c r="V751" s="4"/>
      <c r="W751" s="4"/>
      <c r="X751" s="4"/>
      <c r="Y751" s="4"/>
      <c r="Z751" s="4"/>
      <c r="AA751" s="4"/>
    </row>
    <row r="752" spans="1:27" ht="16">
      <c r="A752" s="1"/>
      <c r="B752" s="2"/>
      <c r="C752" s="6"/>
      <c r="D752" s="2"/>
      <c r="E752" s="2"/>
      <c r="F752" s="2"/>
      <c r="G752" s="2"/>
      <c r="H752" s="1"/>
      <c r="I752" s="4"/>
      <c r="J752" s="4"/>
      <c r="K752" s="4"/>
      <c r="L752" s="4"/>
      <c r="M752" s="4"/>
      <c r="N752" s="4"/>
      <c r="O752" s="4"/>
      <c r="P752" s="4"/>
      <c r="Q752" s="4"/>
      <c r="R752" s="4"/>
      <c r="S752" s="4"/>
      <c r="T752" s="4"/>
      <c r="U752" s="4"/>
      <c r="V752" s="4"/>
      <c r="W752" s="4"/>
      <c r="X752" s="4"/>
      <c r="Y752" s="4"/>
      <c r="Z752" s="4"/>
      <c r="AA752" s="4"/>
    </row>
    <row r="753" spans="1:27" ht="16">
      <c r="A753" s="1"/>
      <c r="B753" s="2"/>
      <c r="C753" s="6"/>
      <c r="D753" s="2"/>
      <c r="E753" s="2"/>
      <c r="F753" s="2"/>
      <c r="G753" s="2"/>
      <c r="H753" s="1"/>
      <c r="I753" s="4"/>
      <c r="J753" s="4"/>
      <c r="K753" s="4"/>
      <c r="L753" s="4"/>
      <c r="M753" s="4"/>
      <c r="N753" s="4"/>
      <c r="O753" s="4"/>
      <c r="P753" s="4"/>
      <c r="Q753" s="4"/>
      <c r="R753" s="4"/>
      <c r="S753" s="4"/>
      <c r="T753" s="4"/>
      <c r="U753" s="4"/>
      <c r="V753" s="4"/>
      <c r="W753" s="4"/>
      <c r="X753" s="4"/>
      <c r="Y753" s="4"/>
      <c r="Z753" s="4"/>
      <c r="AA753" s="4"/>
    </row>
    <row r="754" spans="1:27" ht="16">
      <c r="A754" s="1"/>
      <c r="B754" s="2"/>
      <c r="C754" s="6"/>
      <c r="D754" s="2"/>
      <c r="E754" s="2"/>
      <c r="F754" s="2"/>
      <c r="G754" s="2"/>
      <c r="H754" s="1"/>
      <c r="I754" s="4"/>
      <c r="J754" s="4"/>
      <c r="K754" s="4"/>
      <c r="L754" s="4"/>
      <c r="M754" s="4"/>
      <c r="N754" s="4"/>
      <c r="O754" s="4"/>
      <c r="P754" s="4"/>
      <c r="Q754" s="4"/>
      <c r="R754" s="4"/>
      <c r="S754" s="4"/>
      <c r="T754" s="4"/>
      <c r="U754" s="4"/>
      <c r="V754" s="4"/>
      <c r="W754" s="4"/>
      <c r="X754" s="4"/>
      <c r="Y754" s="4"/>
      <c r="Z754" s="4"/>
      <c r="AA754" s="4"/>
    </row>
    <row r="755" spans="1:27" ht="16">
      <c r="A755" s="1"/>
      <c r="B755" s="2"/>
      <c r="C755" s="6"/>
      <c r="D755" s="2"/>
      <c r="E755" s="2"/>
      <c r="F755" s="2"/>
      <c r="G755" s="2"/>
      <c r="H755" s="1"/>
      <c r="I755" s="4"/>
      <c r="J755" s="4"/>
      <c r="K755" s="4"/>
      <c r="L755" s="4"/>
      <c r="M755" s="4"/>
      <c r="N755" s="4"/>
      <c r="O755" s="4"/>
      <c r="P755" s="4"/>
      <c r="Q755" s="4"/>
      <c r="R755" s="4"/>
      <c r="S755" s="4"/>
      <c r="T755" s="4"/>
      <c r="U755" s="4"/>
      <c r="V755" s="4"/>
      <c r="W755" s="4"/>
      <c r="X755" s="4"/>
      <c r="Y755" s="4"/>
      <c r="Z755" s="4"/>
      <c r="AA755" s="4"/>
    </row>
    <row r="756" spans="1:27" ht="16">
      <c r="A756" s="1"/>
      <c r="B756" s="2"/>
      <c r="C756" s="6"/>
      <c r="D756" s="2"/>
      <c r="E756" s="2"/>
      <c r="F756" s="2"/>
      <c r="G756" s="2"/>
      <c r="H756" s="1"/>
      <c r="I756" s="4"/>
      <c r="J756" s="4"/>
      <c r="K756" s="4"/>
      <c r="L756" s="4"/>
      <c r="M756" s="4"/>
      <c r="N756" s="4"/>
      <c r="O756" s="4"/>
      <c r="P756" s="4"/>
      <c r="Q756" s="4"/>
      <c r="R756" s="4"/>
      <c r="S756" s="4"/>
      <c r="T756" s="4"/>
      <c r="U756" s="4"/>
      <c r="V756" s="4"/>
      <c r="W756" s="4"/>
      <c r="X756" s="4"/>
      <c r="Y756" s="4"/>
      <c r="Z756" s="4"/>
      <c r="AA756" s="4"/>
    </row>
    <row r="757" spans="1:27" ht="16">
      <c r="A757" s="1"/>
      <c r="B757" s="2"/>
      <c r="C757" s="6"/>
      <c r="D757" s="2"/>
      <c r="E757" s="2"/>
      <c r="F757" s="2"/>
      <c r="G757" s="2"/>
      <c r="H757" s="1"/>
      <c r="I757" s="4"/>
      <c r="J757" s="4"/>
      <c r="K757" s="4"/>
      <c r="L757" s="4"/>
      <c r="M757" s="4"/>
      <c r="N757" s="4"/>
      <c r="O757" s="4"/>
      <c r="P757" s="4"/>
      <c r="Q757" s="4"/>
      <c r="R757" s="4"/>
      <c r="S757" s="4"/>
      <c r="T757" s="4"/>
      <c r="U757" s="4"/>
      <c r="V757" s="4"/>
      <c r="W757" s="4"/>
      <c r="X757" s="4"/>
      <c r="Y757" s="4"/>
      <c r="Z757" s="4"/>
      <c r="AA757" s="4"/>
    </row>
    <row r="758" spans="1:27" ht="16">
      <c r="A758" s="1"/>
      <c r="B758" s="2"/>
      <c r="C758" s="6"/>
      <c r="D758" s="2"/>
      <c r="E758" s="2"/>
      <c r="F758" s="2"/>
      <c r="G758" s="2"/>
      <c r="H758" s="1"/>
      <c r="I758" s="4"/>
      <c r="J758" s="4"/>
      <c r="K758" s="4"/>
      <c r="L758" s="4"/>
      <c r="M758" s="4"/>
      <c r="N758" s="4"/>
      <c r="O758" s="4"/>
      <c r="P758" s="4"/>
      <c r="Q758" s="4"/>
      <c r="R758" s="4"/>
      <c r="S758" s="4"/>
      <c r="T758" s="4"/>
      <c r="U758" s="4"/>
      <c r="V758" s="4"/>
      <c r="W758" s="4"/>
      <c r="X758" s="4"/>
      <c r="Y758" s="4"/>
      <c r="Z758" s="4"/>
      <c r="AA758" s="4"/>
    </row>
    <row r="759" spans="1:27" ht="16">
      <c r="A759" s="1"/>
      <c r="B759" s="2"/>
      <c r="C759" s="6"/>
      <c r="D759" s="2"/>
      <c r="E759" s="2"/>
      <c r="F759" s="2"/>
      <c r="G759" s="2"/>
      <c r="H759" s="1"/>
      <c r="I759" s="4"/>
      <c r="J759" s="4"/>
      <c r="K759" s="4"/>
      <c r="L759" s="4"/>
      <c r="M759" s="4"/>
      <c r="N759" s="4"/>
      <c r="O759" s="4"/>
      <c r="P759" s="4"/>
      <c r="Q759" s="4"/>
      <c r="R759" s="4"/>
      <c r="S759" s="4"/>
      <c r="T759" s="4"/>
      <c r="U759" s="4"/>
      <c r="V759" s="4"/>
      <c r="W759" s="4"/>
      <c r="X759" s="4"/>
      <c r="Y759" s="4"/>
      <c r="Z759" s="4"/>
      <c r="AA759" s="4"/>
    </row>
    <row r="760" spans="1:27" ht="16">
      <c r="A760" s="1"/>
      <c r="B760" s="2"/>
      <c r="C760" s="6"/>
      <c r="D760" s="2"/>
      <c r="E760" s="2"/>
      <c r="F760" s="2"/>
      <c r="G760" s="2"/>
      <c r="H760" s="1"/>
      <c r="I760" s="4"/>
      <c r="J760" s="4"/>
      <c r="K760" s="4"/>
      <c r="L760" s="4"/>
      <c r="M760" s="4"/>
      <c r="N760" s="4"/>
      <c r="O760" s="4"/>
      <c r="P760" s="4"/>
      <c r="Q760" s="4"/>
      <c r="R760" s="4"/>
      <c r="S760" s="4"/>
      <c r="T760" s="4"/>
      <c r="U760" s="4"/>
      <c r="V760" s="4"/>
      <c r="W760" s="4"/>
      <c r="X760" s="4"/>
      <c r="Y760" s="4"/>
      <c r="Z760" s="4"/>
      <c r="AA760" s="4"/>
    </row>
    <row r="761" spans="1:27" ht="16">
      <c r="A761" s="1"/>
      <c r="B761" s="2"/>
      <c r="C761" s="6"/>
      <c r="D761" s="2"/>
      <c r="E761" s="2"/>
      <c r="F761" s="2"/>
      <c r="G761" s="2"/>
      <c r="H761" s="1"/>
      <c r="I761" s="4"/>
      <c r="J761" s="4"/>
      <c r="K761" s="4"/>
      <c r="L761" s="4"/>
      <c r="M761" s="4"/>
      <c r="N761" s="4"/>
      <c r="O761" s="4"/>
      <c r="P761" s="4"/>
      <c r="Q761" s="4"/>
      <c r="R761" s="4"/>
      <c r="S761" s="4"/>
      <c r="T761" s="4"/>
      <c r="U761" s="4"/>
      <c r="V761" s="4"/>
      <c r="W761" s="4"/>
      <c r="X761" s="4"/>
      <c r="Y761" s="4"/>
      <c r="Z761" s="4"/>
      <c r="AA761" s="4"/>
    </row>
    <row r="762" spans="1:27" ht="16">
      <c r="A762" s="1"/>
      <c r="B762" s="2"/>
      <c r="C762" s="6"/>
      <c r="D762" s="2"/>
      <c r="E762" s="2"/>
      <c r="F762" s="2"/>
      <c r="G762" s="2"/>
      <c r="H762" s="1"/>
      <c r="I762" s="4"/>
      <c r="J762" s="4"/>
      <c r="K762" s="4"/>
      <c r="L762" s="4"/>
      <c r="M762" s="4"/>
      <c r="N762" s="4"/>
      <c r="O762" s="4"/>
      <c r="P762" s="4"/>
      <c r="Q762" s="4"/>
      <c r="R762" s="4"/>
      <c r="S762" s="4"/>
      <c r="T762" s="4"/>
      <c r="U762" s="4"/>
      <c r="V762" s="4"/>
      <c r="W762" s="4"/>
      <c r="X762" s="4"/>
      <c r="Y762" s="4"/>
      <c r="Z762" s="4"/>
      <c r="AA762" s="4"/>
    </row>
    <row r="763" spans="1:27" ht="16">
      <c r="A763" s="1"/>
      <c r="B763" s="2"/>
      <c r="C763" s="6"/>
      <c r="D763" s="2"/>
      <c r="E763" s="2"/>
      <c r="F763" s="2"/>
      <c r="G763" s="2"/>
      <c r="H763" s="1"/>
      <c r="I763" s="4"/>
      <c r="J763" s="4"/>
      <c r="K763" s="4"/>
      <c r="L763" s="4"/>
      <c r="M763" s="4"/>
      <c r="N763" s="4"/>
      <c r="O763" s="4"/>
      <c r="P763" s="4"/>
      <c r="Q763" s="4"/>
      <c r="R763" s="4"/>
      <c r="S763" s="4"/>
      <c r="T763" s="4"/>
      <c r="U763" s="4"/>
      <c r="V763" s="4"/>
      <c r="W763" s="4"/>
      <c r="X763" s="4"/>
      <c r="Y763" s="4"/>
      <c r="Z763" s="4"/>
      <c r="AA763" s="4"/>
    </row>
    <row r="764" spans="1:27" ht="16">
      <c r="A764" s="1"/>
      <c r="B764" s="2"/>
      <c r="C764" s="6"/>
      <c r="D764" s="2"/>
      <c r="E764" s="2"/>
      <c r="F764" s="2"/>
      <c r="G764" s="2"/>
      <c r="H764" s="1"/>
      <c r="I764" s="4"/>
      <c r="J764" s="4"/>
      <c r="K764" s="4"/>
      <c r="L764" s="4"/>
      <c r="M764" s="4"/>
      <c r="N764" s="4"/>
      <c r="O764" s="4"/>
      <c r="P764" s="4"/>
      <c r="Q764" s="4"/>
      <c r="R764" s="4"/>
      <c r="S764" s="4"/>
      <c r="T764" s="4"/>
      <c r="U764" s="4"/>
      <c r="V764" s="4"/>
      <c r="W764" s="4"/>
      <c r="X764" s="4"/>
      <c r="Y764" s="4"/>
      <c r="Z764" s="4"/>
      <c r="AA764" s="4"/>
    </row>
    <row r="765" spans="1:27" ht="16">
      <c r="A765" s="1"/>
      <c r="B765" s="2"/>
      <c r="C765" s="6"/>
      <c r="D765" s="2"/>
      <c r="E765" s="2"/>
      <c r="F765" s="2"/>
      <c r="G765" s="2"/>
      <c r="H765" s="1"/>
      <c r="I765" s="4"/>
      <c r="J765" s="4"/>
      <c r="K765" s="4"/>
      <c r="L765" s="4"/>
      <c r="M765" s="4"/>
      <c r="N765" s="4"/>
      <c r="O765" s="4"/>
      <c r="P765" s="4"/>
      <c r="Q765" s="4"/>
      <c r="R765" s="4"/>
      <c r="S765" s="4"/>
      <c r="T765" s="4"/>
      <c r="U765" s="4"/>
      <c r="V765" s="4"/>
      <c r="W765" s="4"/>
      <c r="X765" s="4"/>
      <c r="Y765" s="4"/>
      <c r="Z765" s="4"/>
      <c r="AA765" s="4"/>
    </row>
    <row r="766" spans="1:27" ht="16">
      <c r="A766" s="1"/>
      <c r="B766" s="2"/>
      <c r="C766" s="6"/>
      <c r="D766" s="2"/>
      <c r="E766" s="2"/>
      <c r="F766" s="2"/>
      <c r="G766" s="2"/>
      <c r="H766" s="1"/>
      <c r="I766" s="4"/>
      <c r="J766" s="4"/>
      <c r="K766" s="4"/>
      <c r="L766" s="4"/>
      <c r="M766" s="4"/>
      <c r="N766" s="4"/>
      <c r="O766" s="4"/>
      <c r="P766" s="4"/>
      <c r="Q766" s="4"/>
      <c r="R766" s="4"/>
      <c r="S766" s="4"/>
      <c r="T766" s="4"/>
      <c r="U766" s="4"/>
      <c r="V766" s="4"/>
      <c r="W766" s="4"/>
      <c r="X766" s="4"/>
      <c r="Y766" s="4"/>
      <c r="Z766" s="4"/>
      <c r="AA766" s="4"/>
    </row>
    <row r="767" spans="1:27" ht="16">
      <c r="A767" s="1"/>
      <c r="B767" s="2"/>
      <c r="C767" s="6"/>
      <c r="D767" s="2"/>
      <c r="E767" s="2"/>
      <c r="F767" s="2"/>
      <c r="G767" s="2"/>
      <c r="H767" s="1"/>
      <c r="I767" s="4"/>
      <c r="J767" s="4"/>
      <c r="K767" s="4"/>
      <c r="L767" s="4"/>
      <c r="M767" s="4"/>
      <c r="N767" s="4"/>
      <c r="O767" s="4"/>
      <c r="P767" s="4"/>
      <c r="Q767" s="4"/>
      <c r="R767" s="4"/>
      <c r="S767" s="4"/>
      <c r="T767" s="4"/>
      <c r="U767" s="4"/>
      <c r="V767" s="4"/>
      <c r="W767" s="4"/>
      <c r="X767" s="4"/>
      <c r="Y767" s="4"/>
      <c r="Z767" s="4"/>
      <c r="AA767" s="4"/>
    </row>
    <row r="768" spans="1:27" ht="16">
      <c r="A768" s="1"/>
      <c r="B768" s="2"/>
      <c r="C768" s="6"/>
      <c r="D768" s="2"/>
      <c r="E768" s="2"/>
      <c r="F768" s="2"/>
      <c r="G768" s="2"/>
      <c r="H768" s="1"/>
      <c r="I768" s="4"/>
      <c r="J768" s="4"/>
      <c r="K768" s="4"/>
      <c r="L768" s="4"/>
      <c r="M768" s="4"/>
      <c r="N768" s="4"/>
      <c r="O768" s="4"/>
      <c r="P768" s="4"/>
      <c r="Q768" s="4"/>
      <c r="R768" s="4"/>
      <c r="S768" s="4"/>
      <c r="T768" s="4"/>
      <c r="U768" s="4"/>
      <c r="V768" s="4"/>
      <c r="W768" s="4"/>
      <c r="X768" s="4"/>
      <c r="Y768" s="4"/>
      <c r="Z768" s="4"/>
      <c r="AA768" s="4"/>
    </row>
    <row r="769" spans="1:27" ht="16">
      <c r="A769" s="1"/>
      <c r="B769" s="2"/>
      <c r="C769" s="6"/>
      <c r="D769" s="2"/>
      <c r="E769" s="2"/>
      <c r="F769" s="2"/>
      <c r="G769" s="2"/>
      <c r="H769" s="1"/>
      <c r="I769" s="4"/>
      <c r="J769" s="4"/>
      <c r="K769" s="4"/>
      <c r="L769" s="4"/>
      <c r="M769" s="4"/>
      <c r="N769" s="4"/>
      <c r="O769" s="4"/>
      <c r="P769" s="4"/>
      <c r="Q769" s="4"/>
      <c r="R769" s="4"/>
      <c r="S769" s="4"/>
      <c r="T769" s="4"/>
      <c r="U769" s="4"/>
      <c r="V769" s="4"/>
      <c r="W769" s="4"/>
      <c r="X769" s="4"/>
      <c r="Y769" s="4"/>
      <c r="Z769" s="4"/>
      <c r="AA769" s="4"/>
    </row>
    <row r="770" spans="1:27" ht="16">
      <c r="A770" s="1"/>
      <c r="B770" s="2"/>
      <c r="C770" s="6"/>
      <c r="D770" s="2"/>
      <c r="E770" s="2"/>
      <c r="F770" s="2"/>
      <c r="G770" s="2"/>
      <c r="H770" s="1"/>
      <c r="I770" s="4"/>
      <c r="J770" s="4"/>
      <c r="K770" s="4"/>
      <c r="L770" s="4"/>
      <c r="M770" s="4"/>
      <c r="N770" s="4"/>
      <c r="O770" s="4"/>
      <c r="P770" s="4"/>
      <c r="Q770" s="4"/>
      <c r="R770" s="4"/>
      <c r="S770" s="4"/>
      <c r="T770" s="4"/>
      <c r="U770" s="4"/>
      <c r="V770" s="4"/>
      <c r="W770" s="4"/>
      <c r="X770" s="4"/>
      <c r="Y770" s="4"/>
      <c r="Z770" s="4"/>
      <c r="AA770" s="4"/>
    </row>
    <row r="771" spans="1:27" ht="16">
      <c r="A771" s="1"/>
      <c r="B771" s="2"/>
      <c r="C771" s="6"/>
      <c r="D771" s="2"/>
      <c r="E771" s="2"/>
      <c r="F771" s="2"/>
      <c r="G771" s="2"/>
      <c r="H771" s="1"/>
      <c r="I771" s="4"/>
      <c r="J771" s="4"/>
      <c r="K771" s="4"/>
      <c r="L771" s="4"/>
      <c r="M771" s="4"/>
      <c r="N771" s="4"/>
      <c r="O771" s="4"/>
      <c r="P771" s="4"/>
      <c r="Q771" s="4"/>
      <c r="R771" s="4"/>
      <c r="S771" s="4"/>
      <c r="T771" s="4"/>
      <c r="U771" s="4"/>
      <c r="V771" s="4"/>
      <c r="W771" s="4"/>
      <c r="X771" s="4"/>
      <c r="Y771" s="4"/>
      <c r="Z771" s="4"/>
      <c r="AA771" s="4"/>
    </row>
    <row r="772" spans="1:27" ht="16">
      <c r="A772" s="1"/>
      <c r="B772" s="2"/>
      <c r="C772" s="6"/>
      <c r="D772" s="2"/>
      <c r="E772" s="2"/>
      <c r="F772" s="2"/>
      <c r="G772" s="2"/>
      <c r="H772" s="1"/>
      <c r="I772" s="4"/>
      <c r="J772" s="4"/>
      <c r="K772" s="4"/>
      <c r="L772" s="4"/>
      <c r="M772" s="4"/>
      <c r="N772" s="4"/>
      <c r="O772" s="4"/>
      <c r="P772" s="4"/>
      <c r="Q772" s="4"/>
      <c r="R772" s="4"/>
      <c r="S772" s="4"/>
      <c r="T772" s="4"/>
      <c r="U772" s="4"/>
      <c r="V772" s="4"/>
      <c r="W772" s="4"/>
      <c r="X772" s="4"/>
      <c r="Y772" s="4"/>
      <c r="Z772" s="4"/>
      <c r="AA772" s="4"/>
    </row>
    <row r="773" spans="1:27" ht="16">
      <c r="A773" s="1"/>
      <c r="B773" s="2"/>
      <c r="C773" s="6"/>
      <c r="D773" s="2"/>
      <c r="E773" s="2"/>
      <c r="F773" s="2"/>
      <c r="G773" s="2"/>
      <c r="H773" s="1"/>
      <c r="I773" s="4"/>
      <c r="J773" s="4"/>
      <c r="K773" s="4"/>
      <c r="L773" s="4"/>
      <c r="M773" s="4"/>
      <c r="N773" s="4"/>
      <c r="O773" s="4"/>
      <c r="P773" s="4"/>
      <c r="Q773" s="4"/>
      <c r="R773" s="4"/>
      <c r="S773" s="4"/>
      <c r="T773" s="4"/>
      <c r="U773" s="4"/>
      <c r="V773" s="4"/>
      <c r="W773" s="4"/>
      <c r="X773" s="4"/>
      <c r="Y773" s="4"/>
      <c r="Z773" s="4"/>
      <c r="AA773" s="4"/>
    </row>
    <row r="774" spans="1:27" ht="16">
      <c r="A774" s="1"/>
      <c r="B774" s="2"/>
      <c r="C774" s="6"/>
      <c r="D774" s="2"/>
      <c r="E774" s="2"/>
      <c r="F774" s="2"/>
      <c r="G774" s="2"/>
      <c r="H774" s="1"/>
      <c r="I774" s="4"/>
      <c r="J774" s="4"/>
      <c r="K774" s="4"/>
      <c r="L774" s="4"/>
      <c r="M774" s="4"/>
      <c r="N774" s="4"/>
      <c r="O774" s="4"/>
      <c r="P774" s="4"/>
      <c r="Q774" s="4"/>
      <c r="R774" s="4"/>
      <c r="S774" s="4"/>
      <c r="T774" s="4"/>
      <c r="U774" s="4"/>
      <c r="V774" s="4"/>
      <c r="W774" s="4"/>
      <c r="X774" s="4"/>
      <c r="Y774" s="4"/>
      <c r="Z774" s="4"/>
      <c r="AA774" s="4"/>
    </row>
    <row r="775" spans="1:27" ht="16">
      <c r="A775" s="1"/>
      <c r="B775" s="2"/>
      <c r="C775" s="6"/>
      <c r="D775" s="2"/>
      <c r="E775" s="2"/>
      <c r="F775" s="2"/>
      <c r="G775" s="2"/>
      <c r="H775" s="1"/>
      <c r="I775" s="4"/>
      <c r="J775" s="4"/>
      <c r="K775" s="4"/>
      <c r="L775" s="4"/>
      <c r="M775" s="4"/>
      <c r="N775" s="4"/>
      <c r="O775" s="4"/>
      <c r="P775" s="4"/>
      <c r="Q775" s="4"/>
      <c r="R775" s="4"/>
      <c r="S775" s="4"/>
      <c r="T775" s="4"/>
      <c r="U775" s="4"/>
      <c r="V775" s="4"/>
      <c r="W775" s="4"/>
      <c r="X775" s="4"/>
      <c r="Y775" s="4"/>
      <c r="Z775" s="4"/>
      <c r="AA775" s="4"/>
    </row>
    <row r="776" spans="1:27" ht="16">
      <c r="A776" s="1"/>
      <c r="B776" s="2"/>
      <c r="C776" s="6"/>
      <c r="D776" s="2"/>
      <c r="E776" s="2"/>
      <c r="F776" s="2"/>
      <c r="G776" s="2"/>
      <c r="H776" s="1"/>
      <c r="I776" s="4"/>
      <c r="J776" s="4"/>
      <c r="K776" s="4"/>
      <c r="L776" s="4"/>
      <c r="M776" s="4"/>
      <c r="N776" s="4"/>
      <c r="O776" s="4"/>
      <c r="P776" s="4"/>
      <c r="Q776" s="4"/>
      <c r="R776" s="4"/>
      <c r="S776" s="4"/>
      <c r="T776" s="4"/>
      <c r="U776" s="4"/>
      <c r="V776" s="4"/>
      <c r="W776" s="4"/>
      <c r="X776" s="4"/>
      <c r="Y776" s="4"/>
      <c r="Z776" s="4"/>
      <c r="AA776" s="4"/>
    </row>
    <row r="777" spans="1:27" ht="16">
      <c r="A777" s="1"/>
      <c r="B777" s="2"/>
      <c r="C777" s="6"/>
      <c r="D777" s="2"/>
      <c r="E777" s="2"/>
      <c r="F777" s="2"/>
      <c r="G777" s="2"/>
      <c r="H777" s="1"/>
      <c r="I777" s="4"/>
      <c r="J777" s="4"/>
      <c r="K777" s="4"/>
      <c r="L777" s="4"/>
      <c r="M777" s="4"/>
      <c r="N777" s="4"/>
      <c r="O777" s="4"/>
      <c r="P777" s="4"/>
      <c r="Q777" s="4"/>
      <c r="R777" s="4"/>
      <c r="S777" s="4"/>
      <c r="T777" s="4"/>
      <c r="U777" s="4"/>
      <c r="V777" s="4"/>
      <c r="W777" s="4"/>
      <c r="X777" s="4"/>
      <c r="Y777" s="4"/>
      <c r="Z777" s="4"/>
      <c r="AA777" s="4"/>
    </row>
    <row r="778" spans="1:27" ht="16">
      <c r="A778" s="1"/>
      <c r="B778" s="2"/>
      <c r="C778" s="6"/>
      <c r="D778" s="2"/>
      <c r="E778" s="2"/>
      <c r="F778" s="2"/>
      <c r="G778" s="2"/>
      <c r="H778" s="1"/>
      <c r="I778" s="4"/>
      <c r="J778" s="4"/>
      <c r="K778" s="4"/>
      <c r="L778" s="4"/>
      <c r="M778" s="4"/>
      <c r="N778" s="4"/>
      <c r="O778" s="4"/>
      <c r="P778" s="4"/>
      <c r="Q778" s="4"/>
      <c r="R778" s="4"/>
      <c r="S778" s="4"/>
      <c r="T778" s="4"/>
      <c r="U778" s="4"/>
      <c r="V778" s="4"/>
      <c r="W778" s="4"/>
      <c r="X778" s="4"/>
      <c r="Y778" s="4"/>
      <c r="Z778" s="4"/>
      <c r="AA778" s="4"/>
    </row>
    <row r="779" spans="1:27" ht="16">
      <c r="A779" s="1"/>
      <c r="B779" s="2"/>
      <c r="C779" s="6"/>
      <c r="D779" s="2"/>
      <c r="E779" s="2"/>
      <c r="F779" s="2"/>
      <c r="G779" s="2"/>
      <c r="H779" s="1"/>
      <c r="I779" s="4"/>
      <c r="J779" s="4"/>
      <c r="K779" s="4"/>
      <c r="L779" s="4"/>
      <c r="M779" s="4"/>
      <c r="N779" s="4"/>
      <c r="O779" s="4"/>
      <c r="P779" s="4"/>
      <c r="Q779" s="4"/>
      <c r="R779" s="4"/>
      <c r="S779" s="4"/>
      <c r="T779" s="4"/>
      <c r="U779" s="4"/>
      <c r="V779" s="4"/>
      <c r="W779" s="4"/>
      <c r="X779" s="4"/>
      <c r="Y779" s="4"/>
      <c r="Z779" s="4"/>
      <c r="AA779" s="4"/>
    </row>
    <row r="780" spans="1:27" ht="16">
      <c r="A780" s="1"/>
      <c r="B780" s="2"/>
      <c r="C780" s="6"/>
      <c r="D780" s="2"/>
      <c r="E780" s="2"/>
      <c r="F780" s="2"/>
      <c r="G780" s="2"/>
      <c r="H780" s="1"/>
      <c r="I780" s="4"/>
      <c r="J780" s="4"/>
      <c r="K780" s="4"/>
      <c r="L780" s="4"/>
      <c r="M780" s="4"/>
      <c r="N780" s="4"/>
      <c r="O780" s="4"/>
      <c r="P780" s="4"/>
      <c r="Q780" s="4"/>
      <c r="R780" s="4"/>
      <c r="S780" s="4"/>
      <c r="T780" s="4"/>
      <c r="U780" s="4"/>
      <c r="V780" s="4"/>
      <c r="W780" s="4"/>
      <c r="X780" s="4"/>
      <c r="Y780" s="4"/>
      <c r="Z780" s="4"/>
      <c r="AA780" s="4"/>
    </row>
    <row r="781" spans="1:27" ht="16">
      <c r="A781" s="1"/>
      <c r="B781" s="2"/>
      <c r="C781" s="6"/>
      <c r="D781" s="2"/>
      <c r="E781" s="2"/>
      <c r="F781" s="2"/>
      <c r="G781" s="2"/>
      <c r="H781" s="1"/>
      <c r="I781" s="4"/>
      <c r="J781" s="4"/>
      <c r="K781" s="4"/>
      <c r="L781" s="4"/>
      <c r="M781" s="4"/>
      <c r="N781" s="4"/>
      <c r="O781" s="4"/>
      <c r="P781" s="4"/>
      <c r="Q781" s="4"/>
      <c r="R781" s="4"/>
      <c r="S781" s="4"/>
      <c r="T781" s="4"/>
      <c r="U781" s="4"/>
      <c r="V781" s="4"/>
      <c r="W781" s="4"/>
      <c r="X781" s="4"/>
      <c r="Y781" s="4"/>
      <c r="Z781" s="4"/>
      <c r="AA781" s="4"/>
    </row>
    <row r="782" spans="1:27" ht="16">
      <c r="A782" s="1"/>
      <c r="B782" s="2"/>
      <c r="C782" s="6"/>
      <c r="D782" s="2"/>
      <c r="E782" s="2"/>
      <c r="F782" s="2"/>
      <c r="G782" s="2"/>
      <c r="H782" s="1"/>
      <c r="I782" s="4"/>
      <c r="J782" s="4"/>
      <c r="K782" s="4"/>
      <c r="L782" s="4"/>
      <c r="M782" s="4"/>
      <c r="N782" s="4"/>
      <c r="O782" s="4"/>
      <c r="P782" s="4"/>
      <c r="Q782" s="4"/>
      <c r="R782" s="4"/>
      <c r="S782" s="4"/>
      <c r="T782" s="4"/>
      <c r="U782" s="4"/>
      <c r="V782" s="4"/>
      <c r="W782" s="4"/>
      <c r="X782" s="4"/>
      <c r="Y782" s="4"/>
      <c r="Z782" s="4"/>
      <c r="AA782" s="4"/>
    </row>
    <row r="783" spans="1:27" ht="16">
      <c r="A783" s="1"/>
      <c r="B783" s="2"/>
      <c r="C783" s="6"/>
      <c r="D783" s="2"/>
      <c r="E783" s="2"/>
      <c r="F783" s="2"/>
      <c r="G783" s="2"/>
      <c r="H783" s="1"/>
      <c r="I783" s="4"/>
      <c r="J783" s="4"/>
      <c r="K783" s="4"/>
      <c r="L783" s="4"/>
      <c r="M783" s="4"/>
      <c r="N783" s="4"/>
      <c r="O783" s="4"/>
      <c r="P783" s="4"/>
      <c r="Q783" s="4"/>
      <c r="R783" s="4"/>
      <c r="S783" s="4"/>
      <c r="T783" s="4"/>
      <c r="U783" s="4"/>
      <c r="V783" s="4"/>
      <c r="W783" s="4"/>
      <c r="X783" s="4"/>
      <c r="Y783" s="4"/>
      <c r="Z783" s="4"/>
      <c r="AA783" s="4"/>
    </row>
    <row r="784" spans="1:27" ht="16">
      <c r="A784" s="1"/>
      <c r="B784" s="2"/>
      <c r="C784" s="6"/>
      <c r="D784" s="2"/>
      <c r="E784" s="2"/>
      <c r="F784" s="2"/>
      <c r="G784" s="2"/>
      <c r="H784" s="1"/>
      <c r="I784" s="4"/>
      <c r="J784" s="4"/>
      <c r="K784" s="4"/>
      <c r="L784" s="4"/>
      <c r="M784" s="4"/>
      <c r="N784" s="4"/>
      <c r="O784" s="4"/>
      <c r="P784" s="4"/>
      <c r="Q784" s="4"/>
      <c r="R784" s="4"/>
      <c r="S784" s="4"/>
      <c r="T784" s="4"/>
      <c r="U784" s="4"/>
      <c r="V784" s="4"/>
      <c r="W784" s="4"/>
      <c r="X784" s="4"/>
      <c r="Y784" s="4"/>
      <c r="Z784" s="4"/>
      <c r="AA784" s="4"/>
    </row>
    <row r="785" spans="1:27" ht="16">
      <c r="A785" s="1"/>
      <c r="B785" s="2"/>
      <c r="C785" s="6"/>
      <c r="D785" s="2"/>
      <c r="E785" s="2"/>
      <c r="F785" s="2"/>
      <c r="G785" s="2"/>
      <c r="H785" s="1"/>
      <c r="I785" s="4"/>
      <c r="J785" s="4"/>
      <c r="K785" s="4"/>
      <c r="L785" s="4"/>
      <c r="M785" s="4"/>
      <c r="N785" s="4"/>
      <c r="O785" s="4"/>
      <c r="P785" s="4"/>
      <c r="Q785" s="4"/>
      <c r="R785" s="4"/>
      <c r="S785" s="4"/>
      <c r="T785" s="4"/>
      <c r="U785" s="4"/>
      <c r="V785" s="4"/>
      <c r="W785" s="4"/>
      <c r="X785" s="4"/>
      <c r="Y785" s="4"/>
      <c r="Z785" s="4"/>
      <c r="AA785" s="4"/>
    </row>
    <row r="786" spans="1:27" ht="16">
      <c r="A786" s="1"/>
      <c r="B786" s="2"/>
      <c r="C786" s="6"/>
      <c r="D786" s="2"/>
      <c r="E786" s="2"/>
      <c r="F786" s="2"/>
      <c r="G786" s="2"/>
      <c r="H786" s="1"/>
      <c r="I786" s="4"/>
      <c r="J786" s="4"/>
      <c r="K786" s="4"/>
      <c r="L786" s="4"/>
      <c r="M786" s="4"/>
      <c r="N786" s="4"/>
      <c r="O786" s="4"/>
      <c r="P786" s="4"/>
      <c r="Q786" s="4"/>
      <c r="R786" s="4"/>
      <c r="S786" s="4"/>
      <c r="T786" s="4"/>
      <c r="U786" s="4"/>
      <c r="V786" s="4"/>
      <c r="W786" s="4"/>
      <c r="X786" s="4"/>
      <c r="Y786" s="4"/>
      <c r="Z786" s="4"/>
      <c r="AA786" s="4"/>
    </row>
    <row r="787" spans="1:27" ht="16">
      <c r="A787" s="1"/>
      <c r="B787" s="2"/>
      <c r="C787" s="6"/>
      <c r="D787" s="2"/>
      <c r="E787" s="2"/>
      <c r="F787" s="2"/>
      <c r="G787" s="2"/>
      <c r="H787" s="1"/>
      <c r="I787" s="4"/>
      <c r="J787" s="4"/>
      <c r="K787" s="4"/>
      <c r="L787" s="4"/>
      <c r="M787" s="4"/>
      <c r="N787" s="4"/>
      <c r="O787" s="4"/>
      <c r="P787" s="4"/>
      <c r="Q787" s="4"/>
      <c r="R787" s="4"/>
      <c r="S787" s="4"/>
      <c r="T787" s="4"/>
      <c r="U787" s="4"/>
      <c r="V787" s="4"/>
      <c r="W787" s="4"/>
      <c r="X787" s="4"/>
      <c r="Y787" s="4"/>
      <c r="Z787" s="4"/>
      <c r="AA787" s="4"/>
    </row>
    <row r="788" spans="1:27" ht="16">
      <c r="A788" s="1"/>
      <c r="B788" s="2"/>
      <c r="C788" s="6"/>
      <c r="D788" s="2"/>
      <c r="E788" s="2"/>
      <c r="F788" s="2"/>
      <c r="G788" s="2"/>
      <c r="H788" s="1"/>
      <c r="I788" s="4"/>
      <c r="J788" s="4"/>
      <c r="K788" s="4"/>
      <c r="L788" s="4"/>
      <c r="M788" s="4"/>
      <c r="N788" s="4"/>
      <c r="O788" s="4"/>
      <c r="P788" s="4"/>
      <c r="Q788" s="4"/>
      <c r="R788" s="4"/>
      <c r="S788" s="4"/>
      <c r="T788" s="4"/>
      <c r="U788" s="4"/>
      <c r="V788" s="4"/>
      <c r="W788" s="4"/>
      <c r="X788" s="4"/>
      <c r="Y788" s="4"/>
      <c r="Z788" s="4"/>
      <c r="AA788" s="4"/>
    </row>
    <row r="789" spans="1:27" ht="16">
      <c r="A789" s="1"/>
      <c r="B789" s="2"/>
      <c r="C789" s="6"/>
      <c r="D789" s="2"/>
      <c r="E789" s="2"/>
      <c r="F789" s="2"/>
      <c r="G789" s="2"/>
      <c r="H789" s="1"/>
      <c r="I789" s="4"/>
      <c r="J789" s="4"/>
      <c r="K789" s="4"/>
      <c r="L789" s="4"/>
      <c r="M789" s="4"/>
      <c r="N789" s="4"/>
      <c r="O789" s="4"/>
      <c r="P789" s="4"/>
      <c r="Q789" s="4"/>
      <c r="R789" s="4"/>
      <c r="S789" s="4"/>
      <c r="T789" s="4"/>
      <c r="U789" s="4"/>
      <c r="V789" s="4"/>
      <c r="W789" s="4"/>
      <c r="X789" s="4"/>
      <c r="Y789" s="4"/>
      <c r="Z789" s="4"/>
      <c r="AA789" s="4"/>
    </row>
    <row r="790" spans="1:27" ht="16">
      <c r="A790" s="1"/>
      <c r="B790" s="2"/>
      <c r="C790" s="6"/>
      <c r="D790" s="2"/>
      <c r="E790" s="2"/>
      <c r="F790" s="2"/>
      <c r="G790" s="2"/>
      <c r="H790" s="1"/>
      <c r="I790" s="4"/>
      <c r="J790" s="4"/>
      <c r="K790" s="4"/>
      <c r="L790" s="4"/>
      <c r="M790" s="4"/>
      <c r="N790" s="4"/>
      <c r="O790" s="4"/>
      <c r="P790" s="4"/>
      <c r="Q790" s="4"/>
      <c r="R790" s="4"/>
      <c r="S790" s="4"/>
      <c r="T790" s="4"/>
      <c r="U790" s="4"/>
      <c r="V790" s="4"/>
      <c r="W790" s="4"/>
      <c r="X790" s="4"/>
      <c r="Y790" s="4"/>
      <c r="Z790" s="4"/>
      <c r="AA790" s="4"/>
    </row>
    <row r="791" spans="1:27" ht="16">
      <c r="A791" s="1"/>
      <c r="B791" s="2"/>
      <c r="C791" s="6"/>
      <c r="D791" s="2"/>
      <c r="E791" s="2"/>
      <c r="F791" s="2"/>
      <c r="G791" s="2"/>
      <c r="H791" s="1"/>
      <c r="I791" s="4"/>
      <c r="J791" s="4"/>
      <c r="K791" s="4"/>
      <c r="L791" s="4"/>
      <c r="M791" s="4"/>
      <c r="N791" s="4"/>
      <c r="O791" s="4"/>
      <c r="P791" s="4"/>
      <c r="Q791" s="4"/>
      <c r="R791" s="4"/>
      <c r="S791" s="4"/>
      <c r="T791" s="4"/>
      <c r="U791" s="4"/>
      <c r="V791" s="4"/>
      <c r="W791" s="4"/>
      <c r="X791" s="4"/>
      <c r="Y791" s="4"/>
      <c r="Z791" s="4"/>
      <c r="AA791" s="4"/>
    </row>
    <row r="792" spans="1:27" ht="16">
      <c r="A792" s="1"/>
      <c r="B792" s="2"/>
      <c r="C792" s="6"/>
      <c r="D792" s="2"/>
      <c r="E792" s="2"/>
      <c r="F792" s="2"/>
      <c r="G792" s="2"/>
      <c r="H792" s="1"/>
      <c r="I792" s="4"/>
      <c r="J792" s="4"/>
      <c r="K792" s="4"/>
      <c r="L792" s="4"/>
      <c r="M792" s="4"/>
      <c r="N792" s="4"/>
      <c r="O792" s="4"/>
      <c r="P792" s="4"/>
      <c r="Q792" s="4"/>
      <c r="R792" s="4"/>
      <c r="S792" s="4"/>
      <c r="T792" s="4"/>
      <c r="U792" s="4"/>
      <c r="V792" s="4"/>
      <c r="W792" s="4"/>
      <c r="X792" s="4"/>
      <c r="Y792" s="4"/>
      <c r="Z792" s="4"/>
      <c r="AA792" s="4"/>
    </row>
    <row r="793" spans="1:27" ht="16">
      <c r="A793" s="1"/>
      <c r="B793" s="2"/>
      <c r="C793" s="6"/>
      <c r="D793" s="2"/>
      <c r="E793" s="2"/>
      <c r="F793" s="2"/>
      <c r="G793" s="2"/>
      <c r="H793" s="1"/>
      <c r="I793" s="4"/>
      <c r="J793" s="4"/>
      <c r="K793" s="4"/>
      <c r="L793" s="4"/>
      <c r="M793" s="4"/>
      <c r="N793" s="4"/>
      <c r="O793" s="4"/>
      <c r="P793" s="4"/>
      <c r="Q793" s="4"/>
      <c r="R793" s="4"/>
      <c r="S793" s="4"/>
      <c r="T793" s="4"/>
      <c r="U793" s="4"/>
      <c r="V793" s="4"/>
      <c r="W793" s="4"/>
      <c r="X793" s="4"/>
      <c r="Y793" s="4"/>
      <c r="Z793" s="4"/>
      <c r="AA793" s="4"/>
    </row>
    <row r="794" spans="1:27" ht="16">
      <c r="A794" s="1"/>
      <c r="B794" s="2"/>
      <c r="C794" s="6"/>
      <c r="D794" s="2"/>
      <c r="E794" s="2"/>
      <c r="F794" s="2"/>
      <c r="G794" s="2"/>
      <c r="H794" s="1"/>
      <c r="I794" s="4"/>
      <c r="J794" s="4"/>
      <c r="K794" s="4"/>
      <c r="L794" s="4"/>
      <c r="M794" s="4"/>
      <c r="N794" s="4"/>
      <c r="O794" s="4"/>
      <c r="P794" s="4"/>
      <c r="Q794" s="4"/>
      <c r="R794" s="4"/>
      <c r="S794" s="4"/>
      <c r="T794" s="4"/>
      <c r="U794" s="4"/>
      <c r="V794" s="4"/>
      <c r="W794" s="4"/>
      <c r="X794" s="4"/>
      <c r="Y794" s="4"/>
      <c r="Z794" s="4"/>
      <c r="AA794" s="4"/>
    </row>
    <row r="795" spans="1:27" ht="16">
      <c r="A795" s="1"/>
      <c r="B795" s="2"/>
      <c r="C795" s="6"/>
      <c r="D795" s="2"/>
      <c r="E795" s="2"/>
      <c r="F795" s="2"/>
      <c r="G795" s="2"/>
      <c r="H795" s="1"/>
      <c r="I795" s="4"/>
      <c r="J795" s="4"/>
      <c r="K795" s="4"/>
      <c r="L795" s="4"/>
      <c r="M795" s="4"/>
      <c r="N795" s="4"/>
      <c r="O795" s="4"/>
      <c r="P795" s="4"/>
      <c r="Q795" s="4"/>
      <c r="R795" s="4"/>
      <c r="S795" s="4"/>
      <c r="T795" s="4"/>
      <c r="U795" s="4"/>
      <c r="V795" s="4"/>
      <c r="W795" s="4"/>
      <c r="X795" s="4"/>
      <c r="Y795" s="4"/>
      <c r="Z795" s="4"/>
      <c r="AA795" s="4"/>
    </row>
    <row r="796" spans="1:27" ht="16">
      <c r="A796" s="1"/>
      <c r="B796" s="2"/>
      <c r="C796" s="6"/>
      <c r="D796" s="2"/>
      <c r="E796" s="2"/>
      <c r="F796" s="2"/>
      <c r="G796" s="2"/>
      <c r="H796" s="1"/>
      <c r="I796" s="4"/>
      <c r="J796" s="4"/>
      <c r="K796" s="4"/>
      <c r="L796" s="4"/>
      <c r="M796" s="4"/>
      <c r="N796" s="4"/>
      <c r="O796" s="4"/>
      <c r="P796" s="4"/>
      <c r="Q796" s="4"/>
      <c r="R796" s="4"/>
      <c r="S796" s="4"/>
      <c r="T796" s="4"/>
      <c r="U796" s="4"/>
      <c r="V796" s="4"/>
      <c r="W796" s="4"/>
      <c r="X796" s="4"/>
      <c r="Y796" s="4"/>
      <c r="Z796" s="4"/>
      <c r="AA796" s="4"/>
    </row>
    <row r="797" spans="1:27" ht="16">
      <c r="A797" s="1"/>
      <c r="B797" s="2"/>
      <c r="C797" s="6"/>
      <c r="D797" s="2"/>
      <c r="E797" s="2"/>
      <c r="F797" s="2"/>
      <c r="G797" s="2"/>
      <c r="H797" s="1"/>
      <c r="I797" s="4"/>
      <c r="J797" s="4"/>
      <c r="K797" s="4"/>
      <c r="L797" s="4"/>
      <c r="M797" s="4"/>
      <c r="N797" s="4"/>
      <c r="O797" s="4"/>
      <c r="P797" s="4"/>
      <c r="Q797" s="4"/>
      <c r="R797" s="4"/>
      <c r="S797" s="4"/>
      <c r="T797" s="4"/>
      <c r="U797" s="4"/>
      <c r="V797" s="4"/>
      <c r="W797" s="4"/>
      <c r="X797" s="4"/>
      <c r="Y797" s="4"/>
      <c r="Z797" s="4"/>
      <c r="AA797" s="4"/>
    </row>
    <row r="798" spans="1:27" ht="16">
      <c r="A798" s="1"/>
      <c r="B798" s="2"/>
      <c r="C798" s="6"/>
      <c r="D798" s="2"/>
      <c r="E798" s="2"/>
      <c r="F798" s="2"/>
      <c r="G798" s="2"/>
      <c r="H798" s="1"/>
      <c r="I798" s="4"/>
      <c r="J798" s="4"/>
      <c r="K798" s="4"/>
      <c r="L798" s="4"/>
      <c r="M798" s="4"/>
      <c r="N798" s="4"/>
      <c r="O798" s="4"/>
      <c r="P798" s="4"/>
      <c r="Q798" s="4"/>
      <c r="R798" s="4"/>
      <c r="S798" s="4"/>
      <c r="T798" s="4"/>
      <c r="U798" s="4"/>
      <c r="V798" s="4"/>
      <c r="W798" s="4"/>
      <c r="X798" s="4"/>
      <c r="Y798" s="4"/>
      <c r="Z798" s="4"/>
      <c r="AA798" s="4"/>
    </row>
    <row r="799" spans="1:27" ht="16">
      <c r="A799" s="1"/>
      <c r="B799" s="2"/>
      <c r="C799" s="6"/>
      <c r="D799" s="2"/>
      <c r="E799" s="2"/>
      <c r="F799" s="2"/>
      <c r="G799" s="2"/>
      <c r="H799" s="1"/>
      <c r="I799" s="4"/>
      <c r="J799" s="4"/>
      <c r="K799" s="4"/>
      <c r="L799" s="4"/>
      <c r="M799" s="4"/>
      <c r="N799" s="4"/>
      <c r="O799" s="4"/>
      <c r="P799" s="4"/>
      <c r="Q799" s="4"/>
      <c r="R799" s="4"/>
      <c r="S799" s="4"/>
      <c r="T799" s="4"/>
      <c r="U799" s="4"/>
      <c r="V799" s="4"/>
      <c r="W799" s="4"/>
      <c r="X799" s="4"/>
      <c r="Y799" s="4"/>
      <c r="Z799" s="4"/>
      <c r="AA799" s="4"/>
    </row>
    <row r="800" spans="1:27" ht="16">
      <c r="A800" s="1"/>
      <c r="B800" s="2"/>
      <c r="C800" s="6"/>
      <c r="D800" s="2"/>
      <c r="E800" s="2"/>
      <c r="F800" s="2"/>
      <c r="G800" s="2"/>
      <c r="H800" s="1"/>
      <c r="I800" s="4"/>
      <c r="J800" s="4"/>
      <c r="K800" s="4"/>
      <c r="L800" s="4"/>
      <c r="M800" s="4"/>
      <c r="N800" s="4"/>
      <c r="O800" s="4"/>
      <c r="P800" s="4"/>
      <c r="Q800" s="4"/>
      <c r="R800" s="4"/>
      <c r="S800" s="4"/>
      <c r="T800" s="4"/>
      <c r="U800" s="4"/>
      <c r="V800" s="4"/>
      <c r="W800" s="4"/>
      <c r="X800" s="4"/>
      <c r="Y800" s="4"/>
      <c r="Z800" s="4"/>
      <c r="AA800" s="4"/>
    </row>
    <row r="801" spans="1:27" ht="16">
      <c r="A801" s="1"/>
      <c r="B801" s="2"/>
      <c r="C801" s="6"/>
      <c r="D801" s="2"/>
      <c r="E801" s="2"/>
      <c r="F801" s="2"/>
      <c r="G801" s="2"/>
      <c r="H801" s="1"/>
      <c r="I801" s="4"/>
      <c r="J801" s="4"/>
      <c r="K801" s="4"/>
      <c r="L801" s="4"/>
      <c r="M801" s="4"/>
      <c r="N801" s="4"/>
      <c r="O801" s="4"/>
      <c r="P801" s="4"/>
      <c r="Q801" s="4"/>
      <c r="R801" s="4"/>
      <c r="S801" s="4"/>
      <c r="T801" s="4"/>
      <c r="U801" s="4"/>
      <c r="V801" s="4"/>
      <c r="W801" s="4"/>
      <c r="X801" s="4"/>
      <c r="Y801" s="4"/>
      <c r="Z801" s="4"/>
      <c r="AA801" s="4"/>
    </row>
    <row r="802" spans="1:27" ht="16">
      <c r="A802" s="1"/>
      <c r="B802" s="2"/>
      <c r="C802" s="6"/>
      <c r="D802" s="2"/>
      <c r="E802" s="2"/>
      <c r="F802" s="2"/>
      <c r="G802" s="2"/>
      <c r="H802" s="1"/>
      <c r="I802" s="4"/>
      <c r="J802" s="4"/>
      <c r="K802" s="4"/>
      <c r="L802" s="4"/>
      <c r="M802" s="4"/>
      <c r="N802" s="4"/>
      <c r="O802" s="4"/>
      <c r="P802" s="4"/>
      <c r="Q802" s="4"/>
      <c r="R802" s="4"/>
      <c r="S802" s="4"/>
      <c r="T802" s="4"/>
      <c r="U802" s="4"/>
      <c r="V802" s="4"/>
      <c r="W802" s="4"/>
      <c r="X802" s="4"/>
      <c r="Y802" s="4"/>
      <c r="Z802" s="4"/>
      <c r="AA802" s="4"/>
    </row>
    <row r="803" spans="1:27" ht="16">
      <c r="A803" s="1"/>
      <c r="B803" s="2"/>
      <c r="C803" s="6"/>
      <c r="D803" s="2"/>
      <c r="E803" s="2"/>
      <c r="F803" s="2"/>
      <c r="G803" s="2"/>
      <c r="H803" s="1"/>
      <c r="I803" s="4"/>
      <c r="J803" s="4"/>
      <c r="K803" s="4"/>
      <c r="L803" s="4"/>
      <c r="M803" s="4"/>
      <c r="N803" s="4"/>
      <c r="O803" s="4"/>
      <c r="P803" s="4"/>
      <c r="Q803" s="4"/>
      <c r="R803" s="4"/>
      <c r="S803" s="4"/>
      <c r="T803" s="4"/>
      <c r="U803" s="4"/>
      <c r="V803" s="4"/>
      <c r="W803" s="4"/>
      <c r="X803" s="4"/>
      <c r="Y803" s="4"/>
      <c r="Z803" s="4"/>
      <c r="AA803" s="4"/>
    </row>
    <row r="804" spans="1:27" ht="16">
      <c r="A804" s="1"/>
      <c r="B804" s="2"/>
      <c r="C804" s="6"/>
      <c r="D804" s="2"/>
      <c r="E804" s="2"/>
      <c r="F804" s="2"/>
      <c r="G804" s="2"/>
      <c r="H804" s="1"/>
      <c r="I804" s="4"/>
      <c r="J804" s="4"/>
      <c r="K804" s="4"/>
      <c r="L804" s="4"/>
      <c r="M804" s="4"/>
      <c r="N804" s="4"/>
      <c r="O804" s="4"/>
      <c r="P804" s="4"/>
      <c r="Q804" s="4"/>
      <c r="R804" s="4"/>
      <c r="S804" s="4"/>
      <c r="T804" s="4"/>
      <c r="U804" s="4"/>
      <c r="V804" s="4"/>
      <c r="W804" s="4"/>
      <c r="X804" s="4"/>
      <c r="Y804" s="4"/>
      <c r="Z804" s="4"/>
      <c r="AA804" s="4"/>
    </row>
    <row r="805" spans="1:27" ht="16">
      <c r="A805" s="1"/>
      <c r="B805" s="2"/>
      <c r="C805" s="6"/>
      <c r="D805" s="2"/>
      <c r="E805" s="2"/>
      <c r="F805" s="2"/>
      <c r="G805" s="2"/>
      <c r="H805" s="1"/>
      <c r="I805" s="4"/>
      <c r="J805" s="4"/>
      <c r="K805" s="4"/>
      <c r="L805" s="4"/>
      <c r="M805" s="4"/>
      <c r="N805" s="4"/>
      <c r="O805" s="4"/>
      <c r="P805" s="4"/>
      <c r="Q805" s="4"/>
      <c r="R805" s="4"/>
      <c r="S805" s="4"/>
      <c r="T805" s="4"/>
      <c r="U805" s="4"/>
      <c r="V805" s="4"/>
      <c r="W805" s="4"/>
      <c r="X805" s="4"/>
      <c r="Y805" s="4"/>
      <c r="Z805" s="4"/>
      <c r="AA805" s="4"/>
    </row>
    <row r="806" spans="1:27" ht="16">
      <c r="A806" s="1"/>
      <c r="B806" s="2"/>
      <c r="C806" s="6"/>
      <c r="D806" s="2"/>
      <c r="E806" s="2"/>
      <c r="F806" s="2"/>
      <c r="G806" s="2"/>
      <c r="H806" s="1"/>
      <c r="I806" s="4"/>
      <c r="J806" s="4"/>
      <c r="K806" s="4"/>
      <c r="L806" s="4"/>
      <c r="M806" s="4"/>
      <c r="N806" s="4"/>
      <c r="O806" s="4"/>
      <c r="P806" s="4"/>
      <c r="Q806" s="4"/>
      <c r="R806" s="4"/>
      <c r="S806" s="4"/>
      <c r="T806" s="4"/>
      <c r="U806" s="4"/>
      <c r="V806" s="4"/>
      <c r="W806" s="4"/>
      <c r="X806" s="4"/>
      <c r="Y806" s="4"/>
      <c r="Z806" s="4"/>
      <c r="AA806" s="4"/>
    </row>
    <row r="807" spans="1:27" ht="16">
      <c r="A807" s="1"/>
      <c r="B807" s="2"/>
      <c r="C807" s="6"/>
      <c r="D807" s="2"/>
      <c r="E807" s="2"/>
      <c r="F807" s="2"/>
      <c r="G807" s="2"/>
      <c r="H807" s="1"/>
      <c r="I807" s="4"/>
      <c r="J807" s="4"/>
      <c r="K807" s="4"/>
      <c r="L807" s="4"/>
      <c r="M807" s="4"/>
      <c r="N807" s="4"/>
      <c r="O807" s="4"/>
      <c r="P807" s="4"/>
      <c r="Q807" s="4"/>
      <c r="R807" s="4"/>
      <c r="S807" s="4"/>
      <c r="T807" s="4"/>
      <c r="U807" s="4"/>
      <c r="V807" s="4"/>
      <c r="W807" s="4"/>
      <c r="X807" s="4"/>
      <c r="Y807" s="4"/>
      <c r="Z807" s="4"/>
      <c r="AA807" s="4"/>
    </row>
    <row r="808" spans="1:27" ht="16">
      <c r="A808" s="1"/>
      <c r="B808" s="2"/>
      <c r="C808" s="6"/>
      <c r="D808" s="2"/>
      <c r="E808" s="2"/>
      <c r="F808" s="2"/>
      <c r="G808" s="2"/>
      <c r="H808" s="1"/>
      <c r="I808" s="4"/>
      <c r="J808" s="4"/>
      <c r="K808" s="4"/>
      <c r="L808" s="4"/>
      <c r="M808" s="4"/>
      <c r="N808" s="4"/>
      <c r="O808" s="4"/>
      <c r="P808" s="4"/>
      <c r="Q808" s="4"/>
      <c r="R808" s="4"/>
      <c r="S808" s="4"/>
      <c r="T808" s="4"/>
      <c r="U808" s="4"/>
      <c r="V808" s="4"/>
      <c r="W808" s="4"/>
      <c r="X808" s="4"/>
      <c r="Y808" s="4"/>
      <c r="Z808" s="4"/>
      <c r="AA808" s="4"/>
    </row>
    <row r="809" spans="1:27" ht="16">
      <c r="A809" s="1"/>
      <c r="B809" s="2"/>
      <c r="C809" s="6"/>
      <c r="D809" s="2"/>
      <c r="E809" s="2"/>
      <c r="F809" s="2"/>
      <c r="G809" s="2"/>
      <c r="H809" s="1"/>
      <c r="I809" s="4"/>
      <c r="J809" s="4"/>
      <c r="K809" s="4"/>
      <c r="L809" s="4"/>
      <c r="M809" s="4"/>
      <c r="N809" s="4"/>
      <c r="O809" s="4"/>
      <c r="P809" s="4"/>
      <c r="Q809" s="4"/>
      <c r="R809" s="4"/>
      <c r="S809" s="4"/>
      <c r="T809" s="4"/>
      <c r="U809" s="4"/>
      <c r="V809" s="4"/>
      <c r="W809" s="4"/>
      <c r="X809" s="4"/>
      <c r="Y809" s="4"/>
      <c r="Z809" s="4"/>
      <c r="AA809" s="4"/>
    </row>
    <row r="810" spans="1:27" ht="16">
      <c r="A810" s="1"/>
      <c r="B810" s="2"/>
      <c r="C810" s="6"/>
      <c r="D810" s="2"/>
      <c r="E810" s="2"/>
      <c r="F810" s="2"/>
      <c r="G810" s="2"/>
      <c r="H810" s="1"/>
      <c r="I810" s="4"/>
      <c r="J810" s="4"/>
      <c r="K810" s="4"/>
      <c r="L810" s="4"/>
      <c r="M810" s="4"/>
      <c r="N810" s="4"/>
      <c r="O810" s="4"/>
      <c r="P810" s="4"/>
      <c r="Q810" s="4"/>
      <c r="R810" s="4"/>
      <c r="S810" s="4"/>
      <c r="T810" s="4"/>
      <c r="U810" s="4"/>
      <c r="V810" s="4"/>
      <c r="W810" s="4"/>
      <c r="X810" s="4"/>
      <c r="Y810" s="4"/>
      <c r="Z810" s="4"/>
      <c r="AA810" s="4"/>
    </row>
    <row r="811" spans="1:27" ht="16">
      <c r="A811" s="1"/>
      <c r="B811" s="2"/>
      <c r="C811" s="6"/>
      <c r="D811" s="2"/>
      <c r="E811" s="2"/>
      <c r="F811" s="2"/>
      <c r="G811" s="2"/>
      <c r="H811" s="1"/>
      <c r="I811" s="4"/>
      <c r="J811" s="4"/>
      <c r="K811" s="4"/>
      <c r="L811" s="4"/>
      <c r="M811" s="4"/>
      <c r="N811" s="4"/>
      <c r="O811" s="4"/>
      <c r="P811" s="4"/>
      <c r="Q811" s="4"/>
      <c r="R811" s="4"/>
      <c r="S811" s="4"/>
      <c r="T811" s="4"/>
      <c r="U811" s="4"/>
      <c r="V811" s="4"/>
      <c r="W811" s="4"/>
      <c r="X811" s="4"/>
      <c r="Y811" s="4"/>
      <c r="Z811" s="4"/>
      <c r="AA811" s="4"/>
    </row>
    <row r="812" spans="1:27" ht="16">
      <c r="A812" s="1"/>
      <c r="B812" s="2"/>
      <c r="C812" s="6"/>
      <c r="D812" s="2"/>
      <c r="E812" s="2"/>
      <c r="F812" s="2"/>
      <c r="G812" s="2"/>
      <c r="H812" s="1"/>
      <c r="I812" s="4"/>
      <c r="J812" s="4"/>
      <c r="K812" s="4"/>
      <c r="L812" s="4"/>
      <c r="M812" s="4"/>
      <c r="N812" s="4"/>
      <c r="O812" s="4"/>
      <c r="P812" s="4"/>
      <c r="Q812" s="4"/>
      <c r="R812" s="4"/>
      <c r="S812" s="4"/>
      <c r="T812" s="4"/>
      <c r="U812" s="4"/>
      <c r="V812" s="4"/>
      <c r="W812" s="4"/>
      <c r="X812" s="4"/>
      <c r="Y812" s="4"/>
      <c r="Z812" s="4"/>
      <c r="AA812" s="4"/>
    </row>
    <row r="813" spans="1:27" ht="16">
      <c r="A813" s="1"/>
      <c r="B813" s="2"/>
      <c r="C813" s="6"/>
      <c r="D813" s="2"/>
      <c r="E813" s="2"/>
      <c r="F813" s="2"/>
      <c r="G813" s="2"/>
      <c r="H813" s="1"/>
      <c r="I813" s="4"/>
      <c r="J813" s="4"/>
      <c r="K813" s="4"/>
      <c r="L813" s="4"/>
      <c r="M813" s="4"/>
      <c r="N813" s="4"/>
      <c r="O813" s="4"/>
      <c r="P813" s="4"/>
      <c r="Q813" s="4"/>
      <c r="R813" s="4"/>
      <c r="S813" s="4"/>
      <c r="T813" s="4"/>
      <c r="U813" s="4"/>
      <c r="V813" s="4"/>
      <c r="W813" s="4"/>
      <c r="X813" s="4"/>
      <c r="Y813" s="4"/>
      <c r="Z813" s="4"/>
      <c r="AA813" s="4"/>
    </row>
    <row r="814" spans="1:27" ht="16">
      <c r="A814" s="1"/>
      <c r="B814" s="2"/>
      <c r="C814" s="6"/>
      <c r="D814" s="2"/>
      <c r="E814" s="2"/>
      <c r="F814" s="2"/>
      <c r="G814" s="2"/>
      <c r="H814" s="1"/>
      <c r="I814" s="4"/>
      <c r="J814" s="4"/>
      <c r="K814" s="4"/>
      <c r="L814" s="4"/>
      <c r="M814" s="4"/>
      <c r="N814" s="4"/>
      <c r="O814" s="4"/>
      <c r="P814" s="4"/>
      <c r="Q814" s="4"/>
      <c r="R814" s="4"/>
      <c r="S814" s="4"/>
      <c r="T814" s="4"/>
      <c r="U814" s="4"/>
      <c r="V814" s="4"/>
      <c r="W814" s="4"/>
      <c r="X814" s="4"/>
      <c r="Y814" s="4"/>
      <c r="Z814" s="4"/>
      <c r="AA814" s="4"/>
    </row>
    <row r="815" spans="1:27" ht="16">
      <c r="A815" s="1"/>
      <c r="B815" s="2"/>
      <c r="C815" s="6"/>
      <c r="D815" s="2"/>
      <c r="E815" s="2"/>
      <c r="F815" s="2"/>
      <c r="G815" s="2"/>
      <c r="H815" s="1"/>
      <c r="I815" s="4"/>
      <c r="J815" s="4"/>
      <c r="K815" s="4"/>
      <c r="L815" s="4"/>
      <c r="M815" s="4"/>
      <c r="N815" s="4"/>
      <c r="O815" s="4"/>
      <c r="P815" s="4"/>
      <c r="Q815" s="4"/>
      <c r="R815" s="4"/>
      <c r="S815" s="4"/>
      <c r="T815" s="4"/>
      <c r="U815" s="4"/>
      <c r="V815" s="4"/>
      <c r="W815" s="4"/>
      <c r="X815" s="4"/>
      <c r="Y815" s="4"/>
      <c r="Z815" s="4"/>
      <c r="AA815" s="4"/>
    </row>
    <row r="816" spans="1:27" ht="16">
      <c r="A816" s="1"/>
      <c r="B816" s="2"/>
      <c r="C816" s="6"/>
      <c r="D816" s="2"/>
      <c r="E816" s="2"/>
      <c r="F816" s="2"/>
      <c r="G816" s="2"/>
      <c r="H816" s="1"/>
      <c r="I816" s="4"/>
      <c r="J816" s="4"/>
      <c r="K816" s="4"/>
      <c r="L816" s="4"/>
      <c r="M816" s="4"/>
      <c r="N816" s="4"/>
      <c r="O816" s="4"/>
      <c r="P816" s="4"/>
      <c r="Q816" s="4"/>
      <c r="R816" s="4"/>
      <c r="S816" s="4"/>
      <c r="T816" s="4"/>
      <c r="U816" s="4"/>
      <c r="V816" s="4"/>
      <c r="W816" s="4"/>
      <c r="X816" s="4"/>
      <c r="Y816" s="4"/>
      <c r="Z816" s="4"/>
      <c r="AA816" s="4"/>
    </row>
    <row r="817" spans="1:27" ht="16">
      <c r="A817" s="1"/>
      <c r="B817" s="2"/>
      <c r="C817" s="6"/>
      <c r="D817" s="2"/>
      <c r="E817" s="2"/>
      <c r="F817" s="2"/>
      <c r="G817" s="2"/>
      <c r="H817" s="1"/>
      <c r="I817" s="4"/>
      <c r="J817" s="4"/>
      <c r="K817" s="4"/>
      <c r="L817" s="4"/>
      <c r="M817" s="4"/>
      <c r="N817" s="4"/>
      <c r="O817" s="4"/>
      <c r="P817" s="4"/>
      <c r="Q817" s="4"/>
      <c r="R817" s="4"/>
      <c r="S817" s="4"/>
      <c r="T817" s="4"/>
      <c r="U817" s="4"/>
      <c r="V817" s="4"/>
      <c r="W817" s="4"/>
      <c r="X817" s="4"/>
      <c r="Y817" s="4"/>
      <c r="Z817" s="4"/>
      <c r="AA817" s="4"/>
    </row>
    <row r="818" spans="1:27" ht="16">
      <c r="A818" s="1"/>
      <c r="B818" s="2"/>
      <c r="C818" s="6"/>
      <c r="D818" s="2"/>
      <c r="E818" s="2"/>
      <c r="F818" s="2"/>
      <c r="G818" s="2"/>
      <c r="H818" s="1"/>
      <c r="I818" s="4"/>
      <c r="J818" s="4"/>
      <c r="K818" s="4"/>
      <c r="L818" s="4"/>
      <c r="M818" s="4"/>
      <c r="N818" s="4"/>
      <c r="O818" s="4"/>
      <c r="P818" s="4"/>
      <c r="Q818" s="4"/>
      <c r="R818" s="4"/>
      <c r="S818" s="4"/>
      <c r="T818" s="4"/>
      <c r="U818" s="4"/>
      <c r="V818" s="4"/>
      <c r="W818" s="4"/>
      <c r="X818" s="4"/>
      <c r="Y818" s="4"/>
      <c r="Z818" s="4"/>
      <c r="AA818" s="4"/>
    </row>
    <row r="819" spans="1:27" ht="16">
      <c r="A819" s="1"/>
      <c r="B819" s="2"/>
      <c r="C819" s="6"/>
      <c r="D819" s="2"/>
      <c r="E819" s="2"/>
      <c r="F819" s="2"/>
      <c r="G819" s="2"/>
      <c r="H819" s="1"/>
      <c r="I819" s="4"/>
      <c r="J819" s="4"/>
      <c r="K819" s="4"/>
      <c r="L819" s="4"/>
      <c r="M819" s="4"/>
      <c r="N819" s="4"/>
      <c r="O819" s="4"/>
      <c r="P819" s="4"/>
      <c r="Q819" s="4"/>
      <c r="R819" s="4"/>
      <c r="S819" s="4"/>
      <c r="T819" s="4"/>
      <c r="U819" s="4"/>
      <c r="V819" s="4"/>
      <c r="W819" s="4"/>
      <c r="X819" s="4"/>
      <c r="Y819" s="4"/>
      <c r="Z819" s="4"/>
      <c r="AA819" s="4"/>
    </row>
    <row r="820" spans="1:27" ht="16">
      <c r="A820" s="1"/>
      <c r="B820" s="2"/>
      <c r="C820" s="6"/>
      <c r="D820" s="2"/>
      <c r="E820" s="2"/>
      <c r="F820" s="2"/>
      <c r="G820" s="2"/>
      <c r="H820" s="1"/>
      <c r="I820" s="4"/>
      <c r="J820" s="4"/>
      <c r="K820" s="4"/>
      <c r="L820" s="4"/>
      <c r="M820" s="4"/>
      <c r="N820" s="4"/>
      <c r="O820" s="4"/>
      <c r="P820" s="4"/>
      <c r="Q820" s="4"/>
      <c r="R820" s="4"/>
      <c r="S820" s="4"/>
      <c r="T820" s="4"/>
      <c r="U820" s="4"/>
      <c r="V820" s="4"/>
      <c r="W820" s="4"/>
      <c r="X820" s="4"/>
      <c r="Y820" s="4"/>
      <c r="Z820" s="4"/>
      <c r="AA820" s="4"/>
    </row>
    <row r="821" spans="1:27" ht="16">
      <c r="A821" s="1"/>
      <c r="B821" s="2"/>
      <c r="C821" s="6"/>
      <c r="D821" s="2"/>
      <c r="E821" s="2"/>
      <c r="F821" s="2"/>
      <c r="G821" s="2"/>
      <c r="H821" s="1"/>
      <c r="I821" s="4"/>
      <c r="J821" s="4"/>
      <c r="K821" s="4"/>
      <c r="L821" s="4"/>
      <c r="M821" s="4"/>
      <c r="N821" s="4"/>
      <c r="O821" s="4"/>
      <c r="P821" s="4"/>
      <c r="Q821" s="4"/>
      <c r="R821" s="4"/>
      <c r="S821" s="4"/>
      <c r="T821" s="4"/>
      <c r="U821" s="4"/>
      <c r="V821" s="4"/>
      <c r="W821" s="4"/>
      <c r="X821" s="4"/>
      <c r="Y821" s="4"/>
      <c r="Z821" s="4"/>
      <c r="AA821" s="4"/>
    </row>
    <row r="822" spans="1:27" ht="16">
      <c r="A822" s="1"/>
      <c r="B822" s="2"/>
      <c r="C822" s="6"/>
      <c r="D822" s="2"/>
      <c r="E822" s="2"/>
      <c r="F822" s="2"/>
      <c r="G822" s="2"/>
      <c r="H822" s="1"/>
      <c r="I822" s="4"/>
      <c r="J822" s="4"/>
      <c r="K822" s="4"/>
      <c r="L822" s="4"/>
      <c r="M822" s="4"/>
      <c r="N822" s="4"/>
      <c r="O822" s="4"/>
      <c r="P822" s="4"/>
      <c r="Q822" s="4"/>
      <c r="R822" s="4"/>
      <c r="S822" s="4"/>
      <c r="T822" s="4"/>
      <c r="U822" s="4"/>
      <c r="V822" s="4"/>
      <c r="W822" s="4"/>
      <c r="X822" s="4"/>
      <c r="Y822" s="4"/>
      <c r="Z822" s="4"/>
      <c r="AA822" s="4"/>
    </row>
    <row r="823" spans="1:27" ht="16">
      <c r="A823" s="1"/>
      <c r="B823" s="2"/>
      <c r="C823" s="6"/>
      <c r="D823" s="2"/>
      <c r="E823" s="2"/>
      <c r="F823" s="2"/>
      <c r="G823" s="2"/>
      <c r="H823" s="1"/>
      <c r="I823" s="4"/>
      <c r="J823" s="4"/>
      <c r="K823" s="4"/>
      <c r="L823" s="4"/>
      <c r="M823" s="4"/>
      <c r="N823" s="4"/>
      <c r="O823" s="4"/>
      <c r="P823" s="4"/>
      <c r="Q823" s="4"/>
      <c r="R823" s="4"/>
      <c r="S823" s="4"/>
      <c r="T823" s="4"/>
      <c r="U823" s="4"/>
      <c r="V823" s="4"/>
      <c r="W823" s="4"/>
      <c r="X823" s="4"/>
      <c r="Y823" s="4"/>
      <c r="Z823" s="4"/>
      <c r="AA823" s="4"/>
    </row>
    <row r="824" spans="1:27" ht="16">
      <c r="A824" s="1"/>
      <c r="B824" s="2"/>
      <c r="C824" s="6"/>
      <c r="D824" s="2"/>
      <c r="E824" s="2"/>
      <c r="F824" s="2"/>
      <c r="G824" s="2"/>
      <c r="H824" s="1"/>
      <c r="I824" s="4"/>
      <c r="J824" s="4"/>
      <c r="K824" s="4"/>
      <c r="L824" s="4"/>
      <c r="M824" s="4"/>
      <c r="N824" s="4"/>
      <c r="O824" s="4"/>
      <c r="P824" s="4"/>
      <c r="Q824" s="4"/>
      <c r="R824" s="4"/>
      <c r="S824" s="4"/>
      <c r="T824" s="4"/>
      <c r="U824" s="4"/>
      <c r="V824" s="4"/>
      <c r="W824" s="4"/>
      <c r="X824" s="4"/>
      <c r="Y824" s="4"/>
      <c r="Z824" s="4"/>
      <c r="AA824" s="4"/>
    </row>
    <row r="825" spans="1:27" ht="16">
      <c r="A825" s="1"/>
      <c r="B825" s="2"/>
      <c r="C825" s="6"/>
      <c r="D825" s="2"/>
      <c r="E825" s="2"/>
      <c r="F825" s="2"/>
      <c r="G825" s="2"/>
      <c r="H825" s="1"/>
      <c r="I825" s="4"/>
      <c r="J825" s="4"/>
      <c r="K825" s="4"/>
      <c r="L825" s="4"/>
      <c r="M825" s="4"/>
      <c r="N825" s="4"/>
      <c r="O825" s="4"/>
      <c r="P825" s="4"/>
      <c r="Q825" s="4"/>
      <c r="R825" s="4"/>
      <c r="S825" s="4"/>
      <c r="T825" s="4"/>
      <c r="U825" s="4"/>
      <c r="V825" s="4"/>
      <c r="W825" s="4"/>
      <c r="X825" s="4"/>
      <c r="Y825" s="4"/>
      <c r="Z825" s="4"/>
      <c r="AA825" s="4"/>
    </row>
    <row r="826" spans="1:27" ht="16">
      <c r="A826" s="1"/>
      <c r="B826" s="2"/>
      <c r="C826" s="6"/>
      <c r="D826" s="2"/>
      <c r="E826" s="2"/>
      <c r="F826" s="2"/>
      <c r="G826" s="2"/>
      <c r="H826" s="1"/>
      <c r="I826" s="4"/>
      <c r="J826" s="4"/>
      <c r="K826" s="4"/>
      <c r="L826" s="4"/>
      <c r="M826" s="4"/>
      <c r="N826" s="4"/>
      <c r="O826" s="4"/>
      <c r="P826" s="4"/>
      <c r="Q826" s="4"/>
      <c r="R826" s="4"/>
      <c r="S826" s="4"/>
      <c r="T826" s="4"/>
      <c r="U826" s="4"/>
      <c r="V826" s="4"/>
      <c r="W826" s="4"/>
      <c r="X826" s="4"/>
      <c r="Y826" s="4"/>
      <c r="Z826" s="4"/>
      <c r="AA826" s="4"/>
    </row>
    <row r="827" spans="1:27" ht="16">
      <c r="A827" s="1"/>
      <c r="B827" s="2"/>
      <c r="C827" s="6"/>
      <c r="D827" s="2"/>
      <c r="E827" s="2"/>
      <c r="F827" s="2"/>
      <c r="G827" s="2"/>
      <c r="H827" s="1"/>
      <c r="I827" s="4"/>
      <c r="J827" s="4"/>
      <c r="K827" s="4"/>
      <c r="L827" s="4"/>
      <c r="M827" s="4"/>
      <c r="N827" s="4"/>
      <c r="O827" s="4"/>
      <c r="P827" s="4"/>
      <c r="Q827" s="4"/>
      <c r="R827" s="4"/>
      <c r="S827" s="4"/>
      <c r="T827" s="4"/>
      <c r="U827" s="4"/>
      <c r="V827" s="4"/>
      <c r="W827" s="4"/>
      <c r="X827" s="4"/>
      <c r="Y827" s="4"/>
      <c r="Z827" s="4"/>
      <c r="AA827" s="4"/>
    </row>
    <row r="828" spans="1:27" ht="16">
      <c r="A828" s="1"/>
      <c r="B828" s="2"/>
      <c r="C828" s="6"/>
      <c r="D828" s="2"/>
      <c r="E828" s="2"/>
      <c r="F828" s="2"/>
      <c r="G828" s="2"/>
      <c r="H828" s="1"/>
      <c r="I828" s="4"/>
      <c r="J828" s="4"/>
      <c r="K828" s="4"/>
      <c r="L828" s="4"/>
      <c r="M828" s="4"/>
      <c r="N828" s="4"/>
      <c r="O828" s="4"/>
      <c r="P828" s="4"/>
      <c r="Q828" s="4"/>
      <c r="R828" s="4"/>
      <c r="S828" s="4"/>
      <c r="T828" s="4"/>
      <c r="U828" s="4"/>
      <c r="V828" s="4"/>
      <c r="W828" s="4"/>
      <c r="X828" s="4"/>
      <c r="Y828" s="4"/>
      <c r="Z828" s="4"/>
      <c r="AA828" s="4"/>
    </row>
    <row r="829" spans="1:27" ht="16">
      <c r="A829" s="1"/>
      <c r="B829" s="2"/>
      <c r="C829" s="6"/>
      <c r="D829" s="2"/>
      <c r="E829" s="2"/>
      <c r="F829" s="2"/>
      <c r="G829" s="2"/>
      <c r="H829" s="1"/>
      <c r="I829" s="4"/>
      <c r="J829" s="4"/>
      <c r="K829" s="4"/>
      <c r="L829" s="4"/>
      <c r="M829" s="4"/>
      <c r="N829" s="4"/>
      <c r="O829" s="4"/>
      <c r="P829" s="4"/>
      <c r="Q829" s="4"/>
      <c r="R829" s="4"/>
      <c r="S829" s="4"/>
      <c r="T829" s="4"/>
      <c r="U829" s="4"/>
      <c r="V829" s="4"/>
      <c r="W829" s="4"/>
      <c r="X829" s="4"/>
      <c r="Y829" s="4"/>
      <c r="Z829" s="4"/>
      <c r="AA829" s="4"/>
    </row>
    <row r="830" spans="1:27" ht="16">
      <c r="A830" s="1"/>
      <c r="B830" s="2"/>
      <c r="C830" s="6"/>
      <c r="D830" s="2"/>
      <c r="E830" s="2"/>
      <c r="F830" s="2"/>
      <c r="G830" s="2"/>
      <c r="H830" s="1"/>
      <c r="I830" s="4"/>
      <c r="J830" s="4"/>
      <c r="K830" s="4"/>
      <c r="L830" s="4"/>
      <c r="M830" s="4"/>
      <c r="N830" s="4"/>
      <c r="O830" s="4"/>
      <c r="P830" s="4"/>
      <c r="Q830" s="4"/>
      <c r="R830" s="4"/>
      <c r="S830" s="4"/>
      <c r="T830" s="4"/>
      <c r="U830" s="4"/>
      <c r="V830" s="4"/>
      <c r="W830" s="4"/>
      <c r="X830" s="4"/>
      <c r="Y830" s="4"/>
      <c r="Z830" s="4"/>
      <c r="AA830" s="4"/>
    </row>
    <row r="831" spans="1:27" ht="16">
      <c r="A831" s="1"/>
      <c r="B831" s="2"/>
      <c r="C831" s="6"/>
      <c r="D831" s="2"/>
      <c r="E831" s="2"/>
      <c r="F831" s="2"/>
      <c r="G831" s="2"/>
      <c r="H831" s="1"/>
      <c r="I831" s="4"/>
      <c r="J831" s="4"/>
      <c r="K831" s="4"/>
      <c r="L831" s="4"/>
      <c r="M831" s="4"/>
      <c r="N831" s="4"/>
      <c r="O831" s="4"/>
      <c r="P831" s="4"/>
      <c r="Q831" s="4"/>
      <c r="R831" s="4"/>
      <c r="S831" s="4"/>
      <c r="T831" s="4"/>
      <c r="U831" s="4"/>
      <c r="V831" s="4"/>
      <c r="W831" s="4"/>
      <c r="X831" s="4"/>
      <c r="Y831" s="4"/>
      <c r="Z831" s="4"/>
      <c r="AA831" s="4"/>
    </row>
    <row r="832" spans="1:27" ht="16">
      <c r="A832" s="1"/>
      <c r="B832" s="2"/>
      <c r="C832" s="6"/>
      <c r="D832" s="2"/>
      <c r="E832" s="2"/>
      <c r="F832" s="2"/>
      <c r="G832" s="2"/>
      <c r="H832" s="1"/>
      <c r="I832" s="4"/>
      <c r="J832" s="4"/>
      <c r="K832" s="4"/>
      <c r="L832" s="4"/>
      <c r="M832" s="4"/>
      <c r="N832" s="4"/>
      <c r="O832" s="4"/>
      <c r="P832" s="4"/>
      <c r="Q832" s="4"/>
      <c r="R832" s="4"/>
      <c r="S832" s="4"/>
      <c r="T832" s="4"/>
      <c r="U832" s="4"/>
      <c r="V832" s="4"/>
      <c r="W832" s="4"/>
      <c r="X832" s="4"/>
      <c r="Y832" s="4"/>
      <c r="Z832" s="4"/>
      <c r="AA832" s="4"/>
    </row>
    <row r="833" spans="1:27" ht="16">
      <c r="A833" s="1"/>
      <c r="B833" s="2"/>
      <c r="C833" s="6"/>
      <c r="D833" s="2"/>
      <c r="E833" s="2"/>
      <c r="F833" s="2"/>
      <c r="G833" s="2"/>
      <c r="H833" s="1"/>
      <c r="I833" s="4"/>
      <c r="J833" s="4"/>
      <c r="K833" s="4"/>
      <c r="L833" s="4"/>
      <c r="M833" s="4"/>
      <c r="N833" s="4"/>
      <c r="O833" s="4"/>
      <c r="P833" s="4"/>
      <c r="Q833" s="4"/>
      <c r="R833" s="4"/>
      <c r="S833" s="4"/>
      <c r="T833" s="4"/>
      <c r="U833" s="4"/>
      <c r="V833" s="4"/>
      <c r="W833" s="4"/>
      <c r="X833" s="4"/>
      <c r="Y833" s="4"/>
      <c r="Z833" s="4"/>
      <c r="AA833" s="4"/>
    </row>
    <row r="834" spans="1:27" ht="16">
      <c r="A834" s="1"/>
      <c r="B834" s="2"/>
      <c r="C834" s="6"/>
      <c r="D834" s="2"/>
      <c r="E834" s="2"/>
      <c r="F834" s="2"/>
      <c r="G834" s="2"/>
      <c r="H834" s="1"/>
      <c r="I834" s="4"/>
      <c r="J834" s="4"/>
      <c r="K834" s="4"/>
      <c r="L834" s="4"/>
      <c r="M834" s="4"/>
      <c r="N834" s="4"/>
      <c r="O834" s="4"/>
      <c r="P834" s="4"/>
      <c r="Q834" s="4"/>
      <c r="R834" s="4"/>
      <c r="S834" s="4"/>
      <c r="T834" s="4"/>
      <c r="U834" s="4"/>
      <c r="V834" s="4"/>
      <c r="W834" s="4"/>
      <c r="X834" s="4"/>
      <c r="Y834" s="4"/>
      <c r="Z834" s="4"/>
      <c r="AA834" s="4"/>
    </row>
    <row r="835" spans="1:27" ht="16">
      <c r="A835" s="1"/>
      <c r="B835" s="2"/>
      <c r="C835" s="6"/>
      <c r="D835" s="2"/>
      <c r="E835" s="2"/>
      <c r="F835" s="2"/>
      <c r="G835" s="2"/>
      <c r="H835" s="1"/>
      <c r="I835" s="4"/>
      <c r="J835" s="4"/>
      <c r="K835" s="4"/>
      <c r="L835" s="4"/>
      <c r="M835" s="4"/>
      <c r="N835" s="4"/>
      <c r="O835" s="4"/>
      <c r="P835" s="4"/>
      <c r="Q835" s="4"/>
      <c r="R835" s="4"/>
      <c r="S835" s="4"/>
      <c r="T835" s="4"/>
      <c r="U835" s="4"/>
      <c r="V835" s="4"/>
      <c r="W835" s="4"/>
      <c r="X835" s="4"/>
      <c r="Y835" s="4"/>
      <c r="Z835" s="4"/>
      <c r="AA835" s="4"/>
    </row>
    <row r="836" spans="1:27" ht="16">
      <c r="A836" s="1"/>
      <c r="B836" s="2"/>
      <c r="C836" s="6"/>
      <c r="D836" s="2"/>
      <c r="E836" s="2"/>
      <c r="F836" s="2"/>
      <c r="G836" s="2"/>
      <c r="H836" s="1"/>
      <c r="I836" s="4"/>
      <c r="J836" s="4"/>
      <c r="K836" s="4"/>
      <c r="L836" s="4"/>
      <c r="M836" s="4"/>
      <c r="N836" s="4"/>
      <c r="O836" s="4"/>
      <c r="P836" s="4"/>
      <c r="Q836" s="4"/>
      <c r="R836" s="4"/>
      <c r="S836" s="4"/>
      <c r="T836" s="4"/>
      <c r="U836" s="4"/>
      <c r="V836" s="4"/>
      <c r="W836" s="4"/>
      <c r="X836" s="4"/>
      <c r="Y836" s="4"/>
      <c r="Z836" s="4"/>
      <c r="AA836" s="4"/>
    </row>
    <row r="837" spans="1:27" ht="16">
      <c r="A837" s="1"/>
      <c r="B837" s="2"/>
      <c r="C837" s="6"/>
      <c r="D837" s="2"/>
      <c r="E837" s="2"/>
      <c r="F837" s="2"/>
      <c r="G837" s="2"/>
      <c r="H837" s="1"/>
      <c r="I837" s="4"/>
      <c r="J837" s="4"/>
      <c r="K837" s="4"/>
      <c r="L837" s="4"/>
      <c r="M837" s="4"/>
      <c r="N837" s="4"/>
      <c r="O837" s="4"/>
      <c r="P837" s="4"/>
      <c r="Q837" s="4"/>
      <c r="R837" s="4"/>
      <c r="S837" s="4"/>
      <c r="T837" s="4"/>
      <c r="U837" s="4"/>
      <c r="V837" s="4"/>
      <c r="W837" s="4"/>
      <c r="X837" s="4"/>
      <c r="Y837" s="4"/>
      <c r="Z837" s="4"/>
      <c r="AA837" s="4"/>
    </row>
    <row r="838" spans="1:27" ht="16">
      <c r="A838" s="1"/>
      <c r="B838" s="2"/>
      <c r="C838" s="6"/>
      <c r="D838" s="2"/>
      <c r="E838" s="2"/>
      <c r="F838" s="2"/>
      <c r="G838" s="2"/>
      <c r="H838" s="1"/>
      <c r="I838" s="4"/>
      <c r="J838" s="4"/>
      <c r="K838" s="4"/>
      <c r="L838" s="4"/>
      <c r="M838" s="4"/>
      <c r="N838" s="4"/>
      <c r="O838" s="4"/>
      <c r="P838" s="4"/>
      <c r="Q838" s="4"/>
      <c r="R838" s="4"/>
      <c r="S838" s="4"/>
      <c r="T838" s="4"/>
      <c r="U838" s="4"/>
      <c r="V838" s="4"/>
      <c r="W838" s="4"/>
      <c r="X838" s="4"/>
      <c r="Y838" s="4"/>
      <c r="Z838" s="4"/>
      <c r="AA838" s="4"/>
    </row>
    <row r="839" spans="1:27" ht="16">
      <c r="A839" s="1"/>
      <c r="B839" s="2"/>
      <c r="C839" s="6"/>
      <c r="D839" s="2"/>
      <c r="E839" s="2"/>
      <c r="F839" s="2"/>
      <c r="G839" s="2"/>
      <c r="H839" s="1"/>
      <c r="I839" s="4"/>
      <c r="J839" s="4"/>
      <c r="K839" s="4"/>
      <c r="L839" s="4"/>
      <c r="M839" s="4"/>
      <c r="N839" s="4"/>
      <c r="O839" s="4"/>
      <c r="P839" s="4"/>
      <c r="Q839" s="4"/>
      <c r="R839" s="4"/>
      <c r="S839" s="4"/>
      <c r="T839" s="4"/>
      <c r="U839" s="4"/>
      <c r="V839" s="4"/>
      <c r="W839" s="4"/>
      <c r="X839" s="4"/>
      <c r="Y839" s="4"/>
      <c r="Z839" s="4"/>
      <c r="AA839" s="4"/>
    </row>
    <row r="840" spans="1:27" ht="16">
      <c r="A840" s="1"/>
      <c r="B840" s="2"/>
      <c r="C840" s="6"/>
      <c r="D840" s="2"/>
      <c r="E840" s="2"/>
      <c r="F840" s="2"/>
      <c r="G840" s="2"/>
      <c r="H840" s="1"/>
      <c r="I840" s="4"/>
      <c r="J840" s="4"/>
      <c r="K840" s="4"/>
      <c r="L840" s="4"/>
      <c r="M840" s="4"/>
      <c r="N840" s="4"/>
      <c r="O840" s="4"/>
      <c r="P840" s="4"/>
      <c r="Q840" s="4"/>
      <c r="R840" s="4"/>
      <c r="S840" s="4"/>
      <c r="T840" s="4"/>
      <c r="U840" s="4"/>
      <c r="V840" s="4"/>
      <c r="W840" s="4"/>
      <c r="X840" s="4"/>
      <c r="Y840" s="4"/>
      <c r="Z840" s="4"/>
      <c r="AA840" s="4"/>
    </row>
    <row r="841" spans="1:27" ht="16">
      <c r="A841" s="1"/>
      <c r="B841" s="2"/>
      <c r="C841" s="6"/>
      <c r="D841" s="2"/>
      <c r="E841" s="2"/>
      <c r="F841" s="2"/>
      <c r="G841" s="2"/>
      <c r="H841" s="1"/>
      <c r="I841" s="4"/>
      <c r="J841" s="4"/>
      <c r="K841" s="4"/>
      <c r="L841" s="4"/>
      <c r="M841" s="4"/>
      <c r="N841" s="4"/>
      <c r="O841" s="4"/>
      <c r="P841" s="4"/>
      <c r="Q841" s="4"/>
      <c r="R841" s="4"/>
      <c r="S841" s="4"/>
      <c r="T841" s="4"/>
      <c r="U841" s="4"/>
      <c r="V841" s="4"/>
      <c r="W841" s="4"/>
      <c r="X841" s="4"/>
      <c r="Y841" s="4"/>
      <c r="Z841" s="4"/>
      <c r="AA841" s="4"/>
    </row>
    <row r="842" spans="1:27" ht="16">
      <c r="A842" s="1"/>
      <c r="B842" s="2"/>
      <c r="C842" s="6"/>
      <c r="D842" s="2"/>
      <c r="E842" s="2"/>
      <c r="F842" s="2"/>
      <c r="G842" s="2"/>
      <c r="H842" s="1"/>
      <c r="I842" s="4"/>
      <c r="J842" s="4"/>
      <c r="K842" s="4"/>
      <c r="L842" s="4"/>
      <c r="M842" s="4"/>
      <c r="N842" s="4"/>
      <c r="O842" s="4"/>
      <c r="P842" s="4"/>
      <c r="Q842" s="4"/>
      <c r="R842" s="4"/>
      <c r="S842" s="4"/>
      <c r="T842" s="4"/>
      <c r="U842" s="4"/>
      <c r="V842" s="4"/>
      <c r="W842" s="4"/>
      <c r="X842" s="4"/>
      <c r="Y842" s="4"/>
      <c r="Z842" s="4"/>
      <c r="AA842" s="4"/>
    </row>
    <row r="843" spans="1:27" ht="16">
      <c r="A843" s="1"/>
      <c r="B843" s="2"/>
      <c r="C843" s="6"/>
      <c r="D843" s="2"/>
      <c r="E843" s="2"/>
      <c r="F843" s="2"/>
      <c r="G843" s="2"/>
      <c r="H843" s="1"/>
      <c r="I843" s="4"/>
      <c r="J843" s="4"/>
      <c r="K843" s="4"/>
      <c r="L843" s="4"/>
      <c r="M843" s="4"/>
      <c r="N843" s="4"/>
      <c r="O843" s="4"/>
      <c r="P843" s="4"/>
      <c r="Q843" s="4"/>
      <c r="R843" s="4"/>
      <c r="S843" s="4"/>
      <c r="T843" s="4"/>
      <c r="U843" s="4"/>
      <c r="V843" s="4"/>
      <c r="W843" s="4"/>
      <c r="X843" s="4"/>
      <c r="Y843" s="4"/>
      <c r="Z843" s="4"/>
      <c r="AA843" s="4"/>
    </row>
    <row r="844" spans="1:27" ht="16">
      <c r="A844" s="1"/>
      <c r="B844" s="2"/>
      <c r="C844" s="6"/>
      <c r="D844" s="2"/>
      <c r="E844" s="2"/>
      <c r="F844" s="2"/>
      <c r="G844" s="2"/>
      <c r="H844" s="1"/>
      <c r="I844" s="4"/>
      <c r="J844" s="4"/>
      <c r="K844" s="4"/>
      <c r="L844" s="4"/>
      <c r="M844" s="4"/>
      <c r="N844" s="4"/>
      <c r="O844" s="4"/>
      <c r="P844" s="4"/>
      <c r="Q844" s="4"/>
      <c r="R844" s="4"/>
      <c r="S844" s="4"/>
      <c r="T844" s="4"/>
      <c r="U844" s="4"/>
      <c r="V844" s="4"/>
      <c r="W844" s="4"/>
      <c r="X844" s="4"/>
      <c r="Y844" s="4"/>
      <c r="Z844" s="4"/>
      <c r="AA844" s="4"/>
    </row>
    <row r="845" spans="1:27" ht="16">
      <c r="A845" s="1"/>
      <c r="B845" s="2"/>
      <c r="C845" s="6"/>
      <c r="D845" s="2"/>
      <c r="E845" s="2"/>
      <c r="F845" s="2"/>
      <c r="G845" s="2"/>
      <c r="H845" s="1"/>
      <c r="I845" s="4"/>
      <c r="J845" s="4"/>
      <c r="K845" s="4"/>
      <c r="L845" s="4"/>
      <c r="M845" s="4"/>
      <c r="N845" s="4"/>
      <c r="O845" s="4"/>
      <c r="P845" s="4"/>
      <c r="Q845" s="4"/>
      <c r="R845" s="4"/>
      <c r="S845" s="4"/>
      <c r="T845" s="4"/>
      <c r="U845" s="4"/>
      <c r="V845" s="4"/>
      <c r="W845" s="4"/>
      <c r="X845" s="4"/>
      <c r="Y845" s="4"/>
      <c r="Z845" s="4"/>
      <c r="AA845" s="4"/>
    </row>
    <row r="846" spans="1:27" ht="16">
      <c r="A846" s="1"/>
      <c r="B846" s="2"/>
      <c r="C846" s="6"/>
      <c r="D846" s="2"/>
      <c r="E846" s="2"/>
      <c r="F846" s="2"/>
      <c r="G846" s="2"/>
      <c r="H846" s="1"/>
      <c r="I846" s="4"/>
      <c r="J846" s="4"/>
      <c r="K846" s="4"/>
      <c r="L846" s="4"/>
      <c r="M846" s="4"/>
      <c r="N846" s="4"/>
      <c r="O846" s="4"/>
      <c r="P846" s="4"/>
      <c r="Q846" s="4"/>
      <c r="R846" s="4"/>
      <c r="S846" s="4"/>
      <c r="T846" s="4"/>
      <c r="U846" s="4"/>
      <c r="V846" s="4"/>
      <c r="W846" s="4"/>
      <c r="X846" s="4"/>
      <c r="Y846" s="4"/>
      <c r="Z846" s="4"/>
      <c r="AA846" s="4"/>
    </row>
    <row r="847" spans="1:27" ht="16">
      <c r="A847" s="1"/>
      <c r="B847" s="2"/>
      <c r="C847" s="6"/>
      <c r="D847" s="2"/>
      <c r="E847" s="2"/>
      <c r="F847" s="2"/>
      <c r="G847" s="2"/>
      <c r="H847" s="1"/>
      <c r="I847" s="4"/>
      <c r="J847" s="4"/>
      <c r="K847" s="4"/>
      <c r="L847" s="4"/>
      <c r="M847" s="4"/>
      <c r="N847" s="4"/>
      <c r="O847" s="4"/>
      <c r="P847" s="4"/>
      <c r="Q847" s="4"/>
      <c r="R847" s="4"/>
      <c r="S847" s="4"/>
      <c r="T847" s="4"/>
      <c r="U847" s="4"/>
      <c r="V847" s="4"/>
      <c r="W847" s="4"/>
      <c r="X847" s="4"/>
      <c r="Y847" s="4"/>
      <c r="Z847" s="4"/>
      <c r="AA847" s="4"/>
    </row>
    <row r="848" spans="1:27" ht="16">
      <c r="A848" s="1"/>
      <c r="B848" s="2"/>
      <c r="C848" s="6"/>
      <c r="D848" s="2"/>
      <c r="E848" s="2"/>
      <c r="F848" s="2"/>
      <c r="G848" s="2"/>
      <c r="H848" s="1"/>
      <c r="I848" s="4"/>
      <c r="J848" s="4"/>
      <c r="K848" s="4"/>
      <c r="L848" s="4"/>
      <c r="M848" s="4"/>
      <c r="N848" s="4"/>
      <c r="O848" s="4"/>
      <c r="P848" s="4"/>
      <c r="Q848" s="4"/>
      <c r="R848" s="4"/>
      <c r="S848" s="4"/>
      <c r="T848" s="4"/>
      <c r="U848" s="4"/>
      <c r="V848" s="4"/>
      <c r="W848" s="4"/>
      <c r="X848" s="4"/>
      <c r="Y848" s="4"/>
      <c r="Z848" s="4"/>
      <c r="AA848" s="4"/>
    </row>
    <row r="849" spans="1:27" ht="16">
      <c r="A849" s="1"/>
      <c r="B849" s="2"/>
      <c r="C849" s="6"/>
      <c r="D849" s="2"/>
      <c r="E849" s="2"/>
      <c r="F849" s="2"/>
      <c r="G849" s="2"/>
      <c r="H849" s="1"/>
      <c r="I849" s="4"/>
      <c r="J849" s="4"/>
      <c r="K849" s="4"/>
      <c r="L849" s="4"/>
      <c r="M849" s="4"/>
      <c r="N849" s="4"/>
      <c r="O849" s="4"/>
      <c r="P849" s="4"/>
      <c r="Q849" s="4"/>
      <c r="R849" s="4"/>
      <c r="S849" s="4"/>
      <c r="T849" s="4"/>
      <c r="U849" s="4"/>
      <c r="V849" s="4"/>
      <c r="W849" s="4"/>
      <c r="X849" s="4"/>
      <c r="Y849" s="4"/>
      <c r="Z849" s="4"/>
      <c r="AA849" s="4"/>
    </row>
    <row r="850" spans="1:27" ht="16">
      <c r="A850" s="1"/>
      <c r="B850" s="2"/>
      <c r="C850" s="6"/>
      <c r="D850" s="2"/>
      <c r="E850" s="2"/>
      <c r="F850" s="2"/>
      <c r="G850" s="2"/>
      <c r="H850" s="1"/>
      <c r="I850" s="4"/>
      <c r="J850" s="4"/>
      <c r="K850" s="4"/>
      <c r="L850" s="4"/>
      <c r="M850" s="4"/>
      <c r="N850" s="4"/>
      <c r="O850" s="4"/>
      <c r="P850" s="4"/>
      <c r="Q850" s="4"/>
      <c r="R850" s="4"/>
      <c r="S850" s="4"/>
      <c r="T850" s="4"/>
      <c r="U850" s="4"/>
      <c r="V850" s="4"/>
      <c r="W850" s="4"/>
      <c r="X850" s="4"/>
      <c r="Y850" s="4"/>
      <c r="Z850" s="4"/>
      <c r="AA850" s="4"/>
    </row>
    <row r="851" spans="1:27" ht="16">
      <c r="A851" s="1"/>
      <c r="B851" s="2"/>
      <c r="C851" s="6"/>
      <c r="D851" s="2"/>
      <c r="E851" s="2"/>
      <c r="F851" s="2"/>
      <c r="G851" s="2"/>
      <c r="H851" s="1"/>
      <c r="I851" s="4"/>
      <c r="J851" s="4"/>
      <c r="K851" s="4"/>
      <c r="L851" s="4"/>
      <c r="M851" s="4"/>
      <c r="N851" s="4"/>
      <c r="O851" s="4"/>
      <c r="P851" s="4"/>
      <c r="Q851" s="4"/>
      <c r="R851" s="4"/>
      <c r="S851" s="4"/>
      <c r="T851" s="4"/>
      <c r="U851" s="4"/>
      <c r="V851" s="4"/>
      <c r="W851" s="4"/>
      <c r="X851" s="4"/>
      <c r="Y851" s="4"/>
      <c r="Z851" s="4"/>
      <c r="AA851" s="4"/>
    </row>
    <row r="852" spans="1:27" ht="16">
      <c r="A852" s="1"/>
      <c r="B852" s="2"/>
      <c r="C852" s="6"/>
      <c r="D852" s="2"/>
      <c r="E852" s="2"/>
      <c r="F852" s="2"/>
      <c r="G852" s="2"/>
      <c r="H852" s="1"/>
      <c r="I852" s="4"/>
      <c r="J852" s="4"/>
      <c r="K852" s="4"/>
      <c r="L852" s="4"/>
      <c r="M852" s="4"/>
      <c r="N852" s="4"/>
      <c r="O852" s="4"/>
      <c r="P852" s="4"/>
      <c r="Q852" s="4"/>
      <c r="R852" s="4"/>
      <c r="S852" s="4"/>
      <c r="T852" s="4"/>
      <c r="U852" s="4"/>
      <c r="V852" s="4"/>
      <c r="W852" s="4"/>
      <c r="X852" s="4"/>
      <c r="Y852" s="4"/>
      <c r="Z852" s="4"/>
      <c r="AA852" s="4"/>
    </row>
    <row r="853" spans="1:27" ht="16">
      <c r="A853" s="1"/>
      <c r="B853" s="2"/>
      <c r="C853" s="6"/>
      <c r="D853" s="2"/>
      <c r="E853" s="2"/>
      <c r="F853" s="2"/>
      <c r="G853" s="2"/>
      <c r="H853" s="1"/>
      <c r="I853" s="4"/>
      <c r="J853" s="4"/>
      <c r="K853" s="4"/>
      <c r="L853" s="4"/>
      <c r="M853" s="4"/>
      <c r="N853" s="4"/>
      <c r="O853" s="4"/>
      <c r="P853" s="4"/>
      <c r="Q853" s="4"/>
      <c r="R853" s="4"/>
      <c r="S853" s="4"/>
      <c r="T853" s="4"/>
      <c r="U853" s="4"/>
      <c r="V853" s="4"/>
      <c r="W853" s="4"/>
      <c r="X853" s="4"/>
      <c r="Y853" s="4"/>
      <c r="Z853" s="4"/>
      <c r="AA853" s="4"/>
    </row>
    <row r="854" spans="1:27" ht="16">
      <c r="A854" s="1"/>
      <c r="B854" s="2"/>
      <c r="C854" s="6"/>
      <c r="D854" s="2"/>
      <c r="E854" s="2"/>
      <c r="F854" s="2"/>
      <c r="G854" s="2"/>
      <c r="H854" s="1"/>
      <c r="I854" s="4"/>
      <c r="J854" s="4"/>
      <c r="K854" s="4"/>
      <c r="L854" s="4"/>
      <c r="M854" s="4"/>
      <c r="N854" s="4"/>
      <c r="O854" s="4"/>
      <c r="P854" s="4"/>
      <c r="Q854" s="4"/>
      <c r="R854" s="4"/>
      <c r="S854" s="4"/>
      <c r="T854" s="4"/>
      <c r="U854" s="4"/>
      <c r="V854" s="4"/>
      <c r="W854" s="4"/>
      <c r="X854" s="4"/>
      <c r="Y854" s="4"/>
      <c r="Z854" s="4"/>
      <c r="AA854" s="4"/>
    </row>
    <row r="855" spans="1:27" ht="16">
      <c r="A855" s="1"/>
      <c r="B855" s="2"/>
      <c r="C855" s="6"/>
      <c r="D855" s="2"/>
      <c r="E855" s="2"/>
      <c r="F855" s="2"/>
      <c r="G855" s="2"/>
      <c r="H855" s="1"/>
      <c r="I855" s="4"/>
      <c r="J855" s="4"/>
      <c r="K855" s="4"/>
      <c r="L855" s="4"/>
      <c r="M855" s="4"/>
      <c r="N855" s="4"/>
      <c r="O855" s="4"/>
      <c r="P855" s="4"/>
      <c r="Q855" s="4"/>
      <c r="R855" s="4"/>
      <c r="S855" s="4"/>
      <c r="T855" s="4"/>
      <c r="U855" s="4"/>
      <c r="V855" s="4"/>
      <c r="W855" s="4"/>
      <c r="X855" s="4"/>
      <c r="Y855" s="4"/>
      <c r="Z855" s="4"/>
      <c r="AA855" s="4"/>
    </row>
    <row r="856" spans="1:27" ht="16">
      <c r="A856" s="1"/>
      <c r="B856" s="2"/>
      <c r="C856" s="6"/>
      <c r="D856" s="2"/>
      <c r="E856" s="2"/>
      <c r="F856" s="2"/>
      <c r="G856" s="2"/>
      <c r="H856" s="1"/>
      <c r="I856" s="4"/>
      <c r="J856" s="4"/>
      <c r="K856" s="4"/>
      <c r="L856" s="4"/>
      <c r="M856" s="4"/>
      <c r="N856" s="4"/>
      <c r="O856" s="4"/>
      <c r="P856" s="4"/>
      <c r="Q856" s="4"/>
      <c r="R856" s="4"/>
      <c r="S856" s="4"/>
      <c r="T856" s="4"/>
      <c r="U856" s="4"/>
      <c r="V856" s="4"/>
      <c r="W856" s="4"/>
      <c r="X856" s="4"/>
      <c r="Y856" s="4"/>
      <c r="Z856" s="4"/>
      <c r="AA856" s="4"/>
    </row>
    <row r="857" spans="1:27" ht="16">
      <c r="A857" s="1"/>
      <c r="B857" s="2"/>
      <c r="C857" s="6"/>
      <c r="D857" s="2"/>
      <c r="E857" s="2"/>
      <c r="F857" s="2"/>
      <c r="G857" s="2"/>
      <c r="H857" s="1"/>
      <c r="I857" s="4"/>
      <c r="J857" s="4"/>
      <c r="K857" s="4"/>
      <c r="L857" s="4"/>
      <c r="M857" s="4"/>
      <c r="N857" s="4"/>
      <c r="O857" s="4"/>
      <c r="P857" s="4"/>
      <c r="Q857" s="4"/>
      <c r="R857" s="4"/>
      <c r="S857" s="4"/>
      <c r="T857" s="4"/>
      <c r="U857" s="4"/>
      <c r="V857" s="4"/>
      <c r="W857" s="4"/>
      <c r="X857" s="4"/>
      <c r="Y857" s="4"/>
      <c r="Z857" s="4"/>
      <c r="AA857" s="4"/>
    </row>
    <row r="858" spans="1:27" ht="16">
      <c r="A858" s="1"/>
      <c r="B858" s="2"/>
      <c r="C858" s="6"/>
      <c r="D858" s="2"/>
      <c r="E858" s="2"/>
      <c r="F858" s="2"/>
      <c r="G858" s="2"/>
      <c r="H858" s="1"/>
      <c r="I858" s="4"/>
      <c r="J858" s="4"/>
      <c r="K858" s="4"/>
      <c r="L858" s="4"/>
      <c r="M858" s="4"/>
      <c r="N858" s="4"/>
      <c r="O858" s="4"/>
      <c r="P858" s="4"/>
      <c r="Q858" s="4"/>
      <c r="R858" s="4"/>
      <c r="S858" s="4"/>
      <c r="T858" s="4"/>
      <c r="U858" s="4"/>
      <c r="V858" s="4"/>
      <c r="W858" s="4"/>
      <c r="X858" s="4"/>
      <c r="Y858" s="4"/>
      <c r="Z858" s="4"/>
      <c r="AA858" s="4"/>
    </row>
    <row r="859" spans="1:27" ht="16">
      <c r="A859" s="1"/>
      <c r="B859" s="2"/>
      <c r="C859" s="6"/>
      <c r="D859" s="2"/>
      <c r="E859" s="2"/>
      <c r="F859" s="2"/>
      <c r="G859" s="2"/>
      <c r="H859" s="1"/>
      <c r="I859" s="4"/>
      <c r="J859" s="4"/>
      <c r="K859" s="4"/>
      <c r="L859" s="4"/>
      <c r="M859" s="4"/>
      <c r="N859" s="4"/>
      <c r="O859" s="4"/>
      <c r="P859" s="4"/>
      <c r="Q859" s="4"/>
      <c r="R859" s="4"/>
      <c r="S859" s="4"/>
      <c r="T859" s="4"/>
      <c r="U859" s="4"/>
      <c r="V859" s="4"/>
      <c r="W859" s="4"/>
      <c r="X859" s="4"/>
      <c r="Y859" s="4"/>
      <c r="Z859" s="4"/>
      <c r="AA859" s="4"/>
    </row>
    <row r="860" spans="1:27" ht="16">
      <c r="A860" s="1"/>
      <c r="B860" s="2"/>
      <c r="C860" s="6"/>
      <c r="D860" s="2"/>
      <c r="E860" s="2"/>
      <c r="F860" s="2"/>
      <c r="G860" s="2"/>
      <c r="H860" s="1"/>
      <c r="I860" s="4"/>
      <c r="J860" s="4"/>
      <c r="K860" s="4"/>
      <c r="L860" s="4"/>
      <c r="M860" s="4"/>
      <c r="N860" s="4"/>
      <c r="O860" s="4"/>
      <c r="P860" s="4"/>
      <c r="Q860" s="4"/>
      <c r="R860" s="4"/>
      <c r="S860" s="4"/>
      <c r="T860" s="4"/>
      <c r="U860" s="4"/>
      <c r="V860" s="4"/>
      <c r="W860" s="4"/>
      <c r="X860" s="4"/>
      <c r="Y860" s="4"/>
      <c r="Z860" s="4"/>
      <c r="AA860" s="4"/>
    </row>
    <row r="861" spans="1:27" ht="16">
      <c r="A861" s="1"/>
      <c r="B861" s="2"/>
      <c r="C861" s="6"/>
      <c r="D861" s="2"/>
      <c r="E861" s="2"/>
      <c r="F861" s="2"/>
      <c r="G861" s="2"/>
      <c r="H861" s="1"/>
      <c r="I861" s="4"/>
      <c r="J861" s="4"/>
      <c r="K861" s="4"/>
      <c r="L861" s="4"/>
      <c r="M861" s="4"/>
      <c r="N861" s="4"/>
      <c r="O861" s="4"/>
      <c r="P861" s="4"/>
      <c r="Q861" s="4"/>
      <c r="R861" s="4"/>
      <c r="S861" s="4"/>
      <c r="T861" s="4"/>
      <c r="U861" s="4"/>
      <c r="V861" s="4"/>
      <c r="W861" s="4"/>
      <c r="X861" s="4"/>
      <c r="Y861" s="4"/>
      <c r="Z861" s="4"/>
      <c r="AA861" s="4"/>
    </row>
    <row r="862" spans="1:27" ht="16">
      <c r="A862" s="1"/>
      <c r="B862" s="2"/>
      <c r="C862" s="6"/>
      <c r="D862" s="2"/>
      <c r="E862" s="2"/>
      <c r="F862" s="2"/>
      <c r="G862" s="2"/>
      <c r="H862" s="1"/>
      <c r="I862" s="4"/>
      <c r="J862" s="4"/>
      <c r="K862" s="4"/>
      <c r="L862" s="4"/>
      <c r="M862" s="4"/>
      <c r="N862" s="4"/>
      <c r="O862" s="4"/>
      <c r="P862" s="4"/>
      <c r="Q862" s="4"/>
      <c r="R862" s="4"/>
      <c r="S862" s="4"/>
      <c r="T862" s="4"/>
      <c r="U862" s="4"/>
      <c r="V862" s="4"/>
      <c r="W862" s="4"/>
      <c r="X862" s="4"/>
      <c r="Y862" s="4"/>
      <c r="Z862" s="4"/>
      <c r="AA862" s="4"/>
    </row>
    <row r="863" spans="1:27" ht="16">
      <c r="A863" s="1"/>
      <c r="B863" s="2"/>
      <c r="C863" s="6"/>
      <c r="D863" s="2"/>
      <c r="E863" s="2"/>
      <c r="F863" s="2"/>
      <c r="G863" s="2"/>
      <c r="H863" s="1"/>
      <c r="I863" s="4"/>
      <c r="J863" s="4"/>
      <c r="K863" s="4"/>
      <c r="L863" s="4"/>
      <c r="M863" s="4"/>
      <c r="N863" s="4"/>
      <c r="O863" s="4"/>
      <c r="P863" s="4"/>
      <c r="Q863" s="4"/>
      <c r="R863" s="4"/>
      <c r="S863" s="4"/>
      <c r="T863" s="4"/>
      <c r="U863" s="4"/>
      <c r="V863" s="4"/>
      <c r="W863" s="4"/>
      <c r="X863" s="4"/>
      <c r="Y863" s="4"/>
      <c r="Z863" s="4"/>
      <c r="AA863" s="4"/>
    </row>
    <row r="864" spans="1:27" ht="16">
      <c r="A864" s="1"/>
      <c r="B864" s="2"/>
      <c r="C864" s="6"/>
      <c r="D864" s="2"/>
      <c r="E864" s="2"/>
      <c r="F864" s="2"/>
      <c r="G864" s="2"/>
      <c r="H864" s="1"/>
      <c r="I864" s="4"/>
      <c r="J864" s="4"/>
      <c r="K864" s="4"/>
      <c r="L864" s="4"/>
      <c r="M864" s="4"/>
      <c r="N864" s="4"/>
      <c r="O864" s="4"/>
      <c r="P864" s="4"/>
      <c r="Q864" s="4"/>
      <c r="R864" s="4"/>
      <c r="S864" s="4"/>
      <c r="T864" s="4"/>
      <c r="U864" s="4"/>
      <c r="V864" s="4"/>
      <c r="W864" s="4"/>
      <c r="X864" s="4"/>
      <c r="Y864" s="4"/>
      <c r="Z864" s="4"/>
      <c r="AA864" s="4"/>
    </row>
    <row r="865" spans="1:27" ht="16">
      <c r="A865" s="1"/>
      <c r="B865" s="2"/>
      <c r="C865" s="6"/>
      <c r="D865" s="2"/>
      <c r="E865" s="2"/>
      <c r="F865" s="2"/>
      <c r="G865" s="2"/>
      <c r="H865" s="1"/>
      <c r="I865" s="4"/>
      <c r="J865" s="4"/>
      <c r="K865" s="4"/>
      <c r="L865" s="4"/>
      <c r="M865" s="4"/>
      <c r="N865" s="4"/>
      <c r="O865" s="4"/>
      <c r="P865" s="4"/>
      <c r="Q865" s="4"/>
      <c r="R865" s="4"/>
      <c r="S865" s="4"/>
      <c r="T865" s="4"/>
      <c r="U865" s="4"/>
      <c r="V865" s="4"/>
      <c r="W865" s="4"/>
      <c r="X865" s="4"/>
      <c r="Y865" s="4"/>
      <c r="Z865" s="4"/>
      <c r="AA865" s="4"/>
    </row>
    <row r="866" spans="1:27" ht="16">
      <c r="A866" s="1"/>
      <c r="B866" s="2"/>
      <c r="C866" s="6"/>
      <c r="D866" s="2"/>
      <c r="E866" s="2"/>
      <c r="F866" s="2"/>
      <c r="G866" s="2"/>
      <c r="H866" s="1"/>
      <c r="I866" s="4"/>
      <c r="J866" s="4"/>
      <c r="K866" s="4"/>
      <c r="L866" s="4"/>
      <c r="M866" s="4"/>
      <c r="N866" s="4"/>
      <c r="O866" s="4"/>
      <c r="P866" s="4"/>
      <c r="Q866" s="4"/>
      <c r="R866" s="4"/>
      <c r="S866" s="4"/>
      <c r="T866" s="4"/>
      <c r="U866" s="4"/>
      <c r="V866" s="4"/>
      <c r="W866" s="4"/>
      <c r="X866" s="4"/>
      <c r="Y866" s="4"/>
      <c r="Z866" s="4"/>
      <c r="AA866" s="4"/>
    </row>
    <row r="867" spans="1:27" ht="16">
      <c r="A867" s="1"/>
      <c r="B867" s="2"/>
      <c r="C867" s="6"/>
      <c r="D867" s="2"/>
      <c r="E867" s="2"/>
      <c r="F867" s="2"/>
      <c r="G867" s="2"/>
      <c r="H867" s="1"/>
      <c r="I867" s="4"/>
      <c r="J867" s="4"/>
      <c r="K867" s="4"/>
      <c r="L867" s="4"/>
      <c r="M867" s="4"/>
      <c r="N867" s="4"/>
      <c r="O867" s="4"/>
      <c r="P867" s="4"/>
      <c r="Q867" s="4"/>
      <c r="R867" s="4"/>
      <c r="S867" s="4"/>
      <c r="T867" s="4"/>
      <c r="U867" s="4"/>
      <c r="V867" s="4"/>
      <c r="W867" s="4"/>
      <c r="X867" s="4"/>
      <c r="Y867" s="4"/>
      <c r="Z867" s="4"/>
      <c r="AA867" s="4"/>
    </row>
    <row r="868" spans="1:27" ht="16">
      <c r="A868" s="1"/>
      <c r="B868" s="2"/>
      <c r="C868" s="6"/>
      <c r="D868" s="2"/>
      <c r="E868" s="2"/>
      <c r="F868" s="2"/>
      <c r="G868" s="2"/>
      <c r="H868" s="1"/>
      <c r="I868" s="4"/>
      <c r="J868" s="4"/>
      <c r="K868" s="4"/>
      <c r="L868" s="4"/>
      <c r="M868" s="4"/>
      <c r="N868" s="4"/>
      <c r="O868" s="4"/>
      <c r="P868" s="4"/>
      <c r="Q868" s="4"/>
      <c r="R868" s="4"/>
      <c r="S868" s="4"/>
      <c r="T868" s="4"/>
      <c r="U868" s="4"/>
      <c r="V868" s="4"/>
      <c r="W868" s="4"/>
      <c r="X868" s="4"/>
      <c r="Y868" s="4"/>
      <c r="Z868" s="4"/>
      <c r="AA868" s="4"/>
    </row>
    <row r="869" spans="1:27" ht="16">
      <c r="A869" s="1"/>
      <c r="B869" s="2"/>
      <c r="C869" s="6"/>
      <c r="D869" s="2"/>
      <c r="E869" s="2"/>
      <c r="F869" s="2"/>
      <c r="G869" s="2"/>
      <c r="H869" s="1"/>
      <c r="I869" s="4"/>
      <c r="J869" s="4"/>
      <c r="K869" s="4"/>
      <c r="L869" s="4"/>
      <c r="M869" s="4"/>
      <c r="N869" s="4"/>
      <c r="O869" s="4"/>
      <c r="P869" s="4"/>
      <c r="Q869" s="4"/>
      <c r="R869" s="4"/>
      <c r="S869" s="4"/>
      <c r="T869" s="4"/>
      <c r="U869" s="4"/>
      <c r="V869" s="4"/>
      <c r="W869" s="4"/>
      <c r="X869" s="4"/>
      <c r="Y869" s="4"/>
      <c r="Z869" s="4"/>
      <c r="AA869" s="4"/>
    </row>
    <row r="870" spans="1:27" ht="16">
      <c r="A870" s="1"/>
      <c r="B870" s="2"/>
      <c r="C870" s="6"/>
      <c r="D870" s="2"/>
      <c r="E870" s="2"/>
      <c r="F870" s="2"/>
      <c r="G870" s="2"/>
      <c r="H870" s="1"/>
      <c r="I870" s="4"/>
      <c r="J870" s="4"/>
      <c r="K870" s="4"/>
      <c r="L870" s="4"/>
      <c r="M870" s="4"/>
      <c r="N870" s="4"/>
      <c r="O870" s="4"/>
      <c r="P870" s="4"/>
      <c r="Q870" s="4"/>
      <c r="R870" s="4"/>
      <c r="S870" s="4"/>
      <c r="T870" s="4"/>
      <c r="U870" s="4"/>
      <c r="V870" s="4"/>
      <c r="W870" s="4"/>
      <c r="X870" s="4"/>
      <c r="Y870" s="4"/>
      <c r="Z870" s="4"/>
      <c r="AA870" s="4"/>
    </row>
    <row r="871" spans="1:27" ht="16">
      <c r="A871" s="1"/>
      <c r="B871" s="2"/>
      <c r="C871" s="6"/>
      <c r="D871" s="2"/>
      <c r="E871" s="2"/>
      <c r="F871" s="2"/>
      <c r="G871" s="2"/>
      <c r="H871" s="1"/>
      <c r="I871" s="4"/>
      <c r="J871" s="4"/>
      <c r="K871" s="4"/>
      <c r="L871" s="4"/>
      <c r="M871" s="4"/>
      <c r="N871" s="4"/>
      <c r="O871" s="4"/>
      <c r="P871" s="4"/>
      <c r="Q871" s="4"/>
      <c r="R871" s="4"/>
      <c r="S871" s="4"/>
      <c r="T871" s="4"/>
      <c r="U871" s="4"/>
      <c r="V871" s="4"/>
      <c r="W871" s="4"/>
      <c r="X871" s="4"/>
      <c r="Y871" s="4"/>
      <c r="Z871" s="4"/>
      <c r="AA871" s="4"/>
    </row>
    <row r="872" spans="1:27" ht="16">
      <c r="A872" s="1"/>
      <c r="B872" s="2"/>
      <c r="C872" s="6"/>
      <c r="D872" s="2"/>
      <c r="E872" s="2"/>
      <c r="F872" s="2"/>
      <c r="G872" s="2"/>
      <c r="H872" s="1"/>
      <c r="I872" s="4"/>
      <c r="J872" s="4"/>
      <c r="K872" s="4"/>
      <c r="L872" s="4"/>
      <c r="M872" s="4"/>
      <c r="N872" s="4"/>
      <c r="O872" s="4"/>
      <c r="P872" s="4"/>
      <c r="Q872" s="4"/>
      <c r="R872" s="4"/>
      <c r="S872" s="4"/>
      <c r="T872" s="4"/>
      <c r="U872" s="4"/>
      <c r="V872" s="4"/>
      <c r="W872" s="4"/>
      <c r="X872" s="4"/>
      <c r="Y872" s="4"/>
      <c r="Z872" s="4"/>
      <c r="AA872" s="4"/>
    </row>
    <row r="873" spans="1:27" ht="16">
      <c r="A873" s="1"/>
      <c r="B873" s="2"/>
      <c r="C873" s="6"/>
      <c r="D873" s="2"/>
      <c r="E873" s="2"/>
      <c r="F873" s="2"/>
      <c r="G873" s="2"/>
      <c r="H873" s="1"/>
      <c r="I873" s="4"/>
      <c r="J873" s="4"/>
      <c r="K873" s="4"/>
      <c r="L873" s="4"/>
      <c r="M873" s="4"/>
      <c r="N873" s="4"/>
      <c r="O873" s="4"/>
      <c r="P873" s="4"/>
      <c r="Q873" s="4"/>
      <c r="R873" s="4"/>
      <c r="S873" s="4"/>
      <c r="T873" s="4"/>
      <c r="U873" s="4"/>
      <c r="V873" s="4"/>
      <c r="W873" s="4"/>
      <c r="X873" s="4"/>
      <c r="Y873" s="4"/>
      <c r="Z873" s="4"/>
      <c r="AA873" s="4"/>
    </row>
    <row r="874" spans="1:27" ht="16">
      <c r="A874" s="1"/>
      <c r="B874" s="2"/>
      <c r="C874" s="6"/>
      <c r="D874" s="2"/>
      <c r="E874" s="2"/>
      <c r="F874" s="2"/>
      <c r="G874" s="2"/>
      <c r="H874" s="1"/>
      <c r="I874" s="4"/>
      <c r="J874" s="4"/>
      <c r="K874" s="4"/>
      <c r="L874" s="4"/>
      <c r="M874" s="4"/>
      <c r="N874" s="4"/>
      <c r="O874" s="4"/>
      <c r="P874" s="4"/>
      <c r="Q874" s="4"/>
      <c r="R874" s="4"/>
      <c r="S874" s="4"/>
      <c r="T874" s="4"/>
      <c r="U874" s="4"/>
      <c r="V874" s="4"/>
      <c r="W874" s="4"/>
      <c r="X874" s="4"/>
      <c r="Y874" s="4"/>
      <c r="Z874" s="4"/>
      <c r="AA874" s="4"/>
    </row>
    <row r="875" spans="1:27" ht="16">
      <c r="A875" s="1"/>
      <c r="B875" s="2"/>
      <c r="C875" s="6"/>
      <c r="D875" s="2"/>
      <c r="E875" s="2"/>
      <c r="F875" s="2"/>
      <c r="G875" s="2"/>
      <c r="H875" s="1"/>
      <c r="I875" s="4"/>
      <c r="J875" s="4"/>
      <c r="K875" s="4"/>
      <c r="L875" s="4"/>
      <c r="M875" s="4"/>
      <c r="N875" s="4"/>
      <c r="O875" s="4"/>
      <c r="P875" s="4"/>
      <c r="Q875" s="4"/>
      <c r="R875" s="4"/>
      <c r="S875" s="4"/>
      <c r="T875" s="4"/>
      <c r="U875" s="4"/>
      <c r="V875" s="4"/>
      <c r="W875" s="4"/>
      <c r="X875" s="4"/>
      <c r="Y875" s="4"/>
      <c r="Z875" s="4"/>
      <c r="AA875" s="4"/>
    </row>
    <row r="876" spans="1:27" ht="16">
      <c r="A876" s="1"/>
      <c r="B876" s="2"/>
      <c r="C876" s="6"/>
      <c r="D876" s="2"/>
      <c r="E876" s="2"/>
      <c r="F876" s="2"/>
      <c r="G876" s="2"/>
      <c r="H876" s="1"/>
      <c r="I876" s="4"/>
      <c r="J876" s="4"/>
      <c r="K876" s="4"/>
      <c r="L876" s="4"/>
      <c r="M876" s="4"/>
      <c r="N876" s="4"/>
      <c r="O876" s="4"/>
      <c r="P876" s="4"/>
      <c r="Q876" s="4"/>
      <c r="R876" s="4"/>
      <c r="S876" s="4"/>
      <c r="T876" s="4"/>
      <c r="U876" s="4"/>
      <c r="V876" s="4"/>
      <c r="W876" s="4"/>
      <c r="X876" s="4"/>
      <c r="Y876" s="4"/>
      <c r="Z876" s="4"/>
      <c r="AA876" s="4"/>
    </row>
    <row r="877" spans="1:27" ht="16">
      <c r="A877" s="1"/>
      <c r="B877" s="2"/>
      <c r="C877" s="6"/>
      <c r="D877" s="2"/>
      <c r="E877" s="2"/>
      <c r="F877" s="2"/>
      <c r="G877" s="2"/>
      <c r="H877" s="1"/>
      <c r="I877" s="4"/>
      <c r="J877" s="4"/>
      <c r="K877" s="4"/>
      <c r="L877" s="4"/>
      <c r="M877" s="4"/>
      <c r="N877" s="4"/>
      <c r="O877" s="4"/>
      <c r="P877" s="4"/>
      <c r="Q877" s="4"/>
      <c r="R877" s="4"/>
      <c r="S877" s="4"/>
      <c r="T877" s="4"/>
      <c r="U877" s="4"/>
      <c r="V877" s="4"/>
      <c r="W877" s="4"/>
      <c r="X877" s="4"/>
      <c r="Y877" s="4"/>
      <c r="Z877" s="4"/>
      <c r="AA877" s="4"/>
    </row>
    <row r="878" spans="1:27" ht="16">
      <c r="A878" s="1"/>
      <c r="B878" s="2"/>
      <c r="C878" s="6"/>
      <c r="D878" s="2"/>
      <c r="E878" s="2"/>
      <c r="F878" s="2"/>
      <c r="G878" s="2"/>
      <c r="H878" s="1"/>
      <c r="I878" s="4"/>
      <c r="J878" s="4"/>
      <c r="K878" s="4"/>
      <c r="L878" s="4"/>
      <c r="M878" s="4"/>
      <c r="N878" s="4"/>
      <c r="O878" s="4"/>
      <c r="P878" s="4"/>
      <c r="Q878" s="4"/>
      <c r="R878" s="4"/>
      <c r="S878" s="4"/>
      <c r="T878" s="4"/>
      <c r="U878" s="4"/>
      <c r="V878" s="4"/>
      <c r="W878" s="4"/>
      <c r="X878" s="4"/>
      <c r="Y878" s="4"/>
      <c r="Z878" s="4"/>
      <c r="AA878" s="4"/>
    </row>
    <row r="879" spans="1:27" ht="16">
      <c r="A879" s="1"/>
      <c r="B879" s="2"/>
      <c r="C879" s="6"/>
      <c r="D879" s="2"/>
      <c r="E879" s="2"/>
      <c r="F879" s="2"/>
      <c r="G879" s="2"/>
      <c r="H879" s="1"/>
      <c r="I879" s="4"/>
      <c r="J879" s="4"/>
      <c r="K879" s="4"/>
      <c r="L879" s="4"/>
      <c r="M879" s="4"/>
      <c r="N879" s="4"/>
      <c r="O879" s="4"/>
      <c r="P879" s="4"/>
      <c r="Q879" s="4"/>
      <c r="R879" s="4"/>
      <c r="S879" s="4"/>
      <c r="T879" s="4"/>
      <c r="U879" s="4"/>
      <c r="V879" s="4"/>
      <c r="W879" s="4"/>
      <c r="X879" s="4"/>
      <c r="Y879" s="4"/>
      <c r="Z879" s="4"/>
      <c r="AA879" s="4"/>
    </row>
    <row r="880" spans="1:27" ht="16">
      <c r="A880" s="1"/>
      <c r="B880" s="2"/>
      <c r="C880" s="6"/>
      <c r="D880" s="2"/>
      <c r="E880" s="2"/>
      <c r="F880" s="2"/>
      <c r="G880" s="2"/>
      <c r="H880" s="1"/>
      <c r="I880" s="4"/>
      <c r="J880" s="4"/>
      <c r="K880" s="4"/>
      <c r="L880" s="4"/>
      <c r="M880" s="4"/>
      <c r="N880" s="4"/>
      <c r="O880" s="4"/>
      <c r="P880" s="4"/>
      <c r="Q880" s="4"/>
      <c r="R880" s="4"/>
      <c r="S880" s="4"/>
      <c r="T880" s="4"/>
      <c r="U880" s="4"/>
      <c r="V880" s="4"/>
      <c r="W880" s="4"/>
      <c r="X880" s="4"/>
      <c r="Y880" s="4"/>
      <c r="Z880" s="4"/>
      <c r="AA880" s="4"/>
    </row>
    <row r="881" spans="1:27" ht="16">
      <c r="A881" s="1"/>
      <c r="B881" s="2"/>
      <c r="C881" s="6"/>
      <c r="D881" s="2"/>
      <c r="E881" s="2"/>
      <c r="F881" s="2"/>
      <c r="G881" s="2"/>
      <c r="H881" s="1"/>
      <c r="I881" s="4"/>
      <c r="J881" s="4"/>
      <c r="K881" s="4"/>
      <c r="L881" s="4"/>
      <c r="M881" s="4"/>
      <c r="N881" s="4"/>
      <c r="O881" s="4"/>
      <c r="P881" s="4"/>
      <c r="Q881" s="4"/>
      <c r="R881" s="4"/>
      <c r="S881" s="4"/>
      <c r="T881" s="4"/>
      <c r="U881" s="4"/>
      <c r="V881" s="4"/>
      <c r="W881" s="4"/>
      <c r="X881" s="4"/>
      <c r="Y881" s="4"/>
      <c r="Z881" s="4"/>
      <c r="AA881" s="4"/>
    </row>
    <row r="882" spans="1:27" ht="16">
      <c r="A882" s="1"/>
      <c r="B882" s="2"/>
      <c r="C882" s="6"/>
      <c r="D882" s="2"/>
      <c r="E882" s="2"/>
      <c r="F882" s="2"/>
      <c r="G882" s="2"/>
      <c r="H882" s="1"/>
      <c r="I882" s="4"/>
      <c r="J882" s="4"/>
      <c r="K882" s="4"/>
      <c r="L882" s="4"/>
      <c r="M882" s="4"/>
      <c r="N882" s="4"/>
      <c r="O882" s="4"/>
      <c r="P882" s="4"/>
      <c r="Q882" s="4"/>
      <c r="R882" s="4"/>
      <c r="S882" s="4"/>
      <c r="T882" s="4"/>
      <c r="U882" s="4"/>
      <c r="V882" s="4"/>
      <c r="W882" s="4"/>
      <c r="X882" s="4"/>
      <c r="Y882" s="4"/>
      <c r="Z882" s="4"/>
      <c r="AA882" s="4"/>
    </row>
    <row r="883" spans="1:27" ht="16">
      <c r="A883" s="1"/>
      <c r="B883" s="2"/>
      <c r="C883" s="6"/>
      <c r="D883" s="2"/>
      <c r="E883" s="2"/>
      <c r="F883" s="2"/>
      <c r="G883" s="2"/>
      <c r="H883" s="1"/>
      <c r="I883" s="4"/>
      <c r="J883" s="4"/>
      <c r="K883" s="4"/>
      <c r="L883" s="4"/>
      <c r="M883" s="4"/>
      <c r="N883" s="4"/>
      <c r="O883" s="4"/>
      <c r="P883" s="4"/>
      <c r="Q883" s="4"/>
      <c r="R883" s="4"/>
      <c r="S883" s="4"/>
      <c r="T883" s="4"/>
      <c r="U883" s="4"/>
      <c r="V883" s="4"/>
      <c r="W883" s="4"/>
      <c r="X883" s="4"/>
      <c r="Y883" s="4"/>
      <c r="Z883" s="4"/>
      <c r="AA883" s="4"/>
    </row>
    <row r="884" spans="1:27" ht="16">
      <c r="A884" s="1"/>
      <c r="B884" s="2"/>
      <c r="C884" s="6"/>
      <c r="D884" s="2"/>
      <c r="E884" s="2"/>
      <c r="F884" s="2"/>
      <c r="G884" s="2"/>
      <c r="H884" s="1"/>
      <c r="I884" s="4"/>
      <c r="J884" s="4"/>
      <c r="K884" s="4"/>
      <c r="L884" s="4"/>
      <c r="M884" s="4"/>
      <c r="N884" s="4"/>
      <c r="O884" s="4"/>
      <c r="P884" s="4"/>
      <c r="Q884" s="4"/>
      <c r="R884" s="4"/>
      <c r="S884" s="4"/>
      <c r="T884" s="4"/>
      <c r="U884" s="4"/>
      <c r="V884" s="4"/>
      <c r="W884" s="4"/>
      <c r="X884" s="4"/>
      <c r="Y884" s="4"/>
      <c r="Z884" s="4"/>
      <c r="AA884" s="4"/>
    </row>
    <row r="885" spans="1:27" ht="16">
      <c r="A885" s="1"/>
      <c r="B885" s="2"/>
      <c r="C885" s="6"/>
      <c r="D885" s="2"/>
      <c r="E885" s="2"/>
      <c r="F885" s="2"/>
      <c r="G885" s="2"/>
      <c r="H885" s="1"/>
      <c r="I885" s="4"/>
      <c r="J885" s="4"/>
      <c r="K885" s="4"/>
      <c r="L885" s="4"/>
      <c r="M885" s="4"/>
      <c r="N885" s="4"/>
      <c r="O885" s="4"/>
      <c r="P885" s="4"/>
      <c r="Q885" s="4"/>
      <c r="R885" s="4"/>
      <c r="S885" s="4"/>
      <c r="T885" s="4"/>
      <c r="U885" s="4"/>
      <c r="V885" s="4"/>
      <c r="W885" s="4"/>
      <c r="X885" s="4"/>
      <c r="Y885" s="4"/>
      <c r="Z885" s="4"/>
      <c r="AA885" s="4"/>
    </row>
    <row r="886" spans="1:27" ht="16">
      <c r="A886" s="1"/>
      <c r="B886" s="2"/>
      <c r="C886" s="6"/>
      <c r="D886" s="2"/>
      <c r="E886" s="2"/>
      <c r="F886" s="2"/>
      <c r="G886" s="2"/>
      <c r="H886" s="1"/>
      <c r="I886" s="4"/>
      <c r="J886" s="4"/>
      <c r="K886" s="4"/>
      <c r="L886" s="4"/>
      <c r="M886" s="4"/>
      <c r="N886" s="4"/>
      <c r="O886" s="4"/>
      <c r="P886" s="4"/>
      <c r="Q886" s="4"/>
      <c r="R886" s="4"/>
      <c r="S886" s="4"/>
      <c r="T886" s="4"/>
      <c r="U886" s="4"/>
      <c r="V886" s="4"/>
      <c r="W886" s="4"/>
      <c r="X886" s="4"/>
      <c r="Y886" s="4"/>
      <c r="Z886" s="4"/>
      <c r="AA886" s="4"/>
    </row>
    <row r="887" spans="1:27" ht="16">
      <c r="A887" s="1"/>
      <c r="B887" s="2"/>
      <c r="C887" s="6"/>
      <c r="D887" s="2"/>
      <c r="E887" s="2"/>
      <c r="F887" s="2"/>
      <c r="G887" s="2"/>
      <c r="H887" s="1"/>
      <c r="I887" s="4"/>
      <c r="J887" s="4"/>
      <c r="K887" s="4"/>
      <c r="L887" s="4"/>
      <c r="M887" s="4"/>
      <c r="N887" s="4"/>
      <c r="O887" s="4"/>
      <c r="P887" s="4"/>
      <c r="Q887" s="4"/>
      <c r="R887" s="4"/>
      <c r="S887" s="4"/>
      <c r="T887" s="4"/>
      <c r="U887" s="4"/>
      <c r="V887" s="4"/>
      <c r="W887" s="4"/>
      <c r="X887" s="4"/>
      <c r="Y887" s="4"/>
      <c r="Z887" s="4"/>
      <c r="AA887" s="4"/>
    </row>
    <row r="888" spans="1:27" ht="16">
      <c r="A888" s="1"/>
      <c r="B888" s="2"/>
      <c r="C888" s="6"/>
      <c r="D888" s="2"/>
      <c r="E888" s="2"/>
      <c r="F888" s="2"/>
      <c r="G888" s="2"/>
      <c r="H888" s="1"/>
      <c r="I888" s="4"/>
      <c r="J888" s="4"/>
      <c r="K888" s="4"/>
      <c r="L888" s="4"/>
      <c r="M888" s="4"/>
      <c r="N888" s="4"/>
      <c r="O888" s="4"/>
      <c r="P888" s="4"/>
      <c r="Q888" s="4"/>
      <c r="R888" s="4"/>
      <c r="S888" s="4"/>
      <c r="T888" s="4"/>
      <c r="U888" s="4"/>
      <c r="V888" s="4"/>
      <c r="W888" s="4"/>
      <c r="X888" s="4"/>
      <c r="Y888" s="4"/>
      <c r="Z888" s="4"/>
      <c r="AA888" s="4"/>
    </row>
    <row r="889" spans="1:27" ht="16">
      <c r="A889" s="1"/>
      <c r="B889" s="2"/>
      <c r="C889" s="6"/>
      <c r="D889" s="2"/>
      <c r="E889" s="2"/>
      <c r="F889" s="2"/>
      <c r="G889" s="2"/>
      <c r="H889" s="1"/>
      <c r="I889" s="4"/>
      <c r="J889" s="4"/>
      <c r="K889" s="4"/>
      <c r="L889" s="4"/>
      <c r="M889" s="4"/>
      <c r="N889" s="4"/>
      <c r="O889" s="4"/>
      <c r="P889" s="4"/>
      <c r="Q889" s="4"/>
      <c r="R889" s="4"/>
      <c r="S889" s="4"/>
      <c r="T889" s="4"/>
      <c r="U889" s="4"/>
      <c r="V889" s="4"/>
      <c r="W889" s="4"/>
      <c r="X889" s="4"/>
      <c r="Y889" s="4"/>
      <c r="Z889" s="4"/>
      <c r="AA889" s="4"/>
    </row>
    <row r="890" spans="1:27" ht="16">
      <c r="A890" s="1"/>
      <c r="B890" s="2"/>
      <c r="C890" s="6"/>
      <c r="D890" s="2"/>
      <c r="E890" s="2"/>
      <c r="F890" s="2"/>
      <c r="G890" s="2"/>
      <c r="H890" s="1"/>
      <c r="I890" s="4"/>
      <c r="J890" s="4"/>
      <c r="K890" s="4"/>
      <c r="L890" s="4"/>
      <c r="M890" s="4"/>
      <c r="N890" s="4"/>
      <c r="O890" s="4"/>
      <c r="P890" s="4"/>
      <c r="Q890" s="4"/>
      <c r="R890" s="4"/>
      <c r="S890" s="4"/>
      <c r="T890" s="4"/>
      <c r="U890" s="4"/>
      <c r="V890" s="4"/>
      <c r="W890" s="4"/>
      <c r="X890" s="4"/>
      <c r="Y890" s="4"/>
      <c r="Z890" s="4"/>
      <c r="AA890" s="4"/>
    </row>
    <row r="891" spans="1:27" ht="16">
      <c r="A891" s="1"/>
      <c r="B891" s="2"/>
      <c r="C891" s="6"/>
      <c r="D891" s="2"/>
      <c r="E891" s="2"/>
      <c r="F891" s="2"/>
      <c r="G891" s="2"/>
      <c r="H891" s="1"/>
      <c r="I891" s="4"/>
      <c r="J891" s="4"/>
      <c r="K891" s="4"/>
      <c r="L891" s="4"/>
      <c r="M891" s="4"/>
      <c r="N891" s="4"/>
      <c r="O891" s="4"/>
      <c r="P891" s="4"/>
      <c r="Q891" s="4"/>
      <c r="R891" s="4"/>
      <c r="S891" s="4"/>
      <c r="T891" s="4"/>
      <c r="U891" s="4"/>
      <c r="V891" s="4"/>
      <c r="W891" s="4"/>
      <c r="X891" s="4"/>
      <c r="Y891" s="4"/>
      <c r="Z891" s="4"/>
      <c r="AA891" s="4"/>
    </row>
    <row r="892" spans="1:27" ht="16">
      <c r="A892" s="1"/>
      <c r="B892" s="2"/>
      <c r="C892" s="6"/>
      <c r="D892" s="2"/>
      <c r="E892" s="2"/>
      <c r="F892" s="2"/>
      <c r="G892" s="2"/>
      <c r="H892" s="1"/>
      <c r="I892" s="4"/>
      <c r="J892" s="4"/>
      <c r="K892" s="4"/>
      <c r="L892" s="4"/>
      <c r="M892" s="4"/>
      <c r="N892" s="4"/>
      <c r="O892" s="4"/>
      <c r="P892" s="4"/>
      <c r="Q892" s="4"/>
      <c r="R892" s="4"/>
      <c r="S892" s="4"/>
      <c r="T892" s="4"/>
      <c r="U892" s="4"/>
      <c r="V892" s="4"/>
      <c r="W892" s="4"/>
      <c r="X892" s="4"/>
      <c r="Y892" s="4"/>
      <c r="Z892" s="4"/>
      <c r="AA892" s="4"/>
    </row>
    <row r="893" spans="1:27" ht="16">
      <c r="A893" s="1"/>
      <c r="B893" s="2"/>
      <c r="C893" s="6"/>
      <c r="D893" s="2"/>
      <c r="E893" s="2"/>
      <c r="F893" s="2"/>
      <c r="G893" s="2"/>
      <c r="H893" s="1"/>
      <c r="I893" s="4"/>
      <c r="J893" s="4"/>
      <c r="K893" s="4"/>
      <c r="L893" s="4"/>
      <c r="M893" s="4"/>
      <c r="N893" s="4"/>
      <c r="O893" s="4"/>
      <c r="P893" s="4"/>
      <c r="Q893" s="4"/>
      <c r="R893" s="4"/>
      <c r="S893" s="4"/>
      <c r="T893" s="4"/>
      <c r="U893" s="4"/>
      <c r="V893" s="4"/>
      <c r="W893" s="4"/>
      <c r="X893" s="4"/>
      <c r="Y893" s="4"/>
      <c r="Z893" s="4"/>
      <c r="AA893" s="4"/>
    </row>
    <row r="894" spans="1:27" ht="16">
      <c r="A894" s="1"/>
      <c r="B894" s="2"/>
      <c r="C894" s="6"/>
      <c r="D894" s="2"/>
      <c r="E894" s="2"/>
      <c r="F894" s="2"/>
      <c r="G894" s="2"/>
      <c r="H894" s="1"/>
      <c r="I894" s="4"/>
      <c r="J894" s="4"/>
      <c r="K894" s="4"/>
      <c r="L894" s="4"/>
      <c r="M894" s="4"/>
      <c r="N894" s="4"/>
      <c r="O894" s="4"/>
      <c r="P894" s="4"/>
      <c r="Q894" s="4"/>
      <c r="R894" s="4"/>
      <c r="S894" s="4"/>
      <c r="T894" s="4"/>
      <c r="U894" s="4"/>
      <c r="V894" s="4"/>
      <c r="W894" s="4"/>
      <c r="X894" s="4"/>
      <c r="Y894" s="4"/>
      <c r="Z894" s="4"/>
      <c r="AA894" s="4"/>
    </row>
    <row r="895" spans="1:27" ht="16">
      <c r="A895" s="1"/>
      <c r="B895" s="2"/>
      <c r="C895" s="6"/>
      <c r="D895" s="2"/>
      <c r="E895" s="2"/>
      <c r="F895" s="2"/>
      <c r="G895" s="2"/>
      <c r="H895" s="1"/>
      <c r="I895" s="4"/>
      <c r="J895" s="4"/>
      <c r="K895" s="4"/>
      <c r="L895" s="4"/>
      <c r="M895" s="4"/>
      <c r="N895" s="4"/>
      <c r="O895" s="4"/>
      <c r="P895" s="4"/>
      <c r="Q895" s="4"/>
      <c r="R895" s="4"/>
      <c r="S895" s="4"/>
      <c r="T895" s="4"/>
      <c r="U895" s="4"/>
      <c r="V895" s="4"/>
      <c r="W895" s="4"/>
      <c r="X895" s="4"/>
      <c r="Y895" s="4"/>
      <c r="Z895" s="4"/>
      <c r="AA895" s="4"/>
    </row>
    <row r="896" spans="1:27" ht="16">
      <c r="A896" s="1"/>
      <c r="B896" s="2"/>
      <c r="C896" s="6"/>
      <c r="D896" s="2"/>
      <c r="E896" s="2"/>
      <c r="F896" s="2"/>
      <c r="G896" s="2"/>
      <c r="H896" s="1"/>
      <c r="I896" s="4"/>
      <c r="J896" s="4"/>
      <c r="K896" s="4"/>
      <c r="L896" s="4"/>
      <c r="M896" s="4"/>
      <c r="N896" s="4"/>
      <c r="O896" s="4"/>
      <c r="P896" s="4"/>
      <c r="Q896" s="4"/>
      <c r="R896" s="4"/>
      <c r="S896" s="4"/>
      <c r="T896" s="4"/>
      <c r="U896" s="4"/>
      <c r="V896" s="4"/>
      <c r="W896" s="4"/>
      <c r="X896" s="4"/>
      <c r="Y896" s="4"/>
      <c r="Z896" s="4"/>
      <c r="AA896" s="4"/>
    </row>
    <row r="897" spans="1:27" ht="16">
      <c r="A897" s="1"/>
      <c r="B897" s="2"/>
      <c r="C897" s="6"/>
      <c r="D897" s="2"/>
      <c r="E897" s="2"/>
      <c r="F897" s="2"/>
      <c r="G897" s="2"/>
      <c r="H897" s="1"/>
      <c r="I897" s="4"/>
      <c r="J897" s="4"/>
      <c r="K897" s="4"/>
      <c r="L897" s="4"/>
      <c r="M897" s="4"/>
      <c r="N897" s="4"/>
      <c r="O897" s="4"/>
      <c r="P897" s="4"/>
      <c r="Q897" s="4"/>
      <c r="R897" s="4"/>
      <c r="S897" s="4"/>
      <c r="T897" s="4"/>
      <c r="U897" s="4"/>
      <c r="V897" s="4"/>
      <c r="W897" s="4"/>
      <c r="X897" s="4"/>
      <c r="Y897" s="4"/>
      <c r="Z897" s="4"/>
      <c r="AA897" s="4"/>
    </row>
    <row r="898" spans="1:27" ht="16">
      <c r="A898" s="1"/>
      <c r="B898" s="2"/>
      <c r="C898" s="6"/>
      <c r="D898" s="2"/>
      <c r="E898" s="2"/>
      <c r="F898" s="2"/>
      <c r="G898" s="2"/>
      <c r="H898" s="1"/>
      <c r="I898" s="4"/>
      <c r="J898" s="4"/>
      <c r="K898" s="4"/>
      <c r="L898" s="4"/>
      <c r="M898" s="4"/>
      <c r="N898" s="4"/>
      <c r="O898" s="4"/>
      <c r="P898" s="4"/>
      <c r="Q898" s="4"/>
      <c r="R898" s="4"/>
      <c r="S898" s="4"/>
      <c r="T898" s="4"/>
      <c r="U898" s="4"/>
      <c r="V898" s="4"/>
      <c r="W898" s="4"/>
      <c r="X898" s="4"/>
      <c r="Y898" s="4"/>
      <c r="Z898" s="4"/>
      <c r="AA898" s="4"/>
    </row>
    <row r="899" spans="1:27" ht="16">
      <c r="A899" s="1"/>
      <c r="B899" s="2"/>
      <c r="C899" s="6"/>
      <c r="D899" s="2"/>
      <c r="E899" s="2"/>
      <c r="F899" s="2"/>
      <c r="G899" s="2"/>
      <c r="H899" s="1"/>
      <c r="I899" s="4"/>
      <c r="J899" s="4"/>
      <c r="K899" s="4"/>
      <c r="L899" s="4"/>
      <c r="M899" s="4"/>
      <c r="N899" s="4"/>
      <c r="O899" s="4"/>
      <c r="P899" s="4"/>
      <c r="Q899" s="4"/>
      <c r="R899" s="4"/>
      <c r="S899" s="4"/>
      <c r="T899" s="4"/>
      <c r="U899" s="4"/>
      <c r="V899" s="4"/>
      <c r="W899" s="4"/>
      <c r="X899" s="4"/>
      <c r="Y899" s="4"/>
      <c r="Z899" s="4"/>
      <c r="AA899" s="4"/>
    </row>
    <row r="900" spans="1:27" ht="16">
      <c r="A900" s="1"/>
      <c r="B900" s="2"/>
      <c r="C900" s="6"/>
      <c r="D900" s="2"/>
      <c r="E900" s="2"/>
      <c r="F900" s="2"/>
      <c r="G900" s="2"/>
      <c r="H900" s="1"/>
      <c r="I900" s="4"/>
      <c r="J900" s="4"/>
      <c r="K900" s="4"/>
      <c r="L900" s="4"/>
      <c r="M900" s="4"/>
      <c r="N900" s="4"/>
      <c r="O900" s="4"/>
      <c r="P900" s="4"/>
      <c r="Q900" s="4"/>
      <c r="R900" s="4"/>
      <c r="S900" s="4"/>
      <c r="T900" s="4"/>
      <c r="U900" s="4"/>
      <c r="V900" s="4"/>
      <c r="W900" s="4"/>
      <c r="X900" s="4"/>
      <c r="Y900" s="4"/>
      <c r="Z900" s="4"/>
      <c r="AA900" s="4"/>
    </row>
    <row r="901" spans="1:27" ht="16">
      <c r="A901" s="1"/>
      <c r="B901" s="2"/>
      <c r="C901" s="6"/>
      <c r="D901" s="2"/>
      <c r="E901" s="2"/>
      <c r="F901" s="2"/>
      <c r="G901" s="2"/>
      <c r="H901" s="1"/>
      <c r="I901" s="4"/>
      <c r="J901" s="4"/>
      <c r="K901" s="4"/>
      <c r="L901" s="4"/>
      <c r="M901" s="4"/>
      <c r="N901" s="4"/>
      <c r="O901" s="4"/>
      <c r="P901" s="4"/>
      <c r="Q901" s="4"/>
      <c r="R901" s="4"/>
      <c r="S901" s="4"/>
      <c r="T901" s="4"/>
      <c r="U901" s="4"/>
      <c r="V901" s="4"/>
      <c r="W901" s="4"/>
      <c r="X901" s="4"/>
      <c r="Y901" s="4"/>
      <c r="Z901" s="4"/>
      <c r="AA901" s="4"/>
    </row>
    <row r="902" spans="1:27" ht="16">
      <c r="A902" s="1"/>
      <c r="B902" s="2"/>
      <c r="C902" s="6"/>
      <c r="D902" s="2"/>
      <c r="E902" s="2"/>
      <c r="F902" s="2"/>
      <c r="G902" s="2"/>
      <c r="H902" s="1"/>
      <c r="I902" s="4"/>
      <c r="J902" s="4"/>
      <c r="K902" s="4"/>
      <c r="L902" s="4"/>
      <c r="M902" s="4"/>
      <c r="N902" s="4"/>
      <c r="O902" s="4"/>
      <c r="P902" s="4"/>
      <c r="Q902" s="4"/>
      <c r="R902" s="4"/>
      <c r="S902" s="4"/>
      <c r="T902" s="4"/>
      <c r="U902" s="4"/>
      <c r="V902" s="4"/>
      <c r="W902" s="4"/>
      <c r="X902" s="4"/>
      <c r="Y902" s="4"/>
      <c r="Z902" s="4"/>
      <c r="AA902" s="4"/>
    </row>
    <row r="903" spans="1:27" ht="16">
      <c r="A903" s="1"/>
      <c r="B903" s="2"/>
      <c r="C903" s="6"/>
      <c r="D903" s="2"/>
      <c r="E903" s="2"/>
      <c r="F903" s="2"/>
      <c r="G903" s="2"/>
      <c r="H903" s="1"/>
      <c r="I903" s="4"/>
      <c r="J903" s="4"/>
      <c r="K903" s="4"/>
      <c r="L903" s="4"/>
      <c r="M903" s="4"/>
      <c r="N903" s="4"/>
      <c r="O903" s="4"/>
      <c r="P903" s="4"/>
      <c r="Q903" s="4"/>
      <c r="R903" s="4"/>
      <c r="S903" s="4"/>
      <c r="T903" s="4"/>
      <c r="U903" s="4"/>
      <c r="V903" s="4"/>
      <c r="W903" s="4"/>
      <c r="X903" s="4"/>
      <c r="Y903" s="4"/>
      <c r="Z903" s="4"/>
      <c r="AA903" s="4"/>
    </row>
    <row r="904" spans="1:27" ht="16">
      <c r="A904" s="1"/>
      <c r="B904" s="2"/>
      <c r="C904" s="6"/>
      <c r="D904" s="2"/>
      <c r="E904" s="2"/>
      <c r="F904" s="2"/>
      <c r="G904" s="2"/>
      <c r="H904" s="1"/>
      <c r="I904" s="4"/>
      <c r="J904" s="4"/>
      <c r="K904" s="4"/>
      <c r="L904" s="4"/>
      <c r="M904" s="4"/>
      <c r="N904" s="4"/>
      <c r="O904" s="4"/>
      <c r="P904" s="4"/>
      <c r="Q904" s="4"/>
      <c r="R904" s="4"/>
      <c r="S904" s="4"/>
      <c r="T904" s="4"/>
      <c r="U904" s="4"/>
      <c r="V904" s="4"/>
      <c r="W904" s="4"/>
      <c r="X904" s="4"/>
      <c r="Y904" s="4"/>
      <c r="Z904" s="4"/>
      <c r="AA904" s="4"/>
    </row>
    <row r="905" spans="1:27" ht="16">
      <c r="A905" s="1"/>
      <c r="B905" s="2"/>
      <c r="C905" s="6"/>
      <c r="D905" s="2"/>
      <c r="E905" s="2"/>
      <c r="F905" s="2"/>
      <c r="G905" s="2"/>
      <c r="H905" s="1"/>
      <c r="I905" s="4"/>
      <c r="J905" s="4"/>
      <c r="K905" s="4"/>
      <c r="L905" s="4"/>
      <c r="M905" s="4"/>
      <c r="N905" s="4"/>
      <c r="O905" s="4"/>
      <c r="P905" s="4"/>
      <c r="Q905" s="4"/>
      <c r="R905" s="4"/>
      <c r="S905" s="4"/>
      <c r="T905" s="4"/>
      <c r="U905" s="4"/>
      <c r="V905" s="4"/>
      <c r="W905" s="4"/>
      <c r="X905" s="4"/>
      <c r="Y905" s="4"/>
      <c r="Z905" s="4"/>
      <c r="AA905" s="4"/>
    </row>
    <row r="906" spans="1:27" ht="16">
      <c r="A906" s="1"/>
      <c r="B906" s="2"/>
      <c r="C906" s="6"/>
      <c r="D906" s="2"/>
      <c r="E906" s="2"/>
      <c r="F906" s="2"/>
      <c r="G906" s="2"/>
      <c r="H906" s="1"/>
      <c r="I906" s="4"/>
      <c r="J906" s="4"/>
      <c r="K906" s="4"/>
      <c r="L906" s="4"/>
      <c r="M906" s="4"/>
      <c r="N906" s="4"/>
      <c r="O906" s="4"/>
      <c r="P906" s="4"/>
      <c r="Q906" s="4"/>
      <c r="R906" s="4"/>
      <c r="S906" s="4"/>
      <c r="T906" s="4"/>
      <c r="U906" s="4"/>
      <c r="V906" s="4"/>
      <c r="W906" s="4"/>
      <c r="X906" s="4"/>
      <c r="Y906" s="4"/>
      <c r="Z906" s="4"/>
      <c r="AA906" s="4"/>
    </row>
    <row r="907" spans="1:27" ht="16">
      <c r="A907" s="1"/>
      <c r="B907" s="2"/>
      <c r="C907" s="6"/>
      <c r="D907" s="2"/>
      <c r="E907" s="2"/>
      <c r="F907" s="2"/>
      <c r="G907" s="2"/>
      <c r="H907" s="1"/>
      <c r="I907" s="4"/>
      <c r="J907" s="4"/>
      <c r="K907" s="4"/>
      <c r="L907" s="4"/>
      <c r="M907" s="4"/>
      <c r="N907" s="4"/>
      <c r="O907" s="4"/>
      <c r="P907" s="4"/>
      <c r="Q907" s="4"/>
      <c r="R907" s="4"/>
      <c r="S907" s="4"/>
      <c r="T907" s="4"/>
      <c r="U907" s="4"/>
      <c r="V907" s="4"/>
      <c r="W907" s="4"/>
      <c r="X907" s="4"/>
      <c r="Y907" s="4"/>
      <c r="Z907" s="4"/>
      <c r="AA907" s="4"/>
    </row>
    <row r="908" spans="1:27" ht="16">
      <c r="A908" s="1"/>
      <c r="B908" s="2"/>
      <c r="C908" s="6"/>
      <c r="D908" s="2"/>
      <c r="E908" s="2"/>
      <c r="F908" s="2"/>
      <c r="G908" s="2"/>
      <c r="H908" s="1"/>
      <c r="I908" s="4"/>
      <c r="J908" s="4"/>
      <c r="K908" s="4"/>
      <c r="L908" s="4"/>
      <c r="M908" s="4"/>
      <c r="N908" s="4"/>
      <c r="O908" s="4"/>
      <c r="P908" s="4"/>
      <c r="Q908" s="4"/>
      <c r="R908" s="4"/>
      <c r="S908" s="4"/>
      <c r="T908" s="4"/>
      <c r="U908" s="4"/>
      <c r="V908" s="4"/>
      <c r="W908" s="4"/>
      <c r="X908" s="4"/>
      <c r="Y908" s="4"/>
      <c r="Z908" s="4"/>
      <c r="AA908" s="4"/>
    </row>
    <row r="909" spans="1:27" ht="16">
      <c r="A909" s="1"/>
      <c r="B909" s="2"/>
      <c r="C909" s="6"/>
      <c r="D909" s="2"/>
      <c r="E909" s="2"/>
      <c r="F909" s="2"/>
      <c r="G909" s="2"/>
      <c r="H909" s="1"/>
      <c r="I909" s="4"/>
      <c r="J909" s="4"/>
      <c r="K909" s="4"/>
      <c r="L909" s="4"/>
      <c r="M909" s="4"/>
      <c r="N909" s="4"/>
      <c r="O909" s="4"/>
      <c r="P909" s="4"/>
      <c r="Q909" s="4"/>
      <c r="R909" s="4"/>
      <c r="S909" s="4"/>
      <c r="T909" s="4"/>
      <c r="U909" s="4"/>
      <c r="V909" s="4"/>
      <c r="W909" s="4"/>
      <c r="X909" s="4"/>
      <c r="Y909" s="4"/>
      <c r="Z909" s="4"/>
      <c r="AA909" s="4"/>
    </row>
    <row r="910" spans="1:27" ht="16">
      <c r="A910" s="1"/>
      <c r="B910" s="2"/>
      <c r="C910" s="6"/>
      <c r="D910" s="2"/>
      <c r="E910" s="2"/>
      <c r="F910" s="2"/>
      <c r="G910" s="2"/>
      <c r="H910" s="1"/>
      <c r="I910" s="4"/>
      <c r="J910" s="4"/>
      <c r="K910" s="4"/>
      <c r="L910" s="4"/>
      <c r="M910" s="4"/>
      <c r="N910" s="4"/>
      <c r="O910" s="4"/>
      <c r="P910" s="4"/>
      <c r="Q910" s="4"/>
      <c r="R910" s="4"/>
      <c r="S910" s="4"/>
      <c r="T910" s="4"/>
      <c r="U910" s="4"/>
      <c r="V910" s="4"/>
      <c r="W910" s="4"/>
      <c r="X910" s="4"/>
      <c r="Y910" s="4"/>
      <c r="Z910" s="4"/>
      <c r="AA910" s="4"/>
    </row>
    <row r="911" spans="1:27" ht="16">
      <c r="A911" s="1"/>
      <c r="B911" s="2"/>
      <c r="C911" s="6"/>
      <c r="D911" s="2"/>
      <c r="E911" s="2"/>
      <c r="F911" s="2"/>
      <c r="G911" s="2"/>
      <c r="H911" s="1"/>
      <c r="I911" s="4"/>
      <c r="J911" s="4"/>
      <c r="K911" s="4"/>
      <c r="L911" s="4"/>
      <c r="M911" s="4"/>
      <c r="N911" s="4"/>
      <c r="O911" s="4"/>
      <c r="P911" s="4"/>
      <c r="Q911" s="4"/>
      <c r="R911" s="4"/>
      <c r="S911" s="4"/>
      <c r="T911" s="4"/>
      <c r="U911" s="4"/>
      <c r="V911" s="4"/>
      <c r="W911" s="4"/>
      <c r="X911" s="4"/>
      <c r="Y911" s="4"/>
      <c r="Z911" s="4"/>
      <c r="AA911" s="4"/>
    </row>
    <row r="912" spans="1:27" ht="16">
      <c r="A912" s="1"/>
      <c r="B912" s="2"/>
      <c r="C912" s="6"/>
      <c r="D912" s="2"/>
      <c r="E912" s="2"/>
      <c r="F912" s="2"/>
      <c r="G912" s="2"/>
      <c r="H912" s="1"/>
      <c r="I912" s="4"/>
      <c r="J912" s="4"/>
      <c r="K912" s="4"/>
      <c r="L912" s="4"/>
      <c r="M912" s="4"/>
      <c r="N912" s="4"/>
      <c r="O912" s="4"/>
      <c r="P912" s="4"/>
      <c r="Q912" s="4"/>
      <c r="R912" s="4"/>
      <c r="S912" s="4"/>
      <c r="T912" s="4"/>
      <c r="U912" s="4"/>
      <c r="V912" s="4"/>
      <c r="W912" s="4"/>
      <c r="X912" s="4"/>
      <c r="Y912" s="4"/>
      <c r="Z912" s="4"/>
      <c r="AA912" s="4"/>
    </row>
    <row r="913" spans="1:27" ht="16">
      <c r="A913" s="1"/>
      <c r="B913" s="2"/>
      <c r="C913" s="6"/>
      <c r="D913" s="2"/>
      <c r="E913" s="2"/>
      <c r="F913" s="2"/>
      <c r="G913" s="2"/>
      <c r="H913" s="1"/>
      <c r="I913" s="4"/>
      <c r="J913" s="4"/>
      <c r="K913" s="4"/>
      <c r="L913" s="4"/>
      <c r="M913" s="4"/>
      <c r="N913" s="4"/>
      <c r="O913" s="4"/>
      <c r="P913" s="4"/>
      <c r="Q913" s="4"/>
      <c r="R913" s="4"/>
      <c r="S913" s="4"/>
      <c r="T913" s="4"/>
      <c r="U913" s="4"/>
      <c r="V913" s="4"/>
      <c r="W913" s="4"/>
      <c r="X913" s="4"/>
      <c r="Y913" s="4"/>
      <c r="Z913" s="4"/>
      <c r="AA913" s="4"/>
    </row>
    <row r="914" spans="1:27" ht="16">
      <c r="A914" s="1"/>
      <c r="B914" s="2"/>
      <c r="C914" s="6"/>
      <c r="D914" s="2"/>
      <c r="E914" s="2"/>
      <c r="F914" s="2"/>
      <c r="G914" s="2"/>
      <c r="H914" s="1"/>
      <c r="I914" s="4"/>
      <c r="J914" s="4"/>
      <c r="K914" s="4"/>
      <c r="L914" s="4"/>
      <c r="M914" s="4"/>
      <c r="N914" s="4"/>
      <c r="O914" s="4"/>
      <c r="P914" s="4"/>
      <c r="Q914" s="4"/>
      <c r="R914" s="4"/>
      <c r="S914" s="4"/>
      <c r="T914" s="4"/>
      <c r="U914" s="4"/>
      <c r="V914" s="4"/>
      <c r="W914" s="4"/>
      <c r="X914" s="4"/>
      <c r="Y914" s="4"/>
      <c r="Z914" s="4"/>
      <c r="AA914" s="4"/>
    </row>
    <row r="915" spans="1:27" ht="16">
      <c r="A915" s="1"/>
      <c r="B915" s="2"/>
      <c r="C915" s="6"/>
      <c r="D915" s="2"/>
      <c r="E915" s="2"/>
      <c r="F915" s="2"/>
      <c r="G915" s="2"/>
      <c r="H915" s="1"/>
      <c r="I915" s="4"/>
      <c r="J915" s="4"/>
      <c r="K915" s="4"/>
      <c r="L915" s="4"/>
      <c r="M915" s="4"/>
      <c r="N915" s="4"/>
      <c r="O915" s="4"/>
      <c r="P915" s="4"/>
      <c r="Q915" s="4"/>
      <c r="R915" s="4"/>
      <c r="S915" s="4"/>
      <c r="T915" s="4"/>
      <c r="U915" s="4"/>
      <c r="V915" s="4"/>
      <c r="W915" s="4"/>
      <c r="X915" s="4"/>
      <c r="Y915" s="4"/>
      <c r="Z915" s="4"/>
      <c r="AA915" s="4"/>
    </row>
    <row r="916" spans="1:27" ht="16">
      <c r="A916" s="1"/>
      <c r="B916" s="2"/>
      <c r="C916" s="6"/>
      <c r="D916" s="2"/>
      <c r="E916" s="2"/>
      <c r="F916" s="2"/>
      <c r="G916" s="2"/>
      <c r="H916" s="1"/>
      <c r="I916" s="4"/>
      <c r="J916" s="4"/>
      <c r="K916" s="4"/>
      <c r="L916" s="4"/>
      <c r="M916" s="4"/>
      <c r="N916" s="4"/>
      <c r="O916" s="4"/>
      <c r="P916" s="4"/>
      <c r="Q916" s="4"/>
      <c r="R916" s="4"/>
      <c r="S916" s="4"/>
      <c r="T916" s="4"/>
      <c r="U916" s="4"/>
      <c r="V916" s="4"/>
      <c r="W916" s="4"/>
      <c r="X916" s="4"/>
      <c r="Y916" s="4"/>
      <c r="Z916" s="4"/>
      <c r="AA916" s="4"/>
    </row>
    <row r="917" spans="1:27" ht="16">
      <c r="A917" s="1"/>
      <c r="B917" s="2"/>
      <c r="C917" s="6"/>
      <c r="D917" s="2"/>
      <c r="E917" s="2"/>
      <c r="F917" s="2"/>
      <c r="G917" s="2"/>
      <c r="H917" s="1"/>
      <c r="I917" s="4"/>
      <c r="J917" s="4"/>
      <c r="K917" s="4"/>
      <c r="L917" s="4"/>
      <c r="M917" s="4"/>
      <c r="N917" s="4"/>
      <c r="O917" s="4"/>
      <c r="P917" s="4"/>
      <c r="Q917" s="4"/>
      <c r="R917" s="4"/>
      <c r="S917" s="4"/>
      <c r="T917" s="4"/>
      <c r="U917" s="4"/>
      <c r="V917" s="4"/>
      <c r="W917" s="4"/>
      <c r="X917" s="4"/>
      <c r="Y917" s="4"/>
      <c r="Z917" s="4"/>
      <c r="AA917" s="4"/>
    </row>
    <row r="918" spans="1:27" ht="16">
      <c r="A918" s="1"/>
      <c r="B918" s="2"/>
      <c r="C918" s="6"/>
      <c r="D918" s="2"/>
      <c r="E918" s="2"/>
      <c r="F918" s="2"/>
      <c r="G918" s="2"/>
      <c r="H918" s="1"/>
      <c r="I918" s="4"/>
      <c r="J918" s="4"/>
      <c r="K918" s="4"/>
      <c r="L918" s="4"/>
      <c r="M918" s="4"/>
      <c r="N918" s="4"/>
      <c r="O918" s="4"/>
      <c r="P918" s="4"/>
      <c r="Q918" s="4"/>
      <c r="R918" s="4"/>
      <c r="S918" s="4"/>
      <c r="T918" s="4"/>
      <c r="U918" s="4"/>
      <c r="V918" s="4"/>
      <c r="W918" s="4"/>
      <c r="X918" s="4"/>
      <c r="Y918" s="4"/>
      <c r="Z918" s="4"/>
      <c r="AA918" s="4"/>
    </row>
    <row r="919" spans="1:27" ht="16">
      <c r="A919" s="1"/>
      <c r="B919" s="2"/>
      <c r="C919" s="6"/>
      <c r="D919" s="2"/>
      <c r="E919" s="2"/>
      <c r="F919" s="2"/>
      <c r="G919" s="2"/>
      <c r="H919" s="1"/>
      <c r="I919" s="4"/>
      <c r="J919" s="4"/>
      <c r="K919" s="4"/>
      <c r="L919" s="4"/>
      <c r="M919" s="4"/>
      <c r="N919" s="4"/>
      <c r="O919" s="4"/>
      <c r="P919" s="4"/>
      <c r="Q919" s="4"/>
      <c r="R919" s="4"/>
      <c r="S919" s="4"/>
      <c r="T919" s="4"/>
      <c r="U919" s="4"/>
      <c r="V919" s="4"/>
      <c r="W919" s="4"/>
      <c r="X919" s="4"/>
      <c r="Y919" s="4"/>
      <c r="Z919" s="4"/>
      <c r="AA919" s="4"/>
    </row>
    <row r="920" spans="1:27" ht="16">
      <c r="A920" s="1"/>
      <c r="B920" s="2"/>
      <c r="C920" s="6"/>
      <c r="D920" s="2"/>
      <c r="E920" s="2"/>
      <c r="F920" s="2"/>
      <c r="G920" s="2"/>
      <c r="H920" s="1"/>
      <c r="I920" s="4"/>
      <c r="J920" s="4"/>
      <c r="K920" s="4"/>
      <c r="L920" s="4"/>
      <c r="M920" s="4"/>
      <c r="N920" s="4"/>
      <c r="O920" s="4"/>
      <c r="P920" s="4"/>
      <c r="Q920" s="4"/>
      <c r="R920" s="4"/>
      <c r="S920" s="4"/>
      <c r="T920" s="4"/>
      <c r="U920" s="4"/>
      <c r="V920" s="4"/>
      <c r="W920" s="4"/>
      <c r="X920" s="4"/>
      <c r="Y920" s="4"/>
      <c r="Z920" s="4"/>
      <c r="AA920" s="4"/>
    </row>
    <row r="921" spans="1:27" ht="16">
      <c r="A921" s="1"/>
      <c r="B921" s="2"/>
      <c r="C921" s="6"/>
      <c r="D921" s="2"/>
      <c r="E921" s="2"/>
      <c r="F921" s="2"/>
      <c r="G921" s="2"/>
      <c r="H921" s="1"/>
      <c r="I921" s="4"/>
      <c r="J921" s="4"/>
      <c r="K921" s="4"/>
      <c r="L921" s="4"/>
      <c r="M921" s="4"/>
      <c r="N921" s="4"/>
      <c r="O921" s="4"/>
      <c r="P921" s="4"/>
      <c r="Q921" s="4"/>
      <c r="R921" s="4"/>
      <c r="S921" s="4"/>
      <c r="T921" s="4"/>
      <c r="U921" s="4"/>
      <c r="V921" s="4"/>
      <c r="W921" s="4"/>
      <c r="X921" s="4"/>
      <c r="Y921" s="4"/>
      <c r="Z921" s="4"/>
      <c r="AA921" s="4"/>
    </row>
    <row r="922" spans="1:27" ht="16">
      <c r="A922" s="1"/>
      <c r="B922" s="2"/>
      <c r="C922" s="6"/>
      <c r="D922" s="2"/>
      <c r="E922" s="2"/>
      <c r="F922" s="2"/>
      <c r="G922" s="2"/>
      <c r="H922" s="1"/>
      <c r="I922" s="4"/>
      <c r="J922" s="4"/>
      <c r="K922" s="4"/>
      <c r="L922" s="4"/>
      <c r="M922" s="4"/>
      <c r="N922" s="4"/>
      <c r="O922" s="4"/>
      <c r="P922" s="4"/>
      <c r="Q922" s="4"/>
      <c r="R922" s="4"/>
      <c r="S922" s="4"/>
      <c r="T922" s="4"/>
      <c r="U922" s="4"/>
      <c r="V922" s="4"/>
      <c r="W922" s="4"/>
      <c r="X922" s="4"/>
      <c r="Y922" s="4"/>
      <c r="Z922" s="4"/>
      <c r="AA922" s="4"/>
    </row>
    <row r="923" spans="1:27" ht="16">
      <c r="A923" s="1"/>
      <c r="B923" s="2"/>
      <c r="C923" s="6"/>
      <c r="D923" s="2"/>
      <c r="E923" s="2"/>
      <c r="F923" s="2"/>
      <c r="G923" s="2"/>
      <c r="H923" s="1"/>
      <c r="I923" s="4"/>
      <c r="J923" s="4"/>
      <c r="K923" s="4"/>
      <c r="L923" s="4"/>
      <c r="M923" s="4"/>
      <c r="N923" s="4"/>
      <c r="O923" s="4"/>
      <c r="P923" s="4"/>
      <c r="Q923" s="4"/>
      <c r="R923" s="4"/>
      <c r="S923" s="4"/>
      <c r="T923" s="4"/>
      <c r="U923" s="4"/>
      <c r="V923" s="4"/>
      <c r="W923" s="4"/>
      <c r="X923" s="4"/>
      <c r="Y923" s="4"/>
      <c r="Z923" s="4"/>
      <c r="AA923" s="4"/>
    </row>
    <row r="924" spans="1:27" ht="16">
      <c r="A924" s="1"/>
      <c r="B924" s="2"/>
      <c r="C924" s="6"/>
      <c r="D924" s="2"/>
      <c r="E924" s="2"/>
      <c r="F924" s="2"/>
      <c r="G924" s="2"/>
      <c r="H924" s="1"/>
      <c r="I924" s="4"/>
      <c r="J924" s="4"/>
      <c r="K924" s="4"/>
      <c r="L924" s="4"/>
      <c r="M924" s="4"/>
      <c r="N924" s="4"/>
      <c r="O924" s="4"/>
      <c r="P924" s="4"/>
      <c r="Q924" s="4"/>
      <c r="R924" s="4"/>
      <c r="S924" s="4"/>
      <c r="T924" s="4"/>
      <c r="U924" s="4"/>
      <c r="V924" s="4"/>
      <c r="W924" s="4"/>
      <c r="X924" s="4"/>
      <c r="Y924" s="4"/>
      <c r="Z924" s="4"/>
      <c r="AA924" s="4"/>
    </row>
    <row r="925" spans="1:27" ht="16">
      <c r="A925" s="1"/>
      <c r="B925" s="2"/>
      <c r="C925" s="6"/>
      <c r="D925" s="2"/>
      <c r="E925" s="2"/>
      <c r="F925" s="2"/>
      <c r="G925" s="2"/>
      <c r="H925" s="1"/>
      <c r="I925" s="4"/>
      <c r="J925" s="4"/>
      <c r="K925" s="4"/>
      <c r="L925" s="4"/>
      <c r="M925" s="4"/>
      <c r="N925" s="4"/>
      <c r="O925" s="4"/>
      <c r="P925" s="4"/>
      <c r="Q925" s="4"/>
      <c r="R925" s="4"/>
      <c r="S925" s="4"/>
      <c r="T925" s="4"/>
      <c r="U925" s="4"/>
      <c r="V925" s="4"/>
      <c r="W925" s="4"/>
      <c r="X925" s="4"/>
      <c r="Y925" s="4"/>
      <c r="Z925" s="4"/>
      <c r="AA925" s="4"/>
    </row>
    <row r="926" spans="1:27" ht="16">
      <c r="A926" s="1"/>
      <c r="B926" s="2"/>
      <c r="C926" s="6"/>
      <c r="D926" s="2"/>
      <c r="E926" s="2"/>
      <c r="F926" s="2"/>
      <c r="G926" s="2"/>
      <c r="H926" s="1"/>
      <c r="I926" s="4"/>
      <c r="J926" s="4"/>
      <c r="K926" s="4"/>
      <c r="L926" s="4"/>
      <c r="M926" s="4"/>
      <c r="N926" s="4"/>
      <c r="O926" s="4"/>
      <c r="P926" s="4"/>
      <c r="Q926" s="4"/>
      <c r="R926" s="4"/>
      <c r="S926" s="4"/>
      <c r="T926" s="4"/>
      <c r="U926" s="4"/>
      <c r="V926" s="4"/>
      <c r="W926" s="4"/>
      <c r="X926" s="4"/>
      <c r="Y926" s="4"/>
      <c r="Z926" s="4"/>
      <c r="AA926" s="4"/>
    </row>
    <row r="927" spans="1:27" ht="16">
      <c r="A927" s="1"/>
      <c r="B927" s="2"/>
      <c r="C927" s="6"/>
      <c r="D927" s="2"/>
      <c r="E927" s="2"/>
      <c r="F927" s="2"/>
      <c r="G927" s="2"/>
      <c r="H927" s="1"/>
      <c r="I927" s="4"/>
      <c r="J927" s="4"/>
      <c r="K927" s="4"/>
      <c r="L927" s="4"/>
      <c r="M927" s="4"/>
      <c r="N927" s="4"/>
      <c r="O927" s="4"/>
      <c r="P927" s="4"/>
      <c r="Q927" s="4"/>
      <c r="R927" s="4"/>
      <c r="S927" s="4"/>
      <c r="T927" s="4"/>
      <c r="U927" s="4"/>
      <c r="V927" s="4"/>
      <c r="W927" s="4"/>
      <c r="X927" s="4"/>
      <c r="Y927" s="4"/>
      <c r="Z927" s="4"/>
      <c r="AA927" s="4"/>
    </row>
    <row r="928" spans="1:27" ht="16">
      <c r="A928" s="1"/>
      <c r="B928" s="2"/>
      <c r="C928" s="6"/>
      <c r="D928" s="2"/>
      <c r="E928" s="2"/>
      <c r="F928" s="2"/>
      <c r="G928" s="2"/>
      <c r="H928" s="1"/>
      <c r="I928" s="4"/>
      <c r="J928" s="4"/>
      <c r="K928" s="4"/>
      <c r="L928" s="4"/>
      <c r="M928" s="4"/>
      <c r="N928" s="4"/>
      <c r="O928" s="4"/>
      <c r="P928" s="4"/>
      <c r="Q928" s="4"/>
      <c r="R928" s="4"/>
      <c r="S928" s="4"/>
      <c r="T928" s="4"/>
      <c r="U928" s="4"/>
      <c r="V928" s="4"/>
      <c r="W928" s="4"/>
      <c r="X928" s="4"/>
      <c r="Y928" s="4"/>
      <c r="Z928" s="4"/>
      <c r="AA928" s="4"/>
    </row>
    <row r="929" spans="1:27" ht="16">
      <c r="A929" s="1"/>
      <c r="B929" s="2"/>
      <c r="C929" s="6"/>
      <c r="D929" s="2"/>
      <c r="E929" s="2"/>
      <c r="F929" s="2"/>
      <c r="G929" s="2"/>
      <c r="H929" s="1"/>
      <c r="I929" s="4"/>
      <c r="J929" s="4"/>
      <c r="K929" s="4"/>
      <c r="L929" s="4"/>
      <c r="M929" s="4"/>
      <c r="N929" s="4"/>
      <c r="O929" s="4"/>
      <c r="P929" s="4"/>
      <c r="Q929" s="4"/>
      <c r="R929" s="4"/>
      <c r="S929" s="4"/>
      <c r="T929" s="4"/>
      <c r="U929" s="4"/>
      <c r="V929" s="4"/>
      <c r="W929" s="4"/>
      <c r="X929" s="4"/>
      <c r="Y929" s="4"/>
      <c r="Z929" s="4"/>
      <c r="AA929" s="4"/>
    </row>
    <row r="930" spans="1:27" ht="16">
      <c r="A930" s="1"/>
      <c r="B930" s="2"/>
      <c r="C930" s="6"/>
      <c r="D930" s="2"/>
      <c r="E930" s="2"/>
      <c r="F930" s="2"/>
      <c r="G930" s="2"/>
      <c r="H930" s="1"/>
      <c r="I930" s="4"/>
      <c r="J930" s="4"/>
      <c r="K930" s="4"/>
      <c r="L930" s="4"/>
      <c r="M930" s="4"/>
      <c r="N930" s="4"/>
      <c r="O930" s="4"/>
      <c r="P930" s="4"/>
      <c r="Q930" s="4"/>
      <c r="R930" s="4"/>
      <c r="S930" s="4"/>
      <c r="T930" s="4"/>
      <c r="U930" s="4"/>
      <c r="V930" s="4"/>
      <c r="W930" s="4"/>
      <c r="X930" s="4"/>
      <c r="Y930" s="4"/>
      <c r="Z930" s="4"/>
      <c r="AA930" s="4"/>
    </row>
    <row r="931" spans="1:27" ht="16">
      <c r="A931" s="1"/>
      <c r="B931" s="2"/>
      <c r="C931" s="6"/>
      <c r="D931" s="2"/>
      <c r="E931" s="2"/>
      <c r="F931" s="2"/>
      <c r="G931" s="2"/>
      <c r="H931" s="1"/>
      <c r="I931" s="4"/>
      <c r="J931" s="4"/>
      <c r="K931" s="4"/>
      <c r="L931" s="4"/>
      <c r="M931" s="4"/>
      <c r="N931" s="4"/>
      <c r="O931" s="4"/>
      <c r="P931" s="4"/>
      <c r="Q931" s="4"/>
      <c r="R931" s="4"/>
      <c r="S931" s="4"/>
      <c r="T931" s="4"/>
      <c r="U931" s="4"/>
      <c r="V931" s="4"/>
      <c r="W931" s="4"/>
      <c r="X931" s="4"/>
      <c r="Y931" s="4"/>
      <c r="Z931" s="4"/>
      <c r="AA931" s="4"/>
    </row>
    <row r="932" spans="1:27" ht="16">
      <c r="A932" s="1"/>
      <c r="B932" s="2"/>
      <c r="C932" s="6"/>
      <c r="D932" s="2"/>
      <c r="E932" s="2"/>
      <c r="F932" s="2"/>
      <c r="G932" s="2"/>
      <c r="H932" s="1"/>
      <c r="I932" s="4"/>
      <c r="J932" s="4"/>
      <c r="K932" s="4"/>
      <c r="L932" s="4"/>
      <c r="M932" s="4"/>
      <c r="N932" s="4"/>
      <c r="O932" s="4"/>
      <c r="P932" s="4"/>
      <c r="Q932" s="4"/>
      <c r="R932" s="4"/>
      <c r="S932" s="4"/>
      <c r="T932" s="4"/>
      <c r="U932" s="4"/>
      <c r="V932" s="4"/>
      <c r="W932" s="4"/>
      <c r="X932" s="4"/>
      <c r="Y932" s="4"/>
      <c r="Z932" s="4"/>
      <c r="AA932" s="4"/>
    </row>
    <row r="933" spans="1:27" ht="16">
      <c r="A933" s="1"/>
      <c r="B933" s="2"/>
      <c r="C933" s="6"/>
      <c r="D933" s="2"/>
      <c r="E933" s="2"/>
      <c r="F933" s="2"/>
      <c r="G933" s="2"/>
      <c r="H933" s="1"/>
      <c r="I933" s="4"/>
      <c r="J933" s="4"/>
      <c r="K933" s="4"/>
      <c r="L933" s="4"/>
      <c r="M933" s="4"/>
      <c r="N933" s="4"/>
      <c r="O933" s="4"/>
      <c r="P933" s="4"/>
      <c r="Q933" s="4"/>
      <c r="R933" s="4"/>
      <c r="S933" s="4"/>
      <c r="T933" s="4"/>
      <c r="U933" s="4"/>
      <c r="V933" s="4"/>
      <c r="W933" s="4"/>
      <c r="X933" s="4"/>
      <c r="Y933" s="4"/>
      <c r="Z933" s="4"/>
      <c r="AA933" s="4"/>
    </row>
    <row r="934" spans="1:27" ht="16">
      <c r="A934" s="1"/>
      <c r="B934" s="2"/>
      <c r="C934" s="6"/>
      <c r="D934" s="2"/>
      <c r="E934" s="2"/>
      <c r="F934" s="2"/>
      <c r="G934" s="2"/>
      <c r="H934" s="1"/>
      <c r="I934" s="4"/>
      <c r="J934" s="4"/>
      <c r="K934" s="4"/>
      <c r="L934" s="4"/>
      <c r="M934" s="4"/>
      <c r="N934" s="4"/>
      <c r="O934" s="4"/>
      <c r="P934" s="4"/>
      <c r="Q934" s="4"/>
      <c r="R934" s="4"/>
      <c r="S934" s="4"/>
      <c r="T934" s="4"/>
      <c r="U934" s="4"/>
      <c r="V934" s="4"/>
      <c r="W934" s="4"/>
      <c r="X934" s="4"/>
      <c r="Y934" s="4"/>
      <c r="Z934" s="4"/>
      <c r="AA934" s="4"/>
    </row>
    <row r="935" spans="1:27" ht="16">
      <c r="A935" s="1"/>
      <c r="B935" s="2"/>
      <c r="C935" s="6"/>
      <c r="D935" s="2"/>
      <c r="E935" s="2"/>
      <c r="F935" s="2"/>
      <c r="G935" s="2"/>
      <c r="H935" s="1"/>
      <c r="I935" s="4"/>
      <c r="J935" s="4"/>
      <c r="K935" s="4"/>
      <c r="L935" s="4"/>
      <c r="M935" s="4"/>
      <c r="N935" s="4"/>
      <c r="O935" s="4"/>
      <c r="P935" s="4"/>
      <c r="Q935" s="4"/>
      <c r="R935" s="4"/>
      <c r="S935" s="4"/>
      <c r="T935" s="4"/>
      <c r="U935" s="4"/>
      <c r="V935" s="4"/>
      <c r="W935" s="4"/>
      <c r="X935" s="4"/>
      <c r="Y935" s="4"/>
      <c r="Z935" s="4"/>
      <c r="AA935" s="4"/>
    </row>
    <row r="936" spans="1:27" ht="16">
      <c r="A936" s="1"/>
      <c r="B936" s="2"/>
      <c r="C936" s="6"/>
      <c r="D936" s="2"/>
      <c r="E936" s="2"/>
      <c r="F936" s="2"/>
      <c r="G936" s="2"/>
      <c r="H936" s="1"/>
      <c r="I936" s="4"/>
      <c r="J936" s="4"/>
      <c r="K936" s="4"/>
      <c r="L936" s="4"/>
      <c r="M936" s="4"/>
      <c r="N936" s="4"/>
      <c r="O936" s="4"/>
      <c r="P936" s="4"/>
      <c r="Q936" s="4"/>
      <c r="R936" s="4"/>
      <c r="S936" s="4"/>
      <c r="T936" s="4"/>
      <c r="U936" s="4"/>
      <c r="V936" s="4"/>
      <c r="W936" s="4"/>
      <c r="X936" s="4"/>
      <c r="Y936" s="4"/>
      <c r="Z936" s="4"/>
      <c r="AA936" s="4"/>
    </row>
    <row r="937" spans="1:27" ht="16">
      <c r="A937" s="1"/>
      <c r="B937" s="2"/>
      <c r="C937" s="6"/>
      <c r="D937" s="2"/>
      <c r="E937" s="2"/>
      <c r="F937" s="2"/>
      <c r="G937" s="2"/>
      <c r="H937" s="1"/>
      <c r="I937" s="4"/>
      <c r="J937" s="4"/>
      <c r="K937" s="4"/>
      <c r="L937" s="4"/>
      <c r="M937" s="4"/>
      <c r="N937" s="4"/>
      <c r="O937" s="4"/>
      <c r="P937" s="4"/>
      <c r="Q937" s="4"/>
      <c r="R937" s="4"/>
      <c r="S937" s="4"/>
      <c r="T937" s="4"/>
      <c r="U937" s="4"/>
      <c r="V937" s="4"/>
      <c r="W937" s="4"/>
      <c r="X937" s="4"/>
      <c r="Y937" s="4"/>
      <c r="Z937" s="4"/>
      <c r="AA937" s="4"/>
    </row>
    <row r="938" spans="1:27" ht="16">
      <c r="A938" s="1"/>
      <c r="B938" s="2"/>
      <c r="C938" s="6"/>
      <c r="D938" s="2"/>
      <c r="E938" s="2"/>
      <c r="F938" s="2"/>
      <c r="G938" s="2"/>
      <c r="H938" s="1"/>
      <c r="I938" s="4"/>
      <c r="J938" s="4"/>
      <c r="K938" s="4"/>
      <c r="L938" s="4"/>
      <c r="M938" s="4"/>
      <c r="N938" s="4"/>
      <c r="O938" s="4"/>
      <c r="P938" s="4"/>
      <c r="Q938" s="4"/>
      <c r="R938" s="4"/>
      <c r="S938" s="4"/>
      <c r="T938" s="4"/>
      <c r="U938" s="4"/>
      <c r="V938" s="4"/>
      <c r="W938" s="4"/>
      <c r="X938" s="4"/>
      <c r="Y938" s="4"/>
      <c r="Z938" s="4"/>
      <c r="AA938" s="4"/>
    </row>
    <row r="939" spans="1:27" ht="16">
      <c r="A939" s="1"/>
      <c r="B939" s="2"/>
      <c r="C939" s="6"/>
      <c r="D939" s="2"/>
      <c r="E939" s="2"/>
      <c r="F939" s="2"/>
      <c r="G939" s="2"/>
      <c r="H939" s="1"/>
      <c r="I939" s="4"/>
      <c r="J939" s="4"/>
      <c r="K939" s="4"/>
      <c r="L939" s="4"/>
      <c r="M939" s="4"/>
      <c r="N939" s="4"/>
      <c r="O939" s="4"/>
      <c r="P939" s="4"/>
      <c r="Q939" s="4"/>
      <c r="R939" s="4"/>
      <c r="S939" s="4"/>
      <c r="T939" s="4"/>
      <c r="U939" s="4"/>
      <c r="V939" s="4"/>
      <c r="W939" s="4"/>
      <c r="X939" s="4"/>
      <c r="Y939" s="4"/>
      <c r="Z939" s="4"/>
      <c r="AA939" s="4"/>
    </row>
    <row r="940" spans="1:27" ht="16">
      <c r="A940" s="1"/>
      <c r="B940" s="2"/>
      <c r="C940" s="6"/>
      <c r="D940" s="2"/>
      <c r="E940" s="2"/>
      <c r="F940" s="2"/>
      <c r="G940" s="2"/>
      <c r="H940" s="1"/>
      <c r="I940" s="4"/>
      <c r="J940" s="4"/>
      <c r="K940" s="4"/>
      <c r="L940" s="4"/>
      <c r="M940" s="4"/>
      <c r="N940" s="4"/>
      <c r="O940" s="4"/>
      <c r="P940" s="4"/>
      <c r="Q940" s="4"/>
      <c r="R940" s="4"/>
      <c r="S940" s="4"/>
      <c r="T940" s="4"/>
      <c r="U940" s="4"/>
      <c r="V940" s="4"/>
      <c r="W940" s="4"/>
      <c r="X940" s="4"/>
      <c r="Y940" s="4"/>
      <c r="Z940" s="4"/>
      <c r="AA940" s="4"/>
    </row>
    <row r="941" spans="1:27" ht="16">
      <c r="A941" s="1"/>
      <c r="B941" s="2"/>
      <c r="C941" s="6"/>
      <c r="D941" s="2"/>
      <c r="E941" s="2"/>
      <c r="F941" s="2"/>
      <c r="G941" s="2"/>
      <c r="H941" s="1"/>
      <c r="I941" s="4"/>
      <c r="J941" s="4"/>
      <c r="K941" s="4"/>
      <c r="L941" s="4"/>
      <c r="M941" s="4"/>
      <c r="N941" s="4"/>
      <c r="O941" s="4"/>
      <c r="P941" s="4"/>
      <c r="Q941" s="4"/>
      <c r="R941" s="4"/>
      <c r="S941" s="4"/>
      <c r="T941" s="4"/>
      <c r="U941" s="4"/>
      <c r="V941" s="4"/>
      <c r="W941" s="4"/>
      <c r="X941" s="4"/>
      <c r="Y941" s="4"/>
      <c r="Z941" s="4"/>
      <c r="AA941" s="4"/>
    </row>
    <row r="942" spans="1:27" ht="16">
      <c r="A942" s="1"/>
      <c r="B942" s="2"/>
      <c r="C942" s="6"/>
      <c r="D942" s="2"/>
      <c r="E942" s="2"/>
      <c r="F942" s="2"/>
      <c r="G942" s="2"/>
      <c r="H942" s="1"/>
      <c r="I942" s="4"/>
      <c r="J942" s="4"/>
      <c r="K942" s="4"/>
      <c r="L942" s="4"/>
      <c r="M942" s="4"/>
      <c r="N942" s="4"/>
      <c r="O942" s="4"/>
      <c r="P942" s="4"/>
      <c r="Q942" s="4"/>
      <c r="R942" s="4"/>
      <c r="S942" s="4"/>
      <c r="T942" s="4"/>
      <c r="U942" s="4"/>
      <c r="V942" s="4"/>
      <c r="W942" s="4"/>
      <c r="X942" s="4"/>
      <c r="Y942" s="4"/>
      <c r="Z942" s="4"/>
      <c r="AA942" s="4"/>
    </row>
    <row r="943" spans="1:27" ht="16">
      <c r="A943" s="1"/>
      <c r="B943" s="2"/>
      <c r="C943" s="6"/>
      <c r="D943" s="2"/>
      <c r="E943" s="2"/>
      <c r="F943" s="2"/>
      <c r="G943" s="2"/>
      <c r="H943" s="1"/>
      <c r="I943" s="4"/>
      <c r="J943" s="4"/>
      <c r="K943" s="4"/>
      <c r="L943" s="4"/>
      <c r="M943" s="4"/>
      <c r="N943" s="4"/>
      <c r="O943" s="4"/>
      <c r="P943" s="4"/>
      <c r="Q943" s="4"/>
      <c r="R943" s="4"/>
      <c r="S943" s="4"/>
      <c r="T943" s="4"/>
      <c r="U943" s="4"/>
      <c r="V943" s="4"/>
      <c r="W943" s="4"/>
      <c r="X943" s="4"/>
      <c r="Y943" s="4"/>
      <c r="Z943" s="4"/>
      <c r="AA943" s="4"/>
    </row>
    <row r="944" spans="1:27" ht="16">
      <c r="A944" s="1"/>
      <c r="B944" s="2"/>
      <c r="C944" s="6"/>
      <c r="D944" s="2"/>
      <c r="E944" s="2"/>
      <c r="F944" s="2"/>
      <c r="G944" s="2"/>
      <c r="H944" s="1"/>
      <c r="I944" s="4"/>
      <c r="J944" s="4"/>
      <c r="K944" s="4"/>
      <c r="L944" s="4"/>
      <c r="M944" s="4"/>
      <c r="N944" s="4"/>
      <c r="O944" s="4"/>
      <c r="P944" s="4"/>
      <c r="Q944" s="4"/>
      <c r="R944" s="4"/>
      <c r="S944" s="4"/>
      <c r="T944" s="4"/>
      <c r="U944" s="4"/>
      <c r="V944" s="4"/>
      <c r="W944" s="4"/>
      <c r="X944" s="4"/>
      <c r="Y944" s="4"/>
      <c r="Z944" s="4"/>
      <c r="AA944" s="4"/>
    </row>
    <row r="945" spans="1:27" ht="16">
      <c r="A945" s="1"/>
      <c r="B945" s="2"/>
      <c r="C945" s="6"/>
      <c r="D945" s="2"/>
      <c r="E945" s="2"/>
      <c r="F945" s="2"/>
      <c r="G945" s="2"/>
      <c r="H945" s="1"/>
      <c r="I945" s="4"/>
      <c r="J945" s="4"/>
      <c r="K945" s="4"/>
      <c r="L945" s="4"/>
      <c r="M945" s="4"/>
      <c r="N945" s="4"/>
      <c r="O945" s="4"/>
      <c r="P945" s="4"/>
      <c r="Q945" s="4"/>
      <c r="R945" s="4"/>
      <c r="S945" s="4"/>
      <c r="T945" s="4"/>
      <c r="U945" s="4"/>
      <c r="V945" s="4"/>
      <c r="W945" s="4"/>
      <c r="X945" s="4"/>
      <c r="Y945" s="4"/>
      <c r="Z945" s="4"/>
      <c r="AA945" s="4"/>
    </row>
    <row r="946" spans="1:27" ht="16">
      <c r="A946" s="1"/>
      <c r="B946" s="2"/>
      <c r="C946" s="6"/>
      <c r="D946" s="2"/>
      <c r="E946" s="2"/>
      <c r="F946" s="2"/>
      <c r="G946" s="2"/>
      <c r="H946" s="1"/>
      <c r="I946" s="4"/>
      <c r="J946" s="4"/>
      <c r="K946" s="4"/>
      <c r="L946" s="4"/>
      <c r="M946" s="4"/>
      <c r="N946" s="4"/>
      <c r="O946" s="4"/>
      <c r="P946" s="4"/>
      <c r="Q946" s="4"/>
      <c r="R946" s="4"/>
      <c r="S946" s="4"/>
      <c r="T946" s="4"/>
      <c r="U946" s="4"/>
      <c r="V946" s="4"/>
      <c r="W946" s="4"/>
      <c r="X946" s="4"/>
      <c r="Y946" s="4"/>
      <c r="Z946" s="4"/>
      <c r="AA946" s="4"/>
    </row>
    <row r="947" spans="1:27" ht="16">
      <c r="A947" s="1"/>
      <c r="B947" s="2"/>
      <c r="C947" s="6"/>
      <c r="D947" s="2"/>
      <c r="E947" s="2"/>
      <c r="F947" s="2"/>
      <c r="G947" s="2"/>
      <c r="H947" s="1"/>
      <c r="I947" s="4"/>
      <c r="J947" s="4"/>
      <c r="K947" s="4"/>
      <c r="L947" s="4"/>
      <c r="M947" s="4"/>
      <c r="N947" s="4"/>
      <c r="O947" s="4"/>
      <c r="P947" s="4"/>
      <c r="Q947" s="4"/>
      <c r="R947" s="4"/>
      <c r="S947" s="4"/>
      <c r="T947" s="4"/>
      <c r="U947" s="4"/>
      <c r="V947" s="4"/>
      <c r="W947" s="4"/>
      <c r="X947" s="4"/>
      <c r="Y947" s="4"/>
      <c r="Z947" s="4"/>
      <c r="AA947" s="4"/>
    </row>
    <row r="948" spans="1:27" ht="16">
      <c r="A948" s="1"/>
      <c r="B948" s="2"/>
      <c r="C948" s="6"/>
      <c r="D948" s="2"/>
      <c r="E948" s="2"/>
      <c r="F948" s="2"/>
      <c r="G948" s="2"/>
      <c r="H948" s="1"/>
      <c r="I948" s="4"/>
      <c r="J948" s="4"/>
      <c r="K948" s="4"/>
      <c r="L948" s="4"/>
      <c r="M948" s="4"/>
      <c r="N948" s="4"/>
      <c r="O948" s="4"/>
      <c r="P948" s="4"/>
      <c r="Q948" s="4"/>
      <c r="R948" s="4"/>
      <c r="S948" s="4"/>
      <c r="T948" s="4"/>
      <c r="U948" s="4"/>
      <c r="V948" s="4"/>
      <c r="W948" s="4"/>
      <c r="X948" s="4"/>
      <c r="Y948" s="4"/>
      <c r="Z948" s="4"/>
      <c r="AA948" s="4"/>
    </row>
    <row r="949" spans="1:27" ht="16">
      <c r="A949" s="1"/>
      <c r="B949" s="2"/>
      <c r="C949" s="6"/>
      <c r="D949" s="2"/>
      <c r="E949" s="2"/>
      <c r="F949" s="2"/>
      <c r="G949" s="2"/>
      <c r="H949" s="1"/>
      <c r="I949" s="4"/>
      <c r="J949" s="4"/>
      <c r="K949" s="4"/>
      <c r="L949" s="4"/>
      <c r="M949" s="4"/>
      <c r="N949" s="4"/>
      <c r="O949" s="4"/>
      <c r="P949" s="4"/>
      <c r="Q949" s="4"/>
      <c r="R949" s="4"/>
      <c r="S949" s="4"/>
      <c r="T949" s="4"/>
      <c r="U949" s="4"/>
      <c r="V949" s="4"/>
      <c r="W949" s="4"/>
      <c r="X949" s="4"/>
      <c r="Y949" s="4"/>
      <c r="Z949" s="4"/>
      <c r="AA949" s="4"/>
    </row>
    <row r="950" spans="1:27" ht="16">
      <c r="A950" s="1"/>
      <c r="B950" s="2"/>
      <c r="C950" s="6"/>
      <c r="D950" s="2"/>
      <c r="E950" s="2"/>
      <c r="F950" s="2"/>
      <c r="G950" s="2"/>
      <c r="H950" s="1"/>
      <c r="I950" s="4"/>
      <c r="J950" s="4"/>
      <c r="K950" s="4"/>
      <c r="L950" s="4"/>
      <c r="M950" s="4"/>
      <c r="N950" s="4"/>
      <c r="O950" s="4"/>
      <c r="P950" s="4"/>
      <c r="Q950" s="4"/>
      <c r="R950" s="4"/>
      <c r="S950" s="4"/>
      <c r="T950" s="4"/>
      <c r="U950" s="4"/>
      <c r="V950" s="4"/>
      <c r="W950" s="4"/>
      <c r="X950" s="4"/>
      <c r="Y950" s="4"/>
      <c r="Z950" s="4"/>
      <c r="AA950" s="4"/>
    </row>
    <row r="951" spans="1:27" ht="16">
      <c r="A951" s="1"/>
      <c r="B951" s="2"/>
      <c r="C951" s="6"/>
      <c r="D951" s="2"/>
      <c r="E951" s="2"/>
      <c r="F951" s="2"/>
      <c r="G951" s="2"/>
      <c r="H951" s="1"/>
      <c r="I951" s="4"/>
      <c r="J951" s="4"/>
      <c r="K951" s="4"/>
      <c r="L951" s="4"/>
      <c r="M951" s="4"/>
      <c r="N951" s="4"/>
      <c r="O951" s="4"/>
      <c r="P951" s="4"/>
      <c r="Q951" s="4"/>
      <c r="R951" s="4"/>
      <c r="S951" s="4"/>
      <c r="T951" s="4"/>
      <c r="U951" s="4"/>
      <c r="V951" s="4"/>
      <c r="W951" s="4"/>
      <c r="X951" s="4"/>
      <c r="Y951" s="4"/>
      <c r="Z951" s="4"/>
      <c r="AA951" s="4"/>
    </row>
    <row r="952" spans="1:27" ht="16">
      <c r="A952" s="1"/>
      <c r="B952" s="2"/>
      <c r="C952" s="6"/>
      <c r="D952" s="2"/>
      <c r="E952" s="2"/>
      <c r="F952" s="2"/>
      <c r="G952" s="2"/>
      <c r="H952" s="1"/>
      <c r="I952" s="4"/>
      <c r="J952" s="4"/>
      <c r="K952" s="4"/>
      <c r="L952" s="4"/>
      <c r="M952" s="4"/>
      <c r="N952" s="4"/>
      <c r="O952" s="4"/>
      <c r="P952" s="4"/>
      <c r="Q952" s="4"/>
      <c r="R952" s="4"/>
      <c r="S952" s="4"/>
      <c r="T952" s="4"/>
      <c r="U952" s="4"/>
      <c r="V952" s="4"/>
      <c r="W952" s="4"/>
      <c r="X952" s="4"/>
      <c r="Y952" s="4"/>
      <c r="Z952" s="4"/>
      <c r="AA952" s="4"/>
    </row>
    <row r="953" spans="1:27" ht="16">
      <c r="A953" s="1"/>
      <c r="B953" s="2"/>
      <c r="C953" s="6"/>
      <c r="D953" s="2"/>
      <c r="E953" s="2"/>
      <c r="F953" s="2"/>
      <c r="G953" s="2"/>
      <c r="H953" s="1"/>
      <c r="I953" s="4"/>
      <c r="J953" s="4"/>
      <c r="K953" s="4"/>
      <c r="L953" s="4"/>
      <c r="M953" s="4"/>
      <c r="N953" s="4"/>
      <c r="O953" s="4"/>
      <c r="P953" s="4"/>
      <c r="Q953" s="4"/>
      <c r="R953" s="4"/>
      <c r="S953" s="4"/>
      <c r="T953" s="4"/>
      <c r="U953" s="4"/>
      <c r="V953" s="4"/>
      <c r="W953" s="4"/>
      <c r="X953" s="4"/>
      <c r="Y953" s="4"/>
      <c r="Z953" s="4"/>
      <c r="AA953" s="4"/>
    </row>
    <row r="954" spans="1:27" ht="16">
      <c r="A954" s="1"/>
      <c r="B954" s="2"/>
      <c r="C954" s="6"/>
      <c r="D954" s="2"/>
      <c r="E954" s="2"/>
      <c r="F954" s="2"/>
      <c r="G954" s="2"/>
      <c r="H954" s="1"/>
      <c r="I954" s="4"/>
      <c r="J954" s="4"/>
      <c r="K954" s="4"/>
      <c r="L954" s="4"/>
      <c r="M954" s="4"/>
      <c r="N954" s="4"/>
      <c r="O954" s="4"/>
      <c r="P954" s="4"/>
      <c r="Q954" s="4"/>
      <c r="R954" s="4"/>
      <c r="S954" s="4"/>
      <c r="T954" s="4"/>
      <c r="U954" s="4"/>
      <c r="V954" s="4"/>
      <c r="W954" s="4"/>
      <c r="X954" s="4"/>
      <c r="Y954" s="4"/>
      <c r="Z954" s="4"/>
      <c r="AA954" s="4"/>
    </row>
    <row r="955" spans="1:27" ht="16">
      <c r="A955" s="1"/>
      <c r="B955" s="2"/>
      <c r="C955" s="6"/>
      <c r="D955" s="2"/>
      <c r="E955" s="2"/>
      <c r="F955" s="2"/>
      <c r="G955" s="2"/>
      <c r="H955" s="1"/>
      <c r="I955" s="4"/>
      <c r="J955" s="4"/>
      <c r="K955" s="4"/>
      <c r="L955" s="4"/>
      <c r="M955" s="4"/>
      <c r="N955" s="4"/>
      <c r="O955" s="4"/>
      <c r="P955" s="4"/>
      <c r="Q955" s="4"/>
      <c r="R955" s="4"/>
      <c r="S955" s="4"/>
      <c r="T955" s="4"/>
      <c r="U955" s="4"/>
      <c r="V955" s="4"/>
      <c r="W955" s="4"/>
      <c r="X955" s="4"/>
      <c r="Y955" s="4"/>
      <c r="Z955" s="4"/>
      <c r="AA955" s="4"/>
    </row>
    <row r="956" spans="1:27" ht="16">
      <c r="A956" s="1"/>
      <c r="B956" s="2"/>
      <c r="C956" s="6"/>
      <c r="D956" s="2"/>
      <c r="E956" s="2"/>
      <c r="F956" s="2"/>
      <c r="G956" s="2"/>
      <c r="H956" s="1"/>
      <c r="I956" s="4"/>
      <c r="J956" s="4"/>
      <c r="K956" s="4"/>
      <c r="L956" s="4"/>
      <c r="M956" s="4"/>
      <c r="N956" s="4"/>
      <c r="O956" s="4"/>
      <c r="P956" s="4"/>
      <c r="Q956" s="4"/>
      <c r="R956" s="4"/>
      <c r="S956" s="4"/>
      <c r="T956" s="4"/>
      <c r="U956" s="4"/>
      <c r="V956" s="4"/>
      <c r="W956" s="4"/>
      <c r="X956" s="4"/>
      <c r="Y956" s="4"/>
      <c r="Z956" s="4"/>
      <c r="AA956" s="4"/>
    </row>
    <row r="957" spans="1:27" ht="16">
      <c r="A957" s="1"/>
      <c r="B957" s="2"/>
      <c r="C957" s="6"/>
      <c r="D957" s="2"/>
      <c r="E957" s="2"/>
      <c r="F957" s="2"/>
      <c r="G957" s="2"/>
      <c r="H957" s="1"/>
      <c r="I957" s="4"/>
      <c r="J957" s="4"/>
      <c r="K957" s="4"/>
      <c r="L957" s="4"/>
      <c r="M957" s="4"/>
      <c r="N957" s="4"/>
      <c r="O957" s="4"/>
      <c r="P957" s="4"/>
      <c r="Q957" s="4"/>
      <c r="R957" s="4"/>
      <c r="S957" s="4"/>
      <c r="T957" s="4"/>
      <c r="U957" s="4"/>
      <c r="V957" s="4"/>
      <c r="W957" s="4"/>
      <c r="X957" s="4"/>
      <c r="Y957" s="4"/>
      <c r="Z957" s="4"/>
      <c r="AA957" s="4"/>
    </row>
    <row r="958" spans="1:27" ht="16">
      <c r="A958" s="1"/>
      <c r="B958" s="2"/>
      <c r="C958" s="6"/>
      <c r="D958" s="2"/>
      <c r="E958" s="2"/>
      <c r="F958" s="2"/>
      <c r="G958" s="2"/>
      <c r="H958" s="1"/>
      <c r="I958" s="4"/>
      <c r="J958" s="4"/>
      <c r="K958" s="4"/>
      <c r="L958" s="4"/>
      <c r="M958" s="4"/>
      <c r="N958" s="4"/>
      <c r="O958" s="4"/>
      <c r="P958" s="4"/>
      <c r="Q958" s="4"/>
      <c r="R958" s="4"/>
      <c r="S958" s="4"/>
      <c r="T958" s="4"/>
      <c r="U958" s="4"/>
      <c r="V958" s="4"/>
      <c r="W958" s="4"/>
      <c r="X958" s="4"/>
      <c r="Y958" s="4"/>
      <c r="Z958" s="4"/>
      <c r="AA958" s="4"/>
    </row>
    <row r="959" spans="1:27" ht="16">
      <c r="A959" s="1"/>
      <c r="B959" s="2"/>
      <c r="C959" s="6"/>
      <c r="D959" s="2"/>
      <c r="E959" s="2"/>
      <c r="F959" s="2"/>
      <c r="G959" s="2"/>
      <c r="H959" s="1"/>
      <c r="I959" s="4"/>
      <c r="J959" s="4"/>
      <c r="K959" s="4"/>
      <c r="L959" s="4"/>
      <c r="M959" s="4"/>
      <c r="N959" s="4"/>
      <c r="O959" s="4"/>
      <c r="P959" s="4"/>
      <c r="Q959" s="4"/>
      <c r="R959" s="4"/>
      <c r="S959" s="4"/>
      <c r="T959" s="4"/>
      <c r="U959" s="4"/>
      <c r="V959" s="4"/>
      <c r="W959" s="4"/>
      <c r="X959" s="4"/>
      <c r="Y959" s="4"/>
      <c r="Z959" s="4"/>
      <c r="AA959" s="4"/>
    </row>
    <row r="960" spans="1:27" ht="16">
      <c r="A960" s="1"/>
      <c r="B960" s="2"/>
      <c r="C960" s="6"/>
      <c r="D960" s="2"/>
      <c r="E960" s="2"/>
      <c r="F960" s="2"/>
      <c r="G960" s="2"/>
      <c r="H960" s="1"/>
      <c r="I960" s="4"/>
      <c r="J960" s="4"/>
      <c r="K960" s="4"/>
      <c r="L960" s="4"/>
      <c r="M960" s="4"/>
      <c r="N960" s="4"/>
      <c r="O960" s="4"/>
      <c r="P960" s="4"/>
      <c r="Q960" s="4"/>
      <c r="R960" s="4"/>
      <c r="S960" s="4"/>
      <c r="T960" s="4"/>
      <c r="U960" s="4"/>
      <c r="V960" s="4"/>
      <c r="W960" s="4"/>
      <c r="X960" s="4"/>
      <c r="Y960" s="4"/>
      <c r="Z960" s="4"/>
      <c r="AA960" s="4"/>
    </row>
    <row r="961" spans="1:27" ht="16">
      <c r="A961" s="1"/>
      <c r="B961" s="2"/>
      <c r="C961" s="6"/>
      <c r="D961" s="2"/>
      <c r="E961" s="2"/>
      <c r="F961" s="2"/>
      <c r="G961" s="2"/>
      <c r="H961" s="1"/>
      <c r="I961" s="4"/>
      <c r="J961" s="4"/>
      <c r="K961" s="4"/>
      <c r="L961" s="4"/>
      <c r="M961" s="4"/>
      <c r="N961" s="4"/>
      <c r="O961" s="4"/>
      <c r="P961" s="4"/>
      <c r="Q961" s="4"/>
      <c r="R961" s="4"/>
      <c r="S961" s="4"/>
      <c r="T961" s="4"/>
      <c r="U961" s="4"/>
      <c r="V961" s="4"/>
      <c r="W961" s="4"/>
      <c r="X961" s="4"/>
      <c r="Y961" s="4"/>
      <c r="Z961" s="4"/>
      <c r="AA961" s="4"/>
    </row>
    <row r="962" spans="1:27" ht="16">
      <c r="A962" s="1"/>
      <c r="B962" s="2"/>
      <c r="C962" s="6"/>
      <c r="D962" s="2"/>
      <c r="E962" s="2"/>
      <c r="F962" s="2"/>
      <c r="G962" s="2"/>
      <c r="H962" s="1"/>
      <c r="I962" s="4"/>
      <c r="J962" s="4"/>
      <c r="K962" s="4"/>
      <c r="L962" s="4"/>
      <c r="M962" s="4"/>
      <c r="N962" s="4"/>
      <c r="O962" s="4"/>
      <c r="P962" s="4"/>
      <c r="Q962" s="4"/>
      <c r="R962" s="4"/>
      <c r="S962" s="4"/>
      <c r="T962" s="4"/>
      <c r="U962" s="4"/>
      <c r="V962" s="4"/>
      <c r="W962" s="4"/>
      <c r="X962" s="4"/>
      <c r="Y962" s="4"/>
      <c r="Z962" s="4"/>
      <c r="AA962" s="4"/>
    </row>
    <row r="963" spans="1:27" ht="16">
      <c r="A963" s="1"/>
      <c r="B963" s="2"/>
      <c r="C963" s="6"/>
      <c r="D963" s="2"/>
      <c r="E963" s="2"/>
      <c r="F963" s="2"/>
      <c r="G963" s="2"/>
      <c r="H963" s="1"/>
      <c r="I963" s="4"/>
      <c r="J963" s="4"/>
      <c r="K963" s="4"/>
      <c r="L963" s="4"/>
      <c r="M963" s="4"/>
      <c r="N963" s="4"/>
      <c r="O963" s="4"/>
      <c r="P963" s="4"/>
      <c r="Q963" s="4"/>
      <c r="R963" s="4"/>
      <c r="S963" s="4"/>
      <c r="T963" s="4"/>
      <c r="U963" s="4"/>
      <c r="V963" s="4"/>
      <c r="W963" s="4"/>
      <c r="X963" s="4"/>
      <c r="Y963" s="4"/>
      <c r="Z963" s="4"/>
      <c r="AA963" s="4"/>
    </row>
    <row r="964" spans="1:27" ht="16">
      <c r="A964" s="1"/>
      <c r="B964" s="2"/>
      <c r="C964" s="6"/>
      <c r="D964" s="2"/>
      <c r="E964" s="2"/>
      <c r="F964" s="2"/>
      <c r="G964" s="2"/>
      <c r="H964" s="1"/>
      <c r="I964" s="4"/>
      <c r="J964" s="4"/>
      <c r="K964" s="4"/>
      <c r="L964" s="4"/>
      <c r="M964" s="4"/>
      <c r="N964" s="4"/>
      <c r="O964" s="4"/>
      <c r="P964" s="4"/>
      <c r="Q964" s="4"/>
      <c r="R964" s="4"/>
      <c r="S964" s="4"/>
      <c r="T964" s="4"/>
      <c r="U964" s="4"/>
      <c r="V964" s="4"/>
      <c r="W964" s="4"/>
      <c r="X964" s="4"/>
      <c r="Y964" s="4"/>
      <c r="Z964" s="4"/>
      <c r="AA964" s="4"/>
    </row>
    <row r="965" spans="1:27" ht="16">
      <c r="A965" s="1"/>
      <c r="B965" s="2"/>
      <c r="C965" s="6"/>
      <c r="D965" s="2"/>
      <c r="E965" s="2"/>
      <c r="F965" s="2"/>
      <c r="G965" s="2"/>
      <c r="H965" s="1"/>
      <c r="I965" s="4"/>
      <c r="J965" s="4"/>
      <c r="K965" s="4"/>
      <c r="L965" s="4"/>
      <c r="M965" s="4"/>
      <c r="N965" s="4"/>
      <c r="O965" s="4"/>
      <c r="P965" s="4"/>
      <c r="Q965" s="4"/>
      <c r="R965" s="4"/>
      <c r="S965" s="4"/>
      <c r="T965" s="4"/>
      <c r="U965" s="4"/>
      <c r="V965" s="4"/>
      <c r="W965" s="4"/>
      <c r="X965" s="4"/>
      <c r="Y965" s="4"/>
      <c r="Z965" s="4"/>
      <c r="AA965" s="4"/>
    </row>
    <row r="966" spans="1:27" ht="16">
      <c r="A966" s="1"/>
      <c r="B966" s="2"/>
      <c r="C966" s="6"/>
      <c r="D966" s="2"/>
      <c r="E966" s="2"/>
      <c r="F966" s="2"/>
      <c r="G966" s="2"/>
      <c r="H966" s="1"/>
      <c r="I966" s="4"/>
      <c r="J966" s="4"/>
      <c r="K966" s="4"/>
      <c r="L966" s="4"/>
      <c r="M966" s="4"/>
      <c r="N966" s="4"/>
      <c r="O966" s="4"/>
      <c r="P966" s="4"/>
      <c r="Q966" s="4"/>
      <c r="R966" s="4"/>
      <c r="S966" s="4"/>
      <c r="T966" s="4"/>
      <c r="U966" s="4"/>
      <c r="V966" s="4"/>
      <c r="W966" s="4"/>
      <c r="X966" s="4"/>
      <c r="Y966" s="4"/>
      <c r="Z966" s="4"/>
      <c r="AA966" s="4"/>
    </row>
    <row r="967" spans="1:27" ht="16">
      <c r="A967" s="1"/>
      <c r="B967" s="2"/>
      <c r="C967" s="6"/>
      <c r="D967" s="2"/>
      <c r="E967" s="2"/>
      <c r="F967" s="2"/>
      <c r="G967" s="2"/>
      <c r="H967" s="1"/>
      <c r="I967" s="4"/>
      <c r="J967" s="4"/>
      <c r="K967" s="4"/>
      <c r="L967" s="4"/>
      <c r="M967" s="4"/>
      <c r="N967" s="4"/>
      <c r="O967" s="4"/>
      <c r="P967" s="4"/>
      <c r="Q967" s="4"/>
      <c r="R967" s="4"/>
      <c r="S967" s="4"/>
      <c r="T967" s="4"/>
      <c r="U967" s="4"/>
      <c r="V967" s="4"/>
      <c r="W967" s="4"/>
      <c r="X967" s="4"/>
      <c r="Y967" s="4"/>
      <c r="Z967" s="4"/>
      <c r="AA967" s="4"/>
    </row>
    <row r="968" spans="1:27" ht="16">
      <c r="A968" s="1"/>
      <c r="B968" s="2"/>
      <c r="C968" s="6"/>
      <c r="D968" s="2"/>
      <c r="E968" s="2"/>
      <c r="F968" s="2"/>
      <c r="G968" s="2"/>
      <c r="H968" s="1"/>
      <c r="I968" s="4"/>
      <c r="J968" s="4"/>
      <c r="K968" s="4"/>
      <c r="L968" s="4"/>
      <c r="M968" s="4"/>
      <c r="N968" s="4"/>
      <c r="O968" s="4"/>
      <c r="P968" s="4"/>
      <c r="Q968" s="4"/>
      <c r="R968" s="4"/>
      <c r="S968" s="4"/>
      <c r="T968" s="4"/>
      <c r="U968" s="4"/>
      <c r="V968" s="4"/>
      <c r="W968" s="4"/>
      <c r="X968" s="4"/>
      <c r="Y968" s="4"/>
      <c r="Z968" s="4"/>
      <c r="AA968" s="4"/>
    </row>
    <row r="969" spans="1:27" ht="16">
      <c r="A969" s="1"/>
      <c r="B969" s="2"/>
      <c r="C969" s="6"/>
      <c r="D969" s="2"/>
      <c r="E969" s="2"/>
      <c r="F969" s="2"/>
      <c r="G969" s="2"/>
      <c r="H969" s="1"/>
      <c r="I969" s="4"/>
      <c r="J969" s="4"/>
      <c r="K969" s="4"/>
      <c r="L969" s="4"/>
      <c r="M969" s="4"/>
      <c r="N969" s="4"/>
      <c r="O969" s="4"/>
      <c r="P969" s="4"/>
      <c r="Q969" s="4"/>
      <c r="R969" s="4"/>
      <c r="S969" s="4"/>
      <c r="T969" s="4"/>
      <c r="U969" s="4"/>
      <c r="V969" s="4"/>
      <c r="W969" s="4"/>
      <c r="X969" s="4"/>
      <c r="Y969" s="4"/>
      <c r="Z969" s="4"/>
      <c r="AA969" s="4"/>
    </row>
    <row r="970" spans="1:27" ht="16">
      <c r="A970" s="1"/>
      <c r="B970" s="2"/>
      <c r="C970" s="6"/>
      <c r="D970" s="2"/>
      <c r="E970" s="2"/>
      <c r="F970" s="2"/>
      <c r="G970" s="2"/>
      <c r="H970" s="1"/>
      <c r="I970" s="4"/>
      <c r="J970" s="4"/>
      <c r="K970" s="4"/>
      <c r="L970" s="4"/>
      <c r="M970" s="4"/>
      <c r="N970" s="4"/>
      <c r="O970" s="4"/>
      <c r="P970" s="4"/>
      <c r="Q970" s="4"/>
      <c r="R970" s="4"/>
      <c r="S970" s="4"/>
      <c r="T970" s="4"/>
      <c r="U970" s="4"/>
      <c r="V970" s="4"/>
      <c r="W970" s="4"/>
      <c r="X970" s="4"/>
      <c r="Y970" s="4"/>
      <c r="Z970" s="4"/>
      <c r="AA970" s="4"/>
    </row>
    <row r="971" spans="1:27" ht="16">
      <c r="A971" s="1"/>
      <c r="B971" s="2"/>
      <c r="C971" s="6"/>
      <c r="D971" s="2"/>
      <c r="E971" s="2"/>
      <c r="F971" s="2"/>
      <c r="G971" s="2"/>
      <c r="H971" s="1"/>
      <c r="I971" s="4"/>
      <c r="J971" s="4"/>
      <c r="K971" s="4"/>
      <c r="L971" s="4"/>
      <c r="M971" s="4"/>
      <c r="N971" s="4"/>
      <c r="O971" s="4"/>
      <c r="P971" s="4"/>
      <c r="Q971" s="4"/>
      <c r="R971" s="4"/>
      <c r="S971" s="4"/>
      <c r="T971" s="4"/>
      <c r="U971" s="4"/>
      <c r="V971" s="4"/>
      <c r="W971" s="4"/>
      <c r="X971" s="4"/>
      <c r="Y971" s="4"/>
      <c r="Z971" s="4"/>
      <c r="AA971" s="4"/>
    </row>
    <row r="972" spans="1:27" ht="16">
      <c r="A972" s="1"/>
      <c r="B972" s="2"/>
      <c r="C972" s="6"/>
      <c r="D972" s="2"/>
      <c r="E972" s="2"/>
      <c r="F972" s="2"/>
      <c r="G972" s="2"/>
      <c r="H972" s="1"/>
      <c r="I972" s="4"/>
      <c r="J972" s="4"/>
      <c r="K972" s="4"/>
      <c r="L972" s="4"/>
      <c r="M972" s="4"/>
      <c r="N972" s="4"/>
      <c r="O972" s="4"/>
      <c r="P972" s="4"/>
      <c r="Q972" s="4"/>
      <c r="R972" s="4"/>
      <c r="S972" s="4"/>
      <c r="T972" s="4"/>
      <c r="U972" s="4"/>
      <c r="V972" s="4"/>
      <c r="W972" s="4"/>
      <c r="X972" s="4"/>
      <c r="Y972" s="4"/>
      <c r="Z972" s="4"/>
      <c r="AA972" s="4"/>
    </row>
    <row r="973" spans="1:27" ht="16">
      <c r="A973" s="1"/>
      <c r="B973" s="2"/>
      <c r="C973" s="6"/>
      <c r="D973" s="2"/>
      <c r="E973" s="2"/>
      <c r="F973" s="2"/>
      <c r="G973" s="2"/>
      <c r="H973" s="1"/>
      <c r="I973" s="4"/>
      <c r="J973" s="4"/>
      <c r="K973" s="4"/>
      <c r="L973" s="4"/>
      <c r="M973" s="4"/>
      <c r="N973" s="4"/>
      <c r="O973" s="4"/>
      <c r="P973" s="4"/>
      <c r="Q973" s="4"/>
      <c r="R973" s="4"/>
      <c r="S973" s="4"/>
      <c r="T973" s="4"/>
      <c r="U973" s="4"/>
      <c r="V973" s="4"/>
      <c r="W973" s="4"/>
      <c r="X973" s="4"/>
      <c r="Y973" s="4"/>
      <c r="Z973" s="4"/>
      <c r="AA973" s="4"/>
    </row>
    <row r="974" spans="1:27" ht="16">
      <c r="A974" s="1"/>
      <c r="B974" s="2"/>
      <c r="C974" s="6"/>
      <c r="D974" s="2"/>
      <c r="E974" s="2"/>
      <c r="F974" s="2"/>
      <c r="G974" s="2"/>
      <c r="H974" s="1"/>
      <c r="I974" s="4"/>
      <c r="J974" s="4"/>
      <c r="K974" s="4"/>
      <c r="L974" s="4"/>
      <c r="M974" s="4"/>
      <c r="N974" s="4"/>
      <c r="O974" s="4"/>
      <c r="P974" s="4"/>
      <c r="Q974" s="4"/>
      <c r="R974" s="4"/>
      <c r="S974" s="4"/>
      <c r="T974" s="4"/>
      <c r="U974" s="4"/>
      <c r="V974" s="4"/>
      <c r="W974" s="4"/>
      <c r="X974" s="4"/>
      <c r="Y974" s="4"/>
      <c r="Z974" s="4"/>
      <c r="AA974" s="4"/>
    </row>
    <row r="975" spans="1:27" ht="16">
      <c r="A975" s="1"/>
      <c r="B975" s="2"/>
      <c r="C975" s="6"/>
      <c r="D975" s="2"/>
      <c r="E975" s="2"/>
      <c r="F975" s="2"/>
      <c r="G975" s="2"/>
      <c r="H975" s="1"/>
      <c r="I975" s="4"/>
      <c r="J975" s="4"/>
      <c r="K975" s="4"/>
      <c r="L975" s="4"/>
      <c r="M975" s="4"/>
      <c r="N975" s="4"/>
      <c r="O975" s="4"/>
      <c r="P975" s="4"/>
      <c r="Q975" s="4"/>
      <c r="R975" s="4"/>
      <c r="S975" s="4"/>
      <c r="T975" s="4"/>
      <c r="U975" s="4"/>
      <c r="V975" s="4"/>
      <c r="W975" s="4"/>
      <c r="X975" s="4"/>
      <c r="Y975" s="4"/>
      <c r="Z975" s="4"/>
      <c r="AA975" s="4"/>
    </row>
    <row r="976" spans="1:27" ht="16">
      <c r="A976" s="1"/>
      <c r="B976" s="2"/>
      <c r="C976" s="6"/>
      <c r="D976" s="2"/>
      <c r="E976" s="2"/>
      <c r="F976" s="2"/>
      <c r="G976" s="2"/>
      <c r="H976" s="1"/>
      <c r="I976" s="4"/>
      <c r="J976" s="4"/>
      <c r="K976" s="4"/>
      <c r="L976" s="4"/>
      <c r="M976" s="4"/>
      <c r="N976" s="4"/>
      <c r="O976" s="4"/>
      <c r="P976" s="4"/>
      <c r="Q976" s="4"/>
      <c r="R976" s="4"/>
      <c r="S976" s="4"/>
      <c r="T976" s="4"/>
      <c r="U976" s="4"/>
      <c r="V976" s="4"/>
      <c r="W976" s="4"/>
      <c r="X976" s="4"/>
      <c r="Y976" s="4"/>
      <c r="Z976" s="4"/>
      <c r="AA976" s="4"/>
    </row>
    <row r="977" spans="1:27" ht="16">
      <c r="A977" s="1"/>
      <c r="B977" s="2"/>
      <c r="C977" s="6"/>
      <c r="D977" s="2"/>
      <c r="E977" s="2"/>
      <c r="F977" s="2"/>
      <c r="G977" s="2"/>
      <c r="H977" s="1"/>
      <c r="I977" s="4"/>
      <c r="J977" s="4"/>
      <c r="K977" s="4"/>
      <c r="L977" s="4"/>
      <c r="M977" s="4"/>
      <c r="N977" s="4"/>
      <c r="O977" s="4"/>
      <c r="P977" s="4"/>
      <c r="Q977" s="4"/>
      <c r="R977" s="4"/>
      <c r="S977" s="4"/>
      <c r="T977" s="4"/>
      <c r="U977" s="4"/>
      <c r="V977" s="4"/>
      <c r="W977" s="4"/>
      <c r="X977" s="4"/>
      <c r="Y977" s="4"/>
      <c r="Z977" s="4"/>
      <c r="AA977" s="4"/>
    </row>
    <row r="978" spans="1:27" ht="16">
      <c r="A978" s="1"/>
      <c r="B978" s="2"/>
      <c r="C978" s="6"/>
      <c r="D978" s="2"/>
      <c r="E978" s="2"/>
      <c r="F978" s="2"/>
      <c r="G978" s="2"/>
      <c r="H978" s="1"/>
      <c r="I978" s="4"/>
      <c r="J978" s="4"/>
      <c r="K978" s="4"/>
      <c r="L978" s="4"/>
      <c r="M978" s="4"/>
      <c r="N978" s="4"/>
      <c r="O978" s="4"/>
      <c r="P978" s="4"/>
      <c r="Q978" s="4"/>
      <c r="R978" s="4"/>
      <c r="S978" s="4"/>
      <c r="T978" s="4"/>
      <c r="U978" s="4"/>
      <c r="V978" s="4"/>
      <c r="W978" s="4"/>
      <c r="X978" s="4"/>
      <c r="Y978" s="4"/>
      <c r="Z978" s="4"/>
      <c r="AA978" s="4"/>
    </row>
    <row r="979" spans="1:27" ht="16">
      <c r="A979" s="1"/>
      <c r="B979" s="2"/>
      <c r="C979" s="6"/>
      <c r="D979" s="2"/>
      <c r="E979" s="2"/>
      <c r="F979" s="2"/>
      <c r="G979" s="2"/>
      <c r="H979" s="1"/>
      <c r="I979" s="4"/>
      <c r="J979" s="4"/>
      <c r="K979" s="4"/>
      <c r="L979" s="4"/>
      <c r="M979" s="4"/>
      <c r="N979" s="4"/>
      <c r="O979" s="4"/>
      <c r="P979" s="4"/>
      <c r="Q979" s="4"/>
      <c r="R979" s="4"/>
      <c r="S979" s="4"/>
      <c r="T979" s="4"/>
      <c r="U979" s="4"/>
      <c r="V979" s="4"/>
      <c r="W979" s="4"/>
      <c r="X979" s="4"/>
      <c r="Y979" s="4"/>
      <c r="Z979" s="4"/>
      <c r="AA979" s="4"/>
    </row>
    <row r="980" spans="1:27" ht="16">
      <c r="A980" s="1"/>
      <c r="B980" s="2"/>
      <c r="C980" s="6"/>
      <c r="D980" s="2"/>
      <c r="E980" s="2"/>
      <c r="F980" s="2"/>
      <c r="G980" s="2"/>
      <c r="H980" s="1"/>
      <c r="I980" s="4"/>
      <c r="J980" s="4"/>
      <c r="K980" s="4"/>
      <c r="L980" s="4"/>
      <c r="M980" s="4"/>
      <c r="N980" s="4"/>
      <c r="O980" s="4"/>
      <c r="P980" s="4"/>
      <c r="Q980" s="4"/>
      <c r="R980" s="4"/>
      <c r="S980" s="4"/>
      <c r="T980" s="4"/>
      <c r="U980" s="4"/>
      <c r="V980" s="4"/>
      <c r="W980" s="4"/>
      <c r="X980" s="4"/>
      <c r="Y980" s="4"/>
      <c r="Z980" s="4"/>
      <c r="AA980" s="4"/>
    </row>
    <row r="981" spans="1:27" ht="16">
      <c r="A981" s="1"/>
      <c r="B981" s="2"/>
      <c r="C981" s="6"/>
      <c r="D981" s="2"/>
      <c r="E981" s="2"/>
      <c r="F981" s="2"/>
      <c r="G981" s="2"/>
      <c r="H981" s="1"/>
      <c r="I981" s="4"/>
      <c r="J981" s="4"/>
      <c r="K981" s="4"/>
      <c r="L981" s="4"/>
      <c r="M981" s="4"/>
      <c r="N981" s="4"/>
      <c r="O981" s="4"/>
      <c r="P981" s="4"/>
      <c r="Q981" s="4"/>
      <c r="R981" s="4"/>
      <c r="S981" s="4"/>
      <c r="T981" s="4"/>
      <c r="U981" s="4"/>
      <c r="V981" s="4"/>
      <c r="W981" s="4"/>
      <c r="X981" s="4"/>
      <c r="Y981" s="4"/>
      <c r="Z981" s="4"/>
      <c r="AA981" s="4"/>
    </row>
    <row r="982" spans="1:27" ht="16">
      <c r="A982" s="1"/>
      <c r="B982" s="2"/>
      <c r="C982" s="6"/>
      <c r="D982" s="2"/>
      <c r="E982" s="2"/>
      <c r="F982" s="2"/>
      <c r="G982" s="2"/>
      <c r="H982" s="1"/>
      <c r="I982" s="4"/>
      <c r="J982" s="4"/>
      <c r="K982" s="4"/>
      <c r="L982" s="4"/>
      <c r="M982" s="4"/>
      <c r="N982" s="4"/>
      <c r="O982" s="4"/>
      <c r="P982" s="4"/>
      <c r="Q982" s="4"/>
      <c r="R982" s="4"/>
      <c r="S982" s="4"/>
      <c r="T982" s="4"/>
      <c r="U982" s="4"/>
      <c r="V982" s="4"/>
      <c r="W982" s="4"/>
      <c r="X982" s="4"/>
      <c r="Y982" s="4"/>
      <c r="Z982" s="4"/>
      <c r="AA982" s="4"/>
    </row>
    <row r="983" spans="1:27" ht="16">
      <c r="A983" s="1"/>
      <c r="B983" s="2"/>
      <c r="C983" s="6"/>
      <c r="D983" s="2"/>
      <c r="E983" s="2"/>
      <c r="F983" s="2"/>
      <c r="G983" s="2"/>
      <c r="H983" s="1"/>
      <c r="I983" s="4"/>
      <c r="J983" s="4"/>
      <c r="K983" s="4"/>
      <c r="L983" s="4"/>
      <c r="M983" s="4"/>
      <c r="N983" s="4"/>
      <c r="O983" s="4"/>
      <c r="P983" s="4"/>
      <c r="Q983" s="4"/>
      <c r="R983" s="4"/>
      <c r="S983" s="4"/>
      <c r="T983" s="4"/>
      <c r="U983" s="4"/>
      <c r="V983" s="4"/>
      <c r="W983" s="4"/>
      <c r="X983" s="4"/>
      <c r="Y983" s="4"/>
      <c r="Z983" s="4"/>
      <c r="AA983" s="4"/>
    </row>
    <row r="984" spans="1:27" ht="16">
      <c r="A984" s="1"/>
      <c r="B984" s="2"/>
      <c r="C984" s="6"/>
      <c r="D984" s="2"/>
      <c r="E984" s="2"/>
      <c r="F984" s="2"/>
      <c r="G984" s="2"/>
      <c r="H984" s="1"/>
      <c r="I984" s="4"/>
      <c r="J984" s="4"/>
      <c r="K984" s="4"/>
      <c r="L984" s="4"/>
      <c r="M984" s="4"/>
      <c r="N984" s="4"/>
      <c r="O984" s="4"/>
      <c r="P984" s="4"/>
      <c r="Q984" s="4"/>
      <c r="R984" s="4"/>
      <c r="S984" s="4"/>
      <c r="T984" s="4"/>
      <c r="U984" s="4"/>
      <c r="V984" s="4"/>
      <c r="W984" s="4"/>
      <c r="X984" s="4"/>
      <c r="Y984" s="4"/>
      <c r="Z984" s="4"/>
      <c r="AA984" s="4"/>
    </row>
    <row r="985" spans="1:27" ht="16">
      <c r="A985" s="1"/>
      <c r="B985" s="2"/>
      <c r="C985" s="6"/>
      <c r="D985" s="2"/>
      <c r="E985" s="2"/>
      <c r="F985" s="2"/>
      <c r="G985" s="2"/>
      <c r="H985" s="1"/>
      <c r="I985" s="4"/>
      <c r="J985" s="4"/>
      <c r="K985" s="4"/>
      <c r="L985" s="4"/>
      <c r="M985" s="4"/>
      <c r="N985" s="4"/>
      <c r="O985" s="4"/>
      <c r="P985" s="4"/>
      <c r="Q985" s="4"/>
      <c r="R985" s="4"/>
      <c r="S985" s="4"/>
      <c r="T985" s="4"/>
      <c r="U985" s="4"/>
      <c r="V985" s="4"/>
      <c r="W985" s="4"/>
      <c r="X985" s="4"/>
      <c r="Y985" s="4"/>
      <c r="Z985" s="4"/>
      <c r="AA985" s="4"/>
    </row>
    <row r="986" spans="1:27" ht="16">
      <c r="A986" s="1"/>
      <c r="B986" s="2"/>
      <c r="C986" s="6"/>
      <c r="D986" s="2"/>
      <c r="E986" s="2"/>
      <c r="F986" s="2"/>
      <c r="G986" s="2"/>
      <c r="H986" s="1"/>
      <c r="I986" s="4"/>
      <c r="J986" s="4"/>
      <c r="K986" s="4"/>
      <c r="L986" s="4"/>
      <c r="M986" s="4"/>
      <c r="N986" s="4"/>
      <c r="O986" s="4"/>
      <c r="P986" s="4"/>
      <c r="Q986" s="4"/>
      <c r="R986" s="4"/>
      <c r="S986" s="4"/>
      <c r="T986" s="4"/>
      <c r="U986" s="4"/>
      <c r="V986" s="4"/>
      <c r="W986" s="4"/>
      <c r="X986" s="4"/>
      <c r="Y986" s="4"/>
      <c r="Z986" s="4"/>
      <c r="AA986" s="4"/>
    </row>
    <row r="987" spans="1:27" ht="16">
      <c r="A987" s="1"/>
      <c r="B987" s="2"/>
      <c r="C987" s="6"/>
      <c r="D987" s="2"/>
      <c r="E987" s="2"/>
      <c r="F987" s="2"/>
      <c r="G987" s="2"/>
      <c r="H987" s="1"/>
      <c r="I987" s="4"/>
      <c r="J987" s="4"/>
      <c r="K987" s="4"/>
      <c r="L987" s="4"/>
      <c r="M987" s="4"/>
      <c r="N987" s="4"/>
      <c r="O987" s="4"/>
      <c r="P987" s="4"/>
      <c r="Q987" s="4"/>
      <c r="R987" s="4"/>
      <c r="S987" s="4"/>
      <c r="T987" s="4"/>
      <c r="U987" s="4"/>
      <c r="V987" s="4"/>
      <c r="W987" s="4"/>
      <c r="X987" s="4"/>
      <c r="Y987" s="4"/>
      <c r="Z987" s="4"/>
      <c r="AA987" s="4"/>
    </row>
    <row r="988" spans="1:27" ht="16">
      <c r="A988" s="1"/>
      <c r="B988" s="2"/>
      <c r="C988" s="6"/>
      <c r="D988" s="2"/>
      <c r="E988" s="2"/>
      <c r="F988" s="2"/>
      <c r="G988" s="2"/>
      <c r="H988" s="1"/>
      <c r="I988" s="4"/>
      <c r="J988" s="4"/>
      <c r="K988" s="4"/>
      <c r="L988" s="4"/>
      <c r="M988" s="4"/>
      <c r="N988" s="4"/>
      <c r="O988" s="4"/>
      <c r="P988" s="4"/>
      <c r="Q988" s="4"/>
      <c r="R988" s="4"/>
      <c r="S988" s="4"/>
      <c r="T988" s="4"/>
      <c r="U988" s="4"/>
      <c r="V988" s="4"/>
      <c r="W988" s="4"/>
      <c r="X988" s="4"/>
      <c r="Y988" s="4"/>
      <c r="Z988" s="4"/>
      <c r="AA988" s="4"/>
    </row>
    <row r="989" spans="1:27" ht="16">
      <c r="A989" s="1"/>
      <c r="B989" s="2"/>
      <c r="C989" s="6"/>
      <c r="D989" s="2"/>
      <c r="E989" s="2"/>
      <c r="F989" s="2"/>
      <c r="G989" s="2"/>
      <c r="H989" s="1"/>
      <c r="I989" s="4"/>
      <c r="J989" s="4"/>
      <c r="K989" s="4"/>
      <c r="L989" s="4"/>
      <c r="M989" s="4"/>
      <c r="N989" s="4"/>
      <c r="O989" s="4"/>
      <c r="P989" s="4"/>
      <c r="Q989" s="4"/>
      <c r="R989" s="4"/>
      <c r="S989" s="4"/>
      <c r="T989" s="4"/>
      <c r="U989" s="4"/>
      <c r="V989" s="4"/>
      <c r="W989" s="4"/>
      <c r="X989" s="4"/>
      <c r="Y989" s="4"/>
      <c r="Z989" s="4"/>
      <c r="AA989" s="4"/>
    </row>
    <row r="990" spans="1:27" ht="16">
      <c r="A990" s="1"/>
      <c r="B990" s="2"/>
      <c r="C990" s="6"/>
      <c r="D990" s="2"/>
      <c r="E990" s="2"/>
      <c r="F990" s="2"/>
      <c r="G990" s="2"/>
      <c r="H990" s="1"/>
      <c r="I990" s="4"/>
      <c r="J990" s="4"/>
      <c r="K990" s="4"/>
      <c r="L990" s="4"/>
      <c r="M990" s="4"/>
      <c r="N990" s="4"/>
      <c r="O990" s="4"/>
      <c r="P990" s="4"/>
      <c r="Q990" s="4"/>
      <c r="R990" s="4"/>
      <c r="S990" s="4"/>
      <c r="T990" s="4"/>
      <c r="U990" s="4"/>
      <c r="V990" s="4"/>
      <c r="W990" s="4"/>
      <c r="X990" s="4"/>
      <c r="Y990" s="4"/>
      <c r="Z990" s="4"/>
      <c r="AA990" s="4"/>
    </row>
    <row r="991" spans="1:27" ht="16">
      <c r="A991" s="1"/>
      <c r="B991" s="2"/>
      <c r="C991" s="6"/>
      <c r="D991" s="2"/>
      <c r="E991" s="2"/>
      <c r="F991" s="2"/>
      <c r="G991" s="2"/>
      <c r="H991" s="1"/>
      <c r="I991" s="4"/>
      <c r="J991" s="4"/>
      <c r="K991" s="4"/>
      <c r="L991" s="4"/>
      <c r="M991" s="4"/>
      <c r="N991" s="4"/>
      <c r="O991" s="4"/>
      <c r="P991" s="4"/>
      <c r="Q991" s="4"/>
      <c r="R991" s="4"/>
      <c r="S991" s="4"/>
      <c r="T991" s="4"/>
      <c r="U991" s="4"/>
      <c r="V991" s="4"/>
      <c r="W991" s="4"/>
      <c r="X991" s="4"/>
      <c r="Y991" s="4"/>
      <c r="Z991" s="4"/>
      <c r="AA991" s="4"/>
    </row>
    <row r="992" spans="1:27" ht="16">
      <c r="A992" s="1"/>
      <c r="B992" s="2"/>
      <c r="C992" s="6"/>
      <c r="D992" s="2"/>
      <c r="E992" s="2"/>
      <c r="F992" s="2"/>
      <c r="G992" s="2"/>
      <c r="H992" s="1"/>
      <c r="I992" s="4"/>
      <c r="J992" s="4"/>
      <c r="K992" s="4"/>
      <c r="L992" s="4"/>
      <c r="M992" s="4"/>
      <c r="N992" s="4"/>
      <c r="O992" s="4"/>
      <c r="P992" s="4"/>
      <c r="Q992" s="4"/>
      <c r="R992" s="4"/>
      <c r="S992" s="4"/>
      <c r="T992" s="4"/>
      <c r="U992" s="4"/>
      <c r="V992" s="4"/>
      <c r="W992" s="4"/>
      <c r="X992" s="4"/>
      <c r="Y992" s="4"/>
      <c r="Z992" s="4"/>
      <c r="AA992" s="4"/>
    </row>
    <row r="993" spans="1:27" ht="16">
      <c r="A993" s="1"/>
      <c r="B993" s="2"/>
      <c r="C993" s="6"/>
      <c r="D993" s="2"/>
      <c r="E993" s="2"/>
      <c r="F993" s="2"/>
      <c r="G993" s="2"/>
      <c r="H993" s="1"/>
      <c r="I993" s="4"/>
      <c r="J993" s="4"/>
      <c r="K993" s="4"/>
      <c r="L993" s="4"/>
      <c r="M993" s="4"/>
      <c r="N993" s="4"/>
      <c r="O993" s="4"/>
      <c r="P993" s="4"/>
      <c r="Q993" s="4"/>
      <c r="R993" s="4"/>
      <c r="S993" s="4"/>
      <c r="T993" s="4"/>
      <c r="U993" s="4"/>
      <c r="V993" s="4"/>
      <c r="W993" s="4"/>
      <c r="X993" s="4"/>
      <c r="Y993" s="4"/>
      <c r="Z993" s="4"/>
      <c r="AA993" s="4"/>
    </row>
    <row r="994" spans="1:27" ht="16">
      <c r="A994" s="1"/>
      <c r="B994" s="2"/>
      <c r="C994" s="6"/>
      <c r="D994" s="2"/>
      <c r="E994" s="2"/>
      <c r="F994" s="2"/>
      <c r="G994" s="2"/>
      <c r="H994" s="1"/>
      <c r="I994" s="4"/>
      <c r="J994" s="4"/>
      <c r="K994" s="4"/>
      <c r="L994" s="4"/>
      <c r="M994" s="4"/>
      <c r="N994" s="4"/>
      <c r="O994" s="4"/>
      <c r="P994" s="4"/>
      <c r="Q994" s="4"/>
      <c r="R994" s="4"/>
      <c r="S994" s="4"/>
      <c r="T994" s="4"/>
      <c r="U994" s="4"/>
      <c r="V994" s="4"/>
      <c r="W994" s="4"/>
      <c r="X994" s="4"/>
      <c r="Y994" s="4"/>
      <c r="Z994" s="4"/>
      <c r="AA994" s="4"/>
    </row>
    <row r="995" spans="1:27" ht="16">
      <c r="A995" s="1"/>
      <c r="B995" s="2"/>
      <c r="C995" s="6"/>
      <c r="D995" s="2"/>
      <c r="E995" s="2"/>
      <c r="F995" s="2"/>
      <c r="G995" s="2"/>
      <c r="H995" s="1"/>
      <c r="I995" s="4"/>
      <c r="J995" s="4"/>
      <c r="K995" s="4"/>
      <c r="L995" s="4"/>
      <c r="M995" s="4"/>
      <c r="N995" s="4"/>
      <c r="O995" s="4"/>
      <c r="P995" s="4"/>
      <c r="Q995" s="4"/>
      <c r="R995" s="4"/>
      <c r="S995" s="4"/>
      <c r="T995" s="4"/>
      <c r="U995" s="4"/>
      <c r="V995" s="4"/>
      <c r="W995" s="4"/>
      <c r="X995" s="4"/>
      <c r="Y995" s="4"/>
      <c r="Z995" s="4"/>
      <c r="AA995" s="4"/>
    </row>
    <row r="996" spans="1:27" ht="16">
      <c r="A996" s="1"/>
      <c r="B996" s="2"/>
      <c r="C996" s="6"/>
      <c r="D996" s="2"/>
      <c r="E996" s="2"/>
      <c r="F996" s="2"/>
      <c r="G996" s="2"/>
      <c r="H996" s="1"/>
      <c r="I996" s="4"/>
      <c r="J996" s="4"/>
      <c r="K996" s="4"/>
      <c r="L996" s="4"/>
      <c r="M996" s="4"/>
      <c r="N996" s="4"/>
      <c r="O996" s="4"/>
      <c r="P996" s="4"/>
      <c r="Q996" s="4"/>
      <c r="R996" s="4"/>
      <c r="S996" s="4"/>
      <c r="T996" s="4"/>
      <c r="U996" s="4"/>
      <c r="V996" s="4"/>
      <c r="W996" s="4"/>
      <c r="X996" s="4"/>
      <c r="Y996" s="4"/>
      <c r="Z996" s="4"/>
      <c r="AA996" s="4"/>
    </row>
    <row r="997" spans="1:27" ht="16">
      <c r="A997" s="1"/>
      <c r="B997" s="2"/>
      <c r="C997" s="6"/>
      <c r="D997" s="2"/>
      <c r="E997" s="2"/>
      <c r="F997" s="2"/>
      <c r="G997" s="2"/>
      <c r="H997" s="1"/>
      <c r="I997" s="4"/>
      <c r="J997" s="4"/>
      <c r="K997" s="4"/>
      <c r="L997" s="4"/>
      <c r="M997" s="4"/>
      <c r="N997" s="4"/>
      <c r="O997" s="4"/>
      <c r="P997" s="4"/>
      <c r="Q997" s="4"/>
      <c r="R997" s="4"/>
      <c r="S997" s="4"/>
      <c r="T997" s="4"/>
      <c r="U997" s="4"/>
      <c r="V997" s="4"/>
      <c r="W997" s="4"/>
      <c r="X997" s="4"/>
      <c r="Y997" s="4"/>
      <c r="Z997" s="4"/>
      <c r="AA997" s="4"/>
    </row>
    <row r="998" spans="1:27" ht="16">
      <c r="A998" s="1"/>
      <c r="B998" s="2"/>
      <c r="C998" s="6"/>
      <c r="D998" s="2"/>
      <c r="E998" s="2"/>
      <c r="F998" s="2"/>
      <c r="G998" s="2"/>
      <c r="H998" s="1"/>
      <c r="I998" s="4"/>
      <c r="J998" s="4"/>
      <c r="K998" s="4"/>
      <c r="L998" s="4"/>
      <c r="M998" s="4"/>
      <c r="N998" s="4"/>
      <c r="O998" s="4"/>
      <c r="P998" s="4"/>
      <c r="Q998" s="4"/>
      <c r="R998" s="4"/>
      <c r="S998" s="4"/>
      <c r="T998" s="4"/>
      <c r="U998" s="4"/>
      <c r="V998" s="4"/>
      <c r="W998" s="4"/>
      <c r="X998" s="4"/>
      <c r="Y998" s="4"/>
      <c r="Z998" s="4"/>
      <c r="AA998" s="4"/>
    </row>
    <row r="999" spans="1:27" ht="16">
      <c r="A999" s="1"/>
      <c r="B999" s="2"/>
      <c r="C999" s="6"/>
      <c r="D999" s="2"/>
      <c r="E999" s="2"/>
      <c r="F999" s="2"/>
      <c r="G999" s="2"/>
      <c r="H999" s="1"/>
      <c r="I999" s="4"/>
      <c r="J999" s="4"/>
      <c r="K999" s="4"/>
      <c r="L999" s="4"/>
      <c r="M999" s="4"/>
      <c r="N999" s="4"/>
      <c r="O999" s="4"/>
      <c r="P999" s="4"/>
      <c r="Q999" s="4"/>
      <c r="R999" s="4"/>
      <c r="S999" s="4"/>
      <c r="T999" s="4"/>
      <c r="U999" s="4"/>
      <c r="V999" s="4"/>
      <c r="W999" s="4"/>
      <c r="X999" s="4"/>
      <c r="Y999" s="4"/>
      <c r="Z999" s="4"/>
      <c r="AA999" s="4"/>
    </row>
    <row r="1000" spans="1:27" ht="16">
      <c r="A1000" s="1"/>
      <c r="B1000" s="2"/>
      <c r="C1000" s="6"/>
      <c r="D1000" s="2"/>
      <c r="E1000" s="2"/>
      <c r="F1000" s="2"/>
      <c r="G1000" s="2"/>
      <c r="H1000" s="1"/>
      <c r="I1000" s="4"/>
      <c r="J1000" s="4"/>
      <c r="K1000" s="4"/>
      <c r="L1000" s="4"/>
      <c r="M1000" s="4"/>
      <c r="N1000" s="4"/>
      <c r="O1000" s="4"/>
      <c r="P1000" s="4"/>
      <c r="Q1000" s="4"/>
      <c r="R1000" s="4"/>
      <c r="S1000" s="4"/>
      <c r="T1000" s="4"/>
      <c r="U1000" s="4"/>
      <c r="V1000" s="4"/>
      <c r="W1000" s="4"/>
      <c r="X1000" s="4"/>
      <c r="Y1000" s="4"/>
      <c r="Z1000" s="4"/>
      <c r="AA1000" s="4"/>
    </row>
    <row r="1001" spans="1:27" ht="16">
      <c r="A1001" s="1"/>
      <c r="B1001" s="2"/>
      <c r="C1001" s="6"/>
      <c r="D1001" s="2"/>
      <c r="E1001" s="2"/>
      <c r="F1001" s="2"/>
      <c r="G1001" s="2"/>
      <c r="H1001" s="1"/>
      <c r="I1001" s="4"/>
      <c r="J1001" s="4"/>
      <c r="K1001" s="4"/>
      <c r="L1001" s="4"/>
      <c r="M1001" s="4"/>
      <c r="N1001" s="4"/>
      <c r="O1001" s="4"/>
      <c r="P1001" s="4"/>
      <c r="Q1001" s="4"/>
      <c r="R1001" s="4"/>
      <c r="S1001" s="4"/>
      <c r="T1001" s="4"/>
      <c r="U1001" s="4"/>
      <c r="V1001" s="4"/>
      <c r="W1001" s="4"/>
      <c r="X1001" s="4"/>
      <c r="Y1001" s="4"/>
      <c r="Z1001" s="4"/>
      <c r="AA1001" s="4"/>
    </row>
    <row r="1002" spans="1:27" ht="16">
      <c r="A1002" s="1"/>
      <c r="B1002" s="2"/>
      <c r="C1002" s="6"/>
      <c r="D1002" s="2"/>
      <c r="E1002" s="2"/>
      <c r="F1002" s="2"/>
      <c r="G1002" s="2"/>
      <c r="H1002" s="1"/>
      <c r="I1002" s="4"/>
      <c r="J1002" s="4"/>
      <c r="K1002" s="4"/>
      <c r="L1002" s="4"/>
      <c r="M1002" s="4"/>
      <c r="N1002" s="4"/>
      <c r="O1002" s="4"/>
      <c r="P1002" s="4"/>
      <c r="Q1002" s="4"/>
      <c r="R1002" s="4"/>
      <c r="S1002" s="4"/>
      <c r="T1002" s="4"/>
      <c r="U1002" s="4"/>
      <c r="V1002" s="4"/>
      <c r="W1002" s="4"/>
      <c r="X1002" s="4"/>
      <c r="Y1002" s="4"/>
      <c r="Z1002" s="4"/>
      <c r="AA1002" s="4"/>
    </row>
    <row r="1003" spans="1:27" ht="16">
      <c r="A1003" s="1"/>
      <c r="B1003" s="2"/>
      <c r="C1003" s="6"/>
      <c r="D1003" s="2"/>
      <c r="E1003" s="2"/>
      <c r="F1003" s="2"/>
      <c r="G1003" s="2"/>
      <c r="H1003" s="1"/>
      <c r="I1003" s="4"/>
      <c r="J1003" s="4"/>
      <c r="K1003" s="4"/>
      <c r="L1003" s="4"/>
      <c r="M1003" s="4"/>
      <c r="N1003" s="4"/>
      <c r="O1003" s="4"/>
      <c r="P1003" s="4"/>
      <c r="Q1003" s="4"/>
      <c r="R1003" s="4"/>
      <c r="S1003" s="4"/>
      <c r="T1003" s="4"/>
      <c r="U1003" s="4"/>
      <c r="V1003" s="4"/>
      <c r="W1003" s="4"/>
      <c r="X1003" s="4"/>
      <c r="Y1003" s="4"/>
      <c r="Z1003" s="4"/>
      <c r="AA1003" s="4"/>
    </row>
    <row r="1004" spans="1:27" ht="16">
      <c r="A1004" s="1"/>
      <c r="B1004" s="2"/>
      <c r="C1004" s="6"/>
      <c r="D1004" s="2"/>
      <c r="E1004" s="2"/>
      <c r="F1004" s="2"/>
      <c r="G1004" s="2"/>
      <c r="H1004" s="1"/>
      <c r="I1004" s="4"/>
      <c r="J1004" s="4"/>
      <c r="K1004" s="4"/>
      <c r="L1004" s="4"/>
      <c r="M1004" s="4"/>
      <c r="N1004" s="4"/>
      <c r="O1004" s="4"/>
      <c r="P1004" s="4"/>
      <c r="Q1004" s="4"/>
      <c r="R1004" s="4"/>
      <c r="S1004" s="4"/>
      <c r="T1004" s="4"/>
      <c r="U1004" s="4"/>
      <c r="V1004" s="4"/>
      <c r="W1004" s="4"/>
      <c r="X1004" s="4"/>
      <c r="Y1004" s="4"/>
      <c r="Z1004" s="4"/>
      <c r="AA1004" s="4"/>
    </row>
    <row r="1005" spans="1:27" ht="16">
      <c r="A1005" s="1"/>
      <c r="B1005" s="2"/>
      <c r="C1005" s="6"/>
      <c r="D1005" s="2"/>
      <c r="E1005" s="2"/>
      <c r="F1005" s="2"/>
      <c r="G1005" s="2"/>
      <c r="H1005" s="1"/>
      <c r="I1005" s="4"/>
      <c r="J1005" s="4"/>
      <c r="K1005" s="4"/>
      <c r="L1005" s="4"/>
      <c r="M1005" s="4"/>
      <c r="N1005" s="4"/>
      <c r="O1005" s="4"/>
      <c r="P1005" s="4"/>
      <c r="Q1005" s="4"/>
      <c r="R1005" s="4"/>
      <c r="S1005" s="4"/>
      <c r="T1005" s="4"/>
      <c r="U1005" s="4"/>
      <c r="V1005" s="4"/>
      <c r="W1005" s="4"/>
      <c r="X1005" s="4"/>
      <c r="Y1005" s="4"/>
      <c r="Z1005" s="4"/>
      <c r="AA1005" s="4"/>
    </row>
    <row r="1006" spans="1:27" ht="16">
      <c r="A1006" s="1"/>
      <c r="B1006" s="2"/>
      <c r="C1006" s="6"/>
      <c r="D1006" s="2"/>
      <c r="E1006" s="2"/>
      <c r="F1006" s="2"/>
      <c r="G1006" s="2"/>
      <c r="H1006" s="1"/>
      <c r="I1006" s="4"/>
      <c r="J1006" s="4"/>
      <c r="K1006" s="4"/>
      <c r="L1006" s="4"/>
      <c r="M1006" s="4"/>
      <c r="N1006" s="4"/>
      <c r="O1006" s="4"/>
      <c r="P1006" s="4"/>
      <c r="Q1006" s="4"/>
      <c r="R1006" s="4"/>
      <c r="S1006" s="4"/>
      <c r="T1006" s="4"/>
      <c r="U1006" s="4"/>
      <c r="V1006" s="4"/>
      <c r="W1006" s="4"/>
      <c r="X1006" s="4"/>
      <c r="Y1006" s="4"/>
      <c r="Z1006" s="4"/>
      <c r="AA1006" s="4"/>
    </row>
    <row r="1007" spans="1:27" ht="16">
      <c r="A1007" s="1"/>
      <c r="B1007" s="2"/>
      <c r="C1007" s="6"/>
      <c r="D1007" s="2"/>
      <c r="E1007" s="2"/>
      <c r="F1007" s="2"/>
      <c r="G1007" s="2"/>
      <c r="H1007" s="1"/>
      <c r="I1007" s="4"/>
      <c r="J1007" s="4"/>
      <c r="K1007" s="4"/>
      <c r="L1007" s="4"/>
      <c r="M1007" s="4"/>
      <c r="N1007" s="4"/>
      <c r="O1007" s="4"/>
      <c r="P1007" s="4"/>
      <c r="Q1007" s="4"/>
      <c r="R1007" s="4"/>
      <c r="S1007" s="4"/>
      <c r="T1007" s="4"/>
      <c r="U1007" s="4"/>
      <c r="V1007" s="4"/>
      <c r="W1007" s="4"/>
      <c r="X1007" s="4"/>
      <c r="Y1007" s="4"/>
      <c r="Z1007" s="4"/>
      <c r="AA1007" s="4"/>
    </row>
    <row r="1008" spans="1:27" ht="16">
      <c r="A1008" s="1"/>
      <c r="B1008" s="2"/>
      <c r="C1008" s="6"/>
      <c r="D1008" s="2"/>
      <c r="E1008" s="2"/>
      <c r="F1008" s="2"/>
      <c r="G1008" s="2"/>
      <c r="H1008" s="1"/>
      <c r="I1008" s="4"/>
      <c r="J1008" s="4"/>
      <c r="K1008" s="4"/>
      <c r="L1008" s="4"/>
      <c r="M1008" s="4"/>
      <c r="N1008" s="4"/>
      <c r="O1008" s="4"/>
      <c r="P1008" s="4"/>
      <c r="Q1008" s="4"/>
      <c r="R1008" s="4"/>
      <c r="S1008" s="4"/>
      <c r="T1008" s="4"/>
      <c r="U1008" s="4"/>
      <c r="V1008" s="4"/>
      <c r="W1008" s="4"/>
      <c r="X1008" s="4"/>
      <c r="Y1008" s="4"/>
      <c r="Z1008" s="4"/>
      <c r="AA1008" s="4"/>
    </row>
    <row r="1009" spans="1:27" ht="16">
      <c r="A1009" s="1"/>
      <c r="B1009" s="2"/>
      <c r="C1009" s="6"/>
      <c r="D1009" s="2"/>
      <c r="E1009" s="2"/>
      <c r="F1009" s="2"/>
      <c r="G1009" s="2"/>
      <c r="H1009" s="1"/>
      <c r="I1009" s="4"/>
      <c r="J1009" s="4"/>
      <c r="K1009" s="4"/>
      <c r="L1009" s="4"/>
      <c r="M1009" s="4"/>
      <c r="N1009" s="4"/>
      <c r="O1009" s="4"/>
      <c r="P1009" s="4"/>
      <c r="Q1009" s="4"/>
      <c r="R1009" s="4"/>
      <c r="S1009" s="4"/>
      <c r="T1009" s="4"/>
      <c r="U1009" s="4"/>
      <c r="V1009" s="4"/>
      <c r="W1009" s="4"/>
      <c r="X1009" s="4"/>
      <c r="Y1009" s="4"/>
      <c r="Z1009" s="4"/>
      <c r="AA1009" s="4"/>
    </row>
    <row r="1010" spans="1:27" ht="16">
      <c r="A1010" s="1"/>
      <c r="B1010" s="2"/>
      <c r="C1010" s="6"/>
      <c r="D1010" s="2"/>
      <c r="E1010" s="2"/>
      <c r="F1010" s="2"/>
      <c r="G1010" s="2"/>
      <c r="H1010" s="1"/>
      <c r="I1010" s="4"/>
      <c r="J1010" s="4"/>
      <c r="K1010" s="4"/>
      <c r="L1010" s="4"/>
      <c r="M1010" s="4"/>
      <c r="N1010" s="4"/>
      <c r="O1010" s="4"/>
      <c r="P1010" s="4"/>
      <c r="Q1010" s="4"/>
      <c r="R1010" s="4"/>
      <c r="S1010" s="4"/>
      <c r="T1010" s="4"/>
      <c r="U1010" s="4"/>
      <c r="V1010" s="4"/>
      <c r="W1010" s="4"/>
      <c r="X1010" s="4"/>
      <c r="Y1010" s="4"/>
      <c r="Z1010" s="4"/>
      <c r="AA1010" s="4"/>
    </row>
    <row r="1011" spans="1:27" ht="16">
      <c r="A1011" s="1"/>
      <c r="B1011" s="2"/>
      <c r="C1011" s="6"/>
      <c r="D1011" s="2"/>
      <c r="E1011" s="2"/>
      <c r="F1011" s="2"/>
      <c r="G1011" s="2"/>
      <c r="H1011" s="1"/>
      <c r="I1011" s="4"/>
      <c r="J1011" s="4"/>
      <c r="K1011" s="4"/>
      <c r="L1011" s="4"/>
      <c r="M1011" s="4"/>
      <c r="N1011" s="4"/>
      <c r="O1011" s="4"/>
      <c r="P1011" s="4"/>
      <c r="Q1011" s="4"/>
      <c r="R1011" s="4"/>
      <c r="S1011" s="4"/>
      <c r="T1011" s="4"/>
      <c r="U1011" s="4"/>
      <c r="V1011" s="4"/>
      <c r="W1011" s="4"/>
      <c r="X1011" s="4"/>
      <c r="Y1011" s="4"/>
      <c r="Z1011" s="4"/>
      <c r="AA1011" s="4"/>
    </row>
    <row r="1012" spans="1:27" ht="16">
      <c r="A1012" s="1"/>
      <c r="B1012" s="2"/>
      <c r="C1012" s="6"/>
      <c r="D1012" s="2"/>
      <c r="E1012" s="2"/>
      <c r="F1012" s="2"/>
      <c r="G1012" s="2"/>
      <c r="H1012" s="1"/>
      <c r="I1012" s="4"/>
      <c r="J1012" s="4"/>
      <c r="K1012" s="4"/>
      <c r="L1012" s="4"/>
      <c r="M1012" s="4"/>
      <c r="N1012" s="4"/>
      <c r="O1012" s="4"/>
      <c r="P1012" s="4"/>
      <c r="Q1012" s="4"/>
      <c r="R1012" s="4"/>
      <c r="S1012" s="4"/>
      <c r="T1012" s="4"/>
      <c r="U1012" s="4"/>
      <c r="V1012" s="4"/>
      <c r="W1012" s="4"/>
      <c r="X1012" s="4"/>
      <c r="Y1012" s="4"/>
      <c r="Z1012" s="4"/>
      <c r="AA1012" s="4"/>
    </row>
    <row r="1013" spans="1:27" ht="16">
      <c r="A1013" s="1"/>
      <c r="B1013" s="2"/>
      <c r="C1013" s="6"/>
      <c r="D1013" s="2"/>
      <c r="E1013" s="2"/>
      <c r="F1013" s="2"/>
      <c r="G1013" s="2"/>
      <c r="H1013" s="1"/>
      <c r="I1013" s="4"/>
      <c r="J1013" s="4"/>
      <c r="K1013" s="4"/>
      <c r="L1013" s="4"/>
      <c r="M1013" s="4"/>
      <c r="N1013" s="4"/>
      <c r="O1013" s="4"/>
      <c r="P1013" s="4"/>
      <c r="Q1013" s="4"/>
      <c r="R1013" s="4"/>
      <c r="S1013" s="4"/>
      <c r="T1013" s="4"/>
      <c r="U1013" s="4"/>
      <c r="V1013" s="4"/>
      <c r="W1013" s="4"/>
      <c r="X1013" s="4"/>
      <c r="Y1013" s="4"/>
      <c r="Z1013" s="4"/>
      <c r="AA1013" s="4"/>
    </row>
    <row r="1014" spans="1:27" ht="16">
      <c r="A1014" s="1"/>
      <c r="B1014" s="2"/>
      <c r="C1014" s="6"/>
      <c r="D1014" s="2"/>
      <c r="E1014" s="2"/>
      <c r="F1014" s="2"/>
      <c r="G1014" s="2"/>
      <c r="H1014" s="1"/>
      <c r="I1014" s="4"/>
      <c r="J1014" s="4"/>
      <c r="K1014" s="4"/>
      <c r="L1014" s="4"/>
      <c r="M1014" s="4"/>
      <c r="N1014" s="4"/>
      <c r="O1014" s="4"/>
      <c r="P1014" s="4"/>
      <c r="Q1014" s="4"/>
      <c r="R1014" s="4"/>
      <c r="S1014" s="4"/>
      <c r="T1014" s="4"/>
      <c r="U1014" s="4"/>
      <c r="V1014" s="4"/>
      <c r="W1014" s="4"/>
      <c r="X1014" s="4"/>
      <c r="Y1014" s="4"/>
      <c r="Z1014" s="4"/>
      <c r="AA1014" s="4"/>
    </row>
    <row r="1015" spans="1:27" ht="16">
      <c r="A1015" s="1"/>
      <c r="B1015" s="2"/>
      <c r="C1015" s="6"/>
      <c r="D1015" s="2"/>
      <c r="E1015" s="2"/>
      <c r="F1015" s="2"/>
      <c r="G1015" s="2"/>
      <c r="H1015" s="1"/>
      <c r="I1015" s="4"/>
      <c r="J1015" s="4"/>
      <c r="K1015" s="4"/>
      <c r="L1015" s="4"/>
      <c r="M1015" s="4"/>
      <c r="N1015" s="4"/>
      <c r="O1015" s="4"/>
      <c r="P1015" s="4"/>
      <c r="Q1015" s="4"/>
      <c r="R1015" s="4"/>
      <c r="S1015" s="4"/>
      <c r="T1015" s="4"/>
      <c r="U1015" s="4"/>
      <c r="V1015" s="4"/>
      <c r="W1015" s="4"/>
      <c r="X1015" s="4"/>
      <c r="Y1015" s="4"/>
      <c r="Z1015" s="4"/>
      <c r="AA1015" s="4"/>
    </row>
    <row r="1016" spans="1:27" ht="16">
      <c r="A1016" s="1"/>
      <c r="B1016" s="2"/>
      <c r="C1016" s="6"/>
      <c r="D1016" s="2"/>
      <c r="E1016" s="2"/>
      <c r="F1016" s="2"/>
      <c r="G1016" s="2"/>
      <c r="H1016" s="1"/>
      <c r="I1016" s="4"/>
      <c r="J1016" s="4"/>
      <c r="K1016" s="4"/>
      <c r="L1016" s="4"/>
      <c r="M1016" s="4"/>
      <c r="N1016" s="4"/>
      <c r="O1016" s="4"/>
      <c r="P1016" s="4"/>
      <c r="Q1016" s="4"/>
      <c r="R1016" s="4"/>
      <c r="S1016" s="4"/>
      <c r="T1016" s="4"/>
      <c r="U1016" s="4"/>
      <c r="V1016" s="4"/>
      <c r="W1016" s="4"/>
      <c r="X1016" s="4"/>
      <c r="Y1016" s="4"/>
      <c r="Z1016" s="4"/>
      <c r="AA1016" s="4"/>
    </row>
    <row r="1017" spans="1:27" ht="16">
      <c r="A1017" s="1"/>
      <c r="B1017" s="2"/>
      <c r="C1017" s="6"/>
      <c r="D1017" s="2"/>
      <c r="E1017" s="2"/>
      <c r="F1017" s="2"/>
      <c r="G1017" s="2"/>
      <c r="H1017" s="1"/>
      <c r="I1017" s="4"/>
      <c r="J1017" s="4"/>
      <c r="K1017" s="4"/>
      <c r="L1017" s="4"/>
      <c r="M1017" s="4"/>
      <c r="N1017" s="4"/>
      <c r="O1017" s="4"/>
      <c r="P1017" s="4"/>
      <c r="Q1017" s="4"/>
      <c r="R1017" s="4"/>
      <c r="S1017" s="4"/>
      <c r="T1017" s="4"/>
      <c r="U1017" s="4"/>
      <c r="V1017" s="4"/>
      <c r="W1017" s="4"/>
      <c r="X1017" s="4"/>
      <c r="Y1017" s="4"/>
      <c r="Z1017" s="4"/>
      <c r="AA1017" s="4"/>
    </row>
    <row r="1018" spans="1:27" ht="16">
      <c r="A1018" s="1"/>
      <c r="B1018" s="2"/>
      <c r="C1018" s="6"/>
      <c r="D1018" s="2"/>
      <c r="E1018" s="2"/>
      <c r="F1018" s="2"/>
      <c r="G1018" s="2"/>
      <c r="H1018" s="1"/>
      <c r="I1018" s="4"/>
      <c r="J1018" s="4"/>
      <c r="K1018" s="4"/>
      <c r="L1018" s="4"/>
      <c r="M1018" s="4"/>
      <c r="N1018" s="4"/>
      <c r="O1018" s="4"/>
      <c r="P1018" s="4"/>
      <c r="Q1018" s="4"/>
      <c r="R1018" s="4"/>
      <c r="S1018" s="4"/>
      <c r="T1018" s="4"/>
      <c r="U1018" s="4"/>
      <c r="V1018" s="4"/>
      <c r="W1018" s="4"/>
      <c r="X1018" s="4"/>
      <c r="Y1018" s="4"/>
      <c r="Z1018" s="4"/>
      <c r="AA1018" s="4"/>
    </row>
    <row r="1019" spans="1:27" ht="16">
      <c r="A1019" s="1"/>
      <c r="B1019" s="2"/>
      <c r="C1019" s="6"/>
      <c r="D1019" s="2"/>
      <c r="E1019" s="2"/>
      <c r="F1019" s="2"/>
      <c r="G1019" s="2"/>
      <c r="H1019" s="1"/>
      <c r="I1019" s="4"/>
      <c r="J1019" s="4"/>
      <c r="K1019" s="4"/>
      <c r="L1019" s="4"/>
      <c r="M1019" s="4"/>
      <c r="N1019" s="4"/>
      <c r="O1019" s="4"/>
      <c r="P1019" s="4"/>
      <c r="Q1019" s="4"/>
      <c r="R1019" s="4"/>
      <c r="S1019" s="4"/>
      <c r="T1019" s="4"/>
      <c r="U1019" s="4"/>
      <c r="V1019" s="4"/>
      <c r="W1019" s="4"/>
      <c r="X1019" s="4"/>
      <c r="Y1019" s="4"/>
      <c r="Z1019" s="4"/>
      <c r="AA1019" s="4"/>
    </row>
    <row r="1020" spans="1:27" ht="16">
      <c r="A1020" s="1"/>
      <c r="B1020" s="2"/>
      <c r="C1020" s="6"/>
      <c r="D1020" s="2"/>
      <c r="E1020" s="2"/>
      <c r="F1020" s="2"/>
      <c r="G1020" s="2"/>
      <c r="H1020" s="1"/>
      <c r="I1020" s="4"/>
      <c r="J1020" s="4"/>
      <c r="K1020" s="4"/>
      <c r="L1020" s="4"/>
      <c r="M1020" s="4"/>
      <c r="N1020" s="4"/>
      <c r="O1020" s="4"/>
      <c r="P1020" s="4"/>
      <c r="Q1020" s="4"/>
      <c r="R1020" s="4"/>
      <c r="S1020" s="4"/>
      <c r="T1020" s="4"/>
      <c r="U1020" s="4"/>
      <c r="V1020" s="4"/>
      <c r="W1020" s="4"/>
      <c r="X1020" s="4"/>
      <c r="Y1020" s="4"/>
      <c r="Z1020" s="4"/>
      <c r="AA1020" s="4"/>
    </row>
    <row r="1021" spans="1:27" ht="16">
      <c r="A1021" s="1"/>
      <c r="B1021" s="2"/>
      <c r="C1021" s="6"/>
      <c r="D1021" s="2"/>
      <c r="E1021" s="2"/>
      <c r="F1021" s="2"/>
      <c r="G1021" s="2"/>
      <c r="H1021" s="1"/>
      <c r="I1021" s="4"/>
      <c r="J1021" s="4"/>
      <c r="K1021" s="4"/>
      <c r="L1021" s="4"/>
      <c r="M1021" s="4"/>
      <c r="N1021" s="4"/>
      <c r="O1021" s="4"/>
      <c r="P1021" s="4"/>
      <c r="Q1021" s="4"/>
      <c r="R1021" s="4"/>
      <c r="S1021" s="4"/>
      <c r="T1021" s="4"/>
      <c r="U1021" s="4"/>
      <c r="V1021" s="4"/>
      <c r="W1021" s="4"/>
      <c r="X1021" s="4"/>
      <c r="Y1021" s="4"/>
      <c r="Z1021" s="4"/>
      <c r="AA1021" s="4"/>
    </row>
    <row r="1022" spans="1:27" ht="16">
      <c r="A1022" s="1"/>
      <c r="B1022" s="2"/>
      <c r="C1022" s="6"/>
      <c r="D1022" s="2"/>
      <c r="E1022" s="2"/>
      <c r="F1022" s="2"/>
      <c r="G1022" s="2"/>
      <c r="H1022" s="1"/>
      <c r="I1022" s="4"/>
      <c r="J1022" s="4"/>
      <c r="K1022" s="4"/>
      <c r="L1022" s="4"/>
      <c r="M1022" s="4"/>
      <c r="N1022" s="4"/>
      <c r="O1022" s="4"/>
      <c r="P1022" s="4"/>
      <c r="Q1022" s="4"/>
      <c r="R1022" s="4"/>
      <c r="S1022" s="4"/>
      <c r="T1022" s="4"/>
      <c r="U1022" s="4"/>
      <c r="V1022" s="4"/>
      <c r="W1022" s="4"/>
      <c r="X1022" s="4"/>
      <c r="Y1022" s="4"/>
      <c r="Z1022" s="4"/>
      <c r="AA1022" s="4"/>
    </row>
    <row r="1023" spans="1:27" ht="16">
      <c r="A1023" s="1"/>
      <c r="B1023" s="2"/>
      <c r="C1023" s="6"/>
      <c r="D1023" s="2"/>
      <c r="E1023" s="2"/>
      <c r="F1023" s="2"/>
      <c r="G1023" s="2"/>
      <c r="H1023" s="1"/>
      <c r="I1023" s="4"/>
      <c r="J1023" s="4"/>
      <c r="K1023" s="4"/>
      <c r="L1023" s="4"/>
      <c r="M1023" s="4"/>
      <c r="N1023" s="4"/>
      <c r="O1023" s="4"/>
      <c r="P1023" s="4"/>
      <c r="Q1023" s="4"/>
      <c r="R1023" s="4"/>
      <c r="S1023" s="4"/>
      <c r="T1023" s="4"/>
      <c r="U1023" s="4"/>
      <c r="V1023" s="4"/>
      <c r="W1023" s="4"/>
      <c r="X1023" s="4"/>
      <c r="Y1023" s="4"/>
      <c r="Z1023" s="4"/>
      <c r="AA1023" s="4"/>
    </row>
    <row r="1024" spans="1:27" ht="16">
      <c r="A1024" s="1"/>
      <c r="B1024" s="2"/>
      <c r="C1024" s="6"/>
      <c r="D1024" s="2"/>
      <c r="E1024" s="2"/>
      <c r="F1024" s="2"/>
      <c r="G1024" s="2"/>
      <c r="H1024" s="1"/>
      <c r="I1024" s="4"/>
      <c r="J1024" s="4"/>
      <c r="K1024" s="4"/>
      <c r="L1024" s="4"/>
      <c r="M1024" s="4"/>
      <c r="N1024" s="4"/>
      <c r="O1024" s="4"/>
      <c r="P1024" s="4"/>
      <c r="Q1024" s="4"/>
      <c r="R1024" s="4"/>
      <c r="S1024" s="4"/>
      <c r="T1024" s="4"/>
      <c r="U1024" s="4"/>
      <c r="V1024" s="4"/>
      <c r="W1024" s="4"/>
      <c r="X1024" s="4"/>
      <c r="Y1024" s="4"/>
      <c r="Z1024" s="4"/>
      <c r="AA1024" s="4"/>
    </row>
    <row r="1025" spans="1:27" ht="16">
      <c r="A1025" s="1"/>
      <c r="B1025" s="2"/>
      <c r="C1025" s="6"/>
      <c r="D1025" s="2"/>
      <c r="E1025" s="2"/>
      <c r="F1025" s="2"/>
      <c r="G1025" s="2"/>
      <c r="H1025" s="1"/>
      <c r="I1025" s="4"/>
      <c r="J1025" s="4"/>
      <c r="K1025" s="4"/>
      <c r="L1025" s="4"/>
      <c r="M1025" s="4"/>
      <c r="N1025" s="4"/>
      <c r="O1025" s="4"/>
      <c r="P1025" s="4"/>
      <c r="Q1025" s="4"/>
      <c r="R1025" s="4"/>
      <c r="S1025" s="4"/>
      <c r="T1025" s="4"/>
      <c r="U1025" s="4"/>
      <c r="V1025" s="4"/>
      <c r="W1025" s="4"/>
      <c r="X1025" s="4"/>
      <c r="Y1025" s="4"/>
      <c r="Z1025" s="4"/>
      <c r="AA1025" s="4"/>
    </row>
    <row r="1026" spans="1:27" ht="16">
      <c r="A1026" s="1"/>
      <c r="B1026" s="2"/>
      <c r="C1026" s="6"/>
      <c r="D1026" s="2"/>
      <c r="E1026" s="2"/>
      <c r="F1026" s="2"/>
      <c r="G1026" s="2"/>
      <c r="H1026" s="1"/>
      <c r="I1026" s="4"/>
      <c r="J1026" s="4"/>
      <c r="K1026" s="4"/>
      <c r="L1026" s="4"/>
      <c r="M1026" s="4"/>
      <c r="N1026" s="4"/>
      <c r="O1026" s="4"/>
      <c r="P1026" s="4"/>
      <c r="Q1026" s="4"/>
      <c r="R1026" s="4"/>
      <c r="S1026" s="4"/>
      <c r="T1026" s="4"/>
      <c r="U1026" s="4"/>
      <c r="V1026" s="4"/>
      <c r="W1026" s="4"/>
      <c r="X1026" s="4"/>
      <c r="Y1026" s="4"/>
      <c r="Z1026" s="4"/>
      <c r="AA1026" s="4"/>
    </row>
    <row r="1027" spans="1:27" ht="16">
      <c r="A1027" s="1"/>
      <c r="B1027" s="2"/>
      <c r="C1027" s="6"/>
      <c r="D1027" s="2"/>
      <c r="E1027" s="2"/>
      <c r="F1027" s="2"/>
      <c r="G1027" s="2"/>
      <c r="H1027" s="1"/>
      <c r="I1027" s="4"/>
      <c r="J1027" s="4"/>
      <c r="K1027" s="4"/>
      <c r="L1027" s="4"/>
      <c r="M1027" s="4"/>
      <c r="N1027" s="4"/>
      <c r="O1027" s="4"/>
      <c r="P1027" s="4"/>
      <c r="Q1027" s="4"/>
      <c r="R1027" s="4"/>
      <c r="S1027" s="4"/>
      <c r="T1027" s="4"/>
      <c r="U1027" s="4"/>
      <c r="V1027" s="4"/>
      <c r="W1027" s="4"/>
      <c r="X1027" s="4"/>
      <c r="Y1027" s="4"/>
      <c r="Z1027" s="4"/>
      <c r="AA1027" s="4"/>
    </row>
    <row r="1028" spans="1:27" ht="16">
      <c r="A1028" s="1"/>
      <c r="B1028" s="2"/>
      <c r="C1028" s="6"/>
      <c r="D1028" s="2"/>
      <c r="E1028" s="2"/>
      <c r="F1028" s="2"/>
      <c r="G1028" s="2"/>
      <c r="H1028" s="1"/>
      <c r="I1028" s="4"/>
      <c r="J1028" s="4"/>
      <c r="K1028" s="4"/>
      <c r="L1028" s="4"/>
      <c r="M1028" s="4"/>
      <c r="N1028" s="4"/>
      <c r="O1028" s="4"/>
      <c r="P1028" s="4"/>
      <c r="Q1028" s="4"/>
      <c r="R1028" s="4"/>
      <c r="S1028" s="4"/>
      <c r="T1028" s="4"/>
      <c r="U1028" s="4"/>
      <c r="V1028" s="4"/>
      <c r="W1028" s="4"/>
      <c r="X1028" s="4"/>
      <c r="Y1028" s="4"/>
      <c r="Z1028" s="4"/>
      <c r="AA1028" s="4"/>
    </row>
    <row r="1029" spans="1:27" ht="16">
      <c r="A1029" s="1"/>
      <c r="B1029" s="2"/>
      <c r="C1029" s="6"/>
      <c r="D1029" s="2"/>
      <c r="E1029" s="2"/>
      <c r="F1029" s="2"/>
      <c r="G1029" s="2"/>
      <c r="H1029" s="1"/>
      <c r="I1029" s="4"/>
      <c r="J1029" s="4"/>
      <c r="K1029" s="4"/>
      <c r="L1029" s="4"/>
      <c r="M1029" s="4"/>
      <c r="N1029" s="4"/>
      <c r="O1029" s="4"/>
      <c r="P1029" s="4"/>
      <c r="Q1029" s="4"/>
      <c r="R1029" s="4"/>
      <c r="S1029" s="4"/>
      <c r="T1029" s="4"/>
      <c r="U1029" s="4"/>
      <c r="V1029" s="4"/>
      <c r="W1029" s="4"/>
      <c r="X1029" s="4"/>
      <c r="Y1029" s="4"/>
      <c r="Z1029" s="4"/>
      <c r="AA1029" s="4"/>
    </row>
    <row r="1030" spans="1:27" ht="16">
      <c r="A1030" s="1"/>
      <c r="B1030" s="2"/>
      <c r="C1030" s="6"/>
      <c r="D1030" s="2"/>
      <c r="E1030" s="2"/>
      <c r="F1030" s="2"/>
      <c r="G1030" s="2"/>
      <c r="H1030" s="1"/>
      <c r="I1030" s="4"/>
      <c r="J1030" s="4"/>
      <c r="K1030" s="4"/>
      <c r="L1030" s="4"/>
      <c r="M1030" s="4"/>
      <c r="N1030" s="4"/>
      <c r="O1030" s="4"/>
      <c r="P1030" s="4"/>
      <c r="Q1030" s="4"/>
      <c r="R1030" s="4"/>
      <c r="S1030" s="4"/>
      <c r="T1030" s="4"/>
      <c r="U1030" s="4"/>
      <c r="V1030" s="4"/>
      <c r="W1030" s="4"/>
      <c r="X1030" s="4"/>
      <c r="Y1030" s="4"/>
      <c r="Z1030" s="4"/>
      <c r="AA1030" s="4"/>
    </row>
    <row r="1031" spans="1:27" ht="16">
      <c r="A1031" s="1"/>
      <c r="B1031" s="2"/>
      <c r="C1031" s="6"/>
      <c r="D1031" s="2"/>
      <c r="E1031" s="2"/>
      <c r="F1031" s="2"/>
      <c r="G1031" s="2"/>
      <c r="H1031" s="1"/>
      <c r="I1031" s="4"/>
      <c r="J1031" s="4"/>
      <c r="K1031" s="4"/>
      <c r="L1031" s="4"/>
      <c r="M1031" s="4"/>
      <c r="N1031" s="4"/>
      <c r="O1031" s="4"/>
      <c r="P1031" s="4"/>
      <c r="Q1031" s="4"/>
      <c r="R1031" s="4"/>
      <c r="S1031" s="4"/>
      <c r="T1031" s="4"/>
      <c r="U1031" s="4"/>
      <c r="V1031" s="4"/>
      <c r="W1031" s="4"/>
      <c r="X1031" s="4"/>
      <c r="Y1031" s="4"/>
      <c r="Z1031" s="4"/>
      <c r="AA1031" s="4"/>
    </row>
    <row r="1032" spans="1:27" ht="16">
      <c r="A1032" s="1"/>
      <c r="B1032" s="2"/>
      <c r="C1032" s="6"/>
      <c r="D1032" s="2"/>
      <c r="E1032" s="2"/>
      <c r="F1032" s="2"/>
      <c r="G1032" s="2"/>
      <c r="H1032" s="1"/>
      <c r="I1032" s="4"/>
      <c r="J1032" s="4"/>
      <c r="K1032" s="4"/>
      <c r="L1032" s="4"/>
      <c r="M1032" s="4"/>
      <c r="N1032" s="4"/>
      <c r="O1032" s="4"/>
      <c r="P1032" s="4"/>
      <c r="Q1032" s="4"/>
      <c r="R1032" s="4"/>
      <c r="S1032" s="4"/>
      <c r="T1032" s="4"/>
      <c r="U1032" s="4"/>
      <c r="V1032" s="4"/>
      <c r="W1032" s="4"/>
      <c r="X1032" s="4"/>
      <c r="Y1032" s="4"/>
      <c r="Z1032" s="4"/>
      <c r="AA1032" s="4"/>
    </row>
    <row r="1033" spans="1:27" ht="16">
      <c r="A1033" s="1"/>
      <c r="B1033" s="2"/>
      <c r="C1033" s="6"/>
      <c r="D1033" s="2"/>
      <c r="E1033" s="2"/>
      <c r="F1033" s="2"/>
      <c r="G1033" s="2"/>
      <c r="H1033" s="1"/>
      <c r="I1033" s="4"/>
      <c r="J1033" s="4"/>
      <c r="K1033" s="4"/>
      <c r="L1033" s="4"/>
      <c r="M1033" s="4"/>
      <c r="N1033" s="4"/>
      <c r="O1033" s="4"/>
      <c r="P1033" s="4"/>
      <c r="Q1033" s="4"/>
      <c r="R1033" s="4"/>
      <c r="S1033" s="4"/>
      <c r="T1033" s="4"/>
      <c r="U1033" s="4"/>
      <c r="V1033" s="4"/>
      <c r="W1033" s="4"/>
      <c r="X1033" s="4"/>
      <c r="Y1033" s="4"/>
      <c r="Z1033" s="4"/>
      <c r="AA1033" s="4"/>
    </row>
    <row r="1034" spans="1:27" ht="16">
      <c r="A1034" s="1"/>
      <c r="B1034" s="2"/>
      <c r="C1034" s="6"/>
      <c r="D1034" s="2"/>
      <c r="E1034" s="2"/>
      <c r="F1034" s="2"/>
      <c r="G1034" s="2"/>
      <c r="H1034" s="1"/>
      <c r="I1034" s="4"/>
      <c r="J1034" s="4"/>
      <c r="K1034" s="4"/>
      <c r="L1034" s="4"/>
      <c r="M1034" s="4"/>
      <c r="N1034" s="4"/>
      <c r="O1034" s="4"/>
      <c r="P1034" s="4"/>
      <c r="Q1034" s="4"/>
      <c r="R1034" s="4"/>
      <c r="S1034" s="4"/>
      <c r="T1034" s="4"/>
      <c r="U1034" s="4"/>
      <c r="V1034" s="4"/>
      <c r="W1034" s="4"/>
      <c r="X1034" s="4"/>
      <c r="Y1034" s="4"/>
      <c r="Z1034" s="4"/>
      <c r="AA1034" s="4"/>
    </row>
    <row r="1035" spans="1:27" ht="16">
      <c r="A1035" s="1"/>
      <c r="B1035" s="2"/>
      <c r="C1035" s="6"/>
      <c r="D1035" s="2"/>
      <c r="E1035" s="2"/>
      <c r="F1035" s="2"/>
      <c r="G1035" s="2"/>
      <c r="H1035" s="1"/>
      <c r="I1035" s="4"/>
      <c r="J1035" s="4"/>
      <c r="K1035" s="4"/>
      <c r="L1035" s="4"/>
      <c r="M1035" s="4"/>
      <c r="N1035" s="4"/>
      <c r="O1035" s="4"/>
      <c r="P1035" s="4"/>
      <c r="Q1035" s="4"/>
      <c r="R1035" s="4"/>
      <c r="S1035" s="4"/>
      <c r="T1035" s="4"/>
      <c r="U1035" s="4"/>
      <c r="V1035" s="4"/>
      <c r="W1035" s="4"/>
      <c r="X1035" s="4"/>
      <c r="Y1035" s="4"/>
      <c r="Z1035" s="4"/>
      <c r="AA1035" s="4"/>
    </row>
    <row r="1036" spans="1:27" ht="16">
      <c r="A1036" s="1"/>
      <c r="B1036" s="2"/>
      <c r="C1036" s="6"/>
      <c r="D1036" s="2"/>
      <c r="E1036" s="2"/>
      <c r="F1036" s="2"/>
      <c r="G1036" s="2"/>
      <c r="H1036" s="1"/>
      <c r="I1036" s="4"/>
      <c r="J1036" s="4"/>
      <c r="K1036" s="4"/>
      <c r="L1036" s="4"/>
      <c r="M1036" s="4"/>
      <c r="N1036" s="4"/>
      <c r="O1036" s="4"/>
      <c r="P1036" s="4"/>
      <c r="Q1036" s="4"/>
      <c r="R1036" s="4"/>
      <c r="S1036" s="4"/>
      <c r="T1036" s="4"/>
      <c r="U1036" s="4"/>
      <c r="V1036" s="4"/>
      <c r="W1036" s="4"/>
      <c r="X1036" s="4"/>
      <c r="Y1036" s="4"/>
      <c r="Z1036" s="4"/>
      <c r="AA1036" s="4"/>
    </row>
    <row r="1037" spans="1:27" ht="16">
      <c r="A1037" s="1"/>
      <c r="B1037" s="2"/>
      <c r="C1037" s="6"/>
      <c r="D1037" s="2"/>
      <c r="E1037" s="2"/>
      <c r="F1037" s="2"/>
      <c r="G1037" s="2"/>
      <c r="H1037" s="1"/>
      <c r="I1037" s="4"/>
      <c r="J1037" s="4"/>
      <c r="K1037" s="4"/>
      <c r="L1037" s="4"/>
      <c r="M1037" s="4"/>
      <c r="N1037" s="4"/>
      <c r="O1037" s="4"/>
      <c r="P1037" s="4"/>
      <c r="Q1037" s="4"/>
      <c r="R1037" s="4"/>
      <c r="S1037" s="4"/>
      <c r="T1037" s="4"/>
      <c r="U1037" s="4"/>
      <c r="V1037" s="4"/>
      <c r="W1037" s="4"/>
      <c r="X1037" s="4"/>
      <c r="Y1037" s="4"/>
      <c r="Z1037" s="4"/>
      <c r="AA1037" s="4"/>
    </row>
    <row r="1038" spans="1:27" ht="16">
      <c r="A1038" s="1"/>
      <c r="B1038" s="2"/>
      <c r="C1038" s="6"/>
      <c r="D1038" s="2"/>
      <c r="E1038" s="2"/>
      <c r="F1038" s="2"/>
      <c r="G1038" s="2"/>
      <c r="H1038" s="1"/>
      <c r="I1038" s="4"/>
      <c r="J1038" s="4"/>
      <c r="K1038" s="4"/>
      <c r="L1038" s="4"/>
      <c r="M1038" s="4"/>
      <c r="N1038" s="4"/>
      <c r="O1038" s="4"/>
      <c r="P1038" s="4"/>
      <c r="Q1038" s="4"/>
      <c r="R1038" s="4"/>
      <c r="S1038" s="4"/>
      <c r="T1038" s="4"/>
      <c r="U1038" s="4"/>
      <c r="V1038" s="4"/>
      <c r="W1038" s="4"/>
      <c r="X1038" s="4"/>
      <c r="Y1038" s="4"/>
      <c r="Z1038" s="4"/>
      <c r="AA1038" s="4"/>
    </row>
    <row r="1039" spans="1:27" ht="16">
      <c r="A1039" s="1"/>
      <c r="B1039" s="2"/>
      <c r="C1039" s="6"/>
      <c r="D1039" s="2"/>
      <c r="E1039" s="2"/>
      <c r="F1039" s="2"/>
      <c r="G1039" s="2"/>
      <c r="H1039" s="1"/>
      <c r="I1039" s="4"/>
      <c r="J1039" s="4"/>
      <c r="K1039" s="4"/>
      <c r="L1039" s="4"/>
      <c r="M1039" s="4"/>
      <c r="N1039" s="4"/>
      <c r="O1039" s="4"/>
      <c r="P1039" s="4"/>
      <c r="Q1039" s="4"/>
      <c r="R1039" s="4"/>
      <c r="S1039" s="4"/>
      <c r="T1039" s="4"/>
      <c r="U1039" s="4"/>
      <c r="V1039" s="4"/>
      <c r="W1039" s="4"/>
      <c r="X1039" s="4"/>
      <c r="Y1039" s="4"/>
      <c r="Z1039" s="4"/>
      <c r="AA1039" s="4"/>
    </row>
    <row r="1040" spans="1:27" ht="16">
      <c r="A1040" s="1"/>
      <c r="B1040" s="2"/>
      <c r="C1040" s="6"/>
      <c r="D1040" s="2"/>
      <c r="E1040" s="2"/>
      <c r="F1040" s="2"/>
      <c r="G1040" s="2"/>
      <c r="H1040" s="1"/>
      <c r="I1040" s="4"/>
      <c r="J1040" s="4"/>
      <c r="K1040" s="4"/>
      <c r="L1040" s="4"/>
      <c r="M1040" s="4"/>
      <c r="N1040" s="4"/>
      <c r="O1040" s="4"/>
      <c r="P1040" s="4"/>
      <c r="Q1040" s="4"/>
      <c r="R1040" s="4"/>
      <c r="S1040" s="4"/>
      <c r="T1040" s="4"/>
      <c r="U1040" s="4"/>
      <c r="V1040" s="4"/>
      <c r="W1040" s="4"/>
      <c r="X1040" s="4"/>
      <c r="Y1040" s="4"/>
      <c r="Z1040" s="4"/>
      <c r="AA1040" s="4"/>
    </row>
    <row r="1041" spans="1:27" ht="16">
      <c r="A1041" s="1"/>
      <c r="B1041" s="2"/>
      <c r="C1041" s="6"/>
      <c r="D1041" s="2"/>
      <c r="E1041" s="2"/>
      <c r="F1041" s="2"/>
      <c r="G1041" s="2"/>
      <c r="H1041" s="1"/>
      <c r="I1041" s="4"/>
      <c r="J1041" s="4"/>
      <c r="K1041" s="4"/>
      <c r="L1041" s="4"/>
      <c r="M1041" s="4"/>
      <c r="N1041" s="4"/>
      <c r="O1041" s="4"/>
      <c r="P1041" s="4"/>
      <c r="Q1041" s="4"/>
      <c r="R1041" s="4"/>
      <c r="S1041" s="4"/>
      <c r="T1041" s="4"/>
      <c r="U1041" s="4"/>
      <c r="V1041" s="4"/>
      <c r="W1041" s="4"/>
      <c r="X1041" s="4"/>
      <c r="Y1041" s="4"/>
      <c r="Z1041" s="4"/>
      <c r="AA1041" s="4"/>
    </row>
    <row r="1042" spans="1:27" ht="16">
      <c r="A1042" s="1"/>
      <c r="B1042" s="2"/>
      <c r="C1042" s="6"/>
      <c r="D1042" s="2"/>
      <c r="E1042" s="2"/>
      <c r="F1042" s="2"/>
      <c r="G1042" s="2"/>
      <c r="H1042" s="1"/>
      <c r="I1042" s="4"/>
      <c r="J1042" s="4"/>
      <c r="K1042" s="4"/>
      <c r="L1042" s="4"/>
      <c r="M1042" s="4"/>
      <c r="N1042" s="4"/>
      <c r="O1042" s="4"/>
      <c r="P1042" s="4"/>
      <c r="Q1042" s="4"/>
      <c r="R1042" s="4"/>
      <c r="S1042" s="4"/>
      <c r="T1042" s="4"/>
      <c r="U1042" s="4"/>
      <c r="V1042" s="4"/>
      <c r="W1042" s="4"/>
      <c r="X1042" s="4"/>
      <c r="Y1042" s="4"/>
      <c r="Z1042" s="4"/>
      <c r="AA1042" s="4"/>
    </row>
    <row r="1043" spans="1:27" ht="16">
      <c r="A1043" s="1"/>
      <c r="B1043" s="2"/>
      <c r="C1043" s="6"/>
      <c r="D1043" s="2"/>
      <c r="E1043" s="2"/>
      <c r="F1043" s="2"/>
      <c r="G1043" s="2"/>
      <c r="H1043" s="1"/>
      <c r="I1043" s="4"/>
      <c r="J1043" s="4"/>
      <c r="K1043" s="4"/>
      <c r="L1043" s="4"/>
      <c r="M1043" s="4"/>
      <c r="N1043" s="4"/>
      <c r="O1043" s="4"/>
      <c r="P1043" s="4"/>
      <c r="Q1043" s="4"/>
      <c r="R1043" s="4"/>
      <c r="S1043" s="4"/>
      <c r="T1043" s="4"/>
      <c r="U1043" s="4"/>
      <c r="V1043" s="4"/>
      <c r="W1043" s="4"/>
      <c r="X1043" s="4"/>
      <c r="Y1043" s="4"/>
      <c r="Z1043" s="4"/>
      <c r="AA1043" s="4"/>
    </row>
    <row r="1044" spans="1:27" ht="16">
      <c r="A1044" s="1"/>
      <c r="B1044" s="2"/>
      <c r="C1044" s="6"/>
      <c r="D1044" s="2"/>
      <c r="E1044" s="2"/>
      <c r="F1044" s="2"/>
      <c r="G1044" s="2"/>
      <c r="H1044" s="1"/>
      <c r="I1044" s="4"/>
      <c r="J1044" s="4"/>
      <c r="K1044" s="4"/>
      <c r="L1044" s="4"/>
      <c r="M1044" s="4"/>
      <c r="N1044" s="4"/>
      <c r="O1044" s="4"/>
      <c r="P1044" s="4"/>
      <c r="Q1044" s="4"/>
      <c r="R1044" s="4"/>
      <c r="S1044" s="4"/>
      <c r="T1044" s="4"/>
      <c r="U1044" s="4"/>
      <c r="V1044" s="4"/>
      <c r="W1044" s="4"/>
      <c r="X1044" s="4"/>
      <c r="Y1044" s="4"/>
      <c r="Z1044" s="4"/>
      <c r="AA1044" s="4"/>
    </row>
    <row r="1045" spans="1:27" ht="16">
      <c r="A1045" s="1"/>
      <c r="B1045" s="2"/>
      <c r="C1045" s="6"/>
      <c r="D1045" s="2"/>
      <c r="E1045" s="2"/>
      <c r="F1045" s="2"/>
      <c r="G1045" s="2"/>
      <c r="H1045" s="1"/>
      <c r="I1045" s="4"/>
      <c r="J1045" s="4"/>
      <c r="K1045" s="4"/>
      <c r="L1045" s="4"/>
      <c r="M1045" s="4"/>
      <c r="N1045" s="4"/>
      <c r="O1045" s="4"/>
      <c r="P1045" s="4"/>
      <c r="Q1045" s="4"/>
      <c r="R1045" s="4"/>
      <c r="S1045" s="4"/>
      <c r="T1045" s="4"/>
      <c r="U1045" s="4"/>
      <c r="V1045" s="4"/>
      <c r="W1045" s="4"/>
      <c r="X1045" s="4"/>
      <c r="Y1045" s="4"/>
      <c r="Z1045" s="4"/>
      <c r="AA1045" s="4"/>
    </row>
  </sheetData>
  <mergeCells count="1">
    <mergeCell ref="C43:H43"/>
  </mergeCells>
  <phoneticPr fontId="70"/>
  <hyperlinks>
    <hyperlink ref="C21" r:id="rId1" xr:uid="{00000000-0004-0000-0000-000000000000}"/>
    <hyperlink ref="C24" r:id="rId2" xr:uid="{00000000-0004-0000-0000-000001000000}"/>
    <hyperlink ref="C26" r:id="rId3" xr:uid="{00000000-0004-0000-0000-000002000000}"/>
    <hyperlink ref="C35" r:id="rId4" xr:uid="{00000000-0004-0000-0000-000003000000}"/>
    <hyperlink ref="B63" location="'概要 '!A1" display="https://docs.google.com/spreadsheets/d/18PEvlObbKdT6obBvrsZU-qdG8YnbdkMUUabg28MedCc/edit?gid=372848398#gid=372848398" xr:uid="{00000000-0004-0000-0000-000004000000}"/>
    <hyperlink ref="B65" r:id="rId5" xr:uid="{00000000-0004-0000-0000-000005000000}"/>
  </hyperlinks>
  <printOptions horizontalCentered="1" gridLines="1"/>
  <pageMargins left="0.7" right="0.7" top="0.75" bottom="0.75" header="0" footer="0"/>
  <pageSetup paperSize="9" pageOrder="overThenDown" orientation="portrait" cellComments="atEnd"/>
  <rowBreaks count="2" manualBreakCount="2">
    <brk man="1"/>
    <brk id="72" man="1"/>
  </rowBreaks>
  <colBreaks count="2" manualBreakCount="2">
    <brk man="1"/>
    <brk id="9" man="1"/>
  </colBreaks>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X888"/>
  <sheetViews>
    <sheetView workbookViewId="0">
      <pane ySplit="2" topLeftCell="A3" activePane="bottomLeft" state="frozen"/>
      <selection pane="bottomLeft" activeCell="B4" sqref="B4"/>
    </sheetView>
  </sheetViews>
  <sheetFormatPr defaultColWidth="12.6328125" defaultRowHeight="15.75" customHeight="1"/>
  <cols>
    <col min="1" max="1" width="2.7265625" customWidth="1"/>
    <col min="2" max="2" width="6.90625" customWidth="1"/>
    <col min="3" max="3" width="19.08984375" customWidth="1"/>
    <col min="4" max="4" width="18.90625" customWidth="1"/>
    <col min="6" max="6" width="17.36328125" customWidth="1"/>
    <col min="7" max="7" width="54.90625" customWidth="1"/>
    <col min="9" max="10" width="7.08984375" customWidth="1"/>
  </cols>
  <sheetData>
    <row r="1" spans="1:24" ht="15.75" customHeight="1">
      <c r="A1" s="93"/>
      <c r="B1" s="94"/>
      <c r="C1" s="95" t="s">
        <v>89</v>
      </c>
      <c r="D1" s="93"/>
      <c r="E1" s="93"/>
      <c r="F1" s="93"/>
      <c r="G1" s="93"/>
      <c r="H1" s="93"/>
      <c r="I1" s="94"/>
      <c r="J1" s="94"/>
      <c r="K1" s="93"/>
      <c r="L1" s="93"/>
      <c r="M1" s="93"/>
      <c r="N1" s="93"/>
      <c r="O1" s="93"/>
      <c r="P1" s="93"/>
      <c r="Q1" s="93"/>
      <c r="R1" s="93"/>
      <c r="S1" s="93"/>
      <c r="T1" s="93"/>
      <c r="U1" s="93"/>
      <c r="V1" s="93"/>
      <c r="W1" s="93"/>
      <c r="X1" s="93"/>
    </row>
    <row r="2" spans="1:24" ht="15.75" customHeight="1">
      <c r="A2" s="96" t="s">
        <v>90</v>
      </c>
      <c r="B2" s="96" t="s">
        <v>91</v>
      </c>
      <c r="C2" s="96" t="s">
        <v>92</v>
      </c>
      <c r="D2" s="96" t="s">
        <v>93</v>
      </c>
      <c r="E2" s="96" t="s">
        <v>94</v>
      </c>
      <c r="F2" s="96" t="s">
        <v>95</v>
      </c>
      <c r="G2" s="96" t="s">
        <v>96</v>
      </c>
      <c r="H2" s="96" t="s">
        <v>97</v>
      </c>
      <c r="I2" s="94" t="s">
        <v>98</v>
      </c>
      <c r="J2" s="97" t="s">
        <v>94</v>
      </c>
      <c r="K2" s="97" t="s">
        <v>95</v>
      </c>
      <c r="L2" s="94" t="s">
        <v>99</v>
      </c>
      <c r="M2" s="94"/>
      <c r="N2" s="94"/>
      <c r="O2" s="94"/>
      <c r="P2" s="94"/>
      <c r="Q2" s="94"/>
      <c r="R2" s="94"/>
      <c r="S2" s="94"/>
      <c r="T2" s="94"/>
      <c r="U2" s="94"/>
      <c r="V2" s="94"/>
      <c r="W2" s="94"/>
      <c r="X2" s="94"/>
    </row>
    <row r="3" spans="1:24" ht="15.75" customHeight="1">
      <c r="A3" s="93">
        <v>1</v>
      </c>
      <c r="B3" s="98" t="s">
        <v>100</v>
      </c>
      <c r="C3" s="93"/>
      <c r="D3" s="93"/>
      <c r="E3" s="93" t="s">
        <v>55</v>
      </c>
      <c r="F3" s="99" t="s">
        <v>101</v>
      </c>
      <c r="G3" s="100"/>
      <c r="I3" s="94" t="s">
        <v>98</v>
      </c>
      <c r="J3" s="101" t="s">
        <v>102</v>
      </c>
      <c r="K3" s="101" t="s">
        <v>101</v>
      </c>
      <c r="L3" s="102">
        <f t="shared" ref="L3:L8" si="0">COUNTIF(F$3:F$17,K3)</f>
        <v>8</v>
      </c>
      <c r="M3" s="93"/>
      <c r="N3" s="93"/>
      <c r="O3" s="93"/>
      <c r="P3" s="93"/>
      <c r="Q3" s="93"/>
      <c r="R3" s="93"/>
      <c r="S3" s="93"/>
      <c r="T3" s="93"/>
      <c r="U3" s="93"/>
      <c r="V3" s="93"/>
      <c r="W3" s="93"/>
      <c r="X3" s="93"/>
    </row>
    <row r="4" spans="1:24" ht="15.75" customHeight="1">
      <c r="A4" s="93">
        <v>2</v>
      </c>
      <c r="B4" s="98" t="s">
        <v>100</v>
      </c>
      <c r="C4" s="93"/>
      <c r="D4" s="93"/>
      <c r="E4" s="93" t="s">
        <v>102</v>
      </c>
      <c r="F4" s="99" t="s">
        <v>101</v>
      </c>
      <c r="G4" s="100"/>
      <c r="H4" s="103"/>
      <c r="I4" s="94" t="s">
        <v>98</v>
      </c>
      <c r="J4" s="101" t="s">
        <v>55</v>
      </c>
      <c r="K4" s="101" t="s">
        <v>103</v>
      </c>
      <c r="L4" s="102">
        <f t="shared" si="0"/>
        <v>1</v>
      </c>
      <c r="M4" s="93"/>
      <c r="N4" s="93"/>
      <c r="O4" s="93"/>
      <c r="P4" s="93"/>
      <c r="Q4" s="93"/>
      <c r="R4" s="93"/>
      <c r="S4" s="93"/>
      <c r="T4" s="93"/>
      <c r="U4" s="93"/>
      <c r="V4" s="93"/>
      <c r="W4" s="93"/>
      <c r="X4" s="93"/>
    </row>
    <row r="5" spans="1:24" ht="15.75" customHeight="1">
      <c r="A5" s="93">
        <v>3</v>
      </c>
      <c r="B5" s="104" t="s">
        <v>100</v>
      </c>
      <c r="C5" s="93"/>
      <c r="D5" s="93"/>
      <c r="E5" s="93" t="s">
        <v>55</v>
      </c>
      <c r="F5" s="99" t="s">
        <v>101</v>
      </c>
      <c r="G5" s="105"/>
      <c r="H5" s="103"/>
      <c r="I5" s="94" t="s">
        <v>98</v>
      </c>
      <c r="J5" s="101" t="s">
        <v>104</v>
      </c>
      <c r="K5" s="101" t="s">
        <v>105</v>
      </c>
      <c r="L5" s="102">
        <f t="shared" si="0"/>
        <v>6</v>
      </c>
      <c r="M5" s="93"/>
      <c r="N5" s="93"/>
      <c r="O5" s="93"/>
      <c r="P5" s="93"/>
      <c r="Q5" s="93"/>
      <c r="R5" s="93"/>
      <c r="S5" s="93"/>
      <c r="T5" s="93"/>
      <c r="U5" s="93"/>
      <c r="V5" s="93"/>
      <c r="W5" s="93"/>
      <c r="X5" s="93"/>
    </row>
    <row r="6" spans="1:24" ht="15.75" customHeight="1">
      <c r="A6" s="93">
        <v>4</v>
      </c>
      <c r="B6" s="98" t="s">
        <v>100</v>
      </c>
      <c r="C6" s="93"/>
      <c r="D6" s="93"/>
      <c r="E6" s="93" t="s">
        <v>102</v>
      </c>
      <c r="F6" s="99" t="s">
        <v>101</v>
      </c>
      <c r="G6" s="100"/>
      <c r="H6" s="103"/>
      <c r="I6" s="94" t="s">
        <v>98</v>
      </c>
      <c r="J6" s="101" t="s">
        <v>106</v>
      </c>
      <c r="K6" s="101" t="s">
        <v>107</v>
      </c>
      <c r="L6" s="102">
        <f t="shared" si="0"/>
        <v>0</v>
      </c>
      <c r="M6" s="103"/>
      <c r="N6" s="103"/>
      <c r="O6" s="103"/>
      <c r="P6" s="93"/>
      <c r="Q6" s="93"/>
      <c r="R6" s="93"/>
      <c r="S6" s="93"/>
      <c r="T6" s="93"/>
      <c r="U6" s="93"/>
      <c r="V6" s="93"/>
      <c r="W6" s="93"/>
      <c r="X6" s="93"/>
    </row>
    <row r="7" spans="1:24" ht="15.75" customHeight="1">
      <c r="A7" s="93">
        <v>5</v>
      </c>
      <c r="B7" s="98" t="s">
        <v>100</v>
      </c>
      <c r="C7" s="103"/>
      <c r="D7" s="93"/>
      <c r="E7" s="93" t="s">
        <v>102</v>
      </c>
      <c r="F7" s="99" t="s">
        <v>101</v>
      </c>
      <c r="G7" s="105"/>
      <c r="H7" s="103"/>
      <c r="I7" s="94" t="s">
        <v>98</v>
      </c>
      <c r="J7" s="101" t="s">
        <v>106</v>
      </c>
      <c r="K7" s="101" t="s">
        <v>108</v>
      </c>
      <c r="L7" s="102">
        <f t="shared" si="0"/>
        <v>0</v>
      </c>
      <c r="M7" s="93"/>
      <c r="N7" s="93"/>
      <c r="O7" s="93"/>
      <c r="P7" s="93"/>
      <c r="Q7" s="93"/>
      <c r="R7" s="93"/>
      <c r="S7" s="93"/>
      <c r="T7" s="93"/>
      <c r="U7" s="93"/>
      <c r="V7" s="93"/>
      <c r="W7" s="93"/>
      <c r="X7" s="93"/>
    </row>
    <row r="8" spans="1:24" ht="15.75" customHeight="1">
      <c r="A8" s="93">
        <v>6</v>
      </c>
      <c r="B8" s="98" t="s">
        <v>100</v>
      </c>
      <c r="C8" s="93"/>
      <c r="D8" s="93"/>
      <c r="E8" s="93" t="s">
        <v>102</v>
      </c>
      <c r="F8" s="99" t="s">
        <v>101</v>
      </c>
      <c r="G8" s="105"/>
      <c r="H8" s="103"/>
      <c r="I8" s="94" t="s">
        <v>98</v>
      </c>
      <c r="J8" s="101" t="s">
        <v>106</v>
      </c>
      <c r="K8" s="101" t="s">
        <v>109</v>
      </c>
      <c r="L8" s="102">
        <f t="shared" si="0"/>
        <v>0</v>
      </c>
      <c r="M8" s="103"/>
      <c r="N8" s="103"/>
      <c r="O8" s="103"/>
      <c r="P8" s="93"/>
      <c r="Q8" s="93"/>
      <c r="R8" s="93"/>
      <c r="S8" s="93"/>
      <c r="T8" s="93"/>
      <c r="U8" s="93"/>
      <c r="V8" s="93"/>
      <c r="W8" s="93"/>
      <c r="X8" s="93"/>
    </row>
    <row r="9" spans="1:24" ht="15.75" customHeight="1">
      <c r="A9" s="93">
        <v>7</v>
      </c>
      <c r="B9" s="98" t="s">
        <v>100</v>
      </c>
      <c r="C9" s="93"/>
      <c r="D9" s="93"/>
      <c r="E9" s="93" t="s">
        <v>106</v>
      </c>
      <c r="F9" s="99" t="s">
        <v>101</v>
      </c>
      <c r="G9" s="105"/>
      <c r="H9" s="93"/>
      <c r="I9" s="94" t="s">
        <v>98</v>
      </c>
      <c r="M9" s="93"/>
      <c r="N9" s="93"/>
      <c r="O9" s="93"/>
      <c r="P9" s="93"/>
      <c r="Q9" s="93"/>
      <c r="R9" s="93"/>
      <c r="S9" s="93"/>
      <c r="T9" s="93"/>
      <c r="U9" s="93"/>
      <c r="V9" s="93"/>
      <c r="W9" s="93"/>
      <c r="X9" s="93"/>
    </row>
    <row r="10" spans="1:24" ht="15.75" customHeight="1">
      <c r="A10" s="93">
        <v>8</v>
      </c>
      <c r="B10" s="98" t="s">
        <v>100</v>
      </c>
      <c r="C10" s="93"/>
      <c r="D10" s="93"/>
      <c r="E10" s="93" t="s">
        <v>55</v>
      </c>
      <c r="F10" s="99" t="s">
        <v>101</v>
      </c>
      <c r="G10" s="106"/>
      <c r="H10" s="103"/>
      <c r="I10" s="94" t="s">
        <v>98</v>
      </c>
      <c r="M10" s="93"/>
      <c r="N10" s="93"/>
      <c r="O10" s="93"/>
      <c r="P10" s="93"/>
      <c r="Q10" s="93"/>
      <c r="R10" s="93"/>
      <c r="S10" s="93"/>
      <c r="T10" s="93"/>
      <c r="U10" s="93"/>
      <c r="V10" s="93"/>
      <c r="W10" s="93"/>
      <c r="X10" s="93"/>
    </row>
    <row r="11" spans="1:24" ht="15.75" customHeight="1">
      <c r="A11" s="93">
        <v>9</v>
      </c>
      <c r="B11" s="98" t="s">
        <v>100</v>
      </c>
      <c r="C11" s="93"/>
      <c r="D11" s="93"/>
      <c r="E11" s="93" t="s">
        <v>106</v>
      </c>
      <c r="F11" s="107" t="s">
        <v>103</v>
      </c>
      <c r="G11" s="106"/>
      <c r="H11" s="93"/>
      <c r="I11" s="94" t="s">
        <v>98</v>
      </c>
      <c r="J11" s="94"/>
      <c r="K11" s="93"/>
      <c r="L11" s="93"/>
      <c r="M11" s="93"/>
      <c r="N11" s="93"/>
      <c r="O11" s="93"/>
      <c r="P11" s="93"/>
      <c r="Q11" s="93"/>
      <c r="R11" s="93"/>
      <c r="S11" s="93"/>
      <c r="T11" s="93"/>
      <c r="U11" s="93"/>
      <c r="V11" s="93"/>
      <c r="W11" s="93"/>
      <c r="X11" s="93"/>
    </row>
    <row r="12" spans="1:24" ht="15.75" customHeight="1">
      <c r="A12" s="93">
        <v>10</v>
      </c>
      <c r="B12" s="98" t="s">
        <v>100</v>
      </c>
      <c r="C12" s="93"/>
      <c r="D12" s="93"/>
      <c r="E12" s="93" t="s">
        <v>106</v>
      </c>
      <c r="F12" s="108" t="s">
        <v>105</v>
      </c>
      <c r="G12" s="106"/>
      <c r="H12" s="93"/>
      <c r="I12" s="94" t="s">
        <v>98</v>
      </c>
      <c r="J12" s="94"/>
      <c r="K12" s="93"/>
      <c r="L12" s="93"/>
      <c r="M12" s="93"/>
      <c r="N12" s="93"/>
      <c r="O12" s="93"/>
      <c r="P12" s="93"/>
      <c r="Q12" s="93"/>
      <c r="R12" s="93"/>
      <c r="S12" s="93"/>
      <c r="T12" s="93"/>
      <c r="U12" s="93"/>
      <c r="V12" s="93"/>
      <c r="W12" s="93"/>
      <c r="X12" s="93"/>
    </row>
    <row r="13" spans="1:24" ht="15.75" customHeight="1">
      <c r="A13" s="93">
        <v>11</v>
      </c>
      <c r="B13" s="98" t="s">
        <v>100</v>
      </c>
      <c r="E13" s="93" t="s">
        <v>55</v>
      </c>
      <c r="F13" s="108" t="s">
        <v>105</v>
      </c>
      <c r="G13" s="105"/>
      <c r="I13" s="94" t="s">
        <v>98</v>
      </c>
      <c r="J13" s="103"/>
      <c r="K13" s="103"/>
      <c r="L13" s="93"/>
      <c r="M13" s="93"/>
      <c r="N13" s="93"/>
      <c r="O13" s="93"/>
      <c r="P13" s="93"/>
      <c r="Q13" s="93"/>
      <c r="R13" s="93"/>
      <c r="S13" s="93"/>
      <c r="T13" s="93"/>
      <c r="U13" s="93"/>
      <c r="V13" s="93"/>
      <c r="W13" s="93"/>
      <c r="X13" s="93"/>
    </row>
    <row r="14" spans="1:24" ht="15.75" customHeight="1">
      <c r="A14" s="93">
        <v>12</v>
      </c>
      <c r="B14" s="98" t="s">
        <v>100</v>
      </c>
      <c r="C14" s="103"/>
      <c r="E14" s="93" t="s">
        <v>55</v>
      </c>
      <c r="F14" s="108" t="s">
        <v>105</v>
      </c>
      <c r="G14" s="105"/>
      <c r="H14" s="93"/>
      <c r="I14" s="94" t="s">
        <v>98</v>
      </c>
      <c r="J14" s="94"/>
      <c r="K14" s="93"/>
      <c r="L14" s="93"/>
      <c r="M14" s="93"/>
      <c r="N14" s="93"/>
      <c r="O14" s="93"/>
      <c r="P14" s="93"/>
      <c r="Q14" s="93"/>
      <c r="R14" s="93"/>
      <c r="S14" s="93"/>
      <c r="T14" s="93"/>
      <c r="U14" s="93"/>
      <c r="V14" s="93"/>
      <c r="W14" s="93"/>
      <c r="X14" s="93"/>
    </row>
    <row r="15" spans="1:24" ht="15.75" customHeight="1">
      <c r="A15" s="93">
        <v>13</v>
      </c>
      <c r="B15" s="98" t="s">
        <v>100</v>
      </c>
      <c r="C15" s="109"/>
      <c r="D15" s="93"/>
      <c r="E15" s="93" t="s">
        <v>106</v>
      </c>
      <c r="F15" s="108" t="s">
        <v>105</v>
      </c>
      <c r="G15" s="106"/>
      <c r="I15" s="94" t="s">
        <v>98</v>
      </c>
      <c r="J15" s="103"/>
      <c r="K15" s="103"/>
      <c r="L15" s="93"/>
      <c r="M15" s="93"/>
      <c r="N15" s="93"/>
      <c r="O15" s="93"/>
      <c r="P15" s="93"/>
      <c r="Q15" s="93"/>
      <c r="R15" s="93"/>
      <c r="S15" s="93"/>
      <c r="T15" s="93"/>
      <c r="U15" s="93"/>
      <c r="V15" s="93"/>
      <c r="W15" s="93"/>
      <c r="X15" s="93"/>
    </row>
    <row r="16" spans="1:24" ht="15.75" customHeight="1">
      <c r="A16" s="93">
        <v>14</v>
      </c>
      <c r="B16" s="98" t="s">
        <v>100</v>
      </c>
      <c r="C16" s="93"/>
      <c r="D16" s="93"/>
      <c r="E16" s="93" t="s">
        <v>106</v>
      </c>
      <c r="F16" s="108" t="s">
        <v>105</v>
      </c>
      <c r="G16" s="102"/>
      <c r="H16" s="93"/>
      <c r="I16" s="94" t="s">
        <v>98</v>
      </c>
      <c r="J16" s="94"/>
      <c r="K16" s="93"/>
      <c r="L16" s="93"/>
      <c r="M16" s="93"/>
      <c r="N16" s="93"/>
      <c r="O16" s="93"/>
      <c r="P16" s="93"/>
      <c r="Q16" s="93"/>
      <c r="R16" s="93"/>
      <c r="S16" s="93"/>
      <c r="T16" s="93"/>
      <c r="U16" s="93"/>
      <c r="V16" s="93"/>
      <c r="W16" s="93"/>
      <c r="X16" s="93"/>
    </row>
    <row r="17" spans="1:24" ht="15.75" customHeight="1">
      <c r="A17" s="93">
        <v>15</v>
      </c>
      <c r="B17" s="98" t="s">
        <v>100</v>
      </c>
      <c r="C17" s="110"/>
      <c r="D17" s="93"/>
      <c r="E17" s="93" t="s">
        <v>106</v>
      </c>
      <c r="F17" s="108" t="s">
        <v>105</v>
      </c>
      <c r="G17" s="102"/>
      <c r="H17" s="93"/>
      <c r="I17" s="94" t="s">
        <v>98</v>
      </c>
      <c r="J17" s="94"/>
      <c r="K17" s="93"/>
      <c r="L17" s="93"/>
      <c r="M17" s="93"/>
      <c r="N17" s="93"/>
      <c r="O17" s="93"/>
      <c r="P17" s="93"/>
      <c r="Q17" s="93"/>
      <c r="R17" s="93"/>
      <c r="S17" s="93"/>
      <c r="T17" s="93"/>
      <c r="U17" s="93"/>
      <c r="V17" s="93"/>
      <c r="W17" s="93"/>
      <c r="X17" s="93"/>
    </row>
    <row r="18" spans="1:24" ht="15.75" customHeight="1">
      <c r="A18" s="93"/>
      <c r="B18" s="94"/>
      <c r="C18" s="93"/>
      <c r="D18" s="93"/>
      <c r="E18" s="93"/>
      <c r="F18" s="93"/>
      <c r="G18" s="93"/>
      <c r="H18" s="93"/>
      <c r="I18" s="94" t="s">
        <v>98</v>
      </c>
      <c r="J18" s="94"/>
      <c r="K18" s="93"/>
      <c r="L18" s="93"/>
      <c r="M18" s="93"/>
      <c r="N18" s="93"/>
      <c r="O18" s="93"/>
      <c r="P18" s="93"/>
      <c r="Q18" s="93"/>
      <c r="R18" s="93"/>
      <c r="S18" s="93"/>
      <c r="T18" s="93"/>
      <c r="U18" s="93"/>
      <c r="V18" s="93"/>
      <c r="W18" s="93"/>
      <c r="X18" s="93"/>
    </row>
    <row r="19" spans="1:24" ht="15.75" customHeight="1">
      <c r="A19" s="93"/>
      <c r="B19" s="94"/>
      <c r="C19" s="93"/>
      <c r="D19" s="93"/>
      <c r="E19" s="93"/>
      <c r="F19" s="93"/>
      <c r="G19" s="93"/>
      <c r="H19" s="93"/>
      <c r="I19" s="94" t="s">
        <v>98</v>
      </c>
      <c r="J19" s="94"/>
      <c r="K19" s="93"/>
      <c r="L19" s="93"/>
      <c r="M19" s="93"/>
      <c r="N19" s="93"/>
      <c r="O19" s="93"/>
      <c r="P19" s="93"/>
      <c r="Q19" s="93"/>
      <c r="R19" s="93"/>
      <c r="S19" s="93"/>
      <c r="T19" s="93"/>
      <c r="U19" s="93"/>
      <c r="V19" s="93"/>
      <c r="W19" s="93"/>
      <c r="X19" s="93"/>
    </row>
    <row r="20" spans="1:24" ht="15.75" customHeight="1">
      <c r="A20" s="93"/>
      <c r="B20" s="94"/>
      <c r="C20" s="93"/>
      <c r="D20" s="93"/>
      <c r="E20" s="93"/>
      <c r="F20" s="93"/>
      <c r="G20" s="93"/>
      <c r="H20" s="93"/>
      <c r="I20" s="94" t="s">
        <v>98</v>
      </c>
      <c r="J20" s="94"/>
      <c r="K20" s="93"/>
      <c r="L20" s="93"/>
      <c r="M20" s="93"/>
      <c r="N20" s="93"/>
      <c r="O20" s="93"/>
      <c r="P20" s="93"/>
      <c r="Q20" s="93"/>
      <c r="R20" s="93"/>
      <c r="S20" s="93"/>
      <c r="T20" s="93"/>
      <c r="U20" s="93"/>
      <c r="V20" s="93"/>
      <c r="W20" s="93"/>
      <c r="X20" s="93"/>
    </row>
    <row r="21" spans="1:24" ht="15.75" customHeight="1">
      <c r="A21" s="93"/>
      <c r="B21" s="94"/>
      <c r="C21" s="93"/>
      <c r="D21" s="93"/>
      <c r="E21" s="93"/>
      <c r="F21" s="93"/>
      <c r="G21" s="93"/>
      <c r="H21" s="93"/>
      <c r="I21" s="94" t="s">
        <v>98</v>
      </c>
      <c r="J21" s="94"/>
      <c r="K21" s="93"/>
      <c r="L21" s="93"/>
      <c r="M21" s="93"/>
      <c r="N21" s="93"/>
      <c r="O21" s="93"/>
      <c r="P21" s="93"/>
      <c r="Q21" s="93"/>
      <c r="R21" s="93"/>
      <c r="S21" s="93"/>
      <c r="T21" s="93"/>
      <c r="U21" s="93"/>
      <c r="V21" s="93"/>
      <c r="W21" s="93"/>
      <c r="X21" s="93"/>
    </row>
    <row r="22" spans="1:24" ht="15.75" customHeight="1">
      <c r="A22" s="93"/>
      <c r="B22" s="94"/>
      <c r="C22" s="93"/>
      <c r="D22" s="93"/>
      <c r="E22" s="93"/>
      <c r="F22" s="93"/>
      <c r="G22" s="93"/>
      <c r="H22" s="93"/>
      <c r="I22" s="94" t="s">
        <v>98</v>
      </c>
      <c r="J22" s="94"/>
      <c r="K22" s="93"/>
      <c r="L22" s="93"/>
      <c r="M22" s="93"/>
      <c r="N22" s="93"/>
      <c r="O22" s="93"/>
      <c r="P22" s="93"/>
      <c r="Q22" s="93"/>
      <c r="R22" s="93"/>
      <c r="S22" s="93"/>
      <c r="T22" s="93"/>
      <c r="U22" s="93"/>
      <c r="V22" s="93"/>
      <c r="W22" s="93"/>
      <c r="X22" s="93"/>
    </row>
    <row r="23" spans="1:24" ht="15.75" customHeight="1">
      <c r="A23" s="93"/>
      <c r="B23" s="94"/>
      <c r="C23" s="93"/>
      <c r="D23" s="93"/>
      <c r="E23" s="93"/>
      <c r="F23" s="93"/>
      <c r="G23" s="93"/>
      <c r="H23" s="93"/>
      <c r="I23" s="94" t="s">
        <v>98</v>
      </c>
      <c r="J23" s="94"/>
      <c r="K23" s="93"/>
      <c r="L23" s="93"/>
      <c r="M23" s="93"/>
      <c r="N23" s="93"/>
      <c r="O23" s="93"/>
      <c r="P23" s="93"/>
      <c r="Q23" s="93"/>
      <c r="R23" s="93"/>
      <c r="S23" s="93"/>
      <c r="T23" s="93"/>
      <c r="U23" s="93"/>
      <c r="V23" s="93"/>
      <c r="W23" s="93"/>
      <c r="X23" s="93"/>
    </row>
    <row r="24" spans="1:24" ht="15.75" customHeight="1">
      <c r="A24" s="93"/>
      <c r="B24" s="94"/>
      <c r="C24" s="93"/>
      <c r="D24" s="93"/>
      <c r="E24" s="93"/>
      <c r="F24" s="93"/>
      <c r="G24" s="93"/>
      <c r="H24" s="93"/>
      <c r="I24" s="94"/>
      <c r="J24" s="94"/>
      <c r="K24" s="93"/>
      <c r="L24" s="93"/>
      <c r="M24" s="93"/>
      <c r="N24" s="93"/>
      <c r="O24" s="93"/>
      <c r="P24" s="93"/>
      <c r="Q24" s="93"/>
      <c r="R24" s="93"/>
      <c r="S24" s="93"/>
      <c r="T24" s="93"/>
      <c r="U24" s="93"/>
      <c r="V24" s="93"/>
      <c r="W24" s="93"/>
      <c r="X24" s="93"/>
    </row>
    <row r="25" spans="1:24" ht="15.75" customHeight="1">
      <c r="A25" s="93"/>
      <c r="B25" s="94"/>
      <c r="C25" s="93"/>
      <c r="D25" s="93"/>
      <c r="E25" s="93"/>
      <c r="F25" s="93"/>
      <c r="G25" s="93"/>
      <c r="H25" s="93"/>
      <c r="I25" s="94"/>
      <c r="J25" s="94"/>
      <c r="K25" s="93"/>
      <c r="L25" s="93"/>
      <c r="M25" s="93"/>
      <c r="N25" s="93"/>
      <c r="O25" s="93"/>
      <c r="P25" s="93"/>
      <c r="Q25" s="93"/>
      <c r="R25" s="93"/>
      <c r="S25" s="93"/>
      <c r="T25" s="93"/>
      <c r="U25" s="93"/>
      <c r="V25" s="93"/>
      <c r="W25" s="93"/>
      <c r="X25" s="93"/>
    </row>
    <row r="26" spans="1:24" ht="15.75" customHeight="1">
      <c r="A26" s="93"/>
      <c r="B26" s="94"/>
      <c r="C26" s="93"/>
      <c r="D26" s="93"/>
      <c r="E26" s="93"/>
      <c r="F26" s="93"/>
      <c r="G26" s="93"/>
      <c r="H26" s="93"/>
      <c r="I26" s="94"/>
      <c r="J26" s="94"/>
      <c r="K26" s="93"/>
      <c r="L26" s="93"/>
      <c r="M26" s="93"/>
      <c r="N26" s="93"/>
      <c r="O26" s="93"/>
      <c r="P26" s="93"/>
      <c r="Q26" s="93"/>
      <c r="R26" s="93"/>
      <c r="S26" s="93"/>
      <c r="T26" s="93"/>
      <c r="U26" s="93"/>
      <c r="V26" s="93"/>
      <c r="W26" s="93"/>
      <c r="X26" s="93"/>
    </row>
    <row r="27" spans="1:24" ht="15.75" customHeight="1">
      <c r="A27" s="93"/>
      <c r="B27" s="94"/>
      <c r="C27" s="93"/>
      <c r="D27" s="93"/>
      <c r="E27" s="93"/>
      <c r="F27" s="93"/>
      <c r="G27" s="93"/>
      <c r="H27" s="93"/>
      <c r="I27" s="94"/>
      <c r="J27" s="94"/>
      <c r="K27" s="93"/>
      <c r="L27" s="93"/>
      <c r="M27" s="93"/>
      <c r="N27" s="93"/>
      <c r="O27" s="93"/>
      <c r="P27" s="93"/>
      <c r="Q27" s="93"/>
      <c r="R27" s="93"/>
      <c r="S27" s="93"/>
      <c r="T27" s="93"/>
      <c r="U27" s="93"/>
      <c r="V27" s="93"/>
      <c r="W27" s="93"/>
      <c r="X27" s="93"/>
    </row>
    <row r="28" spans="1:24" ht="15.75" customHeight="1">
      <c r="A28" s="93"/>
      <c r="B28" s="94"/>
      <c r="C28" s="93"/>
      <c r="D28" s="93"/>
      <c r="E28" s="93"/>
      <c r="F28" s="93"/>
      <c r="G28" s="93"/>
      <c r="H28" s="93"/>
      <c r="I28" s="94"/>
      <c r="J28" s="94"/>
      <c r="K28" s="93"/>
      <c r="L28" s="93"/>
      <c r="M28" s="93"/>
      <c r="N28" s="93"/>
      <c r="O28" s="93"/>
      <c r="P28" s="93"/>
      <c r="Q28" s="93"/>
      <c r="R28" s="93"/>
      <c r="S28" s="93"/>
      <c r="T28" s="93"/>
      <c r="U28" s="93"/>
      <c r="V28" s="93"/>
      <c r="W28" s="93"/>
      <c r="X28" s="93"/>
    </row>
    <row r="29" spans="1:24" ht="15.75" customHeight="1">
      <c r="A29" s="93"/>
      <c r="B29" s="94"/>
      <c r="C29" s="93"/>
      <c r="D29" s="93"/>
      <c r="E29" s="93"/>
      <c r="F29" s="93"/>
      <c r="G29" s="93"/>
      <c r="H29" s="93"/>
      <c r="I29" s="94"/>
      <c r="J29" s="94"/>
      <c r="K29" s="93"/>
      <c r="L29" s="93"/>
      <c r="M29" s="93"/>
      <c r="N29" s="93"/>
      <c r="O29" s="93"/>
      <c r="P29" s="93"/>
      <c r="Q29" s="93"/>
      <c r="R29" s="93"/>
      <c r="S29" s="93"/>
      <c r="T29" s="93"/>
      <c r="U29" s="93"/>
      <c r="V29" s="93"/>
      <c r="W29" s="93"/>
      <c r="X29" s="93"/>
    </row>
    <row r="30" spans="1:24" ht="15.75" customHeight="1">
      <c r="A30" s="93"/>
      <c r="B30" s="94"/>
      <c r="C30" s="93"/>
      <c r="D30" s="93"/>
      <c r="E30" s="93"/>
      <c r="F30" s="93"/>
      <c r="G30" s="93"/>
      <c r="H30" s="93"/>
      <c r="I30" s="94"/>
      <c r="J30" s="94"/>
      <c r="K30" s="93"/>
      <c r="L30" s="93"/>
      <c r="M30" s="93"/>
      <c r="N30" s="93"/>
      <c r="O30" s="93"/>
      <c r="P30" s="93"/>
      <c r="Q30" s="93"/>
      <c r="R30" s="93"/>
      <c r="S30" s="93"/>
      <c r="T30" s="93"/>
      <c r="U30" s="93"/>
      <c r="V30" s="93"/>
      <c r="W30" s="93"/>
      <c r="X30" s="93"/>
    </row>
    <row r="31" spans="1:24" ht="15.75" customHeight="1">
      <c r="A31" s="93"/>
      <c r="B31" s="94"/>
      <c r="C31" s="93"/>
      <c r="D31" s="93"/>
      <c r="E31" s="93"/>
      <c r="F31" s="93"/>
      <c r="G31" s="93"/>
      <c r="H31" s="93"/>
      <c r="I31" s="94"/>
      <c r="J31" s="94"/>
      <c r="K31" s="93"/>
      <c r="L31" s="93"/>
      <c r="M31" s="93"/>
      <c r="N31" s="93"/>
      <c r="O31" s="93"/>
      <c r="P31" s="93"/>
      <c r="Q31" s="93"/>
      <c r="R31" s="93"/>
      <c r="S31" s="93"/>
      <c r="T31" s="93"/>
      <c r="U31" s="93"/>
      <c r="V31" s="93"/>
      <c r="W31" s="93"/>
      <c r="X31" s="93"/>
    </row>
    <row r="32" spans="1:24" ht="15.75" customHeight="1">
      <c r="A32" s="93"/>
      <c r="B32" s="94"/>
      <c r="C32" s="93"/>
      <c r="D32" s="93"/>
      <c r="E32" s="93"/>
      <c r="F32" s="93"/>
      <c r="G32" s="93"/>
      <c r="H32" s="93"/>
      <c r="I32" s="94"/>
      <c r="J32" s="94"/>
      <c r="K32" s="93"/>
      <c r="L32" s="93"/>
      <c r="M32" s="93"/>
      <c r="N32" s="93"/>
      <c r="O32" s="93"/>
      <c r="P32" s="93"/>
      <c r="Q32" s="93"/>
      <c r="R32" s="93"/>
      <c r="S32" s="93"/>
      <c r="T32" s="93"/>
      <c r="U32" s="93"/>
      <c r="V32" s="93"/>
      <c r="W32" s="93"/>
      <c r="X32" s="93"/>
    </row>
    <row r="33" spans="1:24" ht="15.75" customHeight="1">
      <c r="A33" s="93"/>
      <c r="B33" s="94"/>
      <c r="C33" s="93"/>
      <c r="D33" s="93"/>
      <c r="E33" s="93"/>
      <c r="F33" s="93"/>
      <c r="G33" s="93"/>
      <c r="H33" s="93"/>
      <c r="I33" s="94"/>
      <c r="J33" s="94"/>
      <c r="K33" s="93"/>
      <c r="L33" s="93"/>
      <c r="M33" s="93"/>
      <c r="N33" s="93"/>
      <c r="O33" s="93"/>
      <c r="P33" s="93"/>
      <c r="Q33" s="93"/>
      <c r="R33" s="93"/>
      <c r="S33" s="93"/>
      <c r="T33" s="93"/>
      <c r="U33" s="93"/>
      <c r="V33" s="93"/>
      <c r="W33" s="93"/>
      <c r="X33" s="93"/>
    </row>
    <row r="34" spans="1:24" ht="16">
      <c r="A34" s="93"/>
      <c r="B34" s="94"/>
      <c r="C34" s="93"/>
      <c r="D34" s="93"/>
      <c r="E34" s="93"/>
      <c r="F34" s="93"/>
      <c r="G34" s="93"/>
      <c r="H34" s="93"/>
      <c r="I34" s="94"/>
      <c r="J34" s="94"/>
      <c r="K34" s="93"/>
      <c r="L34" s="93"/>
      <c r="M34" s="93"/>
      <c r="N34" s="93"/>
      <c r="O34" s="93"/>
      <c r="P34" s="93"/>
      <c r="Q34" s="93"/>
      <c r="R34" s="93"/>
      <c r="S34" s="93"/>
      <c r="T34" s="93"/>
      <c r="U34" s="93"/>
      <c r="V34" s="93"/>
      <c r="W34" s="93"/>
      <c r="X34" s="93"/>
    </row>
    <row r="35" spans="1:24" ht="16">
      <c r="A35" s="93"/>
      <c r="B35" s="94"/>
      <c r="C35" s="93"/>
      <c r="D35" s="93"/>
      <c r="E35" s="93"/>
      <c r="F35" s="93"/>
      <c r="G35" s="93"/>
      <c r="H35" s="93"/>
      <c r="I35" s="94"/>
      <c r="J35" s="94"/>
      <c r="K35" s="93"/>
      <c r="L35" s="93"/>
      <c r="M35" s="93"/>
      <c r="N35" s="93"/>
      <c r="O35" s="93"/>
      <c r="P35" s="93"/>
      <c r="Q35" s="93"/>
      <c r="R35" s="93"/>
      <c r="S35" s="93"/>
      <c r="T35" s="93"/>
      <c r="U35" s="93"/>
      <c r="V35" s="93"/>
      <c r="W35" s="93"/>
      <c r="X35" s="93"/>
    </row>
    <row r="36" spans="1:24" ht="16">
      <c r="A36" s="93"/>
      <c r="B36" s="94"/>
      <c r="C36" s="93"/>
      <c r="D36" s="93"/>
      <c r="E36" s="93"/>
      <c r="F36" s="93"/>
      <c r="G36" s="93"/>
      <c r="H36" s="93"/>
      <c r="I36" s="94"/>
      <c r="J36" s="94"/>
      <c r="K36" s="93"/>
      <c r="L36" s="93"/>
      <c r="M36" s="93"/>
      <c r="N36" s="93"/>
      <c r="O36" s="93"/>
      <c r="P36" s="93"/>
      <c r="Q36" s="93"/>
      <c r="R36" s="93"/>
      <c r="S36" s="93"/>
      <c r="T36" s="93"/>
      <c r="U36" s="93"/>
      <c r="V36" s="93"/>
      <c r="W36" s="93"/>
      <c r="X36" s="93"/>
    </row>
    <row r="37" spans="1:24" ht="16">
      <c r="A37" s="93"/>
      <c r="B37" s="94"/>
      <c r="C37" s="93"/>
      <c r="D37" s="93"/>
      <c r="E37" s="93"/>
      <c r="F37" s="93"/>
      <c r="G37" s="93"/>
      <c r="H37" s="93"/>
      <c r="I37" s="94"/>
      <c r="J37" s="94"/>
      <c r="K37" s="93"/>
      <c r="L37" s="93"/>
      <c r="M37" s="93"/>
      <c r="N37" s="93"/>
      <c r="O37" s="93"/>
      <c r="P37" s="93"/>
      <c r="Q37" s="93"/>
      <c r="R37" s="93"/>
      <c r="S37" s="93"/>
      <c r="T37" s="93"/>
      <c r="U37" s="93"/>
      <c r="V37" s="93"/>
      <c r="W37" s="93"/>
      <c r="X37" s="93"/>
    </row>
    <row r="38" spans="1:24" ht="16">
      <c r="A38" s="93"/>
      <c r="B38" s="94"/>
      <c r="C38" s="93"/>
      <c r="D38" s="93"/>
      <c r="E38" s="93"/>
      <c r="F38" s="93"/>
      <c r="G38" s="93"/>
      <c r="H38" s="93"/>
      <c r="I38" s="94"/>
      <c r="J38" s="94"/>
      <c r="K38" s="93"/>
      <c r="L38" s="93"/>
      <c r="M38" s="93"/>
      <c r="N38" s="93"/>
      <c r="O38" s="93"/>
      <c r="P38" s="93"/>
      <c r="Q38" s="93"/>
      <c r="R38" s="93"/>
      <c r="S38" s="93"/>
      <c r="T38" s="93"/>
      <c r="U38" s="93"/>
      <c r="V38" s="93"/>
      <c r="W38" s="93"/>
      <c r="X38" s="93"/>
    </row>
    <row r="39" spans="1:24" ht="16">
      <c r="A39" s="93"/>
      <c r="B39" s="94"/>
      <c r="C39" s="93"/>
      <c r="D39" s="93"/>
      <c r="E39" s="93"/>
      <c r="F39" s="93"/>
      <c r="G39" s="93"/>
      <c r="H39" s="93"/>
      <c r="I39" s="94"/>
      <c r="J39" s="94"/>
      <c r="K39" s="93"/>
      <c r="L39" s="93"/>
      <c r="M39" s="93"/>
      <c r="N39" s="93"/>
      <c r="O39" s="93"/>
      <c r="P39" s="93"/>
      <c r="Q39" s="93"/>
      <c r="R39" s="93"/>
      <c r="S39" s="93"/>
      <c r="T39" s="93"/>
      <c r="U39" s="93"/>
      <c r="V39" s="93"/>
      <c r="W39" s="93"/>
      <c r="X39" s="93"/>
    </row>
    <row r="40" spans="1:24" ht="16">
      <c r="A40" s="93"/>
      <c r="B40" s="94"/>
      <c r="C40" s="93"/>
      <c r="D40" s="93"/>
      <c r="E40" s="93"/>
      <c r="F40" s="93"/>
      <c r="G40" s="93"/>
      <c r="H40" s="93"/>
      <c r="I40" s="94"/>
      <c r="J40" s="94"/>
      <c r="K40" s="93"/>
      <c r="L40" s="93"/>
      <c r="M40" s="93"/>
      <c r="N40" s="93"/>
      <c r="O40" s="93"/>
      <c r="P40" s="93"/>
      <c r="Q40" s="93"/>
      <c r="R40" s="93"/>
      <c r="S40" s="93"/>
      <c r="T40" s="93"/>
      <c r="U40" s="93"/>
      <c r="V40" s="93"/>
      <c r="W40" s="93"/>
      <c r="X40" s="93"/>
    </row>
    <row r="41" spans="1:24" ht="16">
      <c r="A41" s="93"/>
      <c r="B41" s="94"/>
      <c r="C41" s="93"/>
      <c r="D41" s="93"/>
      <c r="E41" s="93"/>
      <c r="F41" s="93"/>
      <c r="G41" s="93"/>
      <c r="H41" s="93"/>
      <c r="I41" s="94"/>
      <c r="J41" s="94"/>
      <c r="K41" s="93"/>
      <c r="L41" s="93"/>
      <c r="M41" s="93"/>
      <c r="N41" s="93"/>
      <c r="O41" s="93"/>
      <c r="P41" s="93"/>
      <c r="Q41" s="93"/>
      <c r="R41" s="93"/>
      <c r="S41" s="93"/>
      <c r="T41" s="93"/>
      <c r="U41" s="93"/>
      <c r="V41" s="93"/>
      <c r="W41" s="93"/>
      <c r="X41" s="93"/>
    </row>
    <row r="42" spans="1:24" ht="16">
      <c r="A42" s="93"/>
      <c r="B42" s="94"/>
      <c r="C42" s="93"/>
      <c r="D42" s="93"/>
      <c r="E42" s="93"/>
      <c r="F42" s="93"/>
      <c r="G42" s="93"/>
      <c r="H42" s="93"/>
      <c r="I42" s="94"/>
      <c r="J42" s="94"/>
      <c r="K42" s="93"/>
      <c r="L42" s="93"/>
      <c r="M42" s="93"/>
      <c r="N42" s="93"/>
      <c r="O42" s="93"/>
      <c r="P42" s="93"/>
      <c r="Q42" s="93"/>
      <c r="R42" s="93"/>
      <c r="S42" s="93"/>
      <c r="T42" s="93"/>
      <c r="U42" s="93"/>
      <c r="V42" s="93"/>
      <c r="W42" s="93"/>
      <c r="X42" s="93"/>
    </row>
    <row r="43" spans="1:24" ht="16">
      <c r="A43" s="93"/>
      <c r="B43" s="94"/>
      <c r="C43" s="93"/>
      <c r="D43" s="93"/>
      <c r="E43" s="93"/>
      <c r="F43" s="93"/>
      <c r="G43" s="93"/>
      <c r="H43" s="93"/>
      <c r="I43" s="94"/>
      <c r="J43" s="94"/>
      <c r="K43" s="93"/>
      <c r="L43" s="93"/>
      <c r="M43" s="93"/>
      <c r="N43" s="93"/>
      <c r="O43" s="93"/>
      <c r="P43" s="93"/>
      <c r="Q43" s="93"/>
      <c r="R43" s="93"/>
      <c r="S43" s="93"/>
      <c r="T43" s="93"/>
      <c r="U43" s="93"/>
      <c r="V43" s="93"/>
      <c r="W43" s="93"/>
      <c r="X43" s="93"/>
    </row>
    <row r="44" spans="1:24" ht="16">
      <c r="A44" s="93"/>
      <c r="B44" s="94"/>
      <c r="C44" s="93"/>
      <c r="D44" s="93"/>
      <c r="E44" s="93"/>
      <c r="F44" s="93"/>
      <c r="G44" s="93"/>
      <c r="H44" s="93"/>
      <c r="I44" s="94"/>
      <c r="J44" s="94"/>
      <c r="K44" s="93"/>
      <c r="L44" s="93"/>
      <c r="M44" s="93"/>
      <c r="N44" s="93"/>
      <c r="O44" s="93"/>
      <c r="P44" s="93"/>
      <c r="Q44" s="93"/>
      <c r="R44" s="93"/>
      <c r="S44" s="93"/>
      <c r="T44" s="93"/>
      <c r="U44" s="93"/>
      <c r="V44" s="93"/>
      <c r="W44" s="93"/>
      <c r="X44" s="93"/>
    </row>
    <row r="45" spans="1:24" ht="16">
      <c r="A45" s="93"/>
      <c r="B45" s="94"/>
      <c r="C45" s="93"/>
      <c r="D45" s="93"/>
      <c r="E45" s="93"/>
      <c r="F45" s="93"/>
      <c r="G45" s="93"/>
      <c r="H45" s="93"/>
      <c r="I45" s="94"/>
      <c r="J45" s="94"/>
      <c r="K45" s="93"/>
      <c r="L45" s="93"/>
      <c r="M45" s="93"/>
      <c r="N45" s="93"/>
      <c r="O45" s="93"/>
      <c r="P45" s="93"/>
      <c r="Q45" s="93"/>
      <c r="R45" s="93"/>
      <c r="S45" s="93"/>
      <c r="T45" s="93"/>
      <c r="U45" s="93"/>
      <c r="V45" s="93"/>
      <c r="W45" s="93"/>
      <c r="X45" s="93"/>
    </row>
    <row r="46" spans="1:24" ht="16">
      <c r="A46" s="93"/>
      <c r="B46" s="94"/>
      <c r="C46" s="93"/>
      <c r="D46" s="93"/>
      <c r="E46" s="93"/>
      <c r="F46" s="93"/>
      <c r="G46" s="93"/>
      <c r="H46" s="93"/>
      <c r="I46" s="94"/>
      <c r="J46" s="94"/>
      <c r="K46" s="93"/>
      <c r="L46" s="93"/>
      <c r="M46" s="93"/>
      <c r="N46" s="93"/>
      <c r="O46" s="93"/>
      <c r="P46" s="93"/>
      <c r="Q46" s="93"/>
      <c r="R46" s="93"/>
      <c r="S46" s="93"/>
      <c r="T46" s="93"/>
      <c r="U46" s="93"/>
      <c r="V46" s="93"/>
      <c r="W46" s="93"/>
      <c r="X46" s="93"/>
    </row>
    <row r="47" spans="1:24" ht="16">
      <c r="A47" s="93"/>
      <c r="B47" s="94"/>
      <c r="C47" s="93"/>
      <c r="D47" s="93"/>
      <c r="E47" s="93"/>
      <c r="F47" s="93"/>
      <c r="G47" s="93"/>
      <c r="H47" s="93"/>
      <c r="I47" s="94"/>
      <c r="J47" s="94"/>
      <c r="K47" s="93"/>
      <c r="L47" s="93"/>
      <c r="M47" s="93"/>
      <c r="N47" s="93"/>
      <c r="O47" s="93"/>
      <c r="P47" s="93"/>
      <c r="Q47" s="93"/>
      <c r="R47" s="93"/>
      <c r="S47" s="93"/>
      <c r="T47" s="93"/>
      <c r="U47" s="93"/>
      <c r="V47" s="93"/>
      <c r="W47" s="93"/>
      <c r="X47" s="93"/>
    </row>
    <row r="48" spans="1:24" ht="16">
      <c r="A48" s="93"/>
      <c r="B48" s="94"/>
      <c r="C48" s="93"/>
      <c r="D48" s="93"/>
      <c r="E48" s="93"/>
      <c r="F48" s="93"/>
      <c r="G48" s="93"/>
      <c r="H48" s="93"/>
      <c r="I48" s="94"/>
      <c r="J48" s="94"/>
      <c r="K48" s="93"/>
      <c r="L48" s="93"/>
      <c r="M48" s="93"/>
      <c r="N48" s="93"/>
      <c r="O48" s="93"/>
      <c r="P48" s="93"/>
      <c r="Q48" s="93"/>
      <c r="R48" s="93"/>
      <c r="S48" s="93"/>
      <c r="T48" s="93"/>
      <c r="U48" s="93"/>
      <c r="V48" s="93"/>
      <c r="W48" s="93"/>
      <c r="X48" s="93"/>
    </row>
    <row r="49" spans="1:24" ht="16">
      <c r="A49" s="93"/>
      <c r="B49" s="94"/>
      <c r="C49" s="93"/>
      <c r="D49" s="93"/>
      <c r="E49" s="93"/>
      <c r="F49" s="93"/>
      <c r="G49" s="93"/>
      <c r="H49" s="93"/>
      <c r="I49" s="94"/>
      <c r="J49" s="94"/>
      <c r="K49" s="93"/>
      <c r="L49" s="93"/>
      <c r="M49" s="93"/>
      <c r="N49" s="93"/>
      <c r="O49" s="93"/>
      <c r="P49" s="93"/>
      <c r="Q49" s="93"/>
      <c r="R49" s="93"/>
      <c r="S49" s="93"/>
      <c r="T49" s="93"/>
      <c r="U49" s="93"/>
      <c r="V49" s="93"/>
      <c r="W49" s="93"/>
      <c r="X49" s="93"/>
    </row>
    <row r="50" spans="1:24" ht="16">
      <c r="A50" s="93"/>
      <c r="B50" s="94"/>
      <c r="C50" s="93"/>
      <c r="D50" s="93"/>
      <c r="E50" s="93"/>
      <c r="F50" s="93"/>
      <c r="G50" s="93"/>
      <c r="H50" s="93"/>
      <c r="I50" s="94"/>
      <c r="J50" s="94"/>
      <c r="K50" s="93"/>
      <c r="L50" s="93"/>
      <c r="M50" s="93"/>
      <c r="N50" s="93"/>
      <c r="O50" s="93"/>
      <c r="P50" s="93"/>
      <c r="Q50" s="93"/>
      <c r="R50" s="93"/>
      <c r="S50" s="93"/>
      <c r="T50" s="93"/>
      <c r="U50" s="93"/>
      <c r="V50" s="93"/>
      <c r="W50" s="93"/>
      <c r="X50" s="93"/>
    </row>
    <row r="51" spans="1:24" ht="16">
      <c r="A51" s="93"/>
      <c r="B51" s="94"/>
      <c r="C51" s="93"/>
      <c r="D51" s="93"/>
      <c r="E51" s="93"/>
      <c r="F51" s="93"/>
      <c r="G51" s="93"/>
      <c r="H51" s="93"/>
      <c r="I51" s="94"/>
      <c r="J51" s="94"/>
      <c r="K51" s="93"/>
      <c r="L51" s="93"/>
      <c r="M51" s="93"/>
      <c r="N51" s="93"/>
      <c r="O51" s="93"/>
      <c r="P51" s="93"/>
      <c r="Q51" s="93"/>
      <c r="R51" s="93"/>
      <c r="S51" s="93"/>
      <c r="T51" s="93"/>
      <c r="U51" s="93"/>
      <c r="V51" s="93"/>
      <c r="W51" s="93"/>
      <c r="X51" s="93"/>
    </row>
    <row r="52" spans="1:24" ht="16">
      <c r="A52" s="93"/>
      <c r="B52" s="94"/>
      <c r="C52" s="93"/>
      <c r="D52" s="93"/>
      <c r="E52" s="93"/>
      <c r="F52" s="93"/>
      <c r="G52" s="93"/>
      <c r="H52" s="93"/>
      <c r="I52" s="94"/>
      <c r="J52" s="94"/>
      <c r="K52" s="93"/>
      <c r="L52" s="93"/>
      <c r="M52" s="93"/>
      <c r="N52" s="93"/>
      <c r="O52" s="93"/>
      <c r="P52" s="93"/>
      <c r="Q52" s="93"/>
      <c r="R52" s="93"/>
      <c r="S52" s="93"/>
      <c r="T52" s="93"/>
      <c r="U52" s="93"/>
      <c r="V52" s="93"/>
      <c r="W52" s="93"/>
      <c r="X52" s="93"/>
    </row>
    <row r="53" spans="1:24" ht="16">
      <c r="A53" s="93"/>
      <c r="B53" s="94"/>
      <c r="C53" s="93"/>
      <c r="D53" s="93"/>
      <c r="E53" s="93"/>
      <c r="F53" s="93"/>
      <c r="G53" s="93"/>
      <c r="H53" s="93"/>
      <c r="I53" s="94"/>
      <c r="J53" s="94"/>
      <c r="K53" s="93"/>
      <c r="L53" s="93"/>
      <c r="M53" s="93"/>
      <c r="N53" s="93"/>
      <c r="O53" s="93"/>
      <c r="P53" s="93"/>
      <c r="Q53" s="93"/>
      <c r="R53" s="93"/>
      <c r="S53" s="93"/>
      <c r="T53" s="93"/>
      <c r="U53" s="93"/>
      <c r="V53" s="93"/>
      <c r="W53" s="93"/>
      <c r="X53" s="93"/>
    </row>
    <row r="54" spans="1:24" ht="16">
      <c r="A54" s="93"/>
      <c r="B54" s="94"/>
      <c r="C54" s="93"/>
      <c r="D54" s="93"/>
      <c r="E54" s="93"/>
      <c r="F54" s="93"/>
      <c r="G54" s="93"/>
      <c r="H54" s="93"/>
      <c r="I54" s="94"/>
      <c r="J54" s="94"/>
      <c r="K54" s="93"/>
      <c r="L54" s="93"/>
      <c r="M54" s="93"/>
      <c r="N54" s="93"/>
      <c r="O54" s="93"/>
      <c r="P54" s="93"/>
      <c r="Q54" s="93"/>
      <c r="R54" s="93"/>
      <c r="S54" s="93"/>
      <c r="T54" s="93"/>
      <c r="U54" s="93"/>
      <c r="V54" s="93"/>
      <c r="W54" s="93"/>
      <c r="X54" s="93"/>
    </row>
    <row r="55" spans="1:24" ht="16">
      <c r="A55" s="93"/>
      <c r="B55" s="94"/>
      <c r="C55" s="93"/>
      <c r="D55" s="93"/>
      <c r="E55" s="93"/>
      <c r="F55" s="93"/>
      <c r="G55" s="93"/>
      <c r="H55" s="93"/>
      <c r="I55" s="94"/>
      <c r="J55" s="94"/>
      <c r="K55" s="93"/>
      <c r="L55" s="93"/>
      <c r="M55" s="93"/>
      <c r="N55" s="93"/>
      <c r="O55" s="93"/>
      <c r="P55" s="93"/>
      <c r="Q55" s="93"/>
      <c r="R55" s="93"/>
      <c r="S55" s="93"/>
      <c r="T55" s="93"/>
      <c r="U55" s="93"/>
      <c r="V55" s="93"/>
      <c r="W55" s="93"/>
      <c r="X55" s="93"/>
    </row>
    <row r="56" spans="1:24" ht="16">
      <c r="A56" s="93"/>
      <c r="B56" s="94"/>
      <c r="C56" s="93"/>
      <c r="D56" s="93"/>
      <c r="E56" s="93"/>
      <c r="F56" s="93"/>
      <c r="G56" s="93"/>
      <c r="H56" s="93"/>
      <c r="I56" s="94"/>
      <c r="J56" s="94"/>
      <c r="K56" s="93"/>
      <c r="L56" s="93"/>
      <c r="M56" s="93"/>
      <c r="N56" s="93"/>
      <c r="O56" s="93"/>
      <c r="P56" s="93"/>
      <c r="Q56" s="93"/>
      <c r="R56" s="93"/>
      <c r="S56" s="93"/>
      <c r="T56" s="93"/>
      <c r="U56" s="93"/>
      <c r="V56" s="93"/>
      <c r="W56" s="93"/>
      <c r="X56" s="93"/>
    </row>
    <row r="57" spans="1:24" ht="16">
      <c r="A57" s="93"/>
      <c r="B57" s="94"/>
      <c r="C57" s="93"/>
      <c r="D57" s="93"/>
      <c r="E57" s="93"/>
      <c r="F57" s="93"/>
      <c r="G57" s="93"/>
      <c r="H57" s="93"/>
      <c r="I57" s="94"/>
      <c r="J57" s="94"/>
      <c r="K57" s="93"/>
      <c r="L57" s="93"/>
      <c r="M57" s="93"/>
      <c r="N57" s="93"/>
      <c r="O57" s="93"/>
      <c r="P57" s="93"/>
      <c r="Q57" s="93"/>
      <c r="R57" s="93"/>
      <c r="S57" s="93"/>
      <c r="T57" s="93"/>
      <c r="U57" s="93"/>
      <c r="V57" s="93"/>
      <c r="W57" s="93"/>
      <c r="X57" s="93"/>
    </row>
    <row r="58" spans="1:24" ht="16">
      <c r="A58" s="93"/>
      <c r="B58" s="94"/>
      <c r="C58" s="93"/>
      <c r="D58" s="93"/>
      <c r="E58" s="93"/>
      <c r="F58" s="93"/>
      <c r="G58" s="93"/>
      <c r="H58" s="93"/>
      <c r="I58" s="94"/>
      <c r="J58" s="94"/>
      <c r="K58" s="93"/>
      <c r="L58" s="93"/>
      <c r="M58" s="93"/>
      <c r="N58" s="93"/>
      <c r="O58" s="93"/>
      <c r="P58" s="93"/>
      <c r="Q58" s="93"/>
      <c r="R58" s="93"/>
      <c r="S58" s="93"/>
      <c r="T58" s="93"/>
      <c r="U58" s="93"/>
      <c r="V58" s="93"/>
      <c r="W58" s="93"/>
      <c r="X58" s="93"/>
    </row>
    <row r="59" spans="1:24" ht="16">
      <c r="A59" s="93"/>
      <c r="B59" s="94"/>
      <c r="C59" s="93"/>
      <c r="D59" s="93"/>
      <c r="E59" s="93"/>
      <c r="F59" s="93"/>
      <c r="G59" s="93"/>
      <c r="H59" s="93"/>
      <c r="I59" s="94"/>
      <c r="J59" s="94"/>
      <c r="K59" s="93"/>
      <c r="L59" s="93"/>
      <c r="M59" s="93"/>
      <c r="N59" s="93"/>
      <c r="O59" s="93"/>
      <c r="P59" s="93"/>
      <c r="Q59" s="93"/>
      <c r="R59" s="93"/>
      <c r="S59" s="93"/>
      <c r="T59" s="93"/>
      <c r="U59" s="93"/>
      <c r="V59" s="93"/>
      <c r="W59" s="93"/>
      <c r="X59" s="93"/>
    </row>
    <row r="60" spans="1:24" ht="16">
      <c r="A60" s="93"/>
      <c r="B60" s="94"/>
      <c r="C60" s="93"/>
      <c r="D60" s="93"/>
      <c r="E60" s="93"/>
      <c r="F60" s="93"/>
      <c r="G60" s="93"/>
      <c r="H60" s="93"/>
      <c r="I60" s="94"/>
      <c r="J60" s="94"/>
      <c r="K60" s="93"/>
      <c r="L60" s="93"/>
      <c r="M60" s="93"/>
      <c r="N60" s="93"/>
      <c r="O60" s="93"/>
      <c r="P60" s="93"/>
      <c r="Q60" s="93"/>
      <c r="R60" s="93"/>
      <c r="S60" s="93"/>
      <c r="T60" s="93"/>
      <c r="U60" s="93"/>
      <c r="V60" s="93"/>
      <c r="W60" s="93"/>
      <c r="X60" s="93"/>
    </row>
    <row r="61" spans="1:24" ht="16">
      <c r="A61" s="93"/>
      <c r="B61" s="94"/>
      <c r="C61" s="93"/>
      <c r="D61" s="93"/>
      <c r="E61" s="93"/>
      <c r="F61" s="93"/>
      <c r="G61" s="93"/>
      <c r="H61" s="93"/>
      <c r="I61" s="94"/>
      <c r="J61" s="94"/>
      <c r="K61" s="93"/>
      <c r="L61" s="93"/>
      <c r="M61" s="93"/>
      <c r="N61" s="93"/>
      <c r="O61" s="93"/>
      <c r="P61" s="93"/>
      <c r="Q61" s="93"/>
      <c r="R61" s="93"/>
      <c r="S61" s="93"/>
      <c r="T61" s="93"/>
      <c r="U61" s="93"/>
      <c r="V61" s="93"/>
      <c r="W61" s="93"/>
      <c r="X61" s="93"/>
    </row>
    <row r="62" spans="1:24" ht="16">
      <c r="A62" s="93"/>
      <c r="B62" s="94"/>
      <c r="C62" s="93"/>
      <c r="D62" s="93"/>
      <c r="E62" s="93"/>
      <c r="F62" s="93"/>
      <c r="G62" s="93"/>
      <c r="H62" s="93"/>
      <c r="I62" s="94"/>
      <c r="J62" s="94"/>
      <c r="K62" s="93"/>
      <c r="L62" s="93"/>
      <c r="M62" s="93"/>
      <c r="N62" s="93"/>
      <c r="O62" s="93"/>
      <c r="P62" s="93"/>
      <c r="Q62" s="93"/>
      <c r="R62" s="93"/>
      <c r="S62" s="93"/>
      <c r="T62" s="93"/>
      <c r="U62" s="93"/>
      <c r="V62" s="93"/>
      <c r="W62" s="93"/>
      <c r="X62" s="93"/>
    </row>
    <row r="63" spans="1:24" ht="16">
      <c r="A63" s="93"/>
      <c r="B63" s="94"/>
      <c r="C63" s="93"/>
      <c r="D63" s="93"/>
      <c r="E63" s="93"/>
      <c r="F63" s="93"/>
      <c r="G63" s="93"/>
      <c r="H63" s="93"/>
      <c r="I63" s="94"/>
      <c r="J63" s="94"/>
      <c r="K63" s="93"/>
      <c r="L63" s="93"/>
      <c r="M63" s="93"/>
      <c r="N63" s="93"/>
      <c r="O63" s="93"/>
      <c r="P63" s="93"/>
      <c r="Q63" s="93"/>
      <c r="R63" s="93"/>
      <c r="S63" s="93"/>
      <c r="T63" s="93"/>
      <c r="U63" s="93"/>
      <c r="V63" s="93"/>
      <c r="W63" s="93"/>
      <c r="X63" s="93"/>
    </row>
    <row r="64" spans="1:24" ht="16">
      <c r="A64" s="93"/>
      <c r="B64" s="94"/>
      <c r="C64" s="93"/>
      <c r="D64" s="93"/>
      <c r="E64" s="93"/>
      <c r="F64" s="93"/>
      <c r="G64" s="93"/>
      <c r="H64" s="93"/>
      <c r="I64" s="94"/>
      <c r="J64" s="94"/>
      <c r="K64" s="93"/>
      <c r="L64" s="93"/>
      <c r="M64" s="93"/>
      <c r="N64" s="93"/>
      <c r="O64" s="93"/>
      <c r="P64" s="93"/>
      <c r="Q64" s="93"/>
      <c r="R64" s="93"/>
      <c r="S64" s="93"/>
      <c r="T64" s="93"/>
      <c r="U64" s="93"/>
      <c r="V64" s="93"/>
      <c r="W64" s="93"/>
      <c r="X64" s="93"/>
    </row>
    <row r="65" spans="1:24" ht="16">
      <c r="A65" s="93"/>
      <c r="B65" s="94"/>
      <c r="C65" s="93"/>
      <c r="D65" s="93"/>
      <c r="E65" s="93"/>
      <c r="F65" s="93"/>
      <c r="G65" s="93"/>
      <c r="H65" s="93"/>
      <c r="I65" s="94"/>
      <c r="J65" s="94"/>
      <c r="K65" s="93"/>
      <c r="L65" s="93"/>
      <c r="M65" s="93"/>
      <c r="N65" s="93"/>
      <c r="O65" s="93"/>
      <c r="P65" s="93"/>
      <c r="Q65" s="93"/>
      <c r="R65" s="93"/>
      <c r="S65" s="93"/>
      <c r="T65" s="93"/>
      <c r="U65" s="93"/>
      <c r="V65" s="93"/>
      <c r="W65" s="93"/>
      <c r="X65" s="93"/>
    </row>
    <row r="66" spans="1:24" ht="16">
      <c r="A66" s="93"/>
      <c r="B66" s="94"/>
      <c r="C66" s="93"/>
      <c r="D66" s="93"/>
      <c r="E66" s="93"/>
      <c r="F66" s="93"/>
      <c r="G66" s="93"/>
      <c r="H66" s="93"/>
      <c r="I66" s="94"/>
      <c r="J66" s="94"/>
      <c r="K66" s="93"/>
      <c r="L66" s="93"/>
      <c r="M66" s="93"/>
      <c r="N66" s="93"/>
      <c r="O66" s="93"/>
      <c r="P66" s="93"/>
      <c r="Q66" s="93"/>
      <c r="R66" s="93"/>
      <c r="S66" s="93"/>
      <c r="T66" s="93"/>
      <c r="U66" s="93"/>
      <c r="V66" s="93"/>
      <c r="W66" s="93"/>
      <c r="X66" s="93"/>
    </row>
    <row r="67" spans="1:24" ht="16">
      <c r="A67" s="93"/>
      <c r="B67" s="94"/>
      <c r="C67" s="93"/>
      <c r="D67" s="93"/>
      <c r="E67" s="93"/>
      <c r="F67" s="93"/>
      <c r="G67" s="93"/>
      <c r="H67" s="93"/>
      <c r="I67" s="94"/>
      <c r="J67" s="94"/>
      <c r="K67" s="93"/>
      <c r="L67" s="93"/>
      <c r="M67" s="93"/>
      <c r="N67" s="93"/>
      <c r="O67" s="93"/>
      <c r="P67" s="93"/>
      <c r="Q67" s="93"/>
      <c r="R67" s="93"/>
      <c r="S67" s="93"/>
      <c r="T67" s="93"/>
      <c r="U67" s="93"/>
      <c r="V67" s="93"/>
      <c r="W67" s="93"/>
      <c r="X67" s="93"/>
    </row>
    <row r="68" spans="1:24" ht="16">
      <c r="A68" s="93"/>
      <c r="B68" s="94"/>
      <c r="C68" s="93"/>
      <c r="D68" s="93"/>
      <c r="E68" s="93"/>
      <c r="F68" s="93"/>
      <c r="G68" s="93"/>
      <c r="H68" s="93"/>
      <c r="I68" s="94"/>
      <c r="J68" s="94"/>
      <c r="K68" s="93"/>
      <c r="L68" s="93"/>
      <c r="M68" s="93"/>
      <c r="N68" s="93"/>
      <c r="O68" s="93"/>
      <c r="P68" s="93"/>
      <c r="Q68" s="93"/>
      <c r="R68" s="93"/>
      <c r="S68" s="93"/>
      <c r="T68" s="93"/>
      <c r="U68" s="93"/>
      <c r="V68" s="93"/>
      <c r="W68" s="93"/>
      <c r="X68" s="93"/>
    </row>
    <row r="69" spans="1:24" ht="16">
      <c r="A69" s="93"/>
      <c r="B69" s="94"/>
      <c r="C69" s="93"/>
      <c r="D69" s="93"/>
      <c r="E69" s="93"/>
      <c r="F69" s="93"/>
      <c r="G69" s="93"/>
      <c r="H69" s="93"/>
      <c r="I69" s="94"/>
      <c r="J69" s="94"/>
      <c r="K69" s="93"/>
      <c r="L69" s="93"/>
      <c r="M69" s="93"/>
      <c r="N69" s="93"/>
      <c r="O69" s="93"/>
      <c r="P69" s="93"/>
      <c r="Q69" s="93"/>
      <c r="R69" s="93"/>
      <c r="S69" s="93"/>
      <c r="T69" s="93"/>
      <c r="U69" s="93"/>
      <c r="V69" s="93"/>
      <c r="W69" s="93"/>
      <c r="X69" s="93"/>
    </row>
    <row r="70" spans="1:24" ht="16">
      <c r="A70" s="93"/>
      <c r="B70" s="94"/>
      <c r="C70" s="93"/>
      <c r="D70" s="93"/>
      <c r="E70" s="93"/>
      <c r="F70" s="93"/>
      <c r="G70" s="93"/>
      <c r="H70" s="93"/>
      <c r="I70" s="94"/>
      <c r="J70" s="94"/>
      <c r="K70" s="93"/>
      <c r="L70" s="93"/>
      <c r="M70" s="93"/>
      <c r="N70" s="93"/>
      <c r="O70" s="93"/>
      <c r="P70" s="93"/>
      <c r="Q70" s="93"/>
      <c r="R70" s="93"/>
      <c r="S70" s="93"/>
      <c r="T70" s="93"/>
      <c r="U70" s="93"/>
      <c r="V70" s="93"/>
      <c r="W70" s="93"/>
      <c r="X70" s="93"/>
    </row>
    <row r="71" spans="1:24" ht="16">
      <c r="A71" s="93"/>
      <c r="B71" s="94"/>
      <c r="C71" s="93"/>
      <c r="D71" s="93"/>
      <c r="E71" s="93"/>
      <c r="F71" s="93"/>
      <c r="G71" s="93"/>
      <c r="H71" s="93"/>
      <c r="I71" s="94"/>
      <c r="J71" s="94"/>
      <c r="K71" s="93"/>
      <c r="L71" s="93"/>
      <c r="M71" s="93"/>
      <c r="N71" s="93"/>
      <c r="O71" s="93"/>
      <c r="P71" s="93"/>
      <c r="Q71" s="93"/>
      <c r="R71" s="93"/>
      <c r="S71" s="93"/>
      <c r="T71" s="93"/>
      <c r="U71" s="93"/>
      <c r="V71" s="93"/>
      <c r="W71" s="93"/>
      <c r="X71" s="93"/>
    </row>
    <row r="72" spans="1:24" ht="16">
      <c r="A72" s="93"/>
      <c r="B72" s="94"/>
      <c r="C72" s="93"/>
      <c r="D72" s="93"/>
      <c r="E72" s="93"/>
      <c r="F72" s="93"/>
      <c r="G72" s="93"/>
      <c r="H72" s="93"/>
      <c r="I72" s="94"/>
      <c r="J72" s="94"/>
      <c r="K72" s="93"/>
      <c r="L72" s="93"/>
      <c r="M72" s="93"/>
      <c r="N72" s="93"/>
      <c r="O72" s="93"/>
      <c r="P72" s="93"/>
      <c r="Q72" s="93"/>
      <c r="R72" s="93"/>
      <c r="S72" s="93"/>
      <c r="T72" s="93"/>
      <c r="U72" s="93"/>
      <c r="V72" s="93"/>
      <c r="W72" s="93"/>
      <c r="X72" s="93"/>
    </row>
    <row r="73" spans="1:24" ht="16">
      <c r="A73" s="93"/>
      <c r="B73" s="94"/>
      <c r="C73" s="93"/>
      <c r="D73" s="93"/>
      <c r="E73" s="93"/>
      <c r="F73" s="93"/>
      <c r="G73" s="93"/>
      <c r="H73" s="93"/>
      <c r="I73" s="94"/>
      <c r="J73" s="94"/>
      <c r="K73" s="93"/>
      <c r="L73" s="93"/>
      <c r="M73" s="93"/>
      <c r="N73" s="93"/>
      <c r="O73" s="93"/>
      <c r="P73" s="93"/>
      <c r="Q73" s="93"/>
      <c r="R73" s="93"/>
      <c r="S73" s="93"/>
      <c r="T73" s="93"/>
      <c r="U73" s="93"/>
      <c r="V73" s="93"/>
      <c r="W73" s="93"/>
      <c r="X73" s="93"/>
    </row>
    <row r="74" spans="1:24" ht="16">
      <c r="A74" s="93"/>
      <c r="B74" s="94"/>
      <c r="C74" s="93"/>
      <c r="D74" s="93"/>
      <c r="E74" s="93"/>
      <c r="F74" s="93"/>
      <c r="G74" s="93"/>
      <c r="H74" s="93"/>
      <c r="I74" s="94"/>
      <c r="J74" s="94"/>
      <c r="K74" s="93"/>
      <c r="L74" s="93"/>
      <c r="M74" s="93"/>
      <c r="N74" s="93"/>
      <c r="O74" s="93"/>
      <c r="P74" s="93"/>
      <c r="Q74" s="93"/>
      <c r="R74" s="93"/>
      <c r="S74" s="93"/>
      <c r="T74" s="93"/>
      <c r="U74" s="93"/>
      <c r="V74" s="93"/>
      <c r="W74" s="93"/>
      <c r="X74" s="93"/>
    </row>
    <row r="75" spans="1:24" ht="16">
      <c r="A75" s="93"/>
      <c r="B75" s="94"/>
      <c r="C75" s="93"/>
      <c r="D75" s="93"/>
      <c r="E75" s="93"/>
      <c r="F75" s="93"/>
      <c r="G75" s="93"/>
      <c r="H75" s="93"/>
      <c r="I75" s="94"/>
      <c r="J75" s="94"/>
      <c r="K75" s="93"/>
      <c r="L75" s="93"/>
      <c r="M75" s="93"/>
      <c r="N75" s="93"/>
      <c r="O75" s="93"/>
      <c r="P75" s="93"/>
      <c r="Q75" s="93"/>
      <c r="R75" s="93"/>
      <c r="S75" s="93"/>
      <c r="T75" s="93"/>
      <c r="U75" s="93"/>
      <c r="V75" s="93"/>
      <c r="W75" s="93"/>
      <c r="X75" s="93"/>
    </row>
    <row r="76" spans="1:24" ht="16">
      <c r="A76" s="93"/>
      <c r="B76" s="94"/>
      <c r="C76" s="93"/>
      <c r="D76" s="93"/>
      <c r="E76" s="93"/>
      <c r="F76" s="93"/>
      <c r="G76" s="93"/>
      <c r="H76" s="93"/>
      <c r="I76" s="94"/>
      <c r="J76" s="94"/>
      <c r="K76" s="93"/>
      <c r="L76" s="93"/>
      <c r="M76" s="93"/>
      <c r="N76" s="93"/>
      <c r="O76" s="93"/>
      <c r="P76" s="93"/>
      <c r="Q76" s="93"/>
      <c r="R76" s="93"/>
      <c r="S76" s="93"/>
      <c r="T76" s="93"/>
      <c r="U76" s="93"/>
      <c r="V76" s="93"/>
      <c r="W76" s="93"/>
      <c r="X76" s="93"/>
    </row>
    <row r="77" spans="1:24" ht="16">
      <c r="A77" s="93"/>
      <c r="B77" s="94"/>
      <c r="C77" s="93"/>
      <c r="D77" s="93"/>
      <c r="E77" s="93"/>
      <c r="F77" s="93"/>
      <c r="G77" s="93"/>
      <c r="H77" s="93"/>
      <c r="I77" s="94"/>
      <c r="J77" s="94"/>
      <c r="K77" s="93"/>
      <c r="L77" s="93"/>
      <c r="M77" s="93"/>
      <c r="N77" s="93"/>
      <c r="O77" s="93"/>
      <c r="P77" s="93"/>
      <c r="Q77" s="93"/>
      <c r="R77" s="93"/>
      <c r="S77" s="93"/>
      <c r="T77" s="93"/>
      <c r="U77" s="93"/>
      <c r="V77" s="93"/>
      <c r="W77" s="93"/>
      <c r="X77" s="93"/>
    </row>
    <row r="78" spans="1:24" ht="16">
      <c r="A78" s="93"/>
      <c r="B78" s="94"/>
      <c r="C78" s="93"/>
      <c r="D78" s="93"/>
      <c r="E78" s="93"/>
      <c r="F78" s="93"/>
      <c r="G78" s="93"/>
      <c r="H78" s="93"/>
      <c r="I78" s="94"/>
      <c r="J78" s="94"/>
      <c r="K78" s="93"/>
      <c r="L78" s="93"/>
      <c r="M78" s="93"/>
      <c r="N78" s="93"/>
      <c r="O78" s="93"/>
      <c r="P78" s="93"/>
      <c r="Q78" s="93"/>
      <c r="R78" s="93"/>
      <c r="S78" s="93"/>
      <c r="T78" s="93"/>
      <c r="U78" s="93"/>
      <c r="V78" s="93"/>
      <c r="W78" s="93"/>
      <c r="X78" s="93"/>
    </row>
    <row r="79" spans="1:24" ht="16">
      <c r="A79" s="93"/>
      <c r="B79" s="94"/>
      <c r="C79" s="93"/>
      <c r="D79" s="93"/>
      <c r="E79" s="93"/>
      <c r="F79" s="93"/>
      <c r="G79" s="93"/>
      <c r="H79" s="93"/>
      <c r="I79" s="94"/>
      <c r="J79" s="94"/>
      <c r="K79" s="93"/>
      <c r="L79" s="93"/>
      <c r="M79" s="93"/>
      <c r="N79" s="93"/>
      <c r="O79" s="93"/>
      <c r="P79" s="93"/>
      <c r="Q79" s="93"/>
      <c r="R79" s="93"/>
      <c r="S79" s="93"/>
      <c r="T79" s="93"/>
      <c r="U79" s="93"/>
      <c r="V79" s="93"/>
      <c r="W79" s="93"/>
      <c r="X79" s="93"/>
    </row>
    <row r="80" spans="1:24" ht="16">
      <c r="A80" s="93"/>
      <c r="B80" s="94"/>
      <c r="C80" s="93"/>
      <c r="D80" s="93"/>
      <c r="E80" s="93"/>
      <c r="F80" s="93"/>
      <c r="G80" s="93"/>
      <c r="H80" s="93"/>
      <c r="I80" s="94"/>
      <c r="J80" s="94"/>
      <c r="K80" s="93"/>
      <c r="L80" s="93"/>
      <c r="M80" s="93"/>
      <c r="N80" s="93"/>
      <c r="O80" s="93"/>
      <c r="P80" s="93"/>
      <c r="Q80" s="93"/>
      <c r="R80" s="93"/>
      <c r="S80" s="93"/>
      <c r="T80" s="93"/>
      <c r="U80" s="93"/>
      <c r="V80" s="93"/>
      <c r="W80" s="93"/>
      <c r="X80" s="93"/>
    </row>
    <row r="81" spans="1:24" ht="16">
      <c r="A81" s="93"/>
      <c r="B81" s="94"/>
      <c r="C81" s="93"/>
      <c r="D81" s="93"/>
      <c r="E81" s="93"/>
      <c r="F81" s="93"/>
      <c r="G81" s="93"/>
      <c r="H81" s="93"/>
      <c r="I81" s="94"/>
      <c r="J81" s="94"/>
      <c r="K81" s="93"/>
      <c r="L81" s="93"/>
      <c r="M81" s="93"/>
      <c r="N81" s="93"/>
      <c r="O81" s="93"/>
      <c r="P81" s="93"/>
      <c r="Q81" s="93"/>
      <c r="R81" s="93"/>
      <c r="S81" s="93"/>
      <c r="T81" s="93"/>
      <c r="U81" s="93"/>
      <c r="V81" s="93"/>
      <c r="W81" s="93"/>
      <c r="X81" s="93"/>
    </row>
    <row r="82" spans="1:24" ht="16">
      <c r="A82" s="93"/>
      <c r="B82" s="94"/>
      <c r="C82" s="93"/>
      <c r="D82" s="93"/>
      <c r="E82" s="93"/>
      <c r="F82" s="93"/>
      <c r="G82" s="93"/>
      <c r="H82" s="93"/>
      <c r="I82" s="94"/>
      <c r="J82" s="94"/>
      <c r="K82" s="93"/>
      <c r="L82" s="93"/>
      <c r="M82" s="93"/>
      <c r="N82" s="93"/>
      <c r="O82" s="93"/>
      <c r="P82" s="93"/>
      <c r="Q82" s="93"/>
      <c r="R82" s="93"/>
      <c r="S82" s="93"/>
      <c r="T82" s="93"/>
      <c r="U82" s="93"/>
      <c r="V82" s="93"/>
      <c r="W82" s="93"/>
      <c r="X82" s="93"/>
    </row>
    <row r="83" spans="1:24" ht="16">
      <c r="A83" s="93"/>
      <c r="B83" s="94"/>
      <c r="C83" s="93"/>
      <c r="D83" s="93"/>
      <c r="E83" s="93"/>
      <c r="F83" s="93"/>
      <c r="G83" s="93"/>
      <c r="H83" s="93"/>
      <c r="I83" s="94"/>
      <c r="J83" s="94"/>
      <c r="K83" s="93"/>
      <c r="L83" s="93"/>
      <c r="M83" s="93"/>
      <c r="N83" s="93"/>
      <c r="O83" s="93"/>
      <c r="P83" s="93"/>
      <c r="Q83" s="93"/>
      <c r="R83" s="93"/>
      <c r="S83" s="93"/>
      <c r="T83" s="93"/>
      <c r="U83" s="93"/>
      <c r="V83" s="93"/>
      <c r="W83" s="93"/>
      <c r="X83" s="93"/>
    </row>
    <row r="84" spans="1:24" ht="16">
      <c r="A84" s="93"/>
      <c r="B84" s="94"/>
      <c r="C84" s="93"/>
      <c r="D84" s="93"/>
      <c r="E84" s="93"/>
      <c r="F84" s="93"/>
      <c r="G84" s="93"/>
      <c r="H84" s="93"/>
      <c r="I84" s="94"/>
      <c r="J84" s="94"/>
      <c r="K84" s="93"/>
      <c r="L84" s="93"/>
      <c r="M84" s="93"/>
      <c r="N84" s="93"/>
      <c r="O84" s="93"/>
      <c r="P84" s="93"/>
      <c r="Q84" s="93"/>
      <c r="R84" s="93"/>
      <c r="S84" s="93"/>
      <c r="T84" s="93"/>
      <c r="U84" s="93"/>
      <c r="V84" s="93"/>
      <c r="W84" s="93"/>
      <c r="X84" s="93"/>
    </row>
    <row r="85" spans="1:24" ht="16">
      <c r="A85" s="93"/>
      <c r="B85" s="94"/>
      <c r="C85" s="93"/>
      <c r="D85" s="93"/>
      <c r="E85" s="93"/>
      <c r="F85" s="93"/>
      <c r="G85" s="93"/>
      <c r="H85" s="93"/>
      <c r="I85" s="94"/>
      <c r="J85" s="94"/>
      <c r="K85" s="93"/>
      <c r="L85" s="93"/>
      <c r="M85" s="93"/>
      <c r="N85" s="93"/>
      <c r="O85" s="93"/>
      <c r="P85" s="93"/>
      <c r="Q85" s="93"/>
      <c r="R85" s="93"/>
      <c r="S85" s="93"/>
      <c r="T85" s="93"/>
      <c r="U85" s="93"/>
      <c r="V85" s="93"/>
      <c r="W85" s="93"/>
      <c r="X85" s="93"/>
    </row>
    <row r="86" spans="1:24" ht="16">
      <c r="A86" s="93"/>
      <c r="B86" s="94"/>
      <c r="C86" s="93"/>
      <c r="D86" s="93"/>
      <c r="E86" s="93"/>
      <c r="F86" s="93"/>
      <c r="G86" s="93"/>
      <c r="H86" s="93"/>
      <c r="I86" s="94"/>
      <c r="J86" s="94"/>
      <c r="K86" s="93"/>
      <c r="L86" s="93"/>
      <c r="M86" s="93"/>
      <c r="N86" s="93"/>
      <c r="O86" s="93"/>
      <c r="P86" s="93"/>
      <c r="Q86" s="93"/>
      <c r="R86" s="93"/>
      <c r="S86" s="93"/>
      <c r="T86" s="93"/>
      <c r="U86" s="93"/>
      <c r="V86" s="93"/>
      <c r="W86" s="93"/>
      <c r="X86" s="93"/>
    </row>
    <row r="87" spans="1:24" ht="16">
      <c r="A87" s="93"/>
      <c r="B87" s="94"/>
      <c r="C87" s="93"/>
      <c r="D87" s="93"/>
      <c r="E87" s="93"/>
      <c r="F87" s="93"/>
      <c r="G87" s="93"/>
      <c r="H87" s="93"/>
      <c r="I87" s="94"/>
      <c r="J87" s="94"/>
      <c r="K87" s="93"/>
      <c r="L87" s="93"/>
      <c r="M87" s="93"/>
      <c r="N87" s="93"/>
      <c r="O87" s="93"/>
      <c r="P87" s="93"/>
      <c r="Q87" s="93"/>
      <c r="R87" s="93"/>
      <c r="S87" s="93"/>
      <c r="T87" s="93"/>
      <c r="U87" s="93"/>
      <c r="V87" s="93"/>
      <c r="W87" s="93"/>
      <c r="X87" s="93"/>
    </row>
    <row r="88" spans="1:24" ht="16">
      <c r="A88" s="93"/>
      <c r="B88" s="94"/>
      <c r="C88" s="93"/>
      <c r="D88" s="93"/>
      <c r="E88" s="93"/>
      <c r="F88" s="93"/>
      <c r="G88" s="93"/>
      <c r="H88" s="93"/>
      <c r="I88" s="94"/>
      <c r="J88" s="94"/>
      <c r="K88" s="93"/>
      <c r="L88" s="93"/>
      <c r="M88" s="93"/>
      <c r="N88" s="93"/>
      <c r="O88" s="93"/>
      <c r="P88" s="93"/>
      <c r="Q88" s="93"/>
      <c r="R88" s="93"/>
      <c r="S88" s="93"/>
      <c r="T88" s="93"/>
      <c r="U88" s="93"/>
      <c r="V88" s="93"/>
      <c r="W88" s="93"/>
      <c r="X88" s="93"/>
    </row>
    <row r="89" spans="1:24" ht="16">
      <c r="A89" s="93"/>
      <c r="B89" s="94"/>
      <c r="C89" s="93"/>
      <c r="D89" s="93"/>
      <c r="E89" s="93"/>
      <c r="F89" s="93"/>
      <c r="G89" s="93"/>
      <c r="H89" s="93"/>
      <c r="I89" s="94"/>
      <c r="J89" s="94"/>
      <c r="K89" s="93"/>
      <c r="L89" s="93"/>
      <c r="M89" s="93"/>
      <c r="N89" s="93"/>
      <c r="O89" s="93"/>
      <c r="P89" s="93"/>
      <c r="Q89" s="93"/>
      <c r="R89" s="93"/>
      <c r="S89" s="93"/>
      <c r="T89" s="93"/>
      <c r="U89" s="93"/>
      <c r="V89" s="93"/>
      <c r="W89" s="93"/>
      <c r="X89" s="93"/>
    </row>
    <row r="90" spans="1:24" ht="16">
      <c r="A90" s="93"/>
      <c r="B90" s="94"/>
      <c r="C90" s="93"/>
      <c r="D90" s="93"/>
      <c r="E90" s="93"/>
      <c r="F90" s="93"/>
      <c r="G90" s="93"/>
      <c r="H90" s="93"/>
      <c r="I90" s="94"/>
      <c r="J90" s="94"/>
      <c r="K90" s="93"/>
      <c r="L90" s="93"/>
      <c r="M90" s="93"/>
      <c r="N90" s="93"/>
      <c r="O90" s="93"/>
      <c r="P90" s="93"/>
      <c r="Q90" s="93"/>
      <c r="R90" s="93"/>
      <c r="S90" s="93"/>
      <c r="T90" s="93"/>
      <c r="U90" s="93"/>
      <c r="V90" s="93"/>
      <c r="W90" s="93"/>
      <c r="X90" s="93"/>
    </row>
    <row r="91" spans="1:24" ht="16">
      <c r="A91" s="93"/>
      <c r="B91" s="94"/>
      <c r="C91" s="93"/>
      <c r="D91" s="93"/>
      <c r="E91" s="93"/>
      <c r="F91" s="93"/>
      <c r="G91" s="93"/>
      <c r="H91" s="93"/>
      <c r="I91" s="94"/>
      <c r="J91" s="94"/>
      <c r="K91" s="93"/>
      <c r="L91" s="93"/>
      <c r="M91" s="93"/>
      <c r="N91" s="93"/>
      <c r="O91" s="93"/>
      <c r="P91" s="93"/>
      <c r="Q91" s="93"/>
      <c r="R91" s="93"/>
      <c r="S91" s="93"/>
      <c r="T91" s="93"/>
      <c r="U91" s="93"/>
      <c r="V91" s="93"/>
      <c r="W91" s="93"/>
      <c r="X91" s="93"/>
    </row>
    <row r="92" spans="1:24" ht="16">
      <c r="A92" s="93"/>
      <c r="B92" s="94"/>
      <c r="C92" s="93"/>
      <c r="D92" s="93"/>
      <c r="E92" s="93"/>
      <c r="F92" s="93"/>
      <c r="G92" s="93"/>
      <c r="H92" s="93"/>
      <c r="I92" s="94"/>
      <c r="J92" s="94"/>
      <c r="K92" s="93"/>
      <c r="L92" s="93"/>
      <c r="M92" s="93"/>
      <c r="N92" s="93"/>
      <c r="O92" s="93"/>
      <c r="P92" s="93"/>
      <c r="Q92" s="93"/>
      <c r="R92" s="93"/>
      <c r="S92" s="93"/>
      <c r="T92" s="93"/>
      <c r="U92" s="93"/>
      <c r="V92" s="93"/>
      <c r="W92" s="93"/>
      <c r="X92" s="93"/>
    </row>
    <row r="93" spans="1:24" ht="16">
      <c r="A93" s="93"/>
      <c r="B93" s="94"/>
      <c r="C93" s="93"/>
      <c r="D93" s="93"/>
      <c r="E93" s="93"/>
      <c r="F93" s="93"/>
      <c r="G93" s="93"/>
      <c r="H93" s="93"/>
      <c r="I93" s="94"/>
      <c r="J93" s="94"/>
      <c r="K93" s="93"/>
      <c r="L93" s="93"/>
      <c r="M93" s="93"/>
      <c r="N93" s="93"/>
      <c r="O93" s="93"/>
      <c r="P93" s="93"/>
      <c r="Q93" s="93"/>
      <c r="R93" s="93"/>
      <c r="S93" s="93"/>
      <c r="T93" s="93"/>
      <c r="U93" s="93"/>
      <c r="V93" s="93"/>
      <c r="W93" s="93"/>
      <c r="X93" s="93"/>
    </row>
    <row r="94" spans="1:24" ht="16">
      <c r="A94" s="93"/>
      <c r="B94" s="94"/>
      <c r="C94" s="93"/>
      <c r="D94" s="93"/>
      <c r="E94" s="93"/>
      <c r="F94" s="93"/>
      <c r="G94" s="93"/>
      <c r="H94" s="93"/>
      <c r="I94" s="94"/>
      <c r="J94" s="94"/>
      <c r="K94" s="93"/>
      <c r="L94" s="93"/>
      <c r="M94" s="93"/>
      <c r="N94" s="93"/>
      <c r="O94" s="93"/>
      <c r="P94" s="93"/>
      <c r="Q94" s="93"/>
      <c r="R94" s="93"/>
      <c r="S94" s="93"/>
      <c r="T94" s="93"/>
      <c r="U94" s="93"/>
      <c r="V94" s="93"/>
      <c r="W94" s="93"/>
      <c r="X94" s="93"/>
    </row>
    <row r="95" spans="1:24" ht="16">
      <c r="A95" s="93"/>
      <c r="B95" s="94"/>
      <c r="C95" s="93"/>
      <c r="D95" s="93"/>
      <c r="E95" s="93"/>
      <c r="F95" s="93"/>
      <c r="G95" s="93"/>
      <c r="H95" s="93"/>
      <c r="I95" s="94"/>
      <c r="J95" s="94"/>
      <c r="K95" s="93"/>
      <c r="L95" s="93"/>
      <c r="M95" s="93"/>
      <c r="N95" s="93"/>
      <c r="O95" s="93"/>
      <c r="P95" s="93"/>
      <c r="Q95" s="93"/>
      <c r="R95" s="93"/>
      <c r="S95" s="93"/>
      <c r="T95" s="93"/>
      <c r="U95" s="93"/>
      <c r="V95" s="93"/>
      <c r="W95" s="93"/>
      <c r="X95" s="93"/>
    </row>
    <row r="96" spans="1:24" ht="16">
      <c r="A96" s="93"/>
      <c r="B96" s="94"/>
      <c r="C96" s="93"/>
      <c r="D96" s="93"/>
      <c r="E96" s="93"/>
      <c r="F96" s="93"/>
      <c r="G96" s="93"/>
      <c r="H96" s="93"/>
      <c r="I96" s="94"/>
      <c r="J96" s="94"/>
      <c r="K96" s="93"/>
      <c r="L96" s="93"/>
      <c r="M96" s="93"/>
      <c r="N96" s="93"/>
      <c r="O96" s="93"/>
      <c r="P96" s="93"/>
      <c r="Q96" s="93"/>
      <c r="R96" s="93"/>
      <c r="S96" s="93"/>
      <c r="T96" s="93"/>
      <c r="U96" s="93"/>
      <c r="V96" s="93"/>
      <c r="W96" s="93"/>
      <c r="X96" s="93"/>
    </row>
    <row r="97" spans="1:24" ht="16">
      <c r="A97" s="93"/>
      <c r="B97" s="94"/>
      <c r="C97" s="93"/>
      <c r="D97" s="93"/>
      <c r="E97" s="93"/>
      <c r="F97" s="93"/>
      <c r="G97" s="93"/>
      <c r="H97" s="93"/>
      <c r="I97" s="94"/>
      <c r="J97" s="94"/>
      <c r="K97" s="93"/>
      <c r="L97" s="93"/>
      <c r="M97" s="93"/>
      <c r="N97" s="93"/>
      <c r="O97" s="93"/>
      <c r="P97" s="93"/>
      <c r="Q97" s="93"/>
      <c r="R97" s="93"/>
      <c r="S97" s="93"/>
      <c r="T97" s="93"/>
      <c r="U97" s="93"/>
      <c r="V97" s="93"/>
      <c r="W97" s="93"/>
      <c r="X97" s="93"/>
    </row>
    <row r="98" spans="1:24" ht="16">
      <c r="A98" s="93"/>
      <c r="B98" s="94"/>
      <c r="C98" s="93"/>
      <c r="D98" s="93"/>
      <c r="E98" s="93"/>
      <c r="F98" s="93"/>
      <c r="G98" s="93"/>
      <c r="H98" s="93"/>
      <c r="I98" s="94"/>
      <c r="J98" s="94"/>
      <c r="K98" s="93"/>
      <c r="L98" s="93"/>
      <c r="M98" s="93"/>
      <c r="N98" s="93"/>
      <c r="O98" s="93"/>
      <c r="P98" s="93"/>
      <c r="Q98" s="93"/>
      <c r="R98" s="93"/>
      <c r="S98" s="93"/>
      <c r="T98" s="93"/>
      <c r="U98" s="93"/>
      <c r="V98" s="93"/>
      <c r="W98" s="93"/>
      <c r="X98" s="93"/>
    </row>
    <row r="99" spans="1:24" ht="16">
      <c r="A99" s="93"/>
      <c r="B99" s="94"/>
      <c r="C99" s="93"/>
      <c r="D99" s="93"/>
      <c r="E99" s="93"/>
      <c r="F99" s="93"/>
      <c r="G99" s="93"/>
      <c r="H99" s="93"/>
      <c r="I99" s="94"/>
      <c r="J99" s="94"/>
      <c r="K99" s="93"/>
      <c r="L99" s="93"/>
      <c r="M99" s="93"/>
      <c r="N99" s="93"/>
      <c r="O99" s="93"/>
      <c r="P99" s="93"/>
      <c r="Q99" s="93"/>
      <c r="R99" s="93"/>
      <c r="S99" s="93"/>
      <c r="T99" s="93"/>
      <c r="U99" s="93"/>
      <c r="V99" s="93"/>
      <c r="W99" s="93"/>
      <c r="X99" s="93"/>
    </row>
    <row r="100" spans="1:24" ht="16">
      <c r="A100" s="93"/>
      <c r="B100" s="94"/>
      <c r="C100" s="93"/>
      <c r="D100" s="93"/>
      <c r="E100" s="93"/>
      <c r="F100" s="93"/>
      <c r="G100" s="93"/>
      <c r="H100" s="93"/>
      <c r="I100" s="94"/>
      <c r="J100" s="94"/>
      <c r="K100" s="93"/>
      <c r="L100" s="93"/>
      <c r="M100" s="93"/>
      <c r="N100" s="93"/>
      <c r="O100" s="93"/>
      <c r="P100" s="93"/>
      <c r="Q100" s="93"/>
      <c r="R100" s="93"/>
      <c r="S100" s="93"/>
      <c r="T100" s="93"/>
      <c r="U100" s="93"/>
      <c r="V100" s="93"/>
      <c r="W100" s="93"/>
      <c r="X100" s="93"/>
    </row>
    <row r="101" spans="1:24" ht="16">
      <c r="A101" s="93"/>
      <c r="B101" s="94"/>
      <c r="C101" s="93"/>
      <c r="D101" s="93"/>
      <c r="E101" s="93"/>
      <c r="F101" s="93"/>
      <c r="G101" s="93"/>
      <c r="H101" s="93"/>
      <c r="I101" s="94"/>
      <c r="J101" s="94"/>
      <c r="K101" s="93"/>
      <c r="L101" s="93"/>
      <c r="M101" s="93"/>
      <c r="N101" s="93"/>
      <c r="O101" s="93"/>
      <c r="P101" s="93"/>
      <c r="Q101" s="93"/>
      <c r="R101" s="93"/>
      <c r="S101" s="93"/>
      <c r="T101" s="93"/>
      <c r="U101" s="93"/>
      <c r="V101" s="93"/>
      <c r="W101" s="93"/>
      <c r="X101" s="93"/>
    </row>
    <row r="102" spans="1:24" ht="16">
      <c r="A102" s="93"/>
      <c r="B102" s="94"/>
      <c r="C102" s="93"/>
      <c r="D102" s="93"/>
      <c r="E102" s="93"/>
      <c r="F102" s="93"/>
      <c r="G102" s="93"/>
      <c r="H102" s="93"/>
      <c r="I102" s="94"/>
      <c r="J102" s="94"/>
      <c r="K102" s="93"/>
      <c r="L102" s="93"/>
      <c r="M102" s="93"/>
      <c r="N102" s="93"/>
      <c r="O102" s="93"/>
      <c r="P102" s="93"/>
      <c r="Q102" s="93"/>
      <c r="R102" s="93"/>
      <c r="S102" s="93"/>
      <c r="T102" s="93"/>
      <c r="U102" s="93"/>
      <c r="V102" s="93"/>
      <c r="W102" s="93"/>
      <c r="X102" s="93"/>
    </row>
    <row r="103" spans="1:24" ht="16">
      <c r="A103" s="93"/>
      <c r="B103" s="94"/>
      <c r="C103" s="93"/>
      <c r="D103" s="93"/>
      <c r="E103" s="93"/>
      <c r="F103" s="93"/>
      <c r="G103" s="93"/>
      <c r="H103" s="93"/>
      <c r="I103" s="94"/>
      <c r="J103" s="94"/>
      <c r="K103" s="93"/>
      <c r="L103" s="93"/>
      <c r="M103" s="93"/>
      <c r="N103" s="93"/>
      <c r="O103" s="93"/>
      <c r="P103" s="93"/>
      <c r="Q103" s="93"/>
      <c r="R103" s="93"/>
      <c r="S103" s="93"/>
      <c r="T103" s="93"/>
      <c r="U103" s="93"/>
      <c r="V103" s="93"/>
      <c r="W103" s="93"/>
      <c r="X103" s="93"/>
    </row>
    <row r="104" spans="1:24" ht="16">
      <c r="A104" s="93"/>
      <c r="B104" s="94"/>
      <c r="C104" s="93"/>
      <c r="D104" s="93"/>
      <c r="E104" s="93"/>
      <c r="F104" s="93"/>
      <c r="G104" s="93"/>
      <c r="H104" s="93"/>
      <c r="I104" s="94"/>
      <c r="J104" s="94"/>
      <c r="K104" s="93"/>
      <c r="L104" s="93"/>
      <c r="M104" s="93"/>
      <c r="N104" s="93"/>
      <c r="O104" s="93"/>
      <c r="P104" s="93"/>
      <c r="Q104" s="93"/>
      <c r="R104" s="93"/>
      <c r="S104" s="93"/>
      <c r="T104" s="93"/>
      <c r="U104" s="93"/>
      <c r="V104" s="93"/>
      <c r="W104" s="93"/>
      <c r="X104" s="93"/>
    </row>
    <row r="105" spans="1:24" ht="16">
      <c r="A105" s="93"/>
      <c r="B105" s="94"/>
      <c r="C105" s="93"/>
      <c r="D105" s="93"/>
      <c r="E105" s="93"/>
      <c r="F105" s="93"/>
      <c r="G105" s="93"/>
      <c r="H105" s="93"/>
      <c r="I105" s="94"/>
      <c r="J105" s="94"/>
      <c r="K105" s="93"/>
      <c r="L105" s="93"/>
      <c r="M105" s="93"/>
      <c r="N105" s="93"/>
      <c r="O105" s="93"/>
      <c r="P105" s="93"/>
      <c r="Q105" s="93"/>
      <c r="R105" s="93"/>
      <c r="S105" s="93"/>
      <c r="T105" s="93"/>
      <c r="U105" s="93"/>
      <c r="V105" s="93"/>
      <c r="W105" s="93"/>
      <c r="X105" s="93"/>
    </row>
    <row r="106" spans="1:24" ht="16">
      <c r="A106" s="93"/>
      <c r="B106" s="94"/>
      <c r="C106" s="93"/>
      <c r="D106" s="93"/>
      <c r="E106" s="93"/>
      <c r="F106" s="93"/>
      <c r="G106" s="93"/>
      <c r="H106" s="93"/>
      <c r="I106" s="94"/>
      <c r="J106" s="94"/>
      <c r="K106" s="93"/>
      <c r="L106" s="93"/>
      <c r="M106" s="93"/>
      <c r="N106" s="93"/>
      <c r="O106" s="93"/>
      <c r="P106" s="93"/>
      <c r="Q106" s="93"/>
      <c r="R106" s="93"/>
      <c r="S106" s="93"/>
      <c r="T106" s="93"/>
      <c r="U106" s="93"/>
      <c r="V106" s="93"/>
      <c r="W106" s="93"/>
      <c r="X106" s="93"/>
    </row>
    <row r="107" spans="1:24" ht="16">
      <c r="A107" s="93"/>
      <c r="B107" s="94"/>
      <c r="C107" s="93"/>
      <c r="D107" s="93"/>
      <c r="E107" s="93"/>
      <c r="F107" s="93"/>
      <c r="G107" s="93"/>
      <c r="H107" s="93"/>
      <c r="I107" s="94"/>
      <c r="J107" s="94"/>
      <c r="K107" s="93"/>
      <c r="L107" s="93"/>
      <c r="M107" s="93"/>
      <c r="N107" s="93"/>
      <c r="O107" s="93"/>
      <c r="P107" s="93"/>
      <c r="Q107" s="93"/>
      <c r="R107" s="93"/>
      <c r="S107" s="93"/>
      <c r="T107" s="93"/>
      <c r="U107" s="93"/>
      <c r="V107" s="93"/>
      <c r="W107" s="93"/>
      <c r="X107" s="93"/>
    </row>
    <row r="108" spans="1:24" ht="16">
      <c r="A108" s="93"/>
      <c r="B108" s="94"/>
      <c r="C108" s="93"/>
      <c r="D108" s="93"/>
      <c r="E108" s="93"/>
      <c r="F108" s="93"/>
      <c r="G108" s="93"/>
      <c r="H108" s="93"/>
      <c r="I108" s="94"/>
      <c r="J108" s="94"/>
      <c r="K108" s="93"/>
      <c r="L108" s="93"/>
      <c r="M108" s="93"/>
      <c r="N108" s="93"/>
      <c r="O108" s="93"/>
      <c r="P108" s="93"/>
      <c r="Q108" s="93"/>
      <c r="R108" s="93"/>
      <c r="S108" s="93"/>
      <c r="T108" s="93"/>
      <c r="U108" s="93"/>
      <c r="V108" s="93"/>
      <c r="W108" s="93"/>
      <c r="X108" s="93"/>
    </row>
    <row r="109" spans="1:24" ht="16">
      <c r="A109" s="93"/>
      <c r="B109" s="94"/>
      <c r="C109" s="93"/>
      <c r="D109" s="93"/>
      <c r="E109" s="93"/>
      <c r="F109" s="93"/>
      <c r="G109" s="93"/>
      <c r="H109" s="93"/>
      <c r="I109" s="94"/>
      <c r="J109" s="94"/>
      <c r="K109" s="93"/>
      <c r="L109" s="93"/>
      <c r="M109" s="93"/>
      <c r="N109" s="93"/>
      <c r="O109" s="93"/>
      <c r="P109" s="93"/>
      <c r="Q109" s="93"/>
      <c r="R109" s="93"/>
      <c r="S109" s="93"/>
      <c r="T109" s="93"/>
      <c r="U109" s="93"/>
      <c r="V109" s="93"/>
      <c r="W109" s="93"/>
      <c r="X109" s="93"/>
    </row>
    <row r="110" spans="1:24" ht="16">
      <c r="A110" s="93"/>
      <c r="B110" s="94"/>
      <c r="C110" s="93"/>
      <c r="D110" s="93"/>
      <c r="E110" s="93"/>
      <c r="F110" s="93"/>
      <c r="G110" s="93"/>
      <c r="H110" s="93"/>
      <c r="I110" s="94"/>
      <c r="J110" s="94"/>
      <c r="K110" s="93"/>
      <c r="L110" s="93"/>
      <c r="M110" s="93"/>
      <c r="N110" s="93"/>
      <c r="O110" s="93"/>
      <c r="P110" s="93"/>
      <c r="Q110" s="93"/>
      <c r="R110" s="93"/>
      <c r="S110" s="93"/>
      <c r="T110" s="93"/>
      <c r="U110" s="93"/>
      <c r="V110" s="93"/>
      <c r="W110" s="93"/>
      <c r="X110" s="93"/>
    </row>
    <row r="111" spans="1:24" ht="16">
      <c r="A111" s="93"/>
      <c r="B111" s="94"/>
      <c r="C111" s="93"/>
      <c r="D111" s="93"/>
      <c r="E111" s="93"/>
      <c r="F111" s="93"/>
      <c r="G111" s="93"/>
      <c r="H111" s="93"/>
      <c r="I111" s="94"/>
      <c r="J111" s="94"/>
      <c r="K111" s="93"/>
      <c r="L111" s="93"/>
      <c r="M111" s="93"/>
      <c r="N111" s="93"/>
      <c r="O111" s="93"/>
      <c r="P111" s="93"/>
      <c r="Q111" s="93"/>
      <c r="R111" s="93"/>
      <c r="S111" s="93"/>
      <c r="T111" s="93"/>
      <c r="U111" s="93"/>
      <c r="V111" s="93"/>
      <c r="W111" s="93"/>
      <c r="X111" s="93"/>
    </row>
    <row r="112" spans="1:24" ht="16">
      <c r="A112" s="93"/>
      <c r="B112" s="94"/>
      <c r="C112" s="93"/>
      <c r="D112" s="93"/>
      <c r="E112" s="93"/>
      <c r="F112" s="93"/>
      <c r="G112" s="93"/>
      <c r="H112" s="93"/>
      <c r="I112" s="94"/>
      <c r="J112" s="94"/>
      <c r="K112" s="93"/>
      <c r="L112" s="93"/>
      <c r="M112" s="93"/>
      <c r="N112" s="93"/>
      <c r="O112" s="93"/>
      <c r="P112" s="93"/>
      <c r="Q112" s="93"/>
      <c r="R112" s="93"/>
      <c r="S112" s="93"/>
      <c r="T112" s="93"/>
      <c r="U112" s="93"/>
      <c r="V112" s="93"/>
      <c r="W112" s="93"/>
      <c r="X112" s="93"/>
    </row>
    <row r="113" spans="1:24" ht="16">
      <c r="A113" s="93"/>
      <c r="B113" s="94"/>
      <c r="C113" s="93"/>
      <c r="D113" s="93"/>
      <c r="E113" s="93"/>
      <c r="F113" s="93"/>
      <c r="G113" s="93"/>
      <c r="H113" s="93"/>
      <c r="I113" s="94"/>
      <c r="J113" s="94"/>
      <c r="K113" s="93"/>
      <c r="L113" s="93"/>
      <c r="M113" s="93"/>
      <c r="N113" s="93"/>
      <c r="O113" s="93"/>
      <c r="P113" s="93"/>
      <c r="Q113" s="93"/>
      <c r="R113" s="93"/>
      <c r="S113" s="93"/>
      <c r="T113" s="93"/>
      <c r="U113" s="93"/>
      <c r="V113" s="93"/>
      <c r="W113" s="93"/>
      <c r="X113" s="93"/>
    </row>
    <row r="114" spans="1:24" ht="16">
      <c r="A114" s="93"/>
      <c r="B114" s="94"/>
      <c r="C114" s="93"/>
      <c r="D114" s="93"/>
      <c r="E114" s="93"/>
      <c r="F114" s="93"/>
      <c r="G114" s="93"/>
      <c r="H114" s="93"/>
      <c r="I114" s="94"/>
      <c r="J114" s="94"/>
      <c r="K114" s="93"/>
      <c r="L114" s="93"/>
      <c r="M114" s="93"/>
      <c r="N114" s="93"/>
      <c r="O114" s="93"/>
      <c r="P114" s="93"/>
      <c r="Q114" s="93"/>
      <c r="R114" s="93"/>
      <c r="S114" s="93"/>
      <c r="T114" s="93"/>
      <c r="U114" s="93"/>
      <c r="V114" s="93"/>
      <c r="W114" s="93"/>
      <c r="X114" s="93"/>
    </row>
    <row r="115" spans="1:24" ht="16">
      <c r="A115" s="93"/>
      <c r="B115" s="94"/>
      <c r="C115" s="93"/>
      <c r="D115" s="93"/>
      <c r="E115" s="93"/>
      <c r="F115" s="93"/>
      <c r="G115" s="93"/>
      <c r="H115" s="93"/>
      <c r="I115" s="94"/>
      <c r="J115" s="94"/>
      <c r="K115" s="93"/>
      <c r="L115" s="93"/>
      <c r="M115" s="93"/>
      <c r="N115" s="93"/>
      <c r="O115" s="93"/>
      <c r="P115" s="93"/>
      <c r="Q115" s="93"/>
      <c r="R115" s="93"/>
      <c r="S115" s="93"/>
      <c r="T115" s="93"/>
      <c r="U115" s="93"/>
      <c r="V115" s="93"/>
      <c r="W115" s="93"/>
      <c r="X115" s="93"/>
    </row>
    <row r="116" spans="1:24" ht="16">
      <c r="A116" s="93"/>
      <c r="B116" s="94"/>
      <c r="C116" s="93"/>
      <c r="D116" s="93"/>
      <c r="E116" s="93"/>
      <c r="F116" s="93"/>
      <c r="G116" s="93"/>
      <c r="H116" s="93"/>
      <c r="I116" s="94"/>
      <c r="J116" s="94"/>
      <c r="K116" s="93"/>
      <c r="L116" s="93"/>
      <c r="M116" s="93"/>
      <c r="N116" s="93"/>
      <c r="O116" s="93"/>
      <c r="P116" s="93"/>
      <c r="Q116" s="93"/>
      <c r="R116" s="93"/>
      <c r="S116" s="93"/>
      <c r="T116" s="93"/>
      <c r="U116" s="93"/>
      <c r="V116" s="93"/>
      <c r="W116" s="93"/>
      <c r="X116" s="93"/>
    </row>
    <row r="117" spans="1:24" ht="16">
      <c r="A117" s="93"/>
      <c r="B117" s="94"/>
      <c r="C117" s="93"/>
      <c r="D117" s="93"/>
      <c r="E117" s="93"/>
      <c r="F117" s="93"/>
      <c r="G117" s="93"/>
      <c r="H117" s="93"/>
      <c r="I117" s="94"/>
      <c r="J117" s="94"/>
      <c r="K117" s="93"/>
      <c r="L117" s="93"/>
      <c r="M117" s="93"/>
      <c r="N117" s="93"/>
      <c r="O117" s="93"/>
      <c r="P117" s="93"/>
      <c r="Q117" s="93"/>
      <c r="R117" s="93"/>
      <c r="S117" s="93"/>
      <c r="T117" s="93"/>
      <c r="U117" s="93"/>
      <c r="V117" s="93"/>
      <c r="W117" s="93"/>
      <c r="X117" s="93"/>
    </row>
    <row r="118" spans="1:24" ht="16">
      <c r="A118" s="93"/>
      <c r="B118" s="94"/>
      <c r="C118" s="93"/>
      <c r="D118" s="93"/>
      <c r="E118" s="93"/>
      <c r="F118" s="93"/>
      <c r="G118" s="93"/>
      <c r="H118" s="93"/>
      <c r="I118" s="94"/>
      <c r="J118" s="94"/>
      <c r="K118" s="93"/>
      <c r="L118" s="93"/>
      <c r="M118" s="93"/>
      <c r="N118" s="93"/>
      <c r="O118" s="93"/>
      <c r="P118" s="93"/>
      <c r="Q118" s="93"/>
      <c r="R118" s="93"/>
      <c r="S118" s="93"/>
      <c r="T118" s="93"/>
      <c r="U118" s="93"/>
      <c r="V118" s="93"/>
      <c r="W118" s="93"/>
      <c r="X118" s="93"/>
    </row>
    <row r="119" spans="1:24" ht="16">
      <c r="A119" s="93"/>
      <c r="B119" s="94"/>
      <c r="C119" s="93"/>
      <c r="D119" s="93"/>
      <c r="E119" s="93"/>
      <c r="F119" s="93"/>
      <c r="G119" s="93"/>
      <c r="H119" s="93"/>
      <c r="I119" s="94"/>
      <c r="J119" s="94"/>
      <c r="K119" s="93"/>
      <c r="L119" s="93"/>
      <c r="M119" s="93"/>
      <c r="N119" s="93"/>
      <c r="O119" s="93"/>
      <c r="P119" s="93"/>
      <c r="Q119" s="93"/>
      <c r="R119" s="93"/>
      <c r="S119" s="93"/>
      <c r="T119" s="93"/>
      <c r="U119" s="93"/>
      <c r="V119" s="93"/>
      <c r="W119" s="93"/>
      <c r="X119" s="93"/>
    </row>
    <row r="120" spans="1:24" ht="16">
      <c r="A120" s="93"/>
      <c r="B120" s="94"/>
      <c r="C120" s="93"/>
      <c r="D120" s="93"/>
      <c r="E120" s="93"/>
      <c r="F120" s="93"/>
      <c r="G120" s="93"/>
      <c r="H120" s="93"/>
      <c r="I120" s="94"/>
      <c r="J120" s="94"/>
      <c r="K120" s="93"/>
      <c r="L120" s="93"/>
      <c r="M120" s="93"/>
      <c r="N120" s="93"/>
      <c r="O120" s="93"/>
      <c r="P120" s="93"/>
      <c r="Q120" s="93"/>
      <c r="R120" s="93"/>
      <c r="S120" s="93"/>
      <c r="T120" s="93"/>
      <c r="U120" s="93"/>
      <c r="V120" s="93"/>
      <c r="W120" s="93"/>
      <c r="X120" s="93"/>
    </row>
    <row r="121" spans="1:24" ht="16">
      <c r="A121" s="93"/>
      <c r="B121" s="94"/>
      <c r="C121" s="93"/>
      <c r="D121" s="93"/>
      <c r="E121" s="93"/>
      <c r="F121" s="93"/>
      <c r="G121" s="93"/>
      <c r="H121" s="93"/>
      <c r="I121" s="94"/>
      <c r="J121" s="94"/>
      <c r="K121" s="93"/>
      <c r="L121" s="93"/>
      <c r="M121" s="93"/>
      <c r="N121" s="93"/>
      <c r="O121" s="93"/>
      <c r="P121" s="93"/>
      <c r="Q121" s="93"/>
      <c r="R121" s="93"/>
      <c r="S121" s="93"/>
      <c r="T121" s="93"/>
      <c r="U121" s="93"/>
      <c r="V121" s="93"/>
      <c r="W121" s="93"/>
      <c r="X121" s="93"/>
    </row>
    <row r="122" spans="1:24" ht="16">
      <c r="A122" s="93"/>
      <c r="B122" s="94"/>
      <c r="C122" s="93"/>
      <c r="D122" s="93"/>
      <c r="E122" s="93"/>
      <c r="F122" s="93"/>
      <c r="G122" s="93"/>
      <c r="H122" s="93"/>
      <c r="I122" s="94"/>
      <c r="J122" s="94"/>
      <c r="K122" s="93"/>
      <c r="L122" s="93"/>
      <c r="M122" s="93"/>
      <c r="N122" s="93"/>
      <c r="O122" s="93"/>
      <c r="P122" s="93"/>
      <c r="Q122" s="93"/>
      <c r="R122" s="93"/>
      <c r="S122" s="93"/>
      <c r="T122" s="93"/>
      <c r="U122" s="93"/>
      <c r="V122" s="93"/>
      <c r="W122" s="93"/>
      <c r="X122" s="93"/>
    </row>
    <row r="123" spans="1:24" ht="16">
      <c r="A123" s="93"/>
      <c r="B123" s="94"/>
      <c r="C123" s="93"/>
      <c r="D123" s="93"/>
      <c r="E123" s="93"/>
      <c r="F123" s="93"/>
      <c r="G123" s="93"/>
      <c r="H123" s="93"/>
      <c r="I123" s="94"/>
      <c r="J123" s="94"/>
      <c r="K123" s="93"/>
      <c r="L123" s="93"/>
      <c r="M123" s="93"/>
      <c r="N123" s="93"/>
      <c r="O123" s="93"/>
      <c r="P123" s="93"/>
      <c r="Q123" s="93"/>
      <c r="R123" s="93"/>
      <c r="S123" s="93"/>
      <c r="T123" s="93"/>
      <c r="U123" s="93"/>
      <c r="V123" s="93"/>
      <c r="W123" s="93"/>
      <c r="X123" s="93"/>
    </row>
    <row r="124" spans="1:24" ht="16">
      <c r="A124" s="93"/>
      <c r="B124" s="94"/>
      <c r="C124" s="93"/>
      <c r="D124" s="93"/>
      <c r="E124" s="93"/>
      <c r="F124" s="93"/>
      <c r="G124" s="93"/>
      <c r="H124" s="93"/>
      <c r="I124" s="94"/>
      <c r="J124" s="94"/>
      <c r="K124" s="93"/>
      <c r="L124" s="93"/>
      <c r="M124" s="93"/>
      <c r="N124" s="93"/>
      <c r="O124" s="93"/>
      <c r="P124" s="93"/>
      <c r="Q124" s="93"/>
      <c r="R124" s="93"/>
      <c r="S124" s="93"/>
      <c r="T124" s="93"/>
      <c r="U124" s="93"/>
      <c r="V124" s="93"/>
      <c r="W124" s="93"/>
      <c r="X124" s="93"/>
    </row>
    <row r="125" spans="1:24" ht="16">
      <c r="A125" s="93"/>
      <c r="B125" s="94"/>
      <c r="C125" s="93"/>
      <c r="D125" s="93"/>
      <c r="E125" s="93"/>
      <c r="F125" s="93"/>
      <c r="G125" s="93"/>
      <c r="H125" s="93"/>
      <c r="I125" s="94"/>
      <c r="J125" s="94"/>
      <c r="K125" s="93"/>
      <c r="L125" s="93"/>
      <c r="M125" s="93"/>
      <c r="N125" s="93"/>
      <c r="O125" s="93"/>
      <c r="P125" s="93"/>
      <c r="Q125" s="93"/>
      <c r="R125" s="93"/>
      <c r="S125" s="93"/>
      <c r="T125" s="93"/>
      <c r="U125" s="93"/>
      <c r="V125" s="93"/>
      <c r="W125" s="93"/>
      <c r="X125" s="93"/>
    </row>
    <row r="126" spans="1:24" ht="16">
      <c r="A126" s="93"/>
      <c r="B126" s="94"/>
      <c r="C126" s="93"/>
      <c r="D126" s="93"/>
      <c r="E126" s="93"/>
      <c r="F126" s="93"/>
      <c r="G126" s="93"/>
      <c r="H126" s="93"/>
      <c r="I126" s="94"/>
      <c r="J126" s="94"/>
      <c r="K126" s="93"/>
      <c r="L126" s="93"/>
      <c r="M126" s="93"/>
      <c r="N126" s="93"/>
      <c r="O126" s="93"/>
      <c r="P126" s="93"/>
      <c r="Q126" s="93"/>
      <c r="R126" s="93"/>
      <c r="S126" s="93"/>
      <c r="T126" s="93"/>
      <c r="U126" s="93"/>
      <c r="V126" s="93"/>
      <c r="W126" s="93"/>
      <c r="X126" s="93"/>
    </row>
    <row r="127" spans="1:24" ht="16">
      <c r="A127" s="93"/>
      <c r="B127" s="94"/>
      <c r="C127" s="93"/>
      <c r="D127" s="93"/>
      <c r="E127" s="93"/>
      <c r="F127" s="93"/>
      <c r="G127" s="93"/>
      <c r="H127" s="93"/>
      <c r="I127" s="94"/>
      <c r="J127" s="94"/>
      <c r="K127" s="93"/>
      <c r="L127" s="93"/>
      <c r="M127" s="93"/>
      <c r="N127" s="93"/>
      <c r="O127" s="93"/>
      <c r="P127" s="93"/>
      <c r="Q127" s="93"/>
      <c r="R127" s="93"/>
      <c r="S127" s="93"/>
      <c r="T127" s="93"/>
      <c r="U127" s="93"/>
      <c r="V127" s="93"/>
      <c r="W127" s="93"/>
      <c r="X127" s="93"/>
    </row>
    <row r="128" spans="1:24" ht="16">
      <c r="A128" s="93"/>
      <c r="B128" s="94"/>
      <c r="C128" s="93"/>
      <c r="D128" s="93"/>
      <c r="E128" s="93"/>
      <c r="F128" s="93"/>
      <c r="G128" s="93"/>
      <c r="H128" s="93"/>
      <c r="I128" s="94"/>
      <c r="J128" s="94"/>
      <c r="K128" s="93"/>
      <c r="L128" s="93"/>
      <c r="M128" s="93"/>
      <c r="N128" s="93"/>
      <c r="O128" s="93"/>
      <c r="P128" s="93"/>
      <c r="Q128" s="93"/>
      <c r="R128" s="93"/>
      <c r="S128" s="93"/>
      <c r="T128" s="93"/>
      <c r="U128" s="93"/>
      <c r="V128" s="93"/>
      <c r="W128" s="93"/>
      <c r="X128" s="93"/>
    </row>
    <row r="129" spans="1:24" ht="16">
      <c r="A129" s="93"/>
      <c r="B129" s="94"/>
      <c r="C129" s="93"/>
      <c r="D129" s="93"/>
      <c r="E129" s="93"/>
      <c r="F129" s="93"/>
      <c r="G129" s="93"/>
      <c r="H129" s="93"/>
      <c r="I129" s="94"/>
      <c r="J129" s="94"/>
      <c r="K129" s="93"/>
      <c r="L129" s="93"/>
      <c r="M129" s="93"/>
      <c r="N129" s="93"/>
      <c r="O129" s="93"/>
      <c r="P129" s="93"/>
      <c r="Q129" s="93"/>
      <c r="R129" s="93"/>
      <c r="S129" s="93"/>
      <c r="T129" s="93"/>
      <c r="U129" s="93"/>
      <c r="V129" s="93"/>
      <c r="W129" s="93"/>
      <c r="X129" s="93"/>
    </row>
    <row r="130" spans="1:24" ht="16">
      <c r="A130" s="93"/>
      <c r="B130" s="94"/>
      <c r="C130" s="93"/>
      <c r="D130" s="93"/>
      <c r="E130" s="93"/>
      <c r="F130" s="93"/>
      <c r="G130" s="93"/>
      <c r="H130" s="93"/>
      <c r="I130" s="94"/>
      <c r="J130" s="94"/>
      <c r="K130" s="93"/>
      <c r="L130" s="93"/>
      <c r="M130" s="93"/>
      <c r="N130" s="93"/>
      <c r="O130" s="93"/>
      <c r="P130" s="93"/>
      <c r="Q130" s="93"/>
      <c r="R130" s="93"/>
      <c r="S130" s="93"/>
      <c r="T130" s="93"/>
      <c r="U130" s="93"/>
      <c r="V130" s="93"/>
      <c r="W130" s="93"/>
      <c r="X130" s="93"/>
    </row>
    <row r="131" spans="1:24" ht="16">
      <c r="A131" s="93"/>
      <c r="B131" s="94"/>
      <c r="C131" s="93"/>
      <c r="D131" s="93"/>
      <c r="E131" s="93"/>
      <c r="F131" s="93"/>
      <c r="G131" s="93"/>
      <c r="H131" s="93"/>
      <c r="I131" s="94"/>
      <c r="J131" s="94"/>
      <c r="K131" s="93"/>
      <c r="L131" s="93"/>
      <c r="M131" s="93"/>
      <c r="N131" s="93"/>
      <c r="O131" s="93"/>
      <c r="P131" s="93"/>
      <c r="Q131" s="93"/>
      <c r="R131" s="93"/>
      <c r="S131" s="93"/>
      <c r="T131" s="93"/>
      <c r="U131" s="93"/>
      <c r="V131" s="93"/>
      <c r="W131" s="93"/>
      <c r="X131" s="93"/>
    </row>
    <row r="132" spans="1:24" ht="16">
      <c r="A132" s="93"/>
      <c r="B132" s="94"/>
      <c r="C132" s="93"/>
      <c r="D132" s="93"/>
      <c r="E132" s="93"/>
      <c r="F132" s="93"/>
      <c r="G132" s="93"/>
      <c r="H132" s="93"/>
      <c r="I132" s="94"/>
      <c r="J132" s="94"/>
      <c r="K132" s="93"/>
      <c r="L132" s="93"/>
      <c r="M132" s="93"/>
      <c r="N132" s="93"/>
      <c r="O132" s="93"/>
      <c r="P132" s="93"/>
      <c r="Q132" s="93"/>
      <c r="R132" s="93"/>
      <c r="S132" s="93"/>
      <c r="T132" s="93"/>
      <c r="U132" s="93"/>
      <c r="V132" s="93"/>
      <c r="W132" s="93"/>
      <c r="X132" s="93"/>
    </row>
    <row r="133" spans="1:24" ht="16">
      <c r="A133" s="93"/>
      <c r="B133" s="94"/>
      <c r="C133" s="93"/>
      <c r="D133" s="93"/>
      <c r="E133" s="93"/>
      <c r="F133" s="93"/>
      <c r="G133" s="93"/>
      <c r="H133" s="93"/>
      <c r="I133" s="94"/>
      <c r="J133" s="94"/>
      <c r="K133" s="93"/>
      <c r="L133" s="93"/>
      <c r="M133" s="93"/>
      <c r="N133" s="93"/>
      <c r="O133" s="93"/>
      <c r="P133" s="93"/>
      <c r="Q133" s="93"/>
      <c r="R133" s="93"/>
      <c r="S133" s="93"/>
      <c r="T133" s="93"/>
      <c r="U133" s="93"/>
      <c r="V133" s="93"/>
      <c r="W133" s="93"/>
      <c r="X133" s="93"/>
    </row>
    <row r="134" spans="1:24" ht="16">
      <c r="A134" s="93"/>
      <c r="B134" s="94"/>
      <c r="C134" s="93"/>
      <c r="D134" s="93"/>
      <c r="E134" s="93"/>
      <c r="F134" s="93"/>
      <c r="G134" s="93"/>
      <c r="H134" s="93"/>
      <c r="I134" s="94"/>
      <c r="J134" s="94"/>
      <c r="K134" s="93"/>
      <c r="L134" s="93"/>
      <c r="M134" s="93"/>
      <c r="N134" s="93"/>
      <c r="O134" s="93"/>
      <c r="P134" s="93"/>
      <c r="Q134" s="93"/>
      <c r="R134" s="93"/>
      <c r="S134" s="93"/>
      <c r="T134" s="93"/>
      <c r="U134" s="93"/>
      <c r="V134" s="93"/>
      <c r="W134" s="93"/>
      <c r="X134" s="93"/>
    </row>
    <row r="135" spans="1:24" ht="16">
      <c r="A135" s="93"/>
      <c r="B135" s="94"/>
      <c r="C135" s="93"/>
      <c r="D135" s="93"/>
      <c r="E135" s="93"/>
      <c r="F135" s="93"/>
      <c r="G135" s="93"/>
      <c r="H135" s="93"/>
      <c r="I135" s="94"/>
      <c r="J135" s="94"/>
      <c r="K135" s="93"/>
      <c r="L135" s="93"/>
      <c r="M135" s="93"/>
      <c r="N135" s="93"/>
      <c r="O135" s="93"/>
      <c r="P135" s="93"/>
      <c r="Q135" s="93"/>
      <c r="R135" s="93"/>
      <c r="S135" s="93"/>
      <c r="T135" s="93"/>
      <c r="U135" s="93"/>
      <c r="V135" s="93"/>
      <c r="W135" s="93"/>
      <c r="X135" s="93"/>
    </row>
    <row r="136" spans="1:24" ht="16">
      <c r="A136" s="93"/>
      <c r="B136" s="94"/>
      <c r="C136" s="93"/>
      <c r="D136" s="93"/>
      <c r="E136" s="93"/>
      <c r="F136" s="93"/>
      <c r="G136" s="93"/>
      <c r="H136" s="93"/>
      <c r="I136" s="94"/>
      <c r="J136" s="94"/>
      <c r="K136" s="93"/>
      <c r="L136" s="93"/>
      <c r="M136" s="93"/>
      <c r="N136" s="93"/>
      <c r="O136" s="93"/>
      <c r="P136" s="93"/>
      <c r="Q136" s="93"/>
      <c r="R136" s="93"/>
      <c r="S136" s="93"/>
      <c r="T136" s="93"/>
      <c r="U136" s="93"/>
      <c r="V136" s="93"/>
      <c r="W136" s="93"/>
      <c r="X136" s="93"/>
    </row>
    <row r="137" spans="1:24" ht="16">
      <c r="A137" s="93"/>
      <c r="B137" s="94"/>
      <c r="C137" s="93"/>
      <c r="D137" s="93"/>
      <c r="E137" s="93"/>
      <c r="F137" s="93"/>
      <c r="G137" s="93"/>
      <c r="H137" s="93"/>
      <c r="I137" s="94"/>
      <c r="J137" s="94"/>
      <c r="K137" s="93"/>
      <c r="L137" s="93"/>
      <c r="M137" s="93"/>
      <c r="N137" s="93"/>
      <c r="O137" s="93"/>
      <c r="P137" s="93"/>
      <c r="Q137" s="93"/>
      <c r="R137" s="93"/>
      <c r="S137" s="93"/>
      <c r="T137" s="93"/>
      <c r="U137" s="93"/>
      <c r="V137" s="93"/>
      <c r="W137" s="93"/>
      <c r="X137" s="93"/>
    </row>
    <row r="138" spans="1:24" ht="16">
      <c r="A138" s="93"/>
      <c r="B138" s="94"/>
      <c r="C138" s="93"/>
      <c r="D138" s="93"/>
      <c r="E138" s="93"/>
      <c r="F138" s="93"/>
      <c r="G138" s="93"/>
      <c r="H138" s="93"/>
      <c r="I138" s="94"/>
      <c r="J138" s="94"/>
      <c r="K138" s="93"/>
      <c r="L138" s="93"/>
      <c r="M138" s="93"/>
      <c r="N138" s="93"/>
      <c r="O138" s="93"/>
      <c r="P138" s="93"/>
      <c r="Q138" s="93"/>
      <c r="R138" s="93"/>
      <c r="S138" s="93"/>
      <c r="T138" s="93"/>
      <c r="U138" s="93"/>
      <c r="V138" s="93"/>
      <c r="W138" s="93"/>
      <c r="X138" s="93"/>
    </row>
    <row r="139" spans="1:24" ht="16">
      <c r="A139" s="93"/>
      <c r="B139" s="94"/>
      <c r="C139" s="93"/>
      <c r="D139" s="93"/>
      <c r="E139" s="93"/>
      <c r="F139" s="93"/>
      <c r="G139" s="93"/>
      <c r="H139" s="93"/>
      <c r="I139" s="94"/>
      <c r="J139" s="94"/>
      <c r="K139" s="93"/>
      <c r="L139" s="93"/>
      <c r="M139" s="93"/>
      <c r="N139" s="93"/>
      <c r="O139" s="93"/>
      <c r="P139" s="93"/>
      <c r="Q139" s="93"/>
      <c r="R139" s="93"/>
      <c r="S139" s="93"/>
      <c r="T139" s="93"/>
      <c r="U139" s="93"/>
      <c r="V139" s="93"/>
      <c r="W139" s="93"/>
      <c r="X139" s="93"/>
    </row>
    <row r="140" spans="1:24" ht="16">
      <c r="A140" s="93"/>
      <c r="B140" s="94"/>
      <c r="C140" s="93"/>
      <c r="D140" s="93"/>
      <c r="E140" s="93"/>
      <c r="F140" s="93"/>
      <c r="G140" s="93"/>
      <c r="H140" s="93"/>
      <c r="I140" s="94"/>
      <c r="J140" s="94"/>
      <c r="K140" s="93"/>
      <c r="L140" s="93"/>
      <c r="M140" s="93"/>
      <c r="N140" s="93"/>
      <c r="O140" s="93"/>
      <c r="P140" s="93"/>
      <c r="Q140" s="93"/>
      <c r="R140" s="93"/>
      <c r="S140" s="93"/>
      <c r="T140" s="93"/>
      <c r="U140" s="93"/>
      <c r="V140" s="93"/>
      <c r="W140" s="93"/>
      <c r="X140" s="93"/>
    </row>
    <row r="141" spans="1:24" ht="16">
      <c r="A141" s="93"/>
      <c r="B141" s="94"/>
      <c r="C141" s="93"/>
      <c r="D141" s="93"/>
      <c r="E141" s="93"/>
      <c r="F141" s="93"/>
      <c r="G141" s="93"/>
      <c r="H141" s="93"/>
      <c r="I141" s="94"/>
      <c r="J141" s="94"/>
      <c r="K141" s="93"/>
      <c r="L141" s="93"/>
      <c r="M141" s="93"/>
      <c r="N141" s="93"/>
      <c r="O141" s="93"/>
      <c r="P141" s="93"/>
      <c r="Q141" s="93"/>
      <c r="R141" s="93"/>
      <c r="S141" s="93"/>
      <c r="T141" s="93"/>
      <c r="U141" s="93"/>
      <c r="V141" s="93"/>
      <c r="W141" s="93"/>
      <c r="X141" s="93"/>
    </row>
    <row r="142" spans="1:24" ht="16">
      <c r="A142" s="93"/>
      <c r="B142" s="94"/>
      <c r="C142" s="93"/>
      <c r="D142" s="93"/>
      <c r="E142" s="93"/>
      <c r="F142" s="93"/>
      <c r="G142" s="93"/>
      <c r="H142" s="93"/>
      <c r="I142" s="94"/>
      <c r="J142" s="94"/>
      <c r="K142" s="93"/>
      <c r="L142" s="93"/>
      <c r="M142" s="93"/>
      <c r="N142" s="93"/>
      <c r="O142" s="93"/>
      <c r="P142" s="93"/>
      <c r="Q142" s="93"/>
      <c r="R142" s="93"/>
      <c r="S142" s="93"/>
      <c r="T142" s="93"/>
      <c r="U142" s="93"/>
      <c r="V142" s="93"/>
      <c r="W142" s="93"/>
      <c r="X142" s="93"/>
    </row>
    <row r="143" spans="1:24" ht="16">
      <c r="A143" s="93"/>
      <c r="B143" s="94"/>
      <c r="C143" s="93"/>
      <c r="D143" s="93"/>
      <c r="E143" s="93"/>
      <c r="F143" s="93"/>
      <c r="G143" s="93"/>
      <c r="H143" s="93"/>
      <c r="I143" s="94"/>
      <c r="J143" s="94"/>
      <c r="K143" s="93"/>
      <c r="L143" s="93"/>
      <c r="M143" s="93"/>
      <c r="N143" s="93"/>
      <c r="O143" s="93"/>
      <c r="P143" s="93"/>
      <c r="Q143" s="93"/>
      <c r="R143" s="93"/>
      <c r="S143" s="93"/>
      <c r="T143" s="93"/>
      <c r="U143" s="93"/>
      <c r="V143" s="93"/>
      <c r="W143" s="93"/>
      <c r="X143" s="93"/>
    </row>
    <row r="144" spans="1:24" ht="16">
      <c r="A144" s="93"/>
      <c r="B144" s="94"/>
      <c r="C144" s="93"/>
      <c r="D144" s="93"/>
      <c r="E144" s="93"/>
      <c r="F144" s="93"/>
      <c r="G144" s="93"/>
      <c r="H144" s="93"/>
      <c r="I144" s="94"/>
      <c r="J144" s="94"/>
      <c r="K144" s="93"/>
      <c r="L144" s="93"/>
      <c r="M144" s="93"/>
      <c r="N144" s="93"/>
      <c r="O144" s="93"/>
      <c r="P144" s="93"/>
      <c r="Q144" s="93"/>
      <c r="R144" s="93"/>
      <c r="S144" s="93"/>
      <c r="T144" s="93"/>
      <c r="U144" s="93"/>
      <c r="V144" s="93"/>
      <c r="W144" s="93"/>
      <c r="X144" s="93"/>
    </row>
    <row r="145" spans="1:24" ht="16">
      <c r="A145" s="93"/>
      <c r="B145" s="94"/>
      <c r="C145" s="93"/>
      <c r="D145" s="93"/>
      <c r="E145" s="93"/>
      <c r="F145" s="93"/>
      <c r="G145" s="93"/>
      <c r="H145" s="93"/>
      <c r="I145" s="94"/>
      <c r="J145" s="94"/>
      <c r="K145" s="93"/>
      <c r="L145" s="93"/>
      <c r="M145" s="93"/>
      <c r="N145" s="93"/>
      <c r="O145" s="93"/>
      <c r="P145" s="93"/>
      <c r="Q145" s="93"/>
      <c r="R145" s="93"/>
      <c r="S145" s="93"/>
      <c r="T145" s="93"/>
      <c r="U145" s="93"/>
      <c r="V145" s="93"/>
      <c r="W145" s="93"/>
      <c r="X145" s="93"/>
    </row>
    <row r="146" spans="1:24" ht="16">
      <c r="A146" s="93"/>
      <c r="B146" s="94"/>
      <c r="C146" s="93"/>
      <c r="D146" s="93"/>
      <c r="E146" s="93"/>
      <c r="F146" s="93"/>
      <c r="G146" s="93"/>
      <c r="H146" s="93"/>
      <c r="I146" s="94"/>
      <c r="J146" s="94"/>
      <c r="K146" s="93"/>
      <c r="L146" s="93"/>
      <c r="M146" s="93"/>
      <c r="N146" s="93"/>
      <c r="O146" s="93"/>
      <c r="P146" s="93"/>
      <c r="Q146" s="93"/>
      <c r="R146" s="93"/>
      <c r="S146" s="93"/>
      <c r="T146" s="93"/>
      <c r="U146" s="93"/>
      <c r="V146" s="93"/>
      <c r="W146" s="93"/>
      <c r="X146" s="93"/>
    </row>
    <row r="147" spans="1:24" ht="16">
      <c r="A147" s="93"/>
      <c r="B147" s="94"/>
      <c r="C147" s="93"/>
      <c r="D147" s="93"/>
      <c r="E147" s="93"/>
      <c r="F147" s="93"/>
      <c r="G147" s="93"/>
      <c r="H147" s="93"/>
      <c r="I147" s="94"/>
      <c r="J147" s="94"/>
      <c r="K147" s="93"/>
      <c r="L147" s="93"/>
      <c r="M147" s="93"/>
      <c r="N147" s="93"/>
      <c r="O147" s="93"/>
      <c r="P147" s="93"/>
      <c r="Q147" s="93"/>
      <c r="R147" s="93"/>
      <c r="S147" s="93"/>
      <c r="T147" s="93"/>
      <c r="U147" s="93"/>
      <c r="V147" s="93"/>
      <c r="W147" s="93"/>
      <c r="X147" s="93"/>
    </row>
    <row r="148" spans="1:24" ht="16">
      <c r="A148" s="93"/>
      <c r="B148" s="94"/>
      <c r="C148" s="93"/>
      <c r="D148" s="93"/>
      <c r="E148" s="93"/>
      <c r="F148" s="93"/>
      <c r="G148" s="93"/>
      <c r="H148" s="93"/>
      <c r="I148" s="94"/>
      <c r="J148" s="94"/>
      <c r="K148" s="93"/>
      <c r="L148" s="93"/>
      <c r="M148" s="93"/>
      <c r="N148" s="93"/>
      <c r="O148" s="93"/>
      <c r="P148" s="93"/>
      <c r="Q148" s="93"/>
      <c r="R148" s="93"/>
      <c r="S148" s="93"/>
      <c r="T148" s="93"/>
      <c r="U148" s="93"/>
      <c r="V148" s="93"/>
      <c r="W148" s="93"/>
      <c r="X148" s="93"/>
    </row>
    <row r="149" spans="1:24" ht="16">
      <c r="A149" s="93"/>
      <c r="B149" s="94"/>
      <c r="C149" s="93"/>
      <c r="D149" s="93"/>
      <c r="E149" s="93"/>
      <c r="F149" s="93"/>
      <c r="G149" s="93"/>
      <c r="H149" s="93"/>
      <c r="I149" s="94"/>
      <c r="J149" s="94"/>
      <c r="K149" s="93"/>
      <c r="L149" s="93"/>
      <c r="M149" s="93"/>
      <c r="N149" s="93"/>
      <c r="O149" s="93"/>
      <c r="P149" s="93"/>
      <c r="Q149" s="93"/>
      <c r="R149" s="93"/>
      <c r="S149" s="93"/>
      <c r="T149" s="93"/>
      <c r="U149" s="93"/>
      <c r="V149" s="93"/>
      <c r="W149" s="93"/>
      <c r="X149" s="93"/>
    </row>
    <row r="150" spans="1:24" ht="16">
      <c r="A150" s="93"/>
      <c r="B150" s="94"/>
      <c r="C150" s="93"/>
      <c r="D150" s="93"/>
      <c r="E150" s="93"/>
      <c r="F150" s="93"/>
      <c r="G150" s="93"/>
      <c r="H150" s="93"/>
      <c r="I150" s="94"/>
      <c r="J150" s="94"/>
      <c r="K150" s="93"/>
      <c r="L150" s="93"/>
      <c r="M150" s="93"/>
      <c r="N150" s="93"/>
      <c r="O150" s="93"/>
      <c r="P150" s="93"/>
      <c r="Q150" s="93"/>
      <c r="R150" s="93"/>
      <c r="S150" s="93"/>
      <c r="T150" s="93"/>
      <c r="U150" s="93"/>
      <c r="V150" s="93"/>
      <c r="W150" s="93"/>
      <c r="X150" s="93"/>
    </row>
    <row r="151" spans="1:24" ht="16">
      <c r="A151" s="93"/>
      <c r="B151" s="94"/>
      <c r="C151" s="93"/>
      <c r="D151" s="93"/>
      <c r="E151" s="93"/>
      <c r="F151" s="93"/>
      <c r="G151" s="93"/>
      <c r="H151" s="93"/>
      <c r="I151" s="94"/>
      <c r="J151" s="94"/>
      <c r="K151" s="93"/>
      <c r="L151" s="93"/>
      <c r="M151" s="93"/>
      <c r="N151" s="93"/>
      <c r="O151" s="93"/>
      <c r="P151" s="93"/>
      <c r="Q151" s="93"/>
      <c r="R151" s="93"/>
      <c r="S151" s="93"/>
      <c r="T151" s="93"/>
      <c r="U151" s="93"/>
      <c r="V151" s="93"/>
      <c r="W151" s="93"/>
      <c r="X151" s="93"/>
    </row>
    <row r="152" spans="1:24" ht="16">
      <c r="A152" s="93"/>
      <c r="B152" s="94"/>
      <c r="C152" s="93"/>
      <c r="D152" s="93"/>
      <c r="E152" s="93"/>
      <c r="F152" s="93"/>
      <c r="G152" s="93"/>
      <c r="H152" s="93"/>
      <c r="I152" s="94"/>
      <c r="J152" s="94"/>
      <c r="K152" s="93"/>
      <c r="L152" s="93"/>
      <c r="M152" s="93"/>
      <c r="N152" s="93"/>
      <c r="O152" s="93"/>
      <c r="P152" s="93"/>
      <c r="Q152" s="93"/>
      <c r="R152" s="93"/>
      <c r="S152" s="93"/>
      <c r="T152" s="93"/>
      <c r="U152" s="93"/>
      <c r="V152" s="93"/>
      <c r="W152" s="93"/>
      <c r="X152" s="93"/>
    </row>
    <row r="153" spans="1:24" ht="16">
      <c r="A153" s="93"/>
      <c r="B153" s="94"/>
      <c r="C153" s="93"/>
      <c r="D153" s="93"/>
      <c r="E153" s="93"/>
      <c r="F153" s="93"/>
      <c r="G153" s="93"/>
      <c r="H153" s="93"/>
      <c r="I153" s="94"/>
      <c r="J153" s="94"/>
      <c r="K153" s="93"/>
      <c r="L153" s="93"/>
      <c r="M153" s="93"/>
      <c r="N153" s="93"/>
      <c r="O153" s="93"/>
      <c r="P153" s="93"/>
      <c r="Q153" s="93"/>
      <c r="R153" s="93"/>
      <c r="S153" s="93"/>
      <c r="T153" s="93"/>
      <c r="U153" s="93"/>
      <c r="V153" s="93"/>
      <c r="W153" s="93"/>
      <c r="X153" s="93"/>
    </row>
    <row r="154" spans="1:24" ht="16">
      <c r="A154" s="93"/>
      <c r="B154" s="94"/>
      <c r="C154" s="93"/>
      <c r="D154" s="93"/>
      <c r="E154" s="93"/>
      <c r="F154" s="93"/>
      <c r="G154" s="93"/>
      <c r="H154" s="93"/>
      <c r="I154" s="94"/>
      <c r="J154" s="94"/>
      <c r="K154" s="93"/>
      <c r="L154" s="93"/>
      <c r="M154" s="93"/>
      <c r="N154" s="93"/>
      <c r="O154" s="93"/>
      <c r="P154" s="93"/>
      <c r="Q154" s="93"/>
      <c r="R154" s="93"/>
      <c r="S154" s="93"/>
      <c r="T154" s="93"/>
      <c r="U154" s="93"/>
      <c r="V154" s="93"/>
      <c r="W154" s="93"/>
      <c r="X154" s="93"/>
    </row>
    <row r="155" spans="1:24" ht="16">
      <c r="A155" s="93"/>
      <c r="B155" s="94"/>
      <c r="C155" s="93"/>
      <c r="D155" s="93"/>
      <c r="E155" s="93"/>
      <c r="F155" s="93"/>
      <c r="G155" s="93"/>
      <c r="H155" s="93"/>
      <c r="I155" s="94"/>
      <c r="J155" s="94"/>
      <c r="K155" s="93"/>
      <c r="L155" s="93"/>
      <c r="M155" s="93"/>
      <c r="N155" s="93"/>
      <c r="O155" s="93"/>
      <c r="P155" s="93"/>
      <c r="Q155" s="93"/>
      <c r="R155" s="93"/>
      <c r="S155" s="93"/>
      <c r="T155" s="93"/>
      <c r="U155" s="93"/>
      <c r="V155" s="93"/>
      <c r="W155" s="93"/>
      <c r="X155" s="93"/>
    </row>
    <row r="156" spans="1:24" ht="16">
      <c r="A156" s="93"/>
      <c r="B156" s="94"/>
      <c r="C156" s="93"/>
      <c r="D156" s="93"/>
      <c r="E156" s="93"/>
      <c r="F156" s="93"/>
      <c r="G156" s="93"/>
      <c r="H156" s="93"/>
      <c r="I156" s="94"/>
      <c r="J156" s="94"/>
      <c r="K156" s="93"/>
      <c r="L156" s="93"/>
      <c r="M156" s="93"/>
      <c r="N156" s="93"/>
      <c r="O156" s="93"/>
      <c r="P156" s="93"/>
      <c r="Q156" s="93"/>
      <c r="R156" s="93"/>
      <c r="S156" s="93"/>
      <c r="T156" s="93"/>
      <c r="U156" s="93"/>
      <c r="V156" s="93"/>
      <c r="W156" s="93"/>
      <c r="X156" s="93"/>
    </row>
    <row r="157" spans="1:24" ht="16">
      <c r="A157" s="93"/>
      <c r="B157" s="94"/>
      <c r="C157" s="93"/>
      <c r="D157" s="93"/>
      <c r="E157" s="93"/>
      <c r="F157" s="93"/>
      <c r="G157" s="93"/>
      <c r="H157" s="93"/>
      <c r="I157" s="94"/>
      <c r="J157" s="94"/>
      <c r="K157" s="93"/>
      <c r="L157" s="93"/>
      <c r="M157" s="93"/>
      <c r="N157" s="93"/>
      <c r="O157" s="93"/>
      <c r="P157" s="93"/>
      <c r="Q157" s="93"/>
      <c r="R157" s="93"/>
      <c r="S157" s="93"/>
      <c r="T157" s="93"/>
      <c r="U157" s="93"/>
      <c r="V157" s="93"/>
      <c r="W157" s="93"/>
      <c r="X157" s="93"/>
    </row>
    <row r="158" spans="1:24" ht="16">
      <c r="A158" s="93"/>
      <c r="B158" s="94"/>
      <c r="C158" s="93"/>
      <c r="D158" s="93"/>
      <c r="E158" s="93"/>
      <c r="F158" s="93"/>
      <c r="G158" s="93"/>
      <c r="H158" s="93"/>
      <c r="I158" s="94"/>
      <c r="J158" s="94"/>
      <c r="K158" s="93"/>
      <c r="L158" s="93"/>
      <c r="M158" s="93"/>
      <c r="N158" s="93"/>
      <c r="O158" s="93"/>
      <c r="P158" s="93"/>
      <c r="Q158" s="93"/>
      <c r="R158" s="93"/>
      <c r="S158" s="93"/>
      <c r="T158" s="93"/>
      <c r="U158" s="93"/>
      <c r="V158" s="93"/>
      <c r="W158" s="93"/>
      <c r="X158" s="93"/>
    </row>
    <row r="159" spans="1:24" ht="16">
      <c r="A159" s="93"/>
      <c r="B159" s="94"/>
      <c r="C159" s="93"/>
      <c r="D159" s="93"/>
      <c r="E159" s="93"/>
      <c r="F159" s="93"/>
      <c r="G159" s="93"/>
      <c r="H159" s="93"/>
      <c r="I159" s="94"/>
      <c r="J159" s="94"/>
      <c r="K159" s="93"/>
      <c r="L159" s="93"/>
      <c r="M159" s="93"/>
      <c r="N159" s="93"/>
      <c r="O159" s="93"/>
      <c r="P159" s="93"/>
      <c r="Q159" s="93"/>
      <c r="R159" s="93"/>
      <c r="S159" s="93"/>
      <c r="T159" s="93"/>
      <c r="U159" s="93"/>
      <c r="V159" s="93"/>
      <c r="W159" s="93"/>
      <c r="X159" s="93"/>
    </row>
    <row r="160" spans="1:24" ht="16">
      <c r="A160" s="93"/>
      <c r="B160" s="94"/>
      <c r="C160" s="93"/>
      <c r="D160" s="93"/>
      <c r="E160" s="93"/>
      <c r="F160" s="93"/>
      <c r="G160" s="93"/>
      <c r="H160" s="93"/>
      <c r="I160" s="94"/>
      <c r="J160" s="94"/>
      <c r="K160" s="93"/>
      <c r="L160" s="93"/>
      <c r="M160" s="93"/>
      <c r="N160" s="93"/>
      <c r="O160" s="93"/>
      <c r="P160" s="93"/>
      <c r="Q160" s="93"/>
      <c r="R160" s="93"/>
      <c r="S160" s="93"/>
      <c r="T160" s="93"/>
      <c r="U160" s="93"/>
      <c r="V160" s="93"/>
      <c r="W160" s="93"/>
      <c r="X160" s="93"/>
    </row>
    <row r="161" spans="1:24" ht="16">
      <c r="A161" s="93"/>
      <c r="B161" s="94"/>
      <c r="C161" s="93"/>
      <c r="D161" s="93"/>
      <c r="E161" s="93"/>
      <c r="F161" s="93"/>
      <c r="G161" s="93"/>
      <c r="H161" s="93"/>
      <c r="I161" s="94"/>
      <c r="J161" s="94"/>
      <c r="K161" s="93"/>
      <c r="L161" s="93"/>
      <c r="M161" s="93"/>
      <c r="N161" s="93"/>
      <c r="O161" s="93"/>
      <c r="P161" s="93"/>
      <c r="Q161" s="93"/>
      <c r="R161" s="93"/>
      <c r="S161" s="93"/>
      <c r="T161" s="93"/>
      <c r="U161" s="93"/>
      <c r="V161" s="93"/>
      <c r="W161" s="93"/>
      <c r="X161" s="93"/>
    </row>
    <row r="162" spans="1:24" ht="16">
      <c r="A162" s="93"/>
      <c r="B162" s="94"/>
      <c r="C162" s="93"/>
      <c r="D162" s="93"/>
      <c r="E162" s="93"/>
      <c r="F162" s="93"/>
      <c r="G162" s="93"/>
      <c r="H162" s="93"/>
      <c r="I162" s="94"/>
      <c r="J162" s="94"/>
      <c r="K162" s="93"/>
      <c r="L162" s="93"/>
      <c r="M162" s="93"/>
      <c r="N162" s="93"/>
      <c r="O162" s="93"/>
      <c r="P162" s="93"/>
      <c r="Q162" s="93"/>
      <c r="R162" s="93"/>
      <c r="S162" s="93"/>
      <c r="T162" s="93"/>
      <c r="U162" s="93"/>
      <c r="V162" s="93"/>
      <c r="W162" s="93"/>
      <c r="X162" s="93"/>
    </row>
    <row r="163" spans="1:24" ht="16">
      <c r="A163" s="93"/>
      <c r="B163" s="94"/>
      <c r="C163" s="93"/>
      <c r="D163" s="93"/>
      <c r="E163" s="93"/>
      <c r="F163" s="93"/>
      <c r="G163" s="93"/>
      <c r="H163" s="93"/>
      <c r="I163" s="94"/>
      <c r="J163" s="94"/>
      <c r="K163" s="93"/>
      <c r="L163" s="93"/>
      <c r="M163" s="93"/>
      <c r="N163" s="93"/>
      <c r="O163" s="93"/>
      <c r="P163" s="93"/>
      <c r="Q163" s="93"/>
      <c r="R163" s="93"/>
      <c r="S163" s="93"/>
      <c r="T163" s="93"/>
      <c r="U163" s="93"/>
      <c r="V163" s="93"/>
      <c r="W163" s="93"/>
      <c r="X163" s="93"/>
    </row>
    <row r="164" spans="1:24" ht="16">
      <c r="A164" s="93"/>
      <c r="B164" s="94"/>
      <c r="C164" s="93"/>
      <c r="D164" s="93"/>
      <c r="E164" s="93"/>
      <c r="F164" s="93"/>
      <c r="G164" s="93"/>
      <c r="H164" s="93"/>
      <c r="I164" s="94"/>
      <c r="J164" s="94"/>
      <c r="K164" s="93"/>
      <c r="L164" s="93"/>
      <c r="M164" s="93"/>
      <c r="N164" s="93"/>
      <c r="O164" s="93"/>
      <c r="P164" s="93"/>
      <c r="Q164" s="93"/>
      <c r="R164" s="93"/>
      <c r="S164" s="93"/>
      <c r="T164" s="93"/>
      <c r="U164" s="93"/>
      <c r="V164" s="93"/>
      <c r="W164" s="93"/>
      <c r="X164" s="93"/>
    </row>
    <row r="165" spans="1:24" ht="16">
      <c r="A165" s="93"/>
      <c r="B165" s="94"/>
      <c r="C165" s="93"/>
      <c r="D165" s="93"/>
      <c r="E165" s="93"/>
      <c r="F165" s="93"/>
      <c r="G165" s="93"/>
      <c r="H165" s="93"/>
      <c r="I165" s="94"/>
      <c r="J165" s="94"/>
      <c r="K165" s="93"/>
      <c r="L165" s="93"/>
      <c r="M165" s="93"/>
      <c r="N165" s="93"/>
      <c r="O165" s="93"/>
      <c r="P165" s="93"/>
      <c r="Q165" s="93"/>
      <c r="R165" s="93"/>
      <c r="S165" s="93"/>
      <c r="T165" s="93"/>
      <c r="U165" s="93"/>
      <c r="V165" s="93"/>
      <c r="W165" s="93"/>
      <c r="X165" s="93"/>
    </row>
    <row r="166" spans="1:24" ht="16">
      <c r="A166" s="93"/>
      <c r="B166" s="94"/>
      <c r="C166" s="93"/>
      <c r="D166" s="93"/>
      <c r="E166" s="93"/>
      <c r="F166" s="93"/>
      <c r="G166" s="93"/>
      <c r="H166" s="93"/>
      <c r="I166" s="94"/>
      <c r="J166" s="94"/>
      <c r="K166" s="93"/>
      <c r="L166" s="93"/>
      <c r="M166" s="93"/>
      <c r="N166" s="93"/>
      <c r="O166" s="93"/>
      <c r="P166" s="93"/>
      <c r="Q166" s="93"/>
      <c r="R166" s="93"/>
      <c r="S166" s="93"/>
      <c r="T166" s="93"/>
      <c r="U166" s="93"/>
      <c r="V166" s="93"/>
      <c r="W166" s="93"/>
      <c r="X166" s="93"/>
    </row>
    <row r="167" spans="1:24" ht="16">
      <c r="A167" s="93"/>
      <c r="B167" s="94"/>
      <c r="C167" s="93"/>
      <c r="D167" s="93"/>
      <c r="E167" s="93"/>
      <c r="F167" s="93"/>
      <c r="G167" s="93"/>
      <c r="H167" s="93"/>
      <c r="I167" s="94"/>
      <c r="J167" s="94"/>
      <c r="K167" s="93"/>
      <c r="L167" s="93"/>
      <c r="M167" s="93"/>
      <c r="N167" s="93"/>
      <c r="O167" s="93"/>
      <c r="P167" s="93"/>
      <c r="Q167" s="93"/>
      <c r="R167" s="93"/>
      <c r="S167" s="93"/>
      <c r="T167" s="93"/>
      <c r="U167" s="93"/>
      <c r="V167" s="93"/>
      <c r="W167" s="93"/>
      <c r="X167" s="93"/>
    </row>
    <row r="168" spans="1:24" ht="16">
      <c r="A168" s="93"/>
      <c r="B168" s="94"/>
      <c r="C168" s="93"/>
      <c r="D168" s="93"/>
      <c r="E168" s="93"/>
      <c r="F168" s="93"/>
      <c r="G168" s="93"/>
      <c r="H168" s="93"/>
      <c r="I168" s="94"/>
      <c r="J168" s="94"/>
      <c r="K168" s="93"/>
      <c r="L168" s="93"/>
      <c r="M168" s="93"/>
      <c r="N168" s="93"/>
      <c r="O168" s="93"/>
      <c r="P168" s="93"/>
      <c r="Q168" s="93"/>
      <c r="R168" s="93"/>
      <c r="S168" s="93"/>
      <c r="T168" s="93"/>
      <c r="U168" s="93"/>
      <c r="V168" s="93"/>
      <c r="W168" s="93"/>
      <c r="X168" s="93"/>
    </row>
    <row r="169" spans="1:24" ht="16">
      <c r="A169" s="93"/>
      <c r="B169" s="94"/>
      <c r="C169" s="93"/>
      <c r="D169" s="93"/>
      <c r="E169" s="93"/>
      <c r="F169" s="93"/>
      <c r="G169" s="93"/>
      <c r="H169" s="93"/>
      <c r="I169" s="94"/>
      <c r="J169" s="94"/>
      <c r="K169" s="93"/>
      <c r="L169" s="93"/>
      <c r="M169" s="93"/>
      <c r="N169" s="93"/>
      <c r="O169" s="93"/>
      <c r="P169" s="93"/>
      <c r="Q169" s="93"/>
      <c r="R169" s="93"/>
      <c r="S169" s="93"/>
      <c r="T169" s="93"/>
      <c r="U169" s="93"/>
      <c r="V169" s="93"/>
      <c r="W169" s="93"/>
      <c r="X169" s="93"/>
    </row>
    <row r="170" spans="1:24" ht="16">
      <c r="A170" s="93"/>
      <c r="B170" s="94"/>
      <c r="C170" s="93"/>
      <c r="D170" s="93"/>
      <c r="E170" s="93"/>
      <c r="F170" s="93"/>
      <c r="G170" s="93"/>
      <c r="H170" s="93"/>
      <c r="I170" s="94"/>
      <c r="J170" s="94"/>
      <c r="K170" s="93"/>
      <c r="L170" s="93"/>
      <c r="M170" s="93"/>
      <c r="N170" s="93"/>
      <c r="O170" s="93"/>
      <c r="P170" s="93"/>
      <c r="Q170" s="93"/>
      <c r="R170" s="93"/>
      <c r="S170" s="93"/>
      <c r="T170" s="93"/>
      <c r="U170" s="93"/>
      <c r="V170" s="93"/>
      <c r="W170" s="93"/>
      <c r="X170" s="93"/>
    </row>
    <row r="171" spans="1:24" ht="16">
      <c r="A171" s="93"/>
      <c r="B171" s="94"/>
      <c r="C171" s="93"/>
      <c r="D171" s="93"/>
      <c r="E171" s="93"/>
      <c r="F171" s="93"/>
      <c r="G171" s="93"/>
      <c r="H171" s="93"/>
      <c r="I171" s="94"/>
      <c r="J171" s="94"/>
      <c r="K171" s="93"/>
      <c r="L171" s="93"/>
      <c r="M171" s="93"/>
      <c r="N171" s="93"/>
      <c r="O171" s="93"/>
      <c r="P171" s="93"/>
      <c r="Q171" s="93"/>
      <c r="R171" s="93"/>
      <c r="S171" s="93"/>
      <c r="T171" s="93"/>
      <c r="U171" s="93"/>
      <c r="V171" s="93"/>
      <c r="W171" s="93"/>
      <c r="X171" s="93"/>
    </row>
    <row r="172" spans="1:24" ht="16">
      <c r="A172" s="93"/>
      <c r="B172" s="94"/>
      <c r="C172" s="93"/>
      <c r="D172" s="93"/>
      <c r="E172" s="93"/>
      <c r="F172" s="93"/>
      <c r="G172" s="93"/>
      <c r="H172" s="93"/>
      <c r="I172" s="94"/>
      <c r="J172" s="94"/>
      <c r="K172" s="93"/>
      <c r="L172" s="93"/>
      <c r="M172" s="93"/>
      <c r="N172" s="93"/>
      <c r="O172" s="93"/>
      <c r="P172" s="93"/>
      <c r="Q172" s="93"/>
      <c r="R172" s="93"/>
      <c r="S172" s="93"/>
      <c r="T172" s="93"/>
      <c r="U172" s="93"/>
      <c r="V172" s="93"/>
      <c r="W172" s="93"/>
      <c r="X172" s="93"/>
    </row>
    <row r="173" spans="1:24" ht="16">
      <c r="A173" s="93"/>
      <c r="B173" s="94"/>
      <c r="C173" s="93"/>
      <c r="D173" s="93"/>
      <c r="E173" s="93"/>
      <c r="F173" s="93"/>
      <c r="G173" s="93"/>
      <c r="H173" s="93"/>
      <c r="I173" s="94"/>
      <c r="J173" s="94"/>
      <c r="K173" s="93"/>
      <c r="L173" s="93"/>
      <c r="M173" s="93"/>
      <c r="N173" s="93"/>
      <c r="O173" s="93"/>
      <c r="P173" s="93"/>
      <c r="Q173" s="93"/>
      <c r="R173" s="93"/>
      <c r="S173" s="93"/>
      <c r="T173" s="93"/>
      <c r="U173" s="93"/>
      <c r="V173" s="93"/>
      <c r="W173" s="93"/>
      <c r="X173" s="93"/>
    </row>
    <row r="174" spans="1:24" ht="16">
      <c r="A174" s="93"/>
      <c r="B174" s="94"/>
      <c r="C174" s="93"/>
      <c r="D174" s="93"/>
      <c r="E174" s="93"/>
      <c r="F174" s="93"/>
      <c r="G174" s="93"/>
      <c r="H174" s="93"/>
      <c r="I174" s="94"/>
      <c r="J174" s="94"/>
      <c r="K174" s="93"/>
      <c r="L174" s="93"/>
      <c r="M174" s="93"/>
      <c r="N174" s="93"/>
      <c r="O174" s="93"/>
      <c r="P174" s="93"/>
      <c r="Q174" s="93"/>
      <c r="R174" s="93"/>
      <c r="S174" s="93"/>
      <c r="T174" s="93"/>
      <c r="U174" s="93"/>
      <c r="V174" s="93"/>
      <c r="W174" s="93"/>
      <c r="X174" s="93"/>
    </row>
    <row r="175" spans="1:24" ht="16">
      <c r="A175" s="93"/>
      <c r="B175" s="94"/>
      <c r="C175" s="93"/>
      <c r="D175" s="93"/>
      <c r="E175" s="93"/>
      <c r="F175" s="93"/>
      <c r="G175" s="93"/>
      <c r="H175" s="93"/>
      <c r="I175" s="94"/>
      <c r="J175" s="94"/>
      <c r="K175" s="93"/>
      <c r="L175" s="93"/>
      <c r="M175" s="93"/>
      <c r="N175" s="93"/>
      <c r="O175" s="93"/>
      <c r="P175" s="93"/>
      <c r="Q175" s="93"/>
      <c r="R175" s="93"/>
      <c r="S175" s="93"/>
      <c r="T175" s="93"/>
      <c r="U175" s="93"/>
      <c r="V175" s="93"/>
      <c r="W175" s="93"/>
      <c r="X175" s="93"/>
    </row>
    <row r="176" spans="1:24" ht="16">
      <c r="A176" s="93"/>
      <c r="B176" s="94"/>
      <c r="C176" s="93"/>
      <c r="D176" s="93"/>
      <c r="E176" s="93"/>
      <c r="F176" s="93"/>
      <c r="G176" s="93"/>
      <c r="H176" s="93"/>
      <c r="I176" s="94"/>
      <c r="J176" s="94"/>
      <c r="K176" s="93"/>
      <c r="L176" s="93"/>
      <c r="M176" s="93"/>
      <c r="N176" s="93"/>
      <c r="O176" s="93"/>
      <c r="P176" s="93"/>
      <c r="Q176" s="93"/>
      <c r="R176" s="93"/>
      <c r="S176" s="93"/>
      <c r="T176" s="93"/>
      <c r="U176" s="93"/>
      <c r="V176" s="93"/>
      <c r="W176" s="93"/>
      <c r="X176" s="93"/>
    </row>
    <row r="177" spans="1:24" ht="16">
      <c r="A177" s="93"/>
      <c r="B177" s="94"/>
      <c r="C177" s="93"/>
      <c r="D177" s="93"/>
      <c r="E177" s="93"/>
      <c r="F177" s="93"/>
      <c r="G177" s="93"/>
      <c r="H177" s="93"/>
      <c r="I177" s="94"/>
      <c r="J177" s="94"/>
      <c r="K177" s="93"/>
      <c r="L177" s="93"/>
      <c r="M177" s="93"/>
      <c r="N177" s="93"/>
      <c r="O177" s="93"/>
      <c r="P177" s="93"/>
      <c r="Q177" s="93"/>
      <c r="R177" s="93"/>
      <c r="S177" s="93"/>
      <c r="T177" s="93"/>
      <c r="U177" s="93"/>
      <c r="V177" s="93"/>
      <c r="W177" s="93"/>
      <c r="X177" s="93"/>
    </row>
    <row r="178" spans="1:24" ht="16">
      <c r="A178" s="93"/>
      <c r="B178" s="94"/>
      <c r="C178" s="93"/>
      <c r="D178" s="93"/>
      <c r="E178" s="93"/>
      <c r="F178" s="93"/>
      <c r="G178" s="93"/>
      <c r="H178" s="93"/>
      <c r="I178" s="94"/>
      <c r="J178" s="94"/>
      <c r="K178" s="93"/>
      <c r="L178" s="93"/>
      <c r="M178" s="93"/>
      <c r="N178" s="93"/>
      <c r="O178" s="93"/>
      <c r="P178" s="93"/>
      <c r="Q178" s="93"/>
      <c r="R178" s="93"/>
      <c r="S178" s="93"/>
      <c r="T178" s="93"/>
      <c r="U178" s="93"/>
      <c r="V178" s="93"/>
      <c r="W178" s="93"/>
      <c r="X178" s="93"/>
    </row>
    <row r="179" spans="1:24" ht="16">
      <c r="A179" s="93"/>
      <c r="B179" s="94"/>
      <c r="C179" s="93"/>
      <c r="D179" s="93"/>
      <c r="E179" s="93"/>
      <c r="F179" s="93"/>
      <c r="G179" s="93"/>
      <c r="H179" s="93"/>
      <c r="I179" s="94"/>
      <c r="J179" s="94"/>
      <c r="K179" s="93"/>
      <c r="L179" s="93"/>
      <c r="M179" s="93"/>
      <c r="N179" s="93"/>
      <c r="O179" s="93"/>
      <c r="P179" s="93"/>
      <c r="Q179" s="93"/>
      <c r="R179" s="93"/>
      <c r="S179" s="93"/>
      <c r="T179" s="93"/>
      <c r="U179" s="93"/>
      <c r="V179" s="93"/>
      <c r="W179" s="93"/>
      <c r="X179" s="93"/>
    </row>
    <row r="180" spans="1:24" ht="16">
      <c r="A180" s="93"/>
      <c r="B180" s="94"/>
      <c r="C180" s="93"/>
      <c r="D180" s="93"/>
      <c r="E180" s="93"/>
      <c r="F180" s="93"/>
      <c r="G180" s="93"/>
      <c r="H180" s="93"/>
      <c r="I180" s="94"/>
      <c r="J180" s="94"/>
      <c r="K180" s="93"/>
      <c r="L180" s="93"/>
      <c r="M180" s="93"/>
      <c r="N180" s="93"/>
      <c r="O180" s="93"/>
      <c r="P180" s="93"/>
      <c r="Q180" s="93"/>
      <c r="R180" s="93"/>
      <c r="S180" s="93"/>
      <c r="T180" s="93"/>
      <c r="U180" s="93"/>
      <c r="V180" s="93"/>
      <c r="W180" s="93"/>
      <c r="X180" s="93"/>
    </row>
    <row r="181" spans="1:24" ht="16">
      <c r="A181" s="93"/>
      <c r="B181" s="94"/>
      <c r="C181" s="93"/>
      <c r="D181" s="93"/>
      <c r="E181" s="93"/>
      <c r="F181" s="93"/>
      <c r="G181" s="93"/>
      <c r="H181" s="93"/>
      <c r="I181" s="94"/>
      <c r="J181" s="94"/>
      <c r="K181" s="93"/>
      <c r="L181" s="93"/>
      <c r="M181" s="93"/>
      <c r="N181" s="93"/>
      <c r="O181" s="93"/>
      <c r="P181" s="93"/>
      <c r="Q181" s="93"/>
      <c r="R181" s="93"/>
      <c r="S181" s="93"/>
      <c r="T181" s="93"/>
      <c r="U181" s="93"/>
      <c r="V181" s="93"/>
      <c r="W181" s="93"/>
      <c r="X181" s="93"/>
    </row>
    <row r="182" spans="1:24" ht="16">
      <c r="A182" s="93"/>
      <c r="B182" s="94"/>
      <c r="C182" s="93"/>
      <c r="D182" s="93"/>
      <c r="E182" s="93"/>
      <c r="F182" s="93"/>
      <c r="G182" s="93"/>
      <c r="H182" s="93"/>
      <c r="I182" s="94"/>
      <c r="J182" s="94"/>
      <c r="K182" s="93"/>
      <c r="L182" s="93"/>
      <c r="M182" s="93"/>
      <c r="N182" s="93"/>
      <c r="O182" s="93"/>
      <c r="P182" s="93"/>
      <c r="Q182" s="93"/>
      <c r="R182" s="93"/>
      <c r="S182" s="93"/>
      <c r="T182" s="93"/>
      <c r="U182" s="93"/>
      <c r="V182" s="93"/>
      <c r="W182" s="93"/>
      <c r="X182" s="93"/>
    </row>
    <row r="183" spans="1:24" ht="16">
      <c r="A183" s="93"/>
      <c r="B183" s="94"/>
      <c r="C183" s="93"/>
      <c r="D183" s="93"/>
      <c r="E183" s="93"/>
      <c r="F183" s="93"/>
      <c r="G183" s="93"/>
      <c r="H183" s="93"/>
      <c r="I183" s="94"/>
      <c r="J183" s="94"/>
      <c r="K183" s="93"/>
      <c r="L183" s="93"/>
      <c r="M183" s="93"/>
      <c r="N183" s="93"/>
      <c r="O183" s="93"/>
      <c r="P183" s="93"/>
      <c r="Q183" s="93"/>
      <c r="R183" s="93"/>
      <c r="S183" s="93"/>
      <c r="T183" s="93"/>
      <c r="U183" s="93"/>
      <c r="V183" s="93"/>
      <c r="W183" s="93"/>
      <c r="X183" s="93"/>
    </row>
    <row r="184" spans="1:24" ht="16">
      <c r="A184" s="93"/>
      <c r="B184" s="94"/>
      <c r="C184" s="93"/>
      <c r="D184" s="93"/>
      <c r="E184" s="93"/>
      <c r="F184" s="93"/>
      <c r="G184" s="93"/>
      <c r="H184" s="93"/>
      <c r="I184" s="94"/>
      <c r="J184" s="94"/>
      <c r="K184" s="93"/>
      <c r="L184" s="93"/>
      <c r="M184" s="93"/>
      <c r="N184" s="93"/>
      <c r="O184" s="93"/>
      <c r="P184" s="93"/>
      <c r="Q184" s="93"/>
      <c r="R184" s="93"/>
      <c r="S184" s="93"/>
      <c r="T184" s="93"/>
      <c r="U184" s="93"/>
      <c r="V184" s="93"/>
      <c r="W184" s="93"/>
      <c r="X184" s="93"/>
    </row>
    <row r="185" spans="1:24" ht="16">
      <c r="A185" s="93"/>
      <c r="B185" s="94"/>
      <c r="C185" s="93"/>
      <c r="D185" s="93"/>
      <c r="E185" s="93"/>
      <c r="F185" s="93"/>
      <c r="G185" s="93"/>
      <c r="H185" s="93"/>
      <c r="I185" s="94"/>
      <c r="J185" s="94"/>
      <c r="K185" s="93"/>
      <c r="L185" s="93"/>
      <c r="M185" s="93"/>
      <c r="N185" s="93"/>
      <c r="O185" s="93"/>
      <c r="P185" s="93"/>
      <c r="Q185" s="93"/>
      <c r="R185" s="93"/>
      <c r="S185" s="93"/>
      <c r="T185" s="93"/>
      <c r="U185" s="93"/>
      <c r="V185" s="93"/>
      <c r="W185" s="93"/>
      <c r="X185" s="93"/>
    </row>
    <row r="186" spans="1:24" ht="16">
      <c r="A186" s="93"/>
      <c r="B186" s="94"/>
      <c r="C186" s="93"/>
      <c r="D186" s="93"/>
      <c r="E186" s="93"/>
      <c r="F186" s="93"/>
      <c r="G186" s="93"/>
      <c r="H186" s="93"/>
      <c r="I186" s="94"/>
      <c r="J186" s="94"/>
      <c r="K186" s="93"/>
      <c r="L186" s="93"/>
      <c r="M186" s="93"/>
      <c r="N186" s="93"/>
      <c r="O186" s="93"/>
      <c r="P186" s="93"/>
      <c r="Q186" s="93"/>
      <c r="R186" s="93"/>
      <c r="S186" s="93"/>
      <c r="T186" s="93"/>
      <c r="U186" s="93"/>
      <c r="V186" s="93"/>
      <c r="W186" s="93"/>
      <c r="X186" s="93"/>
    </row>
    <row r="187" spans="1:24" ht="16">
      <c r="A187" s="93"/>
      <c r="B187" s="94"/>
      <c r="C187" s="93"/>
      <c r="D187" s="93"/>
      <c r="E187" s="93"/>
      <c r="F187" s="93"/>
      <c r="G187" s="93"/>
      <c r="H187" s="93"/>
      <c r="I187" s="94"/>
      <c r="J187" s="94"/>
      <c r="K187" s="93"/>
      <c r="L187" s="93"/>
      <c r="M187" s="93"/>
      <c r="N187" s="93"/>
      <c r="O187" s="93"/>
      <c r="P187" s="93"/>
      <c r="Q187" s="93"/>
      <c r="R187" s="93"/>
      <c r="S187" s="93"/>
      <c r="T187" s="93"/>
      <c r="U187" s="93"/>
      <c r="V187" s="93"/>
      <c r="W187" s="93"/>
      <c r="X187" s="93"/>
    </row>
    <row r="188" spans="1:24" ht="16">
      <c r="A188" s="93"/>
      <c r="B188" s="94"/>
      <c r="C188" s="93"/>
      <c r="D188" s="93"/>
      <c r="E188" s="93"/>
      <c r="F188" s="93"/>
      <c r="G188" s="93"/>
      <c r="H188" s="93"/>
      <c r="I188" s="94"/>
      <c r="J188" s="94"/>
      <c r="K188" s="93"/>
      <c r="L188" s="93"/>
      <c r="M188" s="93"/>
      <c r="N188" s="93"/>
      <c r="O188" s="93"/>
      <c r="P188" s="93"/>
      <c r="Q188" s="93"/>
      <c r="R188" s="93"/>
      <c r="S188" s="93"/>
      <c r="T188" s="93"/>
      <c r="U188" s="93"/>
      <c r="V188" s="93"/>
      <c r="W188" s="93"/>
      <c r="X188" s="93"/>
    </row>
    <row r="189" spans="1:24" ht="16">
      <c r="A189" s="93"/>
      <c r="B189" s="94"/>
      <c r="C189" s="93"/>
      <c r="D189" s="93"/>
      <c r="E189" s="93"/>
      <c r="F189" s="93"/>
      <c r="G189" s="93"/>
      <c r="H189" s="93"/>
      <c r="I189" s="94"/>
      <c r="J189" s="94"/>
      <c r="K189" s="93"/>
      <c r="L189" s="93"/>
      <c r="M189" s="93"/>
      <c r="N189" s="93"/>
      <c r="O189" s="93"/>
      <c r="P189" s="93"/>
      <c r="Q189" s="93"/>
      <c r="R189" s="93"/>
      <c r="S189" s="93"/>
      <c r="T189" s="93"/>
      <c r="U189" s="93"/>
      <c r="V189" s="93"/>
      <c r="W189" s="93"/>
      <c r="X189" s="93"/>
    </row>
    <row r="190" spans="1:24" ht="16">
      <c r="A190" s="93"/>
      <c r="B190" s="94"/>
      <c r="C190" s="93"/>
      <c r="D190" s="93"/>
      <c r="E190" s="93"/>
      <c r="F190" s="93"/>
      <c r="G190" s="93"/>
      <c r="H190" s="93"/>
      <c r="I190" s="94"/>
      <c r="J190" s="94"/>
      <c r="K190" s="93"/>
      <c r="L190" s="93"/>
      <c r="M190" s="93"/>
      <c r="N190" s="93"/>
      <c r="O190" s="93"/>
      <c r="P190" s="93"/>
      <c r="Q190" s="93"/>
      <c r="R190" s="93"/>
      <c r="S190" s="93"/>
      <c r="T190" s="93"/>
      <c r="U190" s="93"/>
      <c r="V190" s="93"/>
      <c r="W190" s="93"/>
      <c r="X190" s="93"/>
    </row>
    <row r="191" spans="1:24" ht="16">
      <c r="A191" s="93"/>
      <c r="B191" s="94"/>
      <c r="C191" s="93"/>
      <c r="D191" s="93"/>
      <c r="E191" s="93"/>
      <c r="F191" s="93"/>
      <c r="G191" s="93"/>
      <c r="H191" s="93"/>
      <c r="I191" s="94"/>
      <c r="J191" s="94"/>
      <c r="K191" s="93"/>
      <c r="L191" s="93"/>
      <c r="M191" s="93"/>
      <c r="N191" s="93"/>
      <c r="O191" s="93"/>
      <c r="P191" s="93"/>
      <c r="Q191" s="93"/>
      <c r="R191" s="93"/>
      <c r="S191" s="93"/>
      <c r="T191" s="93"/>
      <c r="U191" s="93"/>
      <c r="V191" s="93"/>
      <c r="W191" s="93"/>
      <c r="X191" s="93"/>
    </row>
    <row r="192" spans="1:24" ht="16">
      <c r="A192" s="93"/>
      <c r="B192" s="94"/>
      <c r="C192" s="93"/>
      <c r="D192" s="93"/>
      <c r="E192" s="93"/>
      <c r="F192" s="93"/>
      <c r="G192" s="93"/>
      <c r="H192" s="93"/>
      <c r="I192" s="94"/>
      <c r="J192" s="94"/>
      <c r="K192" s="93"/>
      <c r="L192" s="93"/>
      <c r="M192" s="93"/>
      <c r="N192" s="93"/>
      <c r="O192" s="93"/>
      <c r="P192" s="93"/>
      <c r="Q192" s="93"/>
      <c r="R192" s="93"/>
      <c r="S192" s="93"/>
      <c r="T192" s="93"/>
      <c r="U192" s="93"/>
      <c r="V192" s="93"/>
      <c r="W192" s="93"/>
      <c r="X192" s="93"/>
    </row>
    <row r="193" spans="1:24" ht="16">
      <c r="A193" s="93"/>
      <c r="B193" s="94"/>
      <c r="C193" s="93"/>
      <c r="D193" s="93"/>
      <c r="E193" s="93"/>
      <c r="F193" s="93"/>
      <c r="G193" s="93"/>
      <c r="H193" s="93"/>
      <c r="I193" s="94"/>
      <c r="J193" s="94"/>
      <c r="K193" s="93"/>
      <c r="L193" s="93"/>
      <c r="M193" s="93"/>
      <c r="N193" s="93"/>
      <c r="O193" s="93"/>
      <c r="P193" s="93"/>
      <c r="Q193" s="93"/>
      <c r="R193" s="93"/>
      <c r="S193" s="93"/>
      <c r="T193" s="93"/>
      <c r="U193" s="93"/>
      <c r="V193" s="93"/>
      <c r="W193" s="93"/>
      <c r="X193" s="93"/>
    </row>
    <row r="194" spans="1:24" ht="16">
      <c r="A194" s="93"/>
      <c r="B194" s="94"/>
      <c r="C194" s="93"/>
      <c r="D194" s="93"/>
      <c r="E194" s="93"/>
      <c r="F194" s="93"/>
      <c r="G194" s="93"/>
      <c r="H194" s="93"/>
      <c r="I194" s="94"/>
      <c r="J194" s="94"/>
      <c r="K194" s="93"/>
      <c r="L194" s="93"/>
      <c r="M194" s="93"/>
      <c r="N194" s="93"/>
      <c r="O194" s="93"/>
      <c r="P194" s="93"/>
      <c r="Q194" s="93"/>
      <c r="R194" s="93"/>
      <c r="S194" s="93"/>
      <c r="T194" s="93"/>
      <c r="U194" s="93"/>
      <c r="V194" s="93"/>
      <c r="W194" s="93"/>
      <c r="X194" s="93"/>
    </row>
    <row r="195" spans="1:24" ht="16">
      <c r="A195" s="93"/>
      <c r="B195" s="94"/>
      <c r="C195" s="93"/>
      <c r="D195" s="93"/>
      <c r="E195" s="93"/>
      <c r="F195" s="93"/>
      <c r="G195" s="93"/>
      <c r="H195" s="93"/>
      <c r="I195" s="94"/>
      <c r="J195" s="94"/>
      <c r="K195" s="93"/>
      <c r="L195" s="93"/>
      <c r="M195" s="93"/>
      <c r="N195" s="93"/>
      <c r="O195" s="93"/>
      <c r="P195" s="93"/>
      <c r="Q195" s="93"/>
      <c r="R195" s="93"/>
      <c r="S195" s="93"/>
      <c r="T195" s="93"/>
      <c r="U195" s="93"/>
      <c r="V195" s="93"/>
      <c r="W195" s="93"/>
      <c r="X195" s="93"/>
    </row>
    <row r="196" spans="1:24" ht="16">
      <c r="A196" s="93"/>
      <c r="B196" s="94"/>
      <c r="C196" s="93"/>
      <c r="D196" s="93"/>
      <c r="E196" s="93"/>
      <c r="F196" s="93"/>
      <c r="G196" s="93"/>
      <c r="H196" s="93"/>
      <c r="I196" s="94"/>
      <c r="J196" s="94"/>
      <c r="K196" s="93"/>
      <c r="L196" s="93"/>
      <c r="M196" s="93"/>
      <c r="N196" s="93"/>
      <c r="O196" s="93"/>
      <c r="P196" s="93"/>
      <c r="Q196" s="93"/>
      <c r="R196" s="93"/>
      <c r="S196" s="93"/>
      <c r="T196" s="93"/>
      <c r="U196" s="93"/>
      <c r="V196" s="93"/>
      <c r="W196" s="93"/>
      <c r="X196" s="93"/>
    </row>
    <row r="197" spans="1:24" ht="16">
      <c r="A197" s="93"/>
      <c r="B197" s="94"/>
      <c r="C197" s="93"/>
      <c r="D197" s="93"/>
      <c r="E197" s="93"/>
      <c r="F197" s="93"/>
      <c r="G197" s="93"/>
      <c r="H197" s="93"/>
      <c r="I197" s="94"/>
      <c r="J197" s="94"/>
      <c r="K197" s="93"/>
      <c r="L197" s="93"/>
      <c r="M197" s="93"/>
      <c r="N197" s="93"/>
      <c r="O197" s="93"/>
      <c r="P197" s="93"/>
      <c r="Q197" s="93"/>
      <c r="R197" s="93"/>
      <c r="S197" s="93"/>
      <c r="T197" s="93"/>
      <c r="U197" s="93"/>
      <c r="V197" s="93"/>
      <c r="W197" s="93"/>
      <c r="X197" s="93"/>
    </row>
    <row r="198" spans="1:24" ht="16">
      <c r="A198" s="93"/>
      <c r="B198" s="94"/>
      <c r="C198" s="93"/>
      <c r="D198" s="93"/>
      <c r="E198" s="93"/>
      <c r="F198" s="93"/>
      <c r="G198" s="93"/>
      <c r="H198" s="93"/>
      <c r="I198" s="94"/>
      <c r="J198" s="94"/>
      <c r="K198" s="93"/>
      <c r="L198" s="93"/>
      <c r="M198" s="93"/>
      <c r="N198" s="93"/>
      <c r="O198" s="93"/>
      <c r="P198" s="93"/>
      <c r="Q198" s="93"/>
      <c r="R198" s="93"/>
      <c r="S198" s="93"/>
      <c r="T198" s="93"/>
      <c r="U198" s="93"/>
      <c r="V198" s="93"/>
      <c r="W198" s="93"/>
      <c r="X198" s="93"/>
    </row>
    <row r="199" spans="1:24" ht="16">
      <c r="A199" s="93"/>
      <c r="B199" s="94"/>
      <c r="C199" s="93"/>
      <c r="D199" s="93"/>
      <c r="E199" s="93"/>
      <c r="F199" s="93"/>
      <c r="G199" s="93"/>
      <c r="H199" s="93"/>
      <c r="I199" s="94"/>
      <c r="J199" s="94"/>
      <c r="K199" s="93"/>
      <c r="L199" s="93"/>
      <c r="M199" s="93"/>
      <c r="N199" s="93"/>
      <c r="O199" s="93"/>
      <c r="P199" s="93"/>
      <c r="Q199" s="93"/>
      <c r="R199" s="93"/>
      <c r="S199" s="93"/>
      <c r="T199" s="93"/>
      <c r="U199" s="93"/>
      <c r="V199" s="93"/>
      <c r="W199" s="93"/>
      <c r="X199" s="93"/>
    </row>
    <row r="200" spans="1:24" ht="16">
      <c r="A200" s="93"/>
      <c r="B200" s="94"/>
      <c r="C200" s="93"/>
      <c r="D200" s="93"/>
      <c r="E200" s="93"/>
      <c r="F200" s="93"/>
      <c r="G200" s="93"/>
      <c r="H200" s="93"/>
      <c r="I200" s="94"/>
      <c r="J200" s="94"/>
      <c r="K200" s="93"/>
      <c r="L200" s="93"/>
      <c r="M200" s="93"/>
      <c r="N200" s="93"/>
      <c r="O200" s="93"/>
      <c r="P200" s="93"/>
      <c r="Q200" s="93"/>
      <c r="R200" s="93"/>
      <c r="S200" s="93"/>
      <c r="T200" s="93"/>
      <c r="U200" s="93"/>
      <c r="V200" s="93"/>
      <c r="W200" s="93"/>
      <c r="X200" s="93"/>
    </row>
    <row r="201" spans="1:24" ht="16">
      <c r="A201" s="93"/>
      <c r="B201" s="94"/>
      <c r="C201" s="93"/>
      <c r="D201" s="93"/>
      <c r="E201" s="93"/>
      <c r="F201" s="93"/>
      <c r="G201" s="93"/>
      <c r="H201" s="93"/>
      <c r="I201" s="94"/>
      <c r="J201" s="94"/>
      <c r="K201" s="93"/>
      <c r="L201" s="93"/>
      <c r="M201" s="93"/>
      <c r="N201" s="93"/>
      <c r="O201" s="93"/>
      <c r="P201" s="93"/>
      <c r="Q201" s="93"/>
      <c r="R201" s="93"/>
      <c r="S201" s="93"/>
      <c r="T201" s="93"/>
      <c r="U201" s="93"/>
      <c r="V201" s="93"/>
      <c r="W201" s="93"/>
      <c r="X201" s="93"/>
    </row>
    <row r="202" spans="1:24" ht="16">
      <c r="A202" s="93"/>
      <c r="B202" s="94"/>
      <c r="C202" s="93"/>
      <c r="D202" s="93"/>
      <c r="E202" s="93"/>
      <c r="F202" s="93"/>
      <c r="G202" s="93"/>
      <c r="H202" s="93"/>
      <c r="I202" s="94"/>
      <c r="J202" s="94"/>
      <c r="K202" s="93"/>
      <c r="L202" s="93"/>
      <c r="M202" s="93"/>
      <c r="N202" s="93"/>
      <c r="O202" s="93"/>
      <c r="P202" s="93"/>
      <c r="Q202" s="93"/>
      <c r="R202" s="93"/>
      <c r="S202" s="93"/>
      <c r="T202" s="93"/>
      <c r="U202" s="93"/>
      <c r="V202" s="93"/>
      <c r="W202" s="93"/>
      <c r="X202" s="93"/>
    </row>
    <row r="203" spans="1:24" ht="16">
      <c r="A203" s="93"/>
      <c r="B203" s="94"/>
      <c r="C203" s="93"/>
      <c r="D203" s="93"/>
      <c r="E203" s="93"/>
      <c r="F203" s="93"/>
      <c r="G203" s="93"/>
      <c r="H203" s="93"/>
      <c r="I203" s="94"/>
      <c r="J203" s="94"/>
      <c r="K203" s="93"/>
      <c r="L203" s="93"/>
      <c r="M203" s="93"/>
      <c r="N203" s="93"/>
      <c r="O203" s="93"/>
      <c r="P203" s="93"/>
      <c r="Q203" s="93"/>
      <c r="R203" s="93"/>
      <c r="S203" s="93"/>
      <c r="T203" s="93"/>
      <c r="U203" s="93"/>
      <c r="V203" s="93"/>
      <c r="W203" s="93"/>
      <c r="X203" s="93"/>
    </row>
    <row r="204" spans="1:24" ht="16">
      <c r="A204" s="93"/>
      <c r="B204" s="94"/>
      <c r="C204" s="93"/>
      <c r="D204" s="93"/>
      <c r="E204" s="93"/>
      <c r="F204" s="93"/>
      <c r="G204" s="93"/>
      <c r="H204" s="93"/>
      <c r="I204" s="94"/>
      <c r="J204" s="94"/>
      <c r="K204" s="93"/>
      <c r="L204" s="93"/>
      <c r="M204" s="93"/>
      <c r="N204" s="93"/>
      <c r="O204" s="93"/>
      <c r="P204" s="93"/>
      <c r="Q204" s="93"/>
      <c r="R204" s="93"/>
      <c r="S204" s="93"/>
      <c r="T204" s="93"/>
      <c r="U204" s="93"/>
      <c r="V204" s="93"/>
      <c r="W204" s="93"/>
      <c r="X204" s="93"/>
    </row>
    <row r="205" spans="1:24" ht="16">
      <c r="A205" s="93"/>
      <c r="B205" s="94"/>
      <c r="C205" s="93"/>
      <c r="D205" s="93"/>
      <c r="E205" s="93"/>
      <c r="F205" s="93"/>
      <c r="G205" s="93"/>
      <c r="H205" s="93"/>
      <c r="I205" s="94"/>
      <c r="J205" s="94"/>
      <c r="K205" s="93"/>
      <c r="L205" s="93"/>
      <c r="M205" s="93"/>
      <c r="N205" s="93"/>
      <c r="O205" s="93"/>
      <c r="P205" s="93"/>
      <c r="Q205" s="93"/>
      <c r="R205" s="93"/>
      <c r="S205" s="93"/>
      <c r="T205" s="93"/>
      <c r="U205" s="93"/>
      <c r="V205" s="93"/>
      <c r="W205" s="93"/>
      <c r="X205" s="93"/>
    </row>
    <row r="206" spans="1:24" ht="16">
      <c r="A206" s="93"/>
      <c r="B206" s="94"/>
      <c r="C206" s="93"/>
      <c r="D206" s="93"/>
      <c r="E206" s="93"/>
      <c r="F206" s="93"/>
      <c r="G206" s="93"/>
      <c r="H206" s="93"/>
      <c r="I206" s="94"/>
      <c r="J206" s="94"/>
      <c r="K206" s="93"/>
      <c r="L206" s="93"/>
      <c r="M206" s="93"/>
      <c r="N206" s="93"/>
      <c r="O206" s="93"/>
      <c r="P206" s="93"/>
      <c r="Q206" s="93"/>
      <c r="R206" s="93"/>
      <c r="S206" s="93"/>
      <c r="T206" s="93"/>
      <c r="U206" s="93"/>
      <c r="V206" s="93"/>
      <c r="W206" s="93"/>
      <c r="X206" s="93"/>
    </row>
    <row r="207" spans="1:24" ht="16">
      <c r="A207" s="93"/>
      <c r="B207" s="94"/>
      <c r="C207" s="93"/>
      <c r="D207" s="93"/>
      <c r="E207" s="93"/>
      <c r="F207" s="93"/>
      <c r="G207" s="93"/>
      <c r="H207" s="93"/>
      <c r="I207" s="94"/>
      <c r="J207" s="94"/>
      <c r="K207" s="93"/>
      <c r="L207" s="93"/>
      <c r="M207" s="93"/>
      <c r="N207" s="93"/>
      <c r="O207" s="93"/>
      <c r="P207" s="93"/>
      <c r="Q207" s="93"/>
      <c r="R207" s="93"/>
      <c r="S207" s="93"/>
      <c r="T207" s="93"/>
      <c r="U207" s="93"/>
      <c r="V207" s="93"/>
      <c r="W207" s="93"/>
      <c r="X207" s="93"/>
    </row>
    <row r="208" spans="1:24" ht="16">
      <c r="A208" s="93"/>
      <c r="B208" s="94"/>
      <c r="C208" s="93"/>
      <c r="D208" s="93"/>
      <c r="E208" s="93"/>
      <c r="F208" s="93"/>
      <c r="G208" s="93"/>
      <c r="H208" s="93"/>
      <c r="I208" s="94"/>
      <c r="J208" s="94"/>
      <c r="K208" s="93"/>
      <c r="L208" s="93"/>
      <c r="M208" s="93"/>
      <c r="N208" s="93"/>
      <c r="O208" s="93"/>
      <c r="P208" s="93"/>
      <c r="Q208" s="93"/>
      <c r="R208" s="93"/>
      <c r="S208" s="93"/>
      <c r="T208" s="93"/>
      <c r="U208" s="93"/>
      <c r="V208" s="93"/>
      <c r="W208" s="93"/>
      <c r="X208" s="93"/>
    </row>
    <row r="209" spans="1:24" ht="16">
      <c r="A209" s="93"/>
      <c r="B209" s="94"/>
      <c r="C209" s="93"/>
      <c r="D209" s="93"/>
      <c r="E209" s="93"/>
      <c r="F209" s="93"/>
      <c r="G209" s="93"/>
      <c r="H209" s="93"/>
      <c r="I209" s="94"/>
      <c r="J209" s="94"/>
      <c r="K209" s="93"/>
      <c r="L209" s="93"/>
      <c r="M209" s="93"/>
      <c r="N209" s="93"/>
      <c r="O209" s="93"/>
      <c r="P209" s="93"/>
      <c r="Q209" s="93"/>
      <c r="R209" s="93"/>
      <c r="S209" s="93"/>
      <c r="T209" s="93"/>
      <c r="U209" s="93"/>
      <c r="V209" s="93"/>
      <c r="W209" s="93"/>
      <c r="X209" s="93"/>
    </row>
    <row r="210" spans="1:24" ht="16">
      <c r="A210" s="93"/>
      <c r="B210" s="94"/>
      <c r="C210" s="93"/>
      <c r="D210" s="93"/>
      <c r="E210" s="93"/>
      <c r="F210" s="93"/>
      <c r="G210" s="93"/>
      <c r="H210" s="93"/>
      <c r="I210" s="94"/>
      <c r="J210" s="94"/>
      <c r="K210" s="93"/>
      <c r="L210" s="93"/>
      <c r="M210" s="93"/>
      <c r="N210" s="93"/>
      <c r="O210" s="93"/>
      <c r="P210" s="93"/>
      <c r="Q210" s="93"/>
      <c r="R210" s="93"/>
      <c r="S210" s="93"/>
      <c r="T210" s="93"/>
      <c r="U210" s="93"/>
      <c r="V210" s="93"/>
      <c r="W210" s="93"/>
      <c r="X210" s="93"/>
    </row>
    <row r="211" spans="1:24" ht="16">
      <c r="A211" s="93"/>
      <c r="B211" s="94"/>
      <c r="C211" s="93"/>
      <c r="D211" s="93"/>
      <c r="E211" s="93"/>
      <c r="F211" s="93"/>
      <c r="G211" s="93"/>
      <c r="H211" s="93"/>
      <c r="I211" s="94"/>
      <c r="J211" s="94"/>
      <c r="K211" s="93"/>
      <c r="L211" s="93"/>
      <c r="M211" s="93"/>
      <c r="N211" s="93"/>
      <c r="O211" s="93"/>
      <c r="P211" s="93"/>
      <c r="Q211" s="93"/>
      <c r="R211" s="93"/>
      <c r="S211" s="93"/>
      <c r="T211" s="93"/>
      <c r="U211" s="93"/>
      <c r="V211" s="93"/>
      <c r="W211" s="93"/>
      <c r="X211" s="93"/>
    </row>
    <row r="212" spans="1:24" ht="16">
      <c r="A212" s="93"/>
      <c r="B212" s="94"/>
      <c r="C212" s="93"/>
      <c r="D212" s="93"/>
      <c r="E212" s="93"/>
      <c r="F212" s="93"/>
      <c r="G212" s="93"/>
      <c r="H212" s="93"/>
      <c r="I212" s="94"/>
      <c r="J212" s="94"/>
      <c r="K212" s="93"/>
      <c r="L212" s="93"/>
      <c r="M212" s="93"/>
      <c r="N212" s="93"/>
      <c r="O212" s="93"/>
      <c r="P212" s="93"/>
      <c r="Q212" s="93"/>
      <c r="R212" s="93"/>
      <c r="S212" s="93"/>
      <c r="T212" s="93"/>
      <c r="U212" s="93"/>
      <c r="V212" s="93"/>
      <c r="W212" s="93"/>
      <c r="X212" s="93"/>
    </row>
    <row r="213" spans="1:24" ht="16">
      <c r="A213" s="93"/>
      <c r="B213" s="94"/>
      <c r="C213" s="93"/>
      <c r="D213" s="93"/>
      <c r="E213" s="93"/>
      <c r="F213" s="93"/>
      <c r="G213" s="93"/>
      <c r="H213" s="93"/>
      <c r="I213" s="94"/>
      <c r="J213" s="94"/>
      <c r="K213" s="93"/>
      <c r="L213" s="93"/>
      <c r="M213" s="93"/>
      <c r="N213" s="93"/>
      <c r="O213" s="93"/>
      <c r="P213" s="93"/>
      <c r="Q213" s="93"/>
      <c r="R213" s="93"/>
      <c r="S213" s="93"/>
      <c r="T213" s="93"/>
      <c r="U213" s="93"/>
      <c r="V213" s="93"/>
      <c r="W213" s="93"/>
      <c r="X213" s="93"/>
    </row>
    <row r="214" spans="1:24" ht="16">
      <c r="A214" s="93"/>
      <c r="B214" s="94"/>
      <c r="C214" s="93"/>
      <c r="D214" s="93"/>
      <c r="E214" s="93"/>
      <c r="F214" s="93"/>
      <c r="G214" s="93"/>
      <c r="H214" s="93"/>
      <c r="I214" s="94"/>
      <c r="J214" s="94"/>
      <c r="K214" s="93"/>
      <c r="L214" s="93"/>
      <c r="M214" s="93"/>
      <c r="N214" s="93"/>
      <c r="O214" s="93"/>
      <c r="P214" s="93"/>
      <c r="Q214" s="93"/>
      <c r="R214" s="93"/>
      <c r="S214" s="93"/>
      <c r="T214" s="93"/>
      <c r="U214" s="93"/>
      <c r="V214" s="93"/>
      <c r="W214" s="93"/>
      <c r="X214" s="93"/>
    </row>
    <row r="215" spans="1:24" ht="16">
      <c r="A215" s="93"/>
      <c r="B215" s="94"/>
      <c r="C215" s="93"/>
      <c r="D215" s="93"/>
      <c r="E215" s="93"/>
      <c r="F215" s="93"/>
      <c r="G215" s="93"/>
      <c r="H215" s="93"/>
      <c r="I215" s="94"/>
      <c r="J215" s="94"/>
      <c r="K215" s="93"/>
      <c r="L215" s="93"/>
      <c r="M215" s="93"/>
      <c r="N215" s="93"/>
      <c r="O215" s="93"/>
      <c r="P215" s="93"/>
      <c r="Q215" s="93"/>
      <c r="R215" s="93"/>
      <c r="S215" s="93"/>
      <c r="T215" s="93"/>
      <c r="U215" s="93"/>
      <c r="V215" s="93"/>
      <c r="W215" s="93"/>
      <c r="X215" s="93"/>
    </row>
    <row r="216" spans="1:24" ht="16">
      <c r="A216" s="93"/>
      <c r="B216" s="94"/>
      <c r="C216" s="93"/>
      <c r="D216" s="93"/>
      <c r="E216" s="93"/>
      <c r="F216" s="93"/>
      <c r="G216" s="93"/>
      <c r="H216" s="93"/>
      <c r="I216" s="94"/>
      <c r="J216" s="94"/>
      <c r="K216" s="93"/>
      <c r="L216" s="93"/>
      <c r="M216" s="93"/>
      <c r="N216" s="93"/>
      <c r="O216" s="93"/>
      <c r="P216" s="93"/>
      <c r="Q216" s="93"/>
      <c r="R216" s="93"/>
      <c r="S216" s="93"/>
      <c r="T216" s="93"/>
      <c r="U216" s="93"/>
      <c r="V216" s="93"/>
      <c r="W216" s="93"/>
      <c r="X216" s="93"/>
    </row>
    <row r="217" spans="1:24" ht="16">
      <c r="A217" s="93"/>
      <c r="B217" s="94"/>
      <c r="C217" s="93"/>
      <c r="D217" s="93"/>
      <c r="E217" s="93"/>
      <c r="F217" s="93"/>
      <c r="G217" s="93"/>
      <c r="H217" s="93"/>
      <c r="I217" s="94"/>
      <c r="J217" s="94"/>
      <c r="K217" s="93"/>
      <c r="L217" s="93"/>
      <c r="M217" s="93"/>
      <c r="N217" s="93"/>
      <c r="O217" s="93"/>
      <c r="P217" s="93"/>
      <c r="Q217" s="93"/>
      <c r="R217" s="93"/>
      <c r="S217" s="93"/>
      <c r="T217" s="93"/>
      <c r="U217" s="93"/>
      <c r="V217" s="93"/>
      <c r="W217" s="93"/>
      <c r="X217" s="93"/>
    </row>
    <row r="218" spans="1:24" ht="16">
      <c r="A218" s="93"/>
      <c r="B218" s="94"/>
      <c r="C218" s="93"/>
      <c r="D218" s="93"/>
      <c r="E218" s="93"/>
      <c r="F218" s="93"/>
      <c r="G218" s="93"/>
      <c r="H218" s="93"/>
      <c r="I218" s="94"/>
      <c r="J218" s="94"/>
      <c r="K218" s="93"/>
      <c r="L218" s="93"/>
      <c r="M218" s="93"/>
      <c r="N218" s="93"/>
      <c r="O218" s="93"/>
      <c r="P218" s="93"/>
      <c r="Q218" s="93"/>
      <c r="R218" s="93"/>
      <c r="S218" s="93"/>
      <c r="T218" s="93"/>
      <c r="U218" s="93"/>
      <c r="V218" s="93"/>
      <c r="W218" s="93"/>
      <c r="X218" s="93"/>
    </row>
    <row r="219" spans="1:24" ht="16">
      <c r="A219" s="93"/>
      <c r="B219" s="94"/>
      <c r="C219" s="93"/>
      <c r="D219" s="93"/>
      <c r="E219" s="93"/>
      <c r="F219" s="93"/>
      <c r="G219" s="93"/>
      <c r="H219" s="93"/>
      <c r="I219" s="94"/>
      <c r="J219" s="94"/>
      <c r="K219" s="93"/>
      <c r="L219" s="93"/>
      <c r="M219" s="93"/>
      <c r="N219" s="93"/>
      <c r="O219" s="93"/>
      <c r="P219" s="93"/>
      <c r="Q219" s="93"/>
      <c r="R219" s="93"/>
      <c r="S219" s="93"/>
      <c r="T219" s="93"/>
      <c r="U219" s="93"/>
      <c r="V219" s="93"/>
      <c r="W219" s="93"/>
      <c r="X219" s="93"/>
    </row>
    <row r="220" spans="1:24" ht="16">
      <c r="A220" s="93"/>
      <c r="B220" s="94"/>
      <c r="C220" s="93"/>
      <c r="D220" s="93"/>
      <c r="E220" s="93"/>
      <c r="F220" s="93"/>
      <c r="G220" s="93"/>
      <c r="H220" s="93"/>
      <c r="I220" s="94"/>
      <c r="J220" s="94"/>
      <c r="K220" s="93"/>
      <c r="L220" s="93"/>
      <c r="M220" s="93"/>
      <c r="N220" s="93"/>
      <c r="O220" s="93"/>
      <c r="P220" s="93"/>
      <c r="Q220" s="93"/>
      <c r="R220" s="93"/>
      <c r="S220" s="93"/>
      <c r="T220" s="93"/>
      <c r="U220" s="93"/>
      <c r="V220" s="93"/>
      <c r="W220" s="93"/>
      <c r="X220" s="93"/>
    </row>
    <row r="221" spans="1:24" ht="16">
      <c r="A221" s="93"/>
      <c r="B221" s="94"/>
      <c r="C221" s="93"/>
      <c r="D221" s="93"/>
      <c r="E221" s="93"/>
      <c r="F221" s="93"/>
      <c r="G221" s="93"/>
      <c r="H221" s="93"/>
      <c r="I221" s="94"/>
      <c r="J221" s="94"/>
      <c r="K221" s="93"/>
      <c r="L221" s="93"/>
      <c r="M221" s="93"/>
      <c r="N221" s="93"/>
      <c r="O221" s="93"/>
      <c r="P221" s="93"/>
      <c r="Q221" s="93"/>
      <c r="R221" s="93"/>
      <c r="S221" s="93"/>
      <c r="T221" s="93"/>
      <c r="U221" s="93"/>
      <c r="V221" s="93"/>
      <c r="W221" s="93"/>
      <c r="X221" s="93"/>
    </row>
    <row r="222" spans="1:24" ht="16">
      <c r="A222" s="93"/>
      <c r="B222" s="94"/>
      <c r="C222" s="93"/>
      <c r="D222" s="93"/>
      <c r="E222" s="93"/>
      <c r="F222" s="93"/>
      <c r="G222" s="93"/>
      <c r="H222" s="93"/>
      <c r="I222" s="94"/>
      <c r="J222" s="94"/>
      <c r="K222" s="93"/>
      <c r="L222" s="93"/>
      <c r="M222" s="93"/>
      <c r="N222" s="93"/>
      <c r="O222" s="93"/>
      <c r="P222" s="93"/>
      <c r="Q222" s="93"/>
      <c r="R222" s="93"/>
      <c r="S222" s="93"/>
      <c r="T222" s="93"/>
      <c r="U222" s="93"/>
      <c r="V222" s="93"/>
      <c r="W222" s="93"/>
      <c r="X222" s="93"/>
    </row>
    <row r="223" spans="1:24" ht="16">
      <c r="A223" s="93"/>
      <c r="B223" s="94"/>
      <c r="C223" s="93"/>
      <c r="D223" s="93"/>
      <c r="E223" s="93"/>
      <c r="F223" s="93"/>
      <c r="G223" s="93"/>
      <c r="H223" s="93"/>
      <c r="I223" s="94"/>
      <c r="J223" s="94"/>
      <c r="K223" s="93"/>
      <c r="L223" s="93"/>
      <c r="M223" s="93"/>
      <c r="N223" s="93"/>
      <c r="O223" s="93"/>
      <c r="P223" s="93"/>
      <c r="Q223" s="93"/>
      <c r="R223" s="93"/>
      <c r="S223" s="93"/>
      <c r="T223" s="93"/>
      <c r="U223" s="93"/>
      <c r="V223" s="93"/>
      <c r="W223" s="93"/>
      <c r="X223" s="93"/>
    </row>
    <row r="224" spans="1:24" ht="16">
      <c r="A224" s="93"/>
      <c r="B224" s="94"/>
      <c r="C224" s="93"/>
      <c r="D224" s="93"/>
      <c r="E224" s="93"/>
      <c r="F224" s="93"/>
      <c r="G224" s="93"/>
      <c r="H224" s="93"/>
      <c r="I224" s="94"/>
      <c r="J224" s="94"/>
      <c r="K224" s="93"/>
      <c r="L224" s="93"/>
      <c r="M224" s="93"/>
      <c r="N224" s="93"/>
      <c r="O224" s="93"/>
      <c r="P224" s="93"/>
      <c r="Q224" s="93"/>
      <c r="R224" s="93"/>
      <c r="S224" s="93"/>
      <c r="T224" s="93"/>
      <c r="U224" s="93"/>
      <c r="V224" s="93"/>
      <c r="W224" s="93"/>
      <c r="X224" s="93"/>
    </row>
    <row r="225" spans="1:24" ht="16">
      <c r="A225" s="93"/>
      <c r="B225" s="94"/>
      <c r="C225" s="93"/>
      <c r="D225" s="93"/>
      <c r="E225" s="93"/>
      <c r="F225" s="93"/>
      <c r="G225" s="93"/>
      <c r="H225" s="93"/>
      <c r="I225" s="94"/>
      <c r="J225" s="94"/>
      <c r="K225" s="93"/>
      <c r="L225" s="93"/>
      <c r="M225" s="93"/>
      <c r="N225" s="93"/>
      <c r="O225" s="93"/>
      <c r="P225" s="93"/>
      <c r="Q225" s="93"/>
      <c r="R225" s="93"/>
      <c r="S225" s="93"/>
      <c r="T225" s="93"/>
      <c r="U225" s="93"/>
      <c r="V225" s="93"/>
      <c r="W225" s="93"/>
      <c r="X225" s="93"/>
    </row>
    <row r="226" spans="1:24" ht="16">
      <c r="A226" s="93"/>
      <c r="B226" s="94"/>
      <c r="C226" s="93"/>
      <c r="D226" s="93"/>
      <c r="E226" s="93"/>
      <c r="F226" s="93"/>
      <c r="G226" s="93"/>
      <c r="H226" s="93"/>
      <c r="I226" s="94"/>
      <c r="J226" s="94"/>
      <c r="K226" s="93"/>
      <c r="L226" s="93"/>
      <c r="M226" s="93"/>
      <c r="N226" s="93"/>
      <c r="O226" s="93"/>
      <c r="P226" s="93"/>
      <c r="Q226" s="93"/>
      <c r="R226" s="93"/>
      <c r="S226" s="93"/>
      <c r="T226" s="93"/>
      <c r="U226" s="93"/>
      <c r="V226" s="93"/>
      <c r="W226" s="93"/>
      <c r="X226" s="93"/>
    </row>
    <row r="227" spans="1:24" ht="16">
      <c r="A227" s="93"/>
      <c r="B227" s="94"/>
      <c r="C227" s="93"/>
      <c r="D227" s="93"/>
      <c r="E227" s="93"/>
      <c r="F227" s="93"/>
      <c r="G227" s="93"/>
      <c r="H227" s="93"/>
      <c r="I227" s="94"/>
      <c r="J227" s="94"/>
      <c r="K227" s="93"/>
      <c r="L227" s="93"/>
      <c r="M227" s="93"/>
      <c r="N227" s="93"/>
      <c r="O227" s="93"/>
      <c r="P227" s="93"/>
      <c r="Q227" s="93"/>
      <c r="R227" s="93"/>
      <c r="S227" s="93"/>
      <c r="T227" s="93"/>
      <c r="U227" s="93"/>
      <c r="V227" s="93"/>
      <c r="W227" s="93"/>
      <c r="X227" s="93"/>
    </row>
    <row r="228" spans="1:24" ht="16">
      <c r="A228" s="93"/>
      <c r="B228" s="94"/>
      <c r="C228" s="93"/>
      <c r="D228" s="93"/>
      <c r="E228" s="93"/>
      <c r="F228" s="93"/>
      <c r="G228" s="93"/>
      <c r="H228" s="93"/>
      <c r="I228" s="94"/>
      <c r="J228" s="94"/>
      <c r="K228" s="93"/>
      <c r="L228" s="93"/>
      <c r="M228" s="93"/>
      <c r="N228" s="93"/>
      <c r="O228" s="93"/>
      <c r="P228" s="93"/>
      <c r="Q228" s="93"/>
      <c r="R228" s="93"/>
      <c r="S228" s="93"/>
      <c r="T228" s="93"/>
      <c r="U228" s="93"/>
      <c r="V228" s="93"/>
      <c r="W228" s="93"/>
      <c r="X228" s="93"/>
    </row>
    <row r="229" spans="1:24" ht="16">
      <c r="A229" s="93"/>
      <c r="B229" s="94"/>
      <c r="C229" s="93"/>
      <c r="D229" s="93"/>
      <c r="E229" s="93"/>
      <c r="F229" s="93"/>
      <c r="G229" s="93"/>
      <c r="H229" s="93"/>
      <c r="I229" s="94"/>
      <c r="J229" s="94"/>
      <c r="K229" s="93"/>
      <c r="L229" s="93"/>
      <c r="M229" s="93"/>
      <c r="N229" s="93"/>
      <c r="O229" s="93"/>
      <c r="P229" s="93"/>
      <c r="Q229" s="93"/>
      <c r="R229" s="93"/>
      <c r="S229" s="93"/>
      <c r="T229" s="93"/>
      <c r="U229" s="93"/>
      <c r="V229" s="93"/>
      <c r="W229" s="93"/>
      <c r="X229" s="93"/>
    </row>
    <row r="230" spans="1:24" ht="16">
      <c r="A230" s="93"/>
      <c r="B230" s="94"/>
      <c r="C230" s="93"/>
      <c r="D230" s="93"/>
      <c r="E230" s="93"/>
      <c r="F230" s="93"/>
      <c r="G230" s="93"/>
      <c r="H230" s="93"/>
      <c r="I230" s="94"/>
      <c r="J230" s="94"/>
      <c r="K230" s="93"/>
      <c r="L230" s="93"/>
      <c r="M230" s="93"/>
      <c r="N230" s="93"/>
      <c r="O230" s="93"/>
      <c r="P230" s="93"/>
      <c r="Q230" s="93"/>
      <c r="R230" s="93"/>
      <c r="S230" s="93"/>
      <c r="T230" s="93"/>
      <c r="U230" s="93"/>
      <c r="V230" s="93"/>
      <c r="W230" s="93"/>
      <c r="X230" s="93"/>
    </row>
    <row r="231" spans="1:24" ht="16">
      <c r="A231" s="93"/>
      <c r="B231" s="94"/>
      <c r="C231" s="93"/>
      <c r="D231" s="93"/>
      <c r="E231" s="93"/>
      <c r="F231" s="93"/>
      <c r="G231" s="93"/>
      <c r="H231" s="93"/>
      <c r="I231" s="94"/>
      <c r="J231" s="94"/>
      <c r="K231" s="93"/>
      <c r="L231" s="93"/>
      <c r="M231" s="93"/>
      <c r="N231" s="93"/>
      <c r="O231" s="93"/>
      <c r="P231" s="93"/>
      <c r="Q231" s="93"/>
      <c r="R231" s="93"/>
      <c r="S231" s="93"/>
      <c r="T231" s="93"/>
      <c r="U231" s="93"/>
      <c r="V231" s="93"/>
      <c r="W231" s="93"/>
      <c r="X231" s="93"/>
    </row>
    <row r="232" spans="1:24" ht="16">
      <c r="A232" s="93"/>
      <c r="B232" s="94"/>
      <c r="C232" s="93"/>
      <c r="D232" s="93"/>
      <c r="E232" s="93"/>
      <c r="F232" s="93"/>
      <c r="G232" s="93"/>
      <c r="H232" s="93"/>
      <c r="I232" s="94"/>
      <c r="J232" s="94"/>
      <c r="K232" s="93"/>
      <c r="L232" s="93"/>
      <c r="M232" s="93"/>
      <c r="N232" s="93"/>
      <c r="O232" s="93"/>
      <c r="P232" s="93"/>
      <c r="Q232" s="93"/>
      <c r="R232" s="93"/>
      <c r="S232" s="93"/>
      <c r="T232" s="93"/>
      <c r="U232" s="93"/>
      <c r="V232" s="93"/>
      <c r="W232" s="93"/>
      <c r="X232" s="93"/>
    </row>
    <row r="233" spans="1:24" ht="16">
      <c r="A233" s="93"/>
      <c r="B233" s="94"/>
      <c r="C233" s="93"/>
      <c r="D233" s="93"/>
      <c r="E233" s="93"/>
      <c r="F233" s="93"/>
      <c r="G233" s="93"/>
      <c r="H233" s="93"/>
      <c r="I233" s="94"/>
      <c r="J233" s="94"/>
      <c r="K233" s="93"/>
      <c r="L233" s="93"/>
      <c r="M233" s="93"/>
      <c r="N233" s="93"/>
      <c r="O233" s="93"/>
      <c r="P233" s="93"/>
      <c r="Q233" s="93"/>
      <c r="R233" s="93"/>
      <c r="S233" s="93"/>
      <c r="T233" s="93"/>
      <c r="U233" s="93"/>
      <c r="V233" s="93"/>
      <c r="W233" s="93"/>
      <c r="X233" s="93"/>
    </row>
    <row r="234" spans="1:24" ht="16">
      <c r="A234" s="93"/>
      <c r="B234" s="94"/>
      <c r="C234" s="93"/>
      <c r="D234" s="93"/>
      <c r="E234" s="93"/>
      <c r="F234" s="93"/>
      <c r="G234" s="93"/>
      <c r="H234" s="93"/>
      <c r="I234" s="94"/>
      <c r="J234" s="94"/>
      <c r="K234" s="93"/>
      <c r="L234" s="93"/>
      <c r="M234" s="93"/>
      <c r="N234" s="93"/>
      <c r="O234" s="93"/>
      <c r="P234" s="93"/>
      <c r="Q234" s="93"/>
      <c r="R234" s="93"/>
      <c r="S234" s="93"/>
      <c r="T234" s="93"/>
      <c r="U234" s="93"/>
      <c r="V234" s="93"/>
      <c r="W234" s="93"/>
      <c r="X234" s="93"/>
    </row>
    <row r="235" spans="1:24" ht="16">
      <c r="A235" s="93"/>
      <c r="B235" s="94"/>
      <c r="C235" s="93"/>
      <c r="D235" s="93"/>
      <c r="E235" s="93"/>
      <c r="F235" s="93"/>
      <c r="G235" s="93"/>
      <c r="H235" s="93"/>
      <c r="I235" s="94"/>
      <c r="J235" s="94"/>
      <c r="K235" s="93"/>
      <c r="L235" s="93"/>
      <c r="M235" s="93"/>
      <c r="N235" s="93"/>
      <c r="O235" s="93"/>
      <c r="P235" s="93"/>
      <c r="Q235" s="93"/>
      <c r="R235" s="93"/>
      <c r="S235" s="93"/>
      <c r="T235" s="93"/>
      <c r="U235" s="93"/>
      <c r="V235" s="93"/>
      <c r="W235" s="93"/>
      <c r="X235" s="93"/>
    </row>
    <row r="236" spans="1:24" ht="16">
      <c r="A236" s="93"/>
      <c r="B236" s="94"/>
      <c r="C236" s="93"/>
      <c r="D236" s="93"/>
      <c r="E236" s="93"/>
      <c r="F236" s="93"/>
      <c r="G236" s="93"/>
      <c r="H236" s="93"/>
      <c r="I236" s="94"/>
      <c r="J236" s="94"/>
      <c r="K236" s="93"/>
      <c r="L236" s="93"/>
      <c r="M236" s="93"/>
      <c r="N236" s="93"/>
      <c r="O236" s="93"/>
      <c r="P236" s="93"/>
      <c r="Q236" s="93"/>
      <c r="R236" s="93"/>
      <c r="S236" s="93"/>
      <c r="T236" s="93"/>
      <c r="U236" s="93"/>
      <c r="V236" s="93"/>
      <c r="W236" s="93"/>
      <c r="X236" s="93"/>
    </row>
    <row r="237" spans="1:24" ht="16">
      <c r="A237" s="93"/>
      <c r="B237" s="94"/>
      <c r="C237" s="93"/>
      <c r="D237" s="93"/>
      <c r="E237" s="93"/>
      <c r="F237" s="93"/>
      <c r="G237" s="93"/>
      <c r="H237" s="93"/>
      <c r="I237" s="94"/>
      <c r="J237" s="94"/>
      <c r="K237" s="93"/>
      <c r="L237" s="93"/>
      <c r="M237" s="93"/>
      <c r="N237" s="93"/>
      <c r="O237" s="93"/>
      <c r="P237" s="93"/>
      <c r="Q237" s="93"/>
      <c r="R237" s="93"/>
      <c r="S237" s="93"/>
      <c r="T237" s="93"/>
      <c r="U237" s="93"/>
      <c r="V237" s="93"/>
      <c r="W237" s="93"/>
      <c r="X237" s="93"/>
    </row>
    <row r="238" spans="1:24" ht="16">
      <c r="A238" s="93"/>
      <c r="B238" s="94"/>
      <c r="C238" s="93"/>
      <c r="D238" s="93"/>
      <c r="E238" s="93"/>
      <c r="F238" s="93"/>
      <c r="G238" s="93"/>
      <c r="H238" s="93"/>
      <c r="I238" s="94"/>
      <c r="J238" s="94"/>
      <c r="K238" s="93"/>
      <c r="L238" s="93"/>
      <c r="M238" s="93"/>
      <c r="N238" s="93"/>
      <c r="O238" s="93"/>
      <c r="P238" s="93"/>
      <c r="Q238" s="93"/>
      <c r="R238" s="93"/>
      <c r="S238" s="93"/>
      <c r="T238" s="93"/>
      <c r="U238" s="93"/>
      <c r="V238" s="93"/>
      <c r="W238" s="93"/>
      <c r="X238" s="93"/>
    </row>
    <row r="239" spans="1:24" ht="16">
      <c r="A239" s="93"/>
      <c r="B239" s="94"/>
      <c r="C239" s="93"/>
      <c r="D239" s="93"/>
      <c r="E239" s="93"/>
      <c r="F239" s="93"/>
      <c r="G239" s="93"/>
      <c r="H239" s="93"/>
      <c r="I239" s="94"/>
      <c r="J239" s="94"/>
      <c r="K239" s="93"/>
      <c r="L239" s="93"/>
      <c r="M239" s="93"/>
      <c r="N239" s="93"/>
      <c r="O239" s="93"/>
      <c r="P239" s="93"/>
      <c r="Q239" s="93"/>
      <c r="R239" s="93"/>
      <c r="S239" s="93"/>
      <c r="T239" s="93"/>
      <c r="U239" s="93"/>
      <c r="V239" s="93"/>
      <c r="W239" s="93"/>
      <c r="X239" s="93"/>
    </row>
    <row r="240" spans="1:24" ht="16">
      <c r="A240" s="93"/>
      <c r="B240" s="94"/>
      <c r="C240" s="93"/>
      <c r="D240" s="93"/>
      <c r="E240" s="93"/>
      <c r="F240" s="93"/>
      <c r="G240" s="93"/>
      <c r="H240" s="93"/>
      <c r="I240" s="94"/>
      <c r="J240" s="94"/>
      <c r="K240" s="93"/>
      <c r="L240" s="93"/>
      <c r="M240" s="93"/>
      <c r="N240" s="93"/>
      <c r="O240" s="93"/>
      <c r="P240" s="93"/>
      <c r="Q240" s="93"/>
      <c r="R240" s="93"/>
      <c r="S240" s="93"/>
      <c r="T240" s="93"/>
      <c r="U240" s="93"/>
      <c r="V240" s="93"/>
      <c r="W240" s="93"/>
      <c r="X240" s="93"/>
    </row>
    <row r="241" spans="1:24" ht="16">
      <c r="A241" s="93"/>
      <c r="B241" s="94"/>
      <c r="C241" s="93"/>
      <c r="D241" s="93"/>
      <c r="E241" s="93"/>
      <c r="F241" s="93"/>
      <c r="G241" s="93"/>
      <c r="H241" s="93"/>
      <c r="I241" s="94"/>
      <c r="J241" s="94"/>
      <c r="K241" s="93"/>
      <c r="L241" s="93"/>
      <c r="M241" s="93"/>
      <c r="N241" s="93"/>
      <c r="O241" s="93"/>
      <c r="P241" s="93"/>
      <c r="Q241" s="93"/>
      <c r="R241" s="93"/>
      <c r="S241" s="93"/>
      <c r="T241" s="93"/>
      <c r="U241" s="93"/>
      <c r="V241" s="93"/>
      <c r="W241" s="93"/>
      <c r="X241" s="93"/>
    </row>
    <row r="242" spans="1:24" ht="16">
      <c r="A242" s="93"/>
      <c r="B242" s="94"/>
      <c r="C242" s="93"/>
      <c r="D242" s="93"/>
      <c r="E242" s="93"/>
      <c r="F242" s="93"/>
      <c r="G242" s="93"/>
      <c r="H242" s="93"/>
      <c r="I242" s="94"/>
      <c r="J242" s="94"/>
      <c r="K242" s="93"/>
      <c r="L242" s="93"/>
      <c r="M242" s="93"/>
      <c r="N242" s="93"/>
      <c r="O242" s="93"/>
      <c r="P242" s="93"/>
      <c r="Q242" s="93"/>
      <c r="R242" s="93"/>
      <c r="S242" s="93"/>
      <c r="T242" s="93"/>
      <c r="U242" s="93"/>
      <c r="V242" s="93"/>
      <c r="W242" s="93"/>
      <c r="X242" s="93"/>
    </row>
    <row r="243" spans="1:24" ht="16">
      <c r="A243" s="93"/>
      <c r="B243" s="94"/>
      <c r="C243" s="93"/>
      <c r="D243" s="93"/>
      <c r="E243" s="93"/>
      <c r="F243" s="93"/>
      <c r="G243" s="93"/>
      <c r="H243" s="93"/>
      <c r="I243" s="94"/>
      <c r="J243" s="94"/>
      <c r="K243" s="93"/>
      <c r="L243" s="93"/>
      <c r="M243" s="93"/>
      <c r="N243" s="93"/>
      <c r="O243" s="93"/>
      <c r="P243" s="93"/>
      <c r="Q243" s="93"/>
      <c r="R243" s="93"/>
      <c r="S243" s="93"/>
      <c r="T243" s="93"/>
      <c r="U243" s="93"/>
      <c r="V243" s="93"/>
      <c r="W243" s="93"/>
      <c r="X243" s="93"/>
    </row>
    <row r="244" spans="1:24" ht="16">
      <c r="A244" s="93"/>
      <c r="B244" s="94"/>
      <c r="C244" s="93"/>
      <c r="D244" s="93"/>
      <c r="E244" s="93"/>
      <c r="F244" s="93"/>
      <c r="G244" s="93"/>
      <c r="H244" s="93"/>
      <c r="I244" s="94"/>
      <c r="J244" s="94"/>
      <c r="K244" s="93"/>
      <c r="L244" s="93"/>
      <c r="M244" s="93"/>
      <c r="N244" s="93"/>
      <c r="O244" s="93"/>
      <c r="P244" s="93"/>
      <c r="Q244" s="93"/>
      <c r="R244" s="93"/>
      <c r="S244" s="93"/>
      <c r="T244" s="93"/>
      <c r="U244" s="93"/>
      <c r="V244" s="93"/>
      <c r="W244" s="93"/>
      <c r="X244" s="93"/>
    </row>
    <row r="245" spans="1:24" ht="16">
      <c r="A245" s="93"/>
      <c r="B245" s="94"/>
      <c r="C245" s="93"/>
      <c r="D245" s="93"/>
      <c r="E245" s="93"/>
      <c r="F245" s="93"/>
      <c r="G245" s="93"/>
      <c r="H245" s="93"/>
      <c r="I245" s="94"/>
      <c r="J245" s="94"/>
      <c r="K245" s="93"/>
      <c r="L245" s="93"/>
      <c r="M245" s="93"/>
      <c r="N245" s="93"/>
      <c r="O245" s="93"/>
      <c r="P245" s="93"/>
      <c r="Q245" s="93"/>
      <c r="R245" s="93"/>
      <c r="S245" s="93"/>
      <c r="T245" s="93"/>
      <c r="U245" s="93"/>
      <c r="V245" s="93"/>
      <c r="W245" s="93"/>
      <c r="X245" s="93"/>
    </row>
    <row r="246" spans="1:24" ht="16">
      <c r="A246" s="93"/>
      <c r="B246" s="94"/>
      <c r="C246" s="93"/>
      <c r="D246" s="93"/>
      <c r="E246" s="93"/>
      <c r="F246" s="93"/>
      <c r="G246" s="93"/>
      <c r="H246" s="93"/>
      <c r="I246" s="94"/>
      <c r="J246" s="94"/>
      <c r="K246" s="93"/>
      <c r="L246" s="93"/>
      <c r="M246" s="93"/>
      <c r="N246" s="93"/>
      <c r="O246" s="93"/>
      <c r="P246" s="93"/>
      <c r="Q246" s="93"/>
      <c r="R246" s="93"/>
      <c r="S246" s="93"/>
      <c r="T246" s="93"/>
      <c r="U246" s="93"/>
      <c r="V246" s="93"/>
      <c r="W246" s="93"/>
      <c r="X246" s="93"/>
    </row>
    <row r="247" spans="1:24" ht="16">
      <c r="A247" s="93"/>
      <c r="B247" s="94"/>
      <c r="C247" s="93"/>
      <c r="D247" s="93"/>
      <c r="E247" s="93"/>
      <c r="F247" s="93"/>
      <c r="G247" s="93"/>
      <c r="H247" s="93"/>
      <c r="I247" s="94"/>
      <c r="J247" s="94"/>
      <c r="K247" s="93"/>
      <c r="L247" s="93"/>
      <c r="M247" s="93"/>
      <c r="N247" s="93"/>
      <c r="O247" s="93"/>
      <c r="P247" s="93"/>
      <c r="Q247" s="93"/>
      <c r="R247" s="93"/>
      <c r="S247" s="93"/>
      <c r="T247" s="93"/>
      <c r="U247" s="93"/>
      <c r="V247" s="93"/>
      <c r="W247" s="93"/>
      <c r="X247" s="93"/>
    </row>
    <row r="248" spans="1:24" ht="16">
      <c r="A248" s="93"/>
      <c r="B248" s="94"/>
      <c r="C248" s="93"/>
      <c r="D248" s="93"/>
      <c r="E248" s="93"/>
      <c r="F248" s="93"/>
      <c r="G248" s="93"/>
      <c r="H248" s="93"/>
      <c r="I248" s="94"/>
      <c r="J248" s="94"/>
      <c r="K248" s="93"/>
      <c r="L248" s="93"/>
      <c r="M248" s="93"/>
      <c r="N248" s="93"/>
      <c r="O248" s="93"/>
      <c r="P248" s="93"/>
      <c r="Q248" s="93"/>
      <c r="R248" s="93"/>
      <c r="S248" s="93"/>
      <c r="T248" s="93"/>
      <c r="U248" s="93"/>
      <c r="V248" s="93"/>
      <c r="W248" s="93"/>
      <c r="X248" s="93"/>
    </row>
    <row r="249" spans="1:24" ht="16">
      <c r="A249" s="93"/>
      <c r="B249" s="94"/>
      <c r="C249" s="93"/>
      <c r="D249" s="93"/>
      <c r="E249" s="93"/>
      <c r="F249" s="93"/>
      <c r="G249" s="93"/>
      <c r="H249" s="93"/>
      <c r="I249" s="94"/>
      <c r="J249" s="94"/>
      <c r="K249" s="93"/>
      <c r="L249" s="93"/>
      <c r="M249" s="93"/>
      <c r="N249" s="93"/>
      <c r="O249" s="93"/>
      <c r="P249" s="93"/>
      <c r="Q249" s="93"/>
      <c r="R249" s="93"/>
      <c r="S249" s="93"/>
      <c r="T249" s="93"/>
      <c r="U249" s="93"/>
      <c r="V249" s="93"/>
      <c r="W249" s="93"/>
      <c r="X249" s="93"/>
    </row>
    <row r="250" spans="1:24" ht="16">
      <c r="A250" s="93"/>
      <c r="B250" s="94"/>
      <c r="C250" s="93"/>
      <c r="D250" s="93"/>
      <c r="E250" s="93"/>
      <c r="F250" s="93"/>
      <c r="G250" s="93"/>
      <c r="H250" s="93"/>
      <c r="I250" s="94"/>
      <c r="J250" s="94"/>
      <c r="K250" s="93"/>
      <c r="L250" s="93"/>
      <c r="M250" s="93"/>
      <c r="N250" s="93"/>
      <c r="O250" s="93"/>
      <c r="P250" s="93"/>
      <c r="Q250" s="93"/>
      <c r="R250" s="93"/>
      <c r="S250" s="93"/>
      <c r="T250" s="93"/>
      <c r="U250" s="93"/>
      <c r="V250" s="93"/>
      <c r="W250" s="93"/>
      <c r="X250" s="93"/>
    </row>
    <row r="251" spans="1:24" ht="16">
      <c r="A251" s="93"/>
      <c r="B251" s="94"/>
      <c r="C251" s="93"/>
      <c r="D251" s="93"/>
      <c r="E251" s="93"/>
      <c r="F251" s="93"/>
      <c r="G251" s="93"/>
      <c r="H251" s="93"/>
      <c r="I251" s="94"/>
      <c r="J251" s="94"/>
      <c r="K251" s="93"/>
      <c r="L251" s="93"/>
      <c r="M251" s="93"/>
      <c r="N251" s="93"/>
      <c r="O251" s="93"/>
      <c r="P251" s="93"/>
      <c r="Q251" s="93"/>
      <c r="R251" s="93"/>
      <c r="S251" s="93"/>
      <c r="T251" s="93"/>
      <c r="U251" s="93"/>
      <c r="V251" s="93"/>
      <c r="W251" s="93"/>
      <c r="X251" s="93"/>
    </row>
    <row r="252" spans="1:24" ht="16">
      <c r="A252" s="93"/>
      <c r="B252" s="94"/>
      <c r="C252" s="93"/>
      <c r="D252" s="93"/>
      <c r="E252" s="93"/>
      <c r="F252" s="93"/>
      <c r="G252" s="93"/>
      <c r="H252" s="93"/>
      <c r="I252" s="94"/>
      <c r="J252" s="94"/>
      <c r="K252" s="93"/>
      <c r="L252" s="93"/>
      <c r="M252" s="93"/>
      <c r="N252" s="93"/>
      <c r="O252" s="93"/>
      <c r="P252" s="93"/>
      <c r="Q252" s="93"/>
      <c r="R252" s="93"/>
      <c r="S252" s="93"/>
      <c r="T252" s="93"/>
      <c r="U252" s="93"/>
      <c r="V252" s="93"/>
      <c r="W252" s="93"/>
      <c r="X252" s="93"/>
    </row>
    <row r="253" spans="1:24" ht="16">
      <c r="A253" s="93"/>
      <c r="B253" s="94"/>
      <c r="C253" s="93"/>
      <c r="D253" s="93"/>
      <c r="E253" s="93"/>
      <c r="F253" s="93"/>
      <c r="G253" s="93"/>
      <c r="H253" s="93"/>
      <c r="I253" s="94"/>
      <c r="J253" s="94"/>
      <c r="K253" s="93"/>
      <c r="L253" s="93"/>
      <c r="M253" s="93"/>
      <c r="N253" s="93"/>
      <c r="O253" s="93"/>
      <c r="P253" s="93"/>
      <c r="Q253" s="93"/>
      <c r="R253" s="93"/>
      <c r="S253" s="93"/>
      <c r="T253" s="93"/>
      <c r="U253" s="93"/>
      <c r="V253" s="93"/>
      <c r="W253" s="93"/>
      <c r="X253" s="93"/>
    </row>
    <row r="254" spans="1:24" ht="16">
      <c r="A254" s="93"/>
      <c r="B254" s="94"/>
      <c r="C254" s="93"/>
      <c r="D254" s="93"/>
      <c r="E254" s="93"/>
      <c r="F254" s="93"/>
      <c r="G254" s="93"/>
      <c r="H254" s="93"/>
      <c r="I254" s="94"/>
      <c r="J254" s="94"/>
      <c r="K254" s="93"/>
      <c r="L254" s="93"/>
      <c r="M254" s="93"/>
      <c r="N254" s="93"/>
      <c r="O254" s="93"/>
      <c r="P254" s="93"/>
      <c r="Q254" s="93"/>
      <c r="R254" s="93"/>
      <c r="S254" s="93"/>
      <c r="T254" s="93"/>
      <c r="U254" s="93"/>
      <c r="V254" s="93"/>
      <c r="W254" s="93"/>
      <c r="X254" s="93"/>
    </row>
    <row r="255" spans="1:24" ht="16">
      <c r="A255" s="93"/>
      <c r="B255" s="94"/>
      <c r="C255" s="93"/>
      <c r="D255" s="93"/>
      <c r="E255" s="93"/>
      <c r="F255" s="93"/>
      <c r="G255" s="93"/>
      <c r="H255" s="93"/>
      <c r="I255" s="94"/>
      <c r="J255" s="94"/>
      <c r="K255" s="93"/>
      <c r="L255" s="93"/>
      <c r="M255" s="93"/>
      <c r="N255" s="93"/>
      <c r="O255" s="93"/>
      <c r="P255" s="93"/>
      <c r="Q255" s="93"/>
      <c r="R255" s="93"/>
      <c r="S255" s="93"/>
      <c r="T255" s="93"/>
      <c r="U255" s="93"/>
      <c r="V255" s="93"/>
      <c r="W255" s="93"/>
      <c r="X255" s="93"/>
    </row>
    <row r="256" spans="1:24" ht="16">
      <c r="A256" s="93"/>
      <c r="B256" s="94"/>
      <c r="C256" s="93"/>
      <c r="D256" s="93"/>
      <c r="E256" s="93"/>
      <c r="F256" s="93"/>
      <c r="G256" s="93"/>
      <c r="H256" s="93"/>
      <c r="I256" s="94"/>
      <c r="J256" s="94"/>
      <c r="K256" s="93"/>
      <c r="L256" s="93"/>
      <c r="M256" s="93"/>
      <c r="N256" s="93"/>
      <c r="O256" s="93"/>
      <c r="P256" s="93"/>
      <c r="Q256" s="93"/>
      <c r="R256" s="93"/>
      <c r="S256" s="93"/>
      <c r="T256" s="93"/>
      <c r="U256" s="93"/>
      <c r="V256" s="93"/>
      <c r="W256" s="93"/>
      <c r="X256" s="93"/>
    </row>
    <row r="257" spans="1:24" ht="16">
      <c r="A257" s="93"/>
      <c r="B257" s="94"/>
      <c r="C257" s="93"/>
      <c r="D257" s="93"/>
      <c r="E257" s="93"/>
      <c r="F257" s="93"/>
      <c r="G257" s="93"/>
      <c r="H257" s="93"/>
      <c r="I257" s="94"/>
      <c r="J257" s="94"/>
      <c r="K257" s="93"/>
      <c r="L257" s="93"/>
      <c r="M257" s="93"/>
      <c r="N257" s="93"/>
      <c r="O257" s="93"/>
      <c r="P257" s="93"/>
      <c r="Q257" s="93"/>
      <c r="R257" s="93"/>
      <c r="S257" s="93"/>
      <c r="T257" s="93"/>
      <c r="U257" s="93"/>
      <c r="V257" s="93"/>
      <c r="W257" s="93"/>
      <c r="X257" s="93"/>
    </row>
    <row r="258" spans="1:24" ht="16">
      <c r="A258" s="93"/>
      <c r="B258" s="94"/>
      <c r="C258" s="93"/>
      <c r="D258" s="93"/>
      <c r="E258" s="93"/>
      <c r="F258" s="93"/>
      <c r="G258" s="93"/>
      <c r="H258" s="93"/>
      <c r="I258" s="94"/>
      <c r="J258" s="94"/>
      <c r="K258" s="93"/>
      <c r="L258" s="93"/>
      <c r="M258" s="93"/>
      <c r="N258" s="93"/>
      <c r="O258" s="93"/>
      <c r="P258" s="93"/>
      <c r="Q258" s="93"/>
      <c r="R258" s="93"/>
      <c r="S258" s="93"/>
      <c r="T258" s="93"/>
      <c r="U258" s="93"/>
      <c r="V258" s="93"/>
      <c r="W258" s="93"/>
      <c r="X258" s="93"/>
    </row>
    <row r="259" spans="1:24" ht="16">
      <c r="A259" s="93"/>
      <c r="B259" s="94"/>
      <c r="C259" s="93"/>
      <c r="D259" s="93"/>
      <c r="E259" s="93"/>
      <c r="F259" s="93"/>
      <c r="G259" s="93"/>
      <c r="H259" s="93"/>
      <c r="I259" s="94"/>
      <c r="J259" s="94"/>
      <c r="K259" s="93"/>
      <c r="L259" s="93"/>
      <c r="M259" s="93"/>
      <c r="N259" s="93"/>
      <c r="O259" s="93"/>
      <c r="P259" s="93"/>
      <c r="Q259" s="93"/>
      <c r="R259" s="93"/>
      <c r="S259" s="93"/>
      <c r="T259" s="93"/>
      <c r="U259" s="93"/>
      <c r="V259" s="93"/>
      <c r="W259" s="93"/>
      <c r="X259" s="93"/>
    </row>
    <row r="260" spans="1:24" ht="16">
      <c r="A260" s="93"/>
      <c r="B260" s="94"/>
      <c r="C260" s="93"/>
      <c r="D260" s="93"/>
      <c r="E260" s="93"/>
      <c r="F260" s="93"/>
      <c r="G260" s="93"/>
      <c r="H260" s="93"/>
      <c r="I260" s="94"/>
      <c r="J260" s="94"/>
      <c r="K260" s="93"/>
      <c r="L260" s="93"/>
      <c r="M260" s="93"/>
      <c r="N260" s="93"/>
      <c r="O260" s="93"/>
      <c r="P260" s="93"/>
      <c r="Q260" s="93"/>
      <c r="R260" s="93"/>
      <c r="S260" s="93"/>
      <c r="T260" s="93"/>
      <c r="U260" s="93"/>
      <c r="V260" s="93"/>
      <c r="W260" s="93"/>
      <c r="X260" s="93"/>
    </row>
    <row r="261" spans="1:24" ht="16">
      <c r="A261" s="93"/>
      <c r="B261" s="94"/>
      <c r="C261" s="93"/>
      <c r="D261" s="93"/>
      <c r="E261" s="93"/>
      <c r="F261" s="93"/>
      <c r="G261" s="93"/>
      <c r="H261" s="93"/>
      <c r="I261" s="94"/>
      <c r="J261" s="94"/>
      <c r="K261" s="93"/>
      <c r="L261" s="93"/>
      <c r="M261" s="93"/>
      <c r="N261" s="93"/>
      <c r="O261" s="93"/>
      <c r="P261" s="93"/>
      <c r="Q261" s="93"/>
      <c r="R261" s="93"/>
      <c r="S261" s="93"/>
      <c r="T261" s="93"/>
      <c r="U261" s="93"/>
      <c r="V261" s="93"/>
      <c r="W261" s="93"/>
      <c r="X261" s="93"/>
    </row>
    <row r="262" spans="1:24" ht="16">
      <c r="A262" s="93"/>
      <c r="B262" s="94"/>
      <c r="C262" s="93"/>
      <c r="D262" s="93"/>
      <c r="E262" s="93"/>
      <c r="F262" s="93"/>
      <c r="G262" s="93"/>
      <c r="H262" s="93"/>
      <c r="I262" s="94"/>
      <c r="J262" s="94"/>
      <c r="K262" s="93"/>
      <c r="L262" s="93"/>
      <c r="M262" s="93"/>
      <c r="N262" s="93"/>
      <c r="O262" s="93"/>
      <c r="P262" s="93"/>
      <c r="Q262" s="93"/>
      <c r="R262" s="93"/>
      <c r="S262" s="93"/>
      <c r="T262" s="93"/>
      <c r="U262" s="93"/>
      <c r="V262" s="93"/>
      <c r="W262" s="93"/>
      <c r="X262" s="93"/>
    </row>
    <row r="263" spans="1:24" ht="16">
      <c r="A263" s="93"/>
      <c r="B263" s="94"/>
      <c r="C263" s="93"/>
      <c r="D263" s="93"/>
      <c r="E263" s="93"/>
      <c r="F263" s="93"/>
      <c r="G263" s="93"/>
      <c r="H263" s="93"/>
      <c r="I263" s="94"/>
      <c r="J263" s="94"/>
      <c r="K263" s="93"/>
      <c r="L263" s="93"/>
      <c r="M263" s="93"/>
      <c r="N263" s="93"/>
      <c r="O263" s="93"/>
      <c r="P263" s="93"/>
      <c r="Q263" s="93"/>
      <c r="R263" s="93"/>
      <c r="S263" s="93"/>
      <c r="T263" s="93"/>
      <c r="U263" s="93"/>
      <c r="V263" s="93"/>
      <c r="W263" s="93"/>
      <c r="X263" s="93"/>
    </row>
    <row r="264" spans="1:24" ht="16">
      <c r="A264" s="93"/>
      <c r="B264" s="94"/>
      <c r="C264" s="93"/>
      <c r="D264" s="93"/>
      <c r="E264" s="93"/>
      <c r="F264" s="93"/>
      <c r="G264" s="93"/>
      <c r="H264" s="93"/>
      <c r="I264" s="94"/>
      <c r="J264" s="94"/>
      <c r="K264" s="93"/>
      <c r="L264" s="93"/>
      <c r="M264" s="93"/>
      <c r="N264" s="93"/>
      <c r="O264" s="93"/>
      <c r="P264" s="93"/>
      <c r="Q264" s="93"/>
      <c r="R264" s="93"/>
      <c r="S264" s="93"/>
      <c r="T264" s="93"/>
      <c r="U264" s="93"/>
      <c r="V264" s="93"/>
      <c r="W264" s="93"/>
      <c r="X264" s="93"/>
    </row>
    <row r="265" spans="1:24" ht="16">
      <c r="A265" s="93"/>
      <c r="B265" s="94"/>
      <c r="C265" s="93"/>
      <c r="D265" s="93"/>
      <c r="E265" s="93"/>
      <c r="F265" s="93"/>
      <c r="G265" s="93"/>
      <c r="H265" s="93"/>
      <c r="I265" s="94"/>
      <c r="J265" s="94"/>
      <c r="K265" s="93"/>
      <c r="L265" s="93"/>
      <c r="M265" s="93"/>
      <c r="N265" s="93"/>
      <c r="O265" s="93"/>
      <c r="P265" s="93"/>
      <c r="Q265" s="93"/>
      <c r="R265" s="93"/>
      <c r="S265" s="93"/>
      <c r="T265" s="93"/>
      <c r="U265" s="93"/>
      <c r="V265" s="93"/>
      <c r="W265" s="93"/>
      <c r="X265" s="93"/>
    </row>
    <row r="266" spans="1:24" ht="16">
      <c r="A266" s="93"/>
      <c r="B266" s="94"/>
      <c r="C266" s="93"/>
      <c r="D266" s="93"/>
      <c r="E266" s="93"/>
      <c r="F266" s="93"/>
      <c r="G266" s="93"/>
      <c r="H266" s="93"/>
      <c r="I266" s="94"/>
      <c r="J266" s="94"/>
      <c r="K266" s="93"/>
      <c r="L266" s="93"/>
      <c r="M266" s="93"/>
      <c r="N266" s="93"/>
      <c r="O266" s="93"/>
      <c r="P266" s="93"/>
      <c r="Q266" s="93"/>
      <c r="R266" s="93"/>
      <c r="S266" s="93"/>
      <c r="T266" s="93"/>
      <c r="U266" s="93"/>
      <c r="V266" s="93"/>
      <c r="W266" s="93"/>
      <c r="X266" s="93"/>
    </row>
    <row r="267" spans="1:24" ht="16">
      <c r="A267" s="93"/>
      <c r="B267" s="94"/>
      <c r="C267" s="93"/>
      <c r="D267" s="93"/>
      <c r="E267" s="93"/>
      <c r="F267" s="93"/>
      <c r="G267" s="93"/>
      <c r="H267" s="93"/>
      <c r="I267" s="94"/>
      <c r="J267" s="94"/>
      <c r="K267" s="93"/>
      <c r="L267" s="93"/>
      <c r="M267" s="93"/>
      <c r="N267" s="93"/>
      <c r="O267" s="93"/>
      <c r="P267" s="93"/>
      <c r="Q267" s="93"/>
      <c r="R267" s="93"/>
      <c r="S267" s="93"/>
      <c r="T267" s="93"/>
      <c r="U267" s="93"/>
      <c r="V267" s="93"/>
      <c r="W267" s="93"/>
      <c r="X267" s="93"/>
    </row>
    <row r="268" spans="1:24" ht="16">
      <c r="A268" s="93"/>
      <c r="B268" s="94"/>
      <c r="C268" s="93"/>
      <c r="D268" s="93"/>
      <c r="E268" s="93"/>
      <c r="F268" s="93"/>
      <c r="G268" s="93"/>
      <c r="H268" s="93"/>
      <c r="I268" s="94"/>
      <c r="J268" s="94"/>
      <c r="K268" s="93"/>
      <c r="L268" s="93"/>
      <c r="M268" s="93"/>
      <c r="N268" s="93"/>
      <c r="O268" s="93"/>
      <c r="P268" s="93"/>
      <c r="Q268" s="93"/>
      <c r="R268" s="93"/>
      <c r="S268" s="93"/>
      <c r="T268" s="93"/>
      <c r="U268" s="93"/>
      <c r="V268" s="93"/>
      <c r="W268" s="93"/>
      <c r="X268" s="93"/>
    </row>
    <row r="269" spans="1:24" ht="16">
      <c r="A269" s="93"/>
      <c r="B269" s="94"/>
      <c r="C269" s="93"/>
      <c r="D269" s="93"/>
      <c r="E269" s="93"/>
      <c r="F269" s="93"/>
      <c r="G269" s="93"/>
      <c r="H269" s="93"/>
      <c r="I269" s="94"/>
      <c r="J269" s="94"/>
      <c r="K269" s="93"/>
      <c r="L269" s="93"/>
      <c r="M269" s="93"/>
      <c r="N269" s="93"/>
      <c r="O269" s="93"/>
      <c r="P269" s="93"/>
      <c r="Q269" s="93"/>
      <c r="R269" s="93"/>
      <c r="S269" s="93"/>
      <c r="T269" s="93"/>
      <c r="U269" s="93"/>
      <c r="V269" s="93"/>
      <c r="W269" s="93"/>
      <c r="X269" s="93"/>
    </row>
    <row r="270" spans="1:24" ht="16">
      <c r="A270" s="93"/>
      <c r="B270" s="94"/>
      <c r="C270" s="93"/>
      <c r="D270" s="93"/>
      <c r="E270" s="93"/>
      <c r="F270" s="93"/>
      <c r="G270" s="93"/>
      <c r="H270" s="93"/>
      <c r="I270" s="94"/>
      <c r="J270" s="94"/>
      <c r="K270" s="93"/>
      <c r="L270" s="93"/>
      <c r="M270" s="93"/>
      <c r="N270" s="93"/>
      <c r="O270" s="93"/>
      <c r="P270" s="93"/>
      <c r="Q270" s="93"/>
      <c r="R270" s="93"/>
      <c r="S270" s="93"/>
      <c r="T270" s="93"/>
      <c r="U270" s="93"/>
      <c r="V270" s="93"/>
      <c r="W270" s="93"/>
      <c r="X270" s="93"/>
    </row>
    <row r="271" spans="1:24" ht="16">
      <c r="A271" s="93"/>
      <c r="B271" s="94"/>
      <c r="C271" s="93"/>
      <c r="D271" s="93"/>
      <c r="E271" s="93"/>
      <c r="F271" s="93"/>
      <c r="G271" s="93"/>
      <c r="H271" s="93"/>
      <c r="I271" s="94"/>
      <c r="J271" s="94"/>
      <c r="K271" s="93"/>
      <c r="L271" s="93"/>
      <c r="M271" s="93"/>
      <c r="N271" s="93"/>
      <c r="O271" s="93"/>
      <c r="P271" s="93"/>
      <c r="Q271" s="93"/>
      <c r="R271" s="93"/>
      <c r="S271" s="93"/>
      <c r="T271" s="93"/>
      <c r="U271" s="93"/>
      <c r="V271" s="93"/>
      <c r="W271" s="93"/>
      <c r="X271" s="93"/>
    </row>
    <row r="272" spans="1:24" ht="16">
      <c r="A272" s="93"/>
      <c r="B272" s="94"/>
      <c r="C272" s="93"/>
      <c r="D272" s="93"/>
      <c r="E272" s="93"/>
      <c r="F272" s="93"/>
      <c r="G272" s="93"/>
      <c r="H272" s="93"/>
      <c r="I272" s="94"/>
      <c r="J272" s="94"/>
      <c r="K272" s="93"/>
      <c r="L272" s="93"/>
      <c r="M272" s="93"/>
      <c r="N272" s="93"/>
      <c r="O272" s="93"/>
      <c r="P272" s="93"/>
      <c r="Q272" s="93"/>
      <c r="R272" s="93"/>
      <c r="S272" s="93"/>
      <c r="T272" s="93"/>
      <c r="U272" s="93"/>
      <c r="V272" s="93"/>
      <c r="W272" s="93"/>
      <c r="X272" s="93"/>
    </row>
    <row r="273" spans="1:24" ht="16">
      <c r="A273" s="93"/>
      <c r="B273" s="94"/>
      <c r="C273" s="93"/>
      <c r="D273" s="93"/>
      <c r="E273" s="93"/>
      <c r="F273" s="93"/>
      <c r="G273" s="93"/>
      <c r="H273" s="93"/>
      <c r="I273" s="94"/>
      <c r="J273" s="94"/>
      <c r="K273" s="93"/>
      <c r="L273" s="93"/>
      <c r="M273" s="93"/>
      <c r="N273" s="93"/>
      <c r="O273" s="93"/>
      <c r="P273" s="93"/>
      <c r="Q273" s="93"/>
      <c r="R273" s="93"/>
      <c r="S273" s="93"/>
      <c r="T273" s="93"/>
      <c r="U273" s="93"/>
      <c r="V273" s="93"/>
      <c r="W273" s="93"/>
      <c r="X273" s="93"/>
    </row>
    <row r="274" spans="1:24" ht="16">
      <c r="A274" s="93"/>
      <c r="B274" s="94"/>
      <c r="C274" s="93"/>
      <c r="D274" s="93"/>
      <c r="E274" s="93"/>
      <c r="F274" s="93"/>
      <c r="G274" s="93"/>
      <c r="H274" s="93"/>
      <c r="I274" s="94"/>
      <c r="J274" s="94"/>
      <c r="K274" s="93"/>
      <c r="L274" s="93"/>
      <c r="M274" s="93"/>
      <c r="N274" s="93"/>
      <c r="O274" s="93"/>
      <c r="P274" s="93"/>
      <c r="Q274" s="93"/>
      <c r="R274" s="93"/>
      <c r="S274" s="93"/>
      <c r="T274" s="93"/>
      <c r="U274" s="93"/>
      <c r="V274" s="93"/>
      <c r="W274" s="93"/>
      <c r="X274" s="93"/>
    </row>
    <row r="275" spans="1:24" ht="16">
      <c r="A275" s="93"/>
      <c r="B275" s="94"/>
      <c r="C275" s="93"/>
      <c r="D275" s="93"/>
      <c r="E275" s="93"/>
      <c r="F275" s="93"/>
      <c r="G275" s="93"/>
      <c r="H275" s="93"/>
      <c r="I275" s="94"/>
      <c r="J275" s="94"/>
      <c r="K275" s="93"/>
      <c r="L275" s="93"/>
      <c r="M275" s="93"/>
      <c r="N275" s="93"/>
      <c r="O275" s="93"/>
      <c r="P275" s="93"/>
      <c r="Q275" s="93"/>
      <c r="R275" s="93"/>
      <c r="S275" s="93"/>
      <c r="T275" s="93"/>
      <c r="U275" s="93"/>
      <c r="V275" s="93"/>
      <c r="W275" s="93"/>
      <c r="X275" s="93"/>
    </row>
    <row r="276" spans="1:24" ht="16">
      <c r="A276" s="93"/>
      <c r="B276" s="94"/>
      <c r="C276" s="93"/>
      <c r="D276" s="93"/>
      <c r="E276" s="93"/>
      <c r="F276" s="93"/>
      <c r="G276" s="93"/>
      <c r="H276" s="93"/>
      <c r="I276" s="94"/>
      <c r="J276" s="94"/>
      <c r="K276" s="93"/>
      <c r="L276" s="93"/>
      <c r="M276" s="93"/>
      <c r="N276" s="93"/>
      <c r="O276" s="93"/>
      <c r="P276" s="93"/>
      <c r="Q276" s="93"/>
      <c r="R276" s="93"/>
      <c r="S276" s="93"/>
      <c r="T276" s="93"/>
      <c r="U276" s="93"/>
      <c r="V276" s="93"/>
      <c r="W276" s="93"/>
      <c r="X276" s="93"/>
    </row>
    <row r="277" spans="1:24" ht="16">
      <c r="A277" s="93"/>
      <c r="B277" s="94"/>
      <c r="C277" s="93"/>
      <c r="D277" s="93"/>
      <c r="E277" s="93"/>
      <c r="F277" s="93"/>
      <c r="G277" s="93"/>
      <c r="H277" s="93"/>
      <c r="I277" s="94"/>
      <c r="J277" s="94"/>
      <c r="K277" s="93"/>
      <c r="L277" s="93"/>
      <c r="M277" s="93"/>
      <c r="N277" s="93"/>
      <c r="O277" s="93"/>
      <c r="P277" s="93"/>
      <c r="Q277" s="93"/>
      <c r="R277" s="93"/>
      <c r="S277" s="93"/>
      <c r="T277" s="93"/>
      <c r="U277" s="93"/>
      <c r="V277" s="93"/>
      <c r="W277" s="93"/>
      <c r="X277" s="93"/>
    </row>
    <row r="278" spans="1:24" ht="16">
      <c r="A278" s="93"/>
      <c r="B278" s="94"/>
      <c r="C278" s="93"/>
      <c r="D278" s="93"/>
      <c r="E278" s="93"/>
      <c r="F278" s="93"/>
      <c r="G278" s="93"/>
      <c r="H278" s="93"/>
      <c r="I278" s="94"/>
      <c r="J278" s="94"/>
      <c r="K278" s="93"/>
      <c r="L278" s="93"/>
      <c r="M278" s="93"/>
      <c r="N278" s="93"/>
      <c r="O278" s="93"/>
      <c r="P278" s="93"/>
      <c r="Q278" s="93"/>
      <c r="R278" s="93"/>
      <c r="S278" s="93"/>
      <c r="T278" s="93"/>
      <c r="U278" s="93"/>
      <c r="V278" s="93"/>
      <c r="W278" s="93"/>
      <c r="X278" s="93"/>
    </row>
    <row r="279" spans="1:24" ht="16">
      <c r="A279" s="93"/>
      <c r="B279" s="94"/>
      <c r="C279" s="93"/>
      <c r="D279" s="93"/>
      <c r="E279" s="93"/>
      <c r="F279" s="93"/>
      <c r="G279" s="93"/>
      <c r="H279" s="93"/>
      <c r="I279" s="94"/>
      <c r="J279" s="94"/>
      <c r="K279" s="93"/>
      <c r="L279" s="93"/>
      <c r="M279" s="93"/>
      <c r="N279" s="93"/>
      <c r="O279" s="93"/>
      <c r="P279" s="93"/>
      <c r="Q279" s="93"/>
      <c r="R279" s="93"/>
      <c r="S279" s="93"/>
      <c r="T279" s="93"/>
      <c r="U279" s="93"/>
      <c r="V279" s="93"/>
      <c r="W279" s="93"/>
      <c r="X279" s="93"/>
    </row>
    <row r="280" spans="1:24" ht="16">
      <c r="A280" s="93"/>
      <c r="B280" s="94"/>
      <c r="C280" s="93"/>
      <c r="D280" s="93"/>
      <c r="E280" s="93"/>
      <c r="F280" s="93"/>
      <c r="G280" s="93"/>
      <c r="H280" s="93"/>
      <c r="I280" s="94"/>
      <c r="J280" s="94"/>
      <c r="K280" s="93"/>
      <c r="L280" s="93"/>
      <c r="M280" s="93"/>
      <c r="N280" s="93"/>
      <c r="O280" s="93"/>
      <c r="P280" s="93"/>
      <c r="Q280" s="93"/>
      <c r="R280" s="93"/>
      <c r="S280" s="93"/>
      <c r="T280" s="93"/>
      <c r="U280" s="93"/>
      <c r="V280" s="93"/>
      <c r="W280" s="93"/>
      <c r="X280" s="93"/>
    </row>
    <row r="281" spans="1:24" ht="16">
      <c r="A281" s="93"/>
      <c r="B281" s="94"/>
      <c r="C281" s="93"/>
      <c r="D281" s="93"/>
      <c r="E281" s="93"/>
      <c r="F281" s="93"/>
      <c r="G281" s="93"/>
      <c r="H281" s="93"/>
      <c r="I281" s="94"/>
      <c r="J281" s="94"/>
      <c r="K281" s="93"/>
      <c r="L281" s="93"/>
      <c r="M281" s="93"/>
      <c r="N281" s="93"/>
      <c r="O281" s="93"/>
      <c r="P281" s="93"/>
      <c r="Q281" s="93"/>
      <c r="R281" s="93"/>
      <c r="S281" s="93"/>
      <c r="T281" s="93"/>
      <c r="U281" s="93"/>
      <c r="V281" s="93"/>
      <c r="W281" s="93"/>
      <c r="X281" s="93"/>
    </row>
    <row r="282" spans="1:24" ht="16">
      <c r="A282" s="93"/>
      <c r="B282" s="94"/>
      <c r="C282" s="93"/>
      <c r="D282" s="93"/>
      <c r="E282" s="93"/>
      <c r="F282" s="93"/>
      <c r="G282" s="93"/>
      <c r="H282" s="93"/>
      <c r="I282" s="94"/>
      <c r="J282" s="94"/>
      <c r="K282" s="93"/>
      <c r="L282" s="93"/>
      <c r="M282" s="93"/>
      <c r="N282" s="93"/>
      <c r="O282" s="93"/>
      <c r="P282" s="93"/>
      <c r="Q282" s="93"/>
      <c r="R282" s="93"/>
      <c r="S282" s="93"/>
      <c r="T282" s="93"/>
      <c r="U282" s="93"/>
      <c r="V282" s="93"/>
      <c r="W282" s="93"/>
      <c r="X282" s="93"/>
    </row>
    <row r="283" spans="1:24" ht="16">
      <c r="A283" s="93"/>
      <c r="B283" s="94"/>
      <c r="C283" s="93"/>
      <c r="D283" s="93"/>
      <c r="E283" s="93"/>
      <c r="F283" s="93"/>
      <c r="G283" s="93"/>
      <c r="H283" s="93"/>
      <c r="I283" s="94"/>
      <c r="J283" s="94"/>
      <c r="K283" s="93"/>
      <c r="L283" s="93"/>
      <c r="M283" s="93"/>
      <c r="N283" s="93"/>
      <c r="O283" s="93"/>
      <c r="P283" s="93"/>
      <c r="Q283" s="93"/>
      <c r="R283" s="93"/>
      <c r="S283" s="93"/>
      <c r="T283" s="93"/>
      <c r="U283" s="93"/>
      <c r="V283" s="93"/>
      <c r="W283" s="93"/>
      <c r="X283" s="93"/>
    </row>
    <row r="284" spans="1:24" ht="16">
      <c r="A284" s="93"/>
      <c r="B284" s="94"/>
      <c r="C284" s="93"/>
      <c r="D284" s="93"/>
      <c r="E284" s="93"/>
      <c r="F284" s="93"/>
      <c r="G284" s="93"/>
      <c r="H284" s="93"/>
      <c r="I284" s="94"/>
      <c r="J284" s="94"/>
      <c r="K284" s="93"/>
      <c r="L284" s="93"/>
      <c r="M284" s="93"/>
      <c r="N284" s="93"/>
      <c r="O284" s="93"/>
      <c r="P284" s="93"/>
      <c r="Q284" s="93"/>
      <c r="R284" s="93"/>
      <c r="S284" s="93"/>
      <c r="T284" s="93"/>
      <c r="U284" s="93"/>
      <c r="V284" s="93"/>
      <c r="W284" s="93"/>
      <c r="X284" s="93"/>
    </row>
    <row r="285" spans="1:24" ht="16">
      <c r="A285" s="93"/>
      <c r="B285" s="94"/>
      <c r="C285" s="93"/>
      <c r="D285" s="93"/>
      <c r="E285" s="93"/>
      <c r="F285" s="93"/>
      <c r="G285" s="93"/>
      <c r="H285" s="93"/>
      <c r="I285" s="94"/>
      <c r="J285" s="94"/>
      <c r="K285" s="93"/>
      <c r="L285" s="93"/>
      <c r="M285" s="93"/>
      <c r="N285" s="93"/>
      <c r="O285" s="93"/>
      <c r="P285" s="93"/>
      <c r="Q285" s="93"/>
      <c r="R285" s="93"/>
      <c r="S285" s="93"/>
      <c r="T285" s="93"/>
      <c r="U285" s="93"/>
      <c r="V285" s="93"/>
      <c r="W285" s="93"/>
      <c r="X285" s="93"/>
    </row>
    <row r="286" spans="1:24" ht="16">
      <c r="A286" s="93"/>
      <c r="B286" s="94"/>
      <c r="C286" s="93"/>
      <c r="D286" s="93"/>
      <c r="E286" s="93"/>
      <c r="F286" s="93"/>
      <c r="G286" s="93"/>
      <c r="H286" s="93"/>
      <c r="I286" s="94"/>
      <c r="J286" s="94"/>
      <c r="K286" s="93"/>
      <c r="L286" s="93"/>
      <c r="M286" s="93"/>
      <c r="N286" s="93"/>
      <c r="O286" s="93"/>
      <c r="P286" s="93"/>
      <c r="Q286" s="93"/>
      <c r="R286" s="93"/>
      <c r="S286" s="93"/>
      <c r="T286" s="93"/>
      <c r="U286" s="93"/>
      <c r="V286" s="93"/>
      <c r="W286" s="93"/>
      <c r="X286" s="93"/>
    </row>
    <row r="287" spans="1:24" ht="16">
      <c r="A287" s="93"/>
      <c r="B287" s="94"/>
      <c r="C287" s="93"/>
      <c r="D287" s="93"/>
      <c r="E287" s="93"/>
      <c r="F287" s="93"/>
      <c r="G287" s="93"/>
      <c r="H287" s="93"/>
      <c r="I287" s="94"/>
      <c r="J287" s="94"/>
      <c r="K287" s="93"/>
      <c r="L287" s="93"/>
      <c r="M287" s="93"/>
      <c r="N287" s="93"/>
      <c r="O287" s="93"/>
      <c r="P287" s="93"/>
      <c r="Q287" s="93"/>
      <c r="R287" s="93"/>
      <c r="S287" s="93"/>
      <c r="T287" s="93"/>
      <c r="U287" s="93"/>
      <c r="V287" s="93"/>
      <c r="W287" s="93"/>
      <c r="X287" s="93"/>
    </row>
    <row r="288" spans="1:24" ht="16">
      <c r="A288" s="93"/>
      <c r="B288" s="94"/>
      <c r="C288" s="93"/>
      <c r="D288" s="93"/>
      <c r="E288" s="93"/>
      <c r="F288" s="93"/>
      <c r="G288" s="93"/>
      <c r="H288" s="93"/>
      <c r="I288" s="94"/>
      <c r="J288" s="94"/>
      <c r="K288" s="93"/>
      <c r="L288" s="93"/>
      <c r="M288" s="93"/>
      <c r="N288" s="93"/>
      <c r="O288" s="93"/>
      <c r="P288" s="93"/>
      <c r="Q288" s="93"/>
      <c r="R288" s="93"/>
      <c r="S288" s="93"/>
      <c r="T288" s="93"/>
      <c r="U288" s="93"/>
      <c r="V288" s="93"/>
      <c r="W288" s="93"/>
      <c r="X288" s="93"/>
    </row>
    <row r="289" spans="1:24" ht="16">
      <c r="A289" s="93"/>
      <c r="B289" s="94"/>
      <c r="C289" s="93"/>
      <c r="D289" s="93"/>
      <c r="E289" s="93"/>
      <c r="F289" s="93"/>
      <c r="G289" s="93"/>
      <c r="H289" s="93"/>
      <c r="I289" s="94"/>
      <c r="J289" s="94"/>
      <c r="K289" s="93"/>
      <c r="L289" s="93"/>
      <c r="M289" s="93"/>
      <c r="N289" s="93"/>
      <c r="O289" s="93"/>
      <c r="P289" s="93"/>
      <c r="Q289" s="93"/>
      <c r="R289" s="93"/>
      <c r="S289" s="93"/>
      <c r="T289" s="93"/>
      <c r="U289" s="93"/>
      <c r="V289" s="93"/>
      <c r="W289" s="93"/>
      <c r="X289" s="93"/>
    </row>
    <row r="290" spans="1:24" ht="16">
      <c r="A290" s="93"/>
      <c r="B290" s="94"/>
      <c r="C290" s="93"/>
      <c r="D290" s="93"/>
      <c r="E290" s="93"/>
      <c r="F290" s="93"/>
      <c r="G290" s="93"/>
      <c r="H290" s="93"/>
      <c r="I290" s="94"/>
      <c r="J290" s="94"/>
      <c r="K290" s="93"/>
      <c r="L290" s="93"/>
      <c r="M290" s="93"/>
      <c r="N290" s="93"/>
      <c r="O290" s="93"/>
      <c r="P290" s="93"/>
      <c r="Q290" s="93"/>
      <c r="R290" s="93"/>
      <c r="S290" s="93"/>
      <c r="T290" s="93"/>
      <c r="U290" s="93"/>
      <c r="V290" s="93"/>
      <c r="W290" s="93"/>
      <c r="X290" s="93"/>
    </row>
    <row r="291" spans="1:24" ht="16">
      <c r="A291" s="93"/>
      <c r="B291" s="94"/>
      <c r="C291" s="93"/>
      <c r="D291" s="93"/>
      <c r="E291" s="93"/>
      <c r="F291" s="93"/>
      <c r="G291" s="93"/>
      <c r="H291" s="93"/>
      <c r="I291" s="94"/>
      <c r="J291" s="94"/>
      <c r="K291" s="93"/>
      <c r="L291" s="93"/>
      <c r="M291" s="93"/>
      <c r="N291" s="93"/>
      <c r="O291" s="93"/>
      <c r="P291" s="93"/>
      <c r="Q291" s="93"/>
      <c r="R291" s="93"/>
      <c r="S291" s="93"/>
      <c r="T291" s="93"/>
      <c r="U291" s="93"/>
      <c r="V291" s="93"/>
      <c r="W291" s="93"/>
      <c r="X291" s="93"/>
    </row>
    <row r="292" spans="1:24" ht="16">
      <c r="A292" s="93"/>
      <c r="B292" s="94"/>
      <c r="C292" s="93"/>
      <c r="D292" s="93"/>
      <c r="E292" s="93"/>
      <c r="F292" s="93"/>
      <c r="G292" s="93"/>
      <c r="H292" s="93"/>
      <c r="I292" s="94"/>
      <c r="J292" s="94"/>
      <c r="K292" s="93"/>
      <c r="L292" s="93"/>
      <c r="M292" s="93"/>
      <c r="N292" s="93"/>
      <c r="O292" s="93"/>
      <c r="P292" s="93"/>
      <c r="Q292" s="93"/>
      <c r="R292" s="93"/>
      <c r="S292" s="93"/>
      <c r="T292" s="93"/>
      <c r="U292" s="93"/>
      <c r="V292" s="93"/>
      <c r="W292" s="93"/>
      <c r="X292" s="93"/>
    </row>
    <row r="293" spans="1:24" ht="16">
      <c r="A293" s="93"/>
      <c r="B293" s="94"/>
      <c r="C293" s="93"/>
      <c r="D293" s="93"/>
      <c r="E293" s="93"/>
      <c r="F293" s="93"/>
      <c r="G293" s="93"/>
      <c r="H293" s="93"/>
      <c r="I293" s="94"/>
      <c r="J293" s="94"/>
      <c r="K293" s="93"/>
      <c r="L293" s="93"/>
      <c r="M293" s="93"/>
      <c r="N293" s="93"/>
      <c r="O293" s="93"/>
      <c r="P293" s="93"/>
      <c r="Q293" s="93"/>
      <c r="R293" s="93"/>
      <c r="S293" s="93"/>
      <c r="T293" s="93"/>
      <c r="U293" s="93"/>
      <c r="V293" s="93"/>
      <c r="W293" s="93"/>
      <c r="X293" s="93"/>
    </row>
    <row r="294" spans="1:24" ht="16">
      <c r="A294" s="93"/>
      <c r="B294" s="94"/>
      <c r="C294" s="93"/>
      <c r="D294" s="93"/>
      <c r="E294" s="93"/>
      <c r="F294" s="93"/>
      <c r="G294" s="93"/>
      <c r="H294" s="93"/>
      <c r="I294" s="94"/>
      <c r="J294" s="94"/>
      <c r="K294" s="93"/>
      <c r="L294" s="93"/>
      <c r="M294" s="93"/>
      <c r="N294" s="93"/>
      <c r="O294" s="93"/>
      <c r="P294" s="93"/>
      <c r="Q294" s="93"/>
      <c r="R294" s="93"/>
      <c r="S294" s="93"/>
      <c r="T294" s="93"/>
      <c r="U294" s="93"/>
      <c r="V294" s="93"/>
      <c r="W294" s="93"/>
      <c r="X294" s="93"/>
    </row>
    <row r="295" spans="1:24" ht="16">
      <c r="A295" s="93"/>
      <c r="B295" s="94"/>
      <c r="C295" s="93"/>
      <c r="D295" s="93"/>
      <c r="E295" s="93"/>
      <c r="F295" s="93"/>
      <c r="G295" s="93"/>
      <c r="H295" s="93"/>
      <c r="I295" s="94"/>
      <c r="J295" s="94"/>
      <c r="K295" s="93"/>
      <c r="L295" s="93"/>
      <c r="M295" s="93"/>
      <c r="N295" s="93"/>
      <c r="O295" s="93"/>
      <c r="P295" s="93"/>
      <c r="Q295" s="93"/>
      <c r="R295" s="93"/>
      <c r="S295" s="93"/>
      <c r="T295" s="93"/>
      <c r="U295" s="93"/>
      <c r="V295" s="93"/>
      <c r="W295" s="93"/>
      <c r="X295" s="93"/>
    </row>
    <row r="296" spans="1:24" ht="16">
      <c r="A296" s="93"/>
      <c r="B296" s="94"/>
      <c r="C296" s="93"/>
      <c r="D296" s="93"/>
      <c r="E296" s="93"/>
      <c r="F296" s="93"/>
      <c r="G296" s="93"/>
      <c r="H296" s="93"/>
      <c r="I296" s="94"/>
      <c r="J296" s="94"/>
      <c r="K296" s="93"/>
      <c r="L296" s="93"/>
      <c r="M296" s="93"/>
      <c r="N296" s="93"/>
      <c r="O296" s="93"/>
      <c r="P296" s="93"/>
      <c r="Q296" s="93"/>
      <c r="R296" s="93"/>
      <c r="S296" s="93"/>
      <c r="T296" s="93"/>
      <c r="U296" s="93"/>
      <c r="V296" s="93"/>
      <c r="W296" s="93"/>
      <c r="X296" s="93"/>
    </row>
    <row r="297" spans="1:24" ht="16">
      <c r="A297" s="93"/>
      <c r="B297" s="94"/>
      <c r="C297" s="93"/>
      <c r="D297" s="93"/>
      <c r="E297" s="93"/>
      <c r="F297" s="93"/>
      <c r="G297" s="93"/>
      <c r="H297" s="93"/>
      <c r="I297" s="94"/>
      <c r="J297" s="94"/>
      <c r="K297" s="93"/>
      <c r="L297" s="93"/>
      <c r="M297" s="93"/>
      <c r="N297" s="93"/>
      <c r="O297" s="93"/>
      <c r="P297" s="93"/>
      <c r="Q297" s="93"/>
      <c r="R297" s="93"/>
      <c r="S297" s="93"/>
      <c r="T297" s="93"/>
      <c r="U297" s="93"/>
      <c r="V297" s="93"/>
      <c r="W297" s="93"/>
      <c r="X297" s="93"/>
    </row>
    <row r="298" spans="1:24" ht="16">
      <c r="A298" s="93"/>
      <c r="B298" s="94"/>
      <c r="C298" s="93"/>
      <c r="D298" s="93"/>
      <c r="E298" s="93"/>
      <c r="F298" s="93"/>
      <c r="G298" s="93"/>
      <c r="H298" s="93"/>
      <c r="I298" s="94"/>
      <c r="J298" s="94"/>
      <c r="K298" s="93"/>
      <c r="L298" s="93"/>
      <c r="M298" s="93"/>
      <c r="N298" s="93"/>
      <c r="O298" s="93"/>
      <c r="P298" s="93"/>
      <c r="Q298" s="93"/>
      <c r="R298" s="93"/>
      <c r="S298" s="93"/>
      <c r="T298" s="93"/>
      <c r="U298" s="93"/>
      <c r="V298" s="93"/>
      <c r="W298" s="93"/>
      <c r="X298" s="93"/>
    </row>
    <row r="299" spans="1:24" ht="16">
      <c r="A299" s="93"/>
      <c r="B299" s="94"/>
      <c r="C299" s="93"/>
      <c r="D299" s="93"/>
      <c r="E299" s="93"/>
      <c r="F299" s="93"/>
      <c r="G299" s="93"/>
      <c r="H299" s="93"/>
      <c r="I299" s="94"/>
      <c r="J299" s="94"/>
      <c r="K299" s="93"/>
      <c r="L299" s="93"/>
      <c r="M299" s="93"/>
      <c r="N299" s="93"/>
      <c r="O299" s="93"/>
      <c r="P299" s="93"/>
      <c r="Q299" s="93"/>
      <c r="R299" s="93"/>
      <c r="S299" s="93"/>
      <c r="T299" s="93"/>
      <c r="U299" s="93"/>
      <c r="V299" s="93"/>
      <c r="W299" s="93"/>
      <c r="X299" s="93"/>
    </row>
    <row r="300" spans="1:24" ht="16">
      <c r="A300" s="93"/>
      <c r="B300" s="94"/>
      <c r="C300" s="93"/>
      <c r="D300" s="93"/>
      <c r="E300" s="93"/>
      <c r="F300" s="93"/>
      <c r="G300" s="93"/>
      <c r="H300" s="93"/>
      <c r="I300" s="94"/>
      <c r="J300" s="94"/>
      <c r="K300" s="93"/>
      <c r="L300" s="93"/>
      <c r="M300" s="93"/>
      <c r="N300" s="93"/>
      <c r="O300" s="93"/>
      <c r="P300" s="93"/>
      <c r="Q300" s="93"/>
      <c r="R300" s="93"/>
      <c r="S300" s="93"/>
      <c r="T300" s="93"/>
      <c r="U300" s="93"/>
      <c r="V300" s="93"/>
      <c r="W300" s="93"/>
      <c r="X300" s="93"/>
    </row>
    <row r="301" spans="1:24" ht="16">
      <c r="A301" s="93"/>
      <c r="B301" s="94"/>
      <c r="C301" s="93"/>
      <c r="D301" s="93"/>
      <c r="E301" s="93"/>
      <c r="F301" s="93"/>
      <c r="G301" s="93"/>
      <c r="H301" s="93"/>
      <c r="I301" s="94"/>
      <c r="J301" s="94"/>
      <c r="K301" s="93"/>
      <c r="L301" s="93"/>
      <c r="M301" s="93"/>
      <c r="N301" s="93"/>
      <c r="O301" s="93"/>
      <c r="P301" s="93"/>
      <c r="Q301" s="93"/>
      <c r="R301" s="93"/>
      <c r="S301" s="93"/>
      <c r="T301" s="93"/>
      <c r="U301" s="93"/>
      <c r="V301" s="93"/>
      <c r="W301" s="93"/>
      <c r="X301" s="93"/>
    </row>
    <row r="302" spans="1:24" ht="16">
      <c r="A302" s="93"/>
      <c r="B302" s="94"/>
      <c r="C302" s="93"/>
      <c r="D302" s="93"/>
      <c r="E302" s="93"/>
      <c r="F302" s="93"/>
      <c r="G302" s="93"/>
      <c r="H302" s="93"/>
      <c r="I302" s="94"/>
      <c r="J302" s="94"/>
      <c r="K302" s="93"/>
      <c r="L302" s="93"/>
      <c r="M302" s="93"/>
      <c r="N302" s="93"/>
      <c r="O302" s="93"/>
      <c r="P302" s="93"/>
      <c r="Q302" s="93"/>
      <c r="R302" s="93"/>
      <c r="S302" s="93"/>
      <c r="T302" s="93"/>
      <c r="U302" s="93"/>
      <c r="V302" s="93"/>
      <c r="W302" s="93"/>
      <c r="X302" s="93"/>
    </row>
    <row r="303" spans="1:24" ht="16">
      <c r="A303" s="93"/>
      <c r="B303" s="94"/>
      <c r="C303" s="93"/>
      <c r="D303" s="93"/>
      <c r="E303" s="93"/>
      <c r="F303" s="93"/>
      <c r="G303" s="93"/>
      <c r="H303" s="93"/>
      <c r="I303" s="94"/>
      <c r="J303" s="94"/>
      <c r="K303" s="93"/>
      <c r="L303" s="93"/>
      <c r="M303" s="93"/>
      <c r="N303" s="93"/>
      <c r="O303" s="93"/>
      <c r="P303" s="93"/>
      <c r="Q303" s="93"/>
      <c r="R303" s="93"/>
      <c r="S303" s="93"/>
      <c r="T303" s="93"/>
      <c r="U303" s="93"/>
      <c r="V303" s="93"/>
      <c r="W303" s="93"/>
      <c r="X303" s="93"/>
    </row>
    <row r="304" spans="1:24" ht="16">
      <c r="A304" s="93"/>
      <c r="B304" s="94"/>
      <c r="C304" s="93"/>
      <c r="D304" s="93"/>
      <c r="E304" s="93"/>
      <c r="F304" s="93"/>
      <c r="G304" s="93"/>
      <c r="H304" s="93"/>
      <c r="I304" s="94"/>
      <c r="J304" s="94"/>
      <c r="K304" s="93"/>
      <c r="L304" s="93"/>
      <c r="M304" s="93"/>
      <c r="N304" s="93"/>
      <c r="O304" s="93"/>
      <c r="P304" s="93"/>
      <c r="Q304" s="93"/>
      <c r="R304" s="93"/>
      <c r="S304" s="93"/>
      <c r="T304" s="93"/>
      <c r="U304" s="93"/>
      <c r="V304" s="93"/>
      <c r="W304" s="93"/>
      <c r="X304" s="93"/>
    </row>
    <row r="305" spans="1:24" ht="16">
      <c r="A305" s="93"/>
      <c r="B305" s="94"/>
      <c r="C305" s="93"/>
      <c r="D305" s="93"/>
      <c r="E305" s="93"/>
      <c r="F305" s="93"/>
      <c r="G305" s="93"/>
      <c r="H305" s="93"/>
      <c r="I305" s="94"/>
      <c r="J305" s="94"/>
      <c r="K305" s="93"/>
      <c r="L305" s="93"/>
      <c r="M305" s="93"/>
      <c r="N305" s="93"/>
      <c r="O305" s="93"/>
      <c r="P305" s="93"/>
      <c r="Q305" s="93"/>
      <c r="R305" s="93"/>
      <c r="S305" s="93"/>
      <c r="T305" s="93"/>
      <c r="U305" s="93"/>
      <c r="V305" s="93"/>
      <c r="W305" s="93"/>
      <c r="X305" s="93"/>
    </row>
    <row r="306" spans="1:24" ht="16">
      <c r="A306" s="93"/>
      <c r="B306" s="94"/>
      <c r="C306" s="93"/>
      <c r="D306" s="93"/>
      <c r="E306" s="93"/>
      <c r="F306" s="93"/>
      <c r="G306" s="93"/>
      <c r="H306" s="93"/>
      <c r="I306" s="94"/>
      <c r="J306" s="94"/>
      <c r="K306" s="93"/>
      <c r="L306" s="93"/>
      <c r="M306" s="93"/>
      <c r="N306" s="93"/>
      <c r="O306" s="93"/>
      <c r="P306" s="93"/>
      <c r="Q306" s="93"/>
      <c r="R306" s="93"/>
      <c r="S306" s="93"/>
      <c r="T306" s="93"/>
      <c r="U306" s="93"/>
      <c r="V306" s="93"/>
      <c r="W306" s="93"/>
      <c r="X306" s="93"/>
    </row>
    <row r="307" spans="1:24" ht="16">
      <c r="A307" s="93"/>
      <c r="B307" s="94"/>
      <c r="C307" s="93"/>
      <c r="D307" s="93"/>
      <c r="E307" s="93"/>
      <c r="F307" s="93"/>
      <c r="G307" s="93"/>
      <c r="H307" s="93"/>
      <c r="I307" s="94"/>
      <c r="J307" s="94"/>
      <c r="K307" s="93"/>
      <c r="L307" s="93"/>
      <c r="M307" s="93"/>
      <c r="N307" s="93"/>
      <c r="O307" s="93"/>
      <c r="P307" s="93"/>
      <c r="Q307" s="93"/>
      <c r="R307" s="93"/>
      <c r="S307" s="93"/>
      <c r="T307" s="93"/>
      <c r="U307" s="93"/>
      <c r="V307" s="93"/>
      <c r="W307" s="93"/>
      <c r="X307" s="93"/>
    </row>
    <row r="308" spans="1:24" ht="16">
      <c r="A308" s="93"/>
      <c r="B308" s="94"/>
      <c r="C308" s="93"/>
      <c r="D308" s="93"/>
      <c r="E308" s="93"/>
      <c r="F308" s="93"/>
      <c r="G308" s="93"/>
      <c r="H308" s="93"/>
      <c r="I308" s="94"/>
      <c r="J308" s="94"/>
      <c r="K308" s="93"/>
      <c r="L308" s="93"/>
      <c r="M308" s="93"/>
      <c r="N308" s="93"/>
      <c r="O308" s="93"/>
      <c r="P308" s="93"/>
      <c r="Q308" s="93"/>
      <c r="R308" s="93"/>
      <c r="S308" s="93"/>
      <c r="T308" s="93"/>
      <c r="U308" s="93"/>
      <c r="V308" s="93"/>
      <c r="W308" s="93"/>
      <c r="X308" s="93"/>
    </row>
    <row r="309" spans="1:24" ht="16">
      <c r="A309" s="93"/>
      <c r="B309" s="94"/>
      <c r="C309" s="93"/>
      <c r="D309" s="93"/>
      <c r="E309" s="93"/>
      <c r="F309" s="93"/>
      <c r="G309" s="93"/>
      <c r="H309" s="93"/>
      <c r="I309" s="94"/>
      <c r="J309" s="94"/>
      <c r="K309" s="93"/>
      <c r="L309" s="93"/>
      <c r="M309" s="93"/>
      <c r="N309" s="93"/>
      <c r="O309" s="93"/>
      <c r="P309" s="93"/>
      <c r="Q309" s="93"/>
      <c r="R309" s="93"/>
      <c r="S309" s="93"/>
      <c r="T309" s="93"/>
      <c r="U309" s="93"/>
      <c r="V309" s="93"/>
      <c r="W309" s="93"/>
      <c r="X309" s="93"/>
    </row>
    <row r="310" spans="1:24" ht="16">
      <c r="A310" s="93"/>
      <c r="B310" s="94"/>
      <c r="C310" s="93"/>
      <c r="D310" s="93"/>
      <c r="E310" s="93"/>
      <c r="F310" s="93"/>
      <c r="G310" s="93"/>
      <c r="H310" s="93"/>
      <c r="I310" s="94"/>
      <c r="J310" s="94"/>
      <c r="K310" s="93"/>
      <c r="L310" s="93"/>
      <c r="M310" s="93"/>
      <c r="N310" s="93"/>
      <c r="O310" s="93"/>
      <c r="P310" s="93"/>
      <c r="Q310" s="93"/>
      <c r="R310" s="93"/>
      <c r="S310" s="93"/>
      <c r="T310" s="93"/>
      <c r="U310" s="93"/>
      <c r="V310" s="93"/>
      <c r="W310" s="93"/>
      <c r="X310" s="93"/>
    </row>
    <row r="311" spans="1:24" ht="16">
      <c r="A311" s="93"/>
      <c r="B311" s="94"/>
      <c r="C311" s="93"/>
      <c r="D311" s="93"/>
      <c r="E311" s="93"/>
      <c r="F311" s="93"/>
      <c r="G311" s="93"/>
      <c r="H311" s="93"/>
      <c r="I311" s="94"/>
      <c r="J311" s="94"/>
      <c r="K311" s="93"/>
      <c r="L311" s="93"/>
      <c r="M311" s="93"/>
      <c r="N311" s="93"/>
      <c r="O311" s="93"/>
      <c r="P311" s="93"/>
      <c r="Q311" s="93"/>
      <c r="R311" s="93"/>
      <c r="S311" s="93"/>
      <c r="T311" s="93"/>
      <c r="U311" s="93"/>
      <c r="V311" s="93"/>
      <c r="W311" s="93"/>
      <c r="X311" s="93"/>
    </row>
    <row r="312" spans="1:24" ht="16">
      <c r="A312" s="93"/>
      <c r="B312" s="94"/>
      <c r="C312" s="93"/>
      <c r="D312" s="93"/>
      <c r="E312" s="93"/>
      <c r="F312" s="93"/>
      <c r="G312" s="93"/>
      <c r="H312" s="93"/>
      <c r="I312" s="94"/>
      <c r="J312" s="94"/>
      <c r="K312" s="93"/>
      <c r="L312" s="93"/>
      <c r="M312" s="93"/>
      <c r="N312" s="93"/>
      <c r="O312" s="93"/>
      <c r="P312" s="93"/>
      <c r="Q312" s="93"/>
      <c r="R312" s="93"/>
      <c r="S312" s="93"/>
      <c r="T312" s="93"/>
      <c r="U312" s="93"/>
      <c r="V312" s="93"/>
      <c r="W312" s="93"/>
      <c r="X312" s="93"/>
    </row>
    <row r="313" spans="1:24" ht="16">
      <c r="A313" s="93"/>
      <c r="B313" s="94"/>
      <c r="C313" s="93"/>
      <c r="D313" s="93"/>
      <c r="E313" s="93"/>
      <c r="F313" s="93"/>
      <c r="G313" s="93"/>
      <c r="H313" s="93"/>
      <c r="I313" s="94"/>
      <c r="J313" s="94"/>
      <c r="K313" s="93"/>
      <c r="L313" s="93"/>
      <c r="M313" s="93"/>
      <c r="N313" s="93"/>
      <c r="O313" s="93"/>
      <c r="P313" s="93"/>
      <c r="Q313" s="93"/>
      <c r="R313" s="93"/>
      <c r="S313" s="93"/>
      <c r="T313" s="93"/>
      <c r="U313" s="93"/>
      <c r="V313" s="93"/>
      <c r="W313" s="93"/>
      <c r="X313" s="93"/>
    </row>
    <row r="314" spans="1:24" ht="16">
      <c r="A314" s="93"/>
      <c r="B314" s="94"/>
      <c r="C314" s="93"/>
      <c r="D314" s="93"/>
      <c r="E314" s="93"/>
      <c r="F314" s="93"/>
      <c r="G314" s="93"/>
      <c r="H314" s="93"/>
      <c r="I314" s="94"/>
      <c r="J314" s="94"/>
      <c r="K314" s="93"/>
      <c r="L314" s="93"/>
      <c r="M314" s="93"/>
      <c r="N314" s="93"/>
      <c r="O314" s="93"/>
      <c r="P314" s="93"/>
      <c r="Q314" s="93"/>
      <c r="R314" s="93"/>
      <c r="S314" s="93"/>
      <c r="T314" s="93"/>
      <c r="U314" s="93"/>
      <c r="V314" s="93"/>
      <c r="W314" s="93"/>
      <c r="X314" s="93"/>
    </row>
    <row r="315" spans="1:24" ht="16">
      <c r="A315" s="93"/>
      <c r="B315" s="94"/>
      <c r="C315" s="93"/>
      <c r="D315" s="93"/>
      <c r="E315" s="93"/>
      <c r="F315" s="93"/>
      <c r="G315" s="93"/>
      <c r="H315" s="93"/>
      <c r="I315" s="94"/>
      <c r="J315" s="94"/>
      <c r="K315" s="93"/>
      <c r="L315" s="93"/>
      <c r="M315" s="93"/>
      <c r="N315" s="93"/>
      <c r="O315" s="93"/>
      <c r="P315" s="93"/>
      <c r="Q315" s="93"/>
      <c r="R315" s="93"/>
      <c r="S315" s="93"/>
      <c r="T315" s="93"/>
      <c r="U315" s="93"/>
      <c r="V315" s="93"/>
      <c r="W315" s="93"/>
      <c r="X315" s="93"/>
    </row>
    <row r="316" spans="1:24" ht="16">
      <c r="A316" s="93"/>
      <c r="B316" s="94"/>
      <c r="C316" s="93"/>
      <c r="D316" s="93"/>
      <c r="E316" s="93"/>
      <c r="F316" s="93"/>
      <c r="G316" s="93"/>
      <c r="H316" s="93"/>
      <c r="I316" s="94"/>
      <c r="J316" s="94"/>
      <c r="K316" s="93"/>
      <c r="L316" s="93"/>
      <c r="M316" s="93"/>
      <c r="N316" s="93"/>
      <c r="O316" s="93"/>
      <c r="P316" s="93"/>
      <c r="Q316" s="93"/>
      <c r="R316" s="93"/>
      <c r="S316" s="93"/>
      <c r="T316" s="93"/>
      <c r="U316" s="93"/>
      <c r="V316" s="93"/>
      <c r="W316" s="93"/>
      <c r="X316" s="93"/>
    </row>
    <row r="317" spans="1:24" ht="16">
      <c r="A317" s="93"/>
      <c r="B317" s="94"/>
      <c r="C317" s="93"/>
      <c r="D317" s="93"/>
      <c r="E317" s="93"/>
      <c r="F317" s="93"/>
      <c r="G317" s="93"/>
      <c r="H317" s="93"/>
      <c r="I317" s="94"/>
      <c r="J317" s="94"/>
      <c r="K317" s="93"/>
      <c r="L317" s="93"/>
      <c r="M317" s="93"/>
      <c r="N317" s="93"/>
      <c r="O317" s="93"/>
      <c r="P317" s="93"/>
      <c r="Q317" s="93"/>
      <c r="R317" s="93"/>
      <c r="S317" s="93"/>
      <c r="T317" s="93"/>
      <c r="U317" s="93"/>
      <c r="V317" s="93"/>
      <c r="W317" s="93"/>
      <c r="X317" s="93"/>
    </row>
    <row r="318" spans="1:24" ht="16">
      <c r="A318" s="93"/>
      <c r="B318" s="94"/>
      <c r="C318" s="93"/>
      <c r="D318" s="93"/>
      <c r="E318" s="93"/>
      <c r="F318" s="93"/>
      <c r="G318" s="93"/>
      <c r="H318" s="93"/>
      <c r="I318" s="94"/>
      <c r="J318" s="94"/>
      <c r="K318" s="93"/>
      <c r="L318" s="93"/>
      <c r="M318" s="93"/>
      <c r="N318" s="93"/>
      <c r="O318" s="93"/>
      <c r="P318" s="93"/>
      <c r="Q318" s="93"/>
      <c r="R318" s="93"/>
      <c r="S318" s="93"/>
      <c r="T318" s="93"/>
      <c r="U318" s="93"/>
      <c r="V318" s="93"/>
      <c r="W318" s="93"/>
      <c r="X318" s="93"/>
    </row>
    <row r="319" spans="1:24" ht="16">
      <c r="A319" s="93"/>
      <c r="B319" s="94"/>
      <c r="C319" s="93"/>
      <c r="D319" s="93"/>
      <c r="E319" s="93"/>
      <c r="F319" s="93"/>
      <c r="G319" s="93"/>
      <c r="H319" s="93"/>
      <c r="I319" s="94"/>
      <c r="J319" s="94"/>
      <c r="K319" s="93"/>
      <c r="L319" s="93"/>
      <c r="M319" s="93"/>
      <c r="N319" s="93"/>
      <c r="O319" s="93"/>
      <c r="P319" s="93"/>
      <c r="Q319" s="93"/>
      <c r="R319" s="93"/>
      <c r="S319" s="93"/>
      <c r="T319" s="93"/>
      <c r="U319" s="93"/>
      <c r="V319" s="93"/>
      <c r="W319" s="93"/>
      <c r="X319" s="93"/>
    </row>
    <row r="320" spans="1:24" ht="16">
      <c r="A320" s="93"/>
      <c r="B320" s="94"/>
      <c r="C320" s="93"/>
      <c r="D320" s="93"/>
      <c r="E320" s="93"/>
      <c r="F320" s="93"/>
      <c r="G320" s="93"/>
      <c r="H320" s="93"/>
      <c r="I320" s="94"/>
      <c r="J320" s="94"/>
      <c r="K320" s="93"/>
      <c r="L320" s="93"/>
      <c r="M320" s="93"/>
      <c r="N320" s="93"/>
      <c r="O320" s="93"/>
      <c r="P320" s="93"/>
      <c r="Q320" s="93"/>
      <c r="R320" s="93"/>
      <c r="S320" s="93"/>
      <c r="T320" s="93"/>
      <c r="U320" s="93"/>
      <c r="V320" s="93"/>
      <c r="W320" s="93"/>
      <c r="X320" s="93"/>
    </row>
    <row r="321" spans="1:24" ht="16">
      <c r="A321" s="93"/>
      <c r="B321" s="94"/>
      <c r="C321" s="93"/>
      <c r="D321" s="93"/>
      <c r="E321" s="93"/>
      <c r="F321" s="93"/>
      <c r="G321" s="93"/>
      <c r="H321" s="93"/>
      <c r="I321" s="94"/>
      <c r="J321" s="94"/>
      <c r="K321" s="93"/>
      <c r="L321" s="93"/>
      <c r="M321" s="93"/>
      <c r="N321" s="93"/>
      <c r="O321" s="93"/>
      <c r="P321" s="93"/>
      <c r="Q321" s="93"/>
      <c r="R321" s="93"/>
      <c r="S321" s="93"/>
      <c r="T321" s="93"/>
      <c r="U321" s="93"/>
      <c r="V321" s="93"/>
      <c r="W321" s="93"/>
      <c r="X321" s="93"/>
    </row>
    <row r="322" spans="1:24" ht="16">
      <c r="A322" s="93"/>
      <c r="B322" s="94"/>
      <c r="C322" s="93"/>
      <c r="D322" s="93"/>
      <c r="E322" s="93"/>
      <c r="F322" s="93"/>
      <c r="G322" s="93"/>
      <c r="H322" s="93"/>
      <c r="I322" s="94"/>
      <c r="J322" s="94"/>
      <c r="K322" s="93"/>
      <c r="L322" s="93"/>
      <c r="M322" s="93"/>
      <c r="N322" s="93"/>
      <c r="O322" s="93"/>
      <c r="P322" s="93"/>
      <c r="Q322" s="93"/>
      <c r="R322" s="93"/>
      <c r="S322" s="93"/>
      <c r="T322" s="93"/>
      <c r="U322" s="93"/>
      <c r="V322" s="93"/>
      <c r="W322" s="93"/>
      <c r="X322" s="93"/>
    </row>
    <row r="323" spans="1:24" ht="16">
      <c r="A323" s="93"/>
      <c r="B323" s="94"/>
      <c r="C323" s="93"/>
      <c r="D323" s="93"/>
      <c r="E323" s="93"/>
      <c r="F323" s="93"/>
      <c r="G323" s="93"/>
      <c r="H323" s="93"/>
      <c r="I323" s="94"/>
      <c r="J323" s="94"/>
      <c r="K323" s="93"/>
      <c r="L323" s="93"/>
      <c r="M323" s="93"/>
      <c r="N323" s="93"/>
      <c r="O323" s="93"/>
      <c r="P323" s="93"/>
      <c r="Q323" s="93"/>
      <c r="R323" s="93"/>
      <c r="S323" s="93"/>
      <c r="T323" s="93"/>
      <c r="U323" s="93"/>
      <c r="V323" s="93"/>
      <c r="W323" s="93"/>
      <c r="X323" s="93"/>
    </row>
    <row r="324" spans="1:24" ht="16">
      <c r="A324" s="93"/>
      <c r="B324" s="94"/>
      <c r="C324" s="93"/>
      <c r="D324" s="93"/>
      <c r="E324" s="93"/>
      <c r="F324" s="93"/>
      <c r="G324" s="93"/>
      <c r="H324" s="93"/>
      <c r="I324" s="94"/>
      <c r="J324" s="94"/>
      <c r="K324" s="93"/>
      <c r="L324" s="93"/>
      <c r="M324" s="93"/>
      <c r="N324" s="93"/>
      <c r="O324" s="93"/>
      <c r="P324" s="93"/>
      <c r="Q324" s="93"/>
      <c r="R324" s="93"/>
      <c r="S324" s="93"/>
      <c r="T324" s="93"/>
      <c r="U324" s="93"/>
      <c r="V324" s="93"/>
      <c r="W324" s="93"/>
      <c r="X324" s="93"/>
    </row>
    <row r="325" spans="1:24" ht="16">
      <c r="A325" s="93"/>
      <c r="B325" s="94"/>
      <c r="C325" s="93"/>
      <c r="D325" s="93"/>
      <c r="E325" s="93"/>
      <c r="F325" s="93"/>
      <c r="G325" s="93"/>
      <c r="H325" s="93"/>
      <c r="I325" s="94"/>
      <c r="J325" s="94"/>
      <c r="K325" s="93"/>
      <c r="L325" s="93"/>
      <c r="M325" s="93"/>
      <c r="N325" s="93"/>
      <c r="O325" s="93"/>
      <c r="P325" s="93"/>
      <c r="Q325" s="93"/>
      <c r="R325" s="93"/>
      <c r="S325" s="93"/>
      <c r="T325" s="93"/>
      <c r="U325" s="93"/>
      <c r="V325" s="93"/>
      <c r="W325" s="93"/>
      <c r="X325" s="93"/>
    </row>
    <row r="326" spans="1:24" ht="16">
      <c r="A326" s="93"/>
      <c r="B326" s="94"/>
      <c r="C326" s="93"/>
      <c r="D326" s="93"/>
      <c r="E326" s="93"/>
      <c r="F326" s="93"/>
      <c r="G326" s="93"/>
      <c r="H326" s="93"/>
      <c r="I326" s="94"/>
      <c r="J326" s="94"/>
      <c r="K326" s="93"/>
      <c r="L326" s="93"/>
      <c r="M326" s="93"/>
      <c r="N326" s="93"/>
      <c r="O326" s="93"/>
      <c r="P326" s="93"/>
      <c r="Q326" s="93"/>
      <c r="R326" s="93"/>
      <c r="S326" s="93"/>
      <c r="T326" s="93"/>
      <c r="U326" s="93"/>
      <c r="V326" s="93"/>
      <c r="W326" s="93"/>
      <c r="X326" s="93"/>
    </row>
    <row r="327" spans="1:24" ht="16">
      <c r="A327" s="93"/>
      <c r="B327" s="94"/>
      <c r="C327" s="93"/>
      <c r="D327" s="93"/>
      <c r="E327" s="93"/>
      <c r="F327" s="93"/>
      <c r="G327" s="93"/>
      <c r="H327" s="93"/>
      <c r="I327" s="94"/>
      <c r="J327" s="94"/>
      <c r="K327" s="93"/>
      <c r="L327" s="93"/>
      <c r="M327" s="93"/>
      <c r="N327" s="93"/>
      <c r="O327" s="93"/>
      <c r="P327" s="93"/>
      <c r="Q327" s="93"/>
      <c r="R327" s="93"/>
      <c r="S327" s="93"/>
      <c r="T327" s="93"/>
      <c r="U327" s="93"/>
      <c r="V327" s="93"/>
      <c r="W327" s="93"/>
      <c r="X327" s="93"/>
    </row>
    <row r="328" spans="1:24" ht="16">
      <c r="A328" s="93"/>
      <c r="B328" s="94"/>
      <c r="C328" s="93"/>
      <c r="D328" s="93"/>
      <c r="E328" s="93"/>
      <c r="F328" s="93"/>
      <c r="G328" s="93"/>
      <c r="H328" s="93"/>
      <c r="I328" s="94"/>
      <c r="J328" s="94"/>
      <c r="K328" s="93"/>
      <c r="L328" s="93"/>
      <c r="M328" s="93"/>
      <c r="N328" s="93"/>
      <c r="O328" s="93"/>
      <c r="P328" s="93"/>
      <c r="Q328" s="93"/>
      <c r="R328" s="93"/>
      <c r="S328" s="93"/>
      <c r="T328" s="93"/>
      <c r="U328" s="93"/>
      <c r="V328" s="93"/>
      <c r="W328" s="93"/>
      <c r="X328" s="93"/>
    </row>
    <row r="329" spans="1:24" ht="16">
      <c r="A329" s="93"/>
      <c r="B329" s="94"/>
      <c r="C329" s="93"/>
      <c r="D329" s="93"/>
      <c r="E329" s="93"/>
      <c r="F329" s="93"/>
      <c r="G329" s="93"/>
      <c r="H329" s="93"/>
      <c r="I329" s="94"/>
      <c r="J329" s="94"/>
      <c r="K329" s="93"/>
      <c r="L329" s="93"/>
      <c r="M329" s="93"/>
      <c r="N329" s="93"/>
      <c r="O329" s="93"/>
      <c r="P329" s="93"/>
      <c r="Q329" s="93"/>
      <c r="R329" s="93"/>
      <c r="S329" s="93"/>
      <c r="T329" s="93"/>
      <c r="U329" s="93"/>
      <c r="V329" s="93"/>
      <c r="W329" s="93"/>
      <c r="X329" s="93"/>
    </row>
    <row r="330" spans="1:24" ht="16">
      <c r="A330" s="93"/>
      <c r="B330" s="94"/>
      <c r="C330" s="93"/>
      <c r="D330" s="93"/>
      <c r="E330" s="93"/>
      <c r="F330" s="93"/>
      <c r="G330" s="93"/>
      <c r="H330" s="93"/>
      <c r="I330" s="94"/>
      <c r="J330" s="94"/>
      <c r="K330" s="93"/>
      <c r="L330" s="93"/>
      <c r="M330" s="93"/>
      <c r="N330" s="93"/>
      <c r="O330" s="93"/>
      <c r="P330" s="93"/>
      <c r="Q330" s="93"/>
      <c r="R330" s="93"/>
      <c r="S330" s="93"/>
      <c r="T330" s="93"/>
      <c r="U330" s="93"/>
      <c r="V330" s="93"/>
      <c r="W330" s="93"/>
      <c r="X330" s="93"/>
    </row>
    <row r="331" spans="1:24" ht="16">
      <c r="A331" s="93"/>
      <c r="B331" s="94"/>
      <c r="C331" s="93"/>
      <c r="D331" s="93"/>
      <c r="E331" s="93"/>
      <c r="F331" s="93"/>
      <c r="G331" s="93"/>
      <c r="H331" s="93"/>
      <c r="I331" s="94"/>
      <c r="J331" s="94"/>
      <c r="K331" s="93"/>
      <c r="L331" s="93"/>
      <c r="M331" s="93"/>
      <c r="N331" s="93"/>
      <c r="O331" s="93"/>
      <c r="P331" s="93"/>
      <c r="Q331" s="93"/>
      <c r="R331" s="93"/>
      <c r="S331" s="93"/>
      <c r="T331" s="93"/>
      <c r="U331" s="93"/>
      <c r="V331" s="93"/>
      <c r="W331" s="93"/>
      <c r="X331" s="93"/>
    </row>
    <row r="332" spans="1:24" ht="16">
      <c r="A332" s="93"/>
      <c r="B332" s="94"/>
      <c r="C332" s="93"/>
      <c r="D332" s="93"/>
      <c r="E332" s="93"/>
      <c r="F332" s="93"/>
      <c r="G332" s="93"/>
      <c r="H332" s="93"/>
      <c r="I332" s="94"/>
      <c r="J332" s="94"/>
      <c r="K332" s="93"/>
      <c r="L332" s="93"/>
      <c r="M332" s="93"/>
      <c r="N332" s="93"/>
      <c r="O332" s="93"/>
      <c r="P332" s="93"/>
      <c r="Q332" s="93"/>
      <c r="R332" s="93"/>
      <c r="S332" s="93"/>
      <c r="T332" s="93"/>
      <c r="U332" s="93"/>
      <c r="V332" s="93"/>
      <c r="W332" s="93"/>
      <c r="X332" s="93"/>
    </row>
    <row r="333" spans="1:24" ht="16">
      <c r="A333" s="93"/>
      <c r="B333" s="94"/>
      <c r="C333" s="93"/>
      <c r="D333" s="93"/>
      <c r="E333" s="93"/>
      <c r="F333" s="93"/>
      <c r="G333" s="93"/>
      <c r="H333" s="93"/>
      <c r="I333" s="94"/>
      <c r="J333" s="94"/>
      <c r="K333" s="93"/>
      <c r="L333" s="93"/>
      <c r="M333" s="93"/>
      <c r="N333" s="93"/>
      <c r="O333" s="93"/>
      <c r="P333" s="93"/>
      <c r="Q333" s="93"/>
      <c r="R333" s="93"/>
      <c r="S333" s="93"/>
      <c r="T333" s="93"/>
      <c r="U333" s="93"/>
      <c r="V333" s="93"/>
      <c r="W333" s="93"/>
      <c r="X333" s="93"/>
    </row>
    <row r="334" spans="1:24" ht="16">
      <c r="A334" s="93"/>
      <c r="B334" s="94"/>
      <c r="C334" s="93"/>
      <c r="D334" s="93"/>
      <c r="E334" s="93"/>
      <c r="F334" s="93"/>
      <c r="G334" s="93"/>
      <c r="H334" s="93"/>
      <c r="I334" s="94"/>
      <c r="J334" s="94"/>
      <c r="K334" s="93"/>
      <c r="L334" s="93"/>
      <c r="M334" s="93"/>
      <c r="N334" s="93"/>
      <c r="O334" s="93"/>
      <c r="P334" s="93"/>
      <c r="Q334" s="93"/>
      <c r="R334" s="93"/>
      <c r="S334" s="93"/>
      <c r="T334" s="93"/>
      <c r="U334" s="93"/>
      <c r="V334" s="93"/>
      <c r="W334" s="93"/>
      <c r="X334" s="93"/>
    </row>
    <row r="335" spans="1:24" ht="16">
      <c r="A335" s="93"/>
      <c r="B335" s="94"/>
      <c r="C335" s="93"/>
      <c r="D335" s="93"/>
      <c r="E335" s="93"/>
      <c r="F335" s="93"/>
      <c r="G335" s="93"/>
      <c r="H335" s="93"/>
      <c r="I335" s="94"/>
      <c r="J335" s="94"/>
      <c r="K335" s="93"/>
      <c r="L335" s="93"/>
      <c r="M335" s="93"/>
      <c r="N335" s="93"/>
      <c r="O335" s="93"/>
      <c r="P335" s="93"/>
      <c r="Q335" s="93"/>
      <c r="R335" s="93"/>
      <c r="S335" s="93"/>
      <c r="T335" s="93"/>
      <c r="U335" s="93"/>
      <c r="V335" s="93"/>
      <c r="W335" s="93"/>
      <c r="X335" s="93"/>
    </row>
    <row r="336" spans="1:24" ht="16">
      <c r="A336" s="93"/>
      <c r="B336" s="94"/>
      <c r="C336" s="93"/>
      <c r="D336" s="93"/>
      <c r="E336" s="93"/>
      <c r="F336" s="93"/>
      <c r="G336" s="93"/>
      <c r="H336" s="93"/>
      <c r="I336" s="94"/>
      <c r="J336" s="94"/>
      <c r="K336" s="93"/>
      <c r="L336" s="93"/>
      <c r="M336" s="93"/>
      <c r="N336" s="93"/>
      <c r="O336" s="93"/>
      <c r="P336" s="93"/>
      <c r="Q336" s="93"/>
      <c r="R336" s="93"/>
      <c r="S336" s="93"/>
      <c r="T336" s="93"/>
      <c r="U336" s="93"/>
      <c r="V336" s="93"/>
      <c r="W336" s="93"/>
      <c r="X336" s="93"/>
    </row>
    <row r="337" spans="1:24" ht="16">
      <c r="A337" s="93"/>
      <c r="B337" s="94"/>
      <c r="C337" s="93"/>
      <c r="D337" s="93"/>
      <c r="E337" s="93"/>
      <c r="F337" s="93"/>
      <c r="G337" s="93"/>
      <c r="H337" s="93"/>
      <c r="I337" s="94"/>
      <c r="J337" s="94"/>
      <c r="K337" s="93"/>
      <c r="L337" s="93"/>
      <c r="M337" s="93"/>
      <c r="N337" s="93"/>
      <c r="O337" s="93"/>
      <c r="P337" s="93"/>
      <c r="Q337" s="93"/>
      <c r="R337" s="93"/>
      <c r="S337" s="93"/>
      <c r="T337" s="93"/>
      <c r="U337" s="93"/>
      <c r="V337" s="93"/>
      <c r="W337" s="93"/>
      <c r="X337" s="93"/>
    </row>
    <row r="338" spans="1:24" ht="16">
      <c r="A338" s="93"/>
      <c r="B338" s="94"/>
      <c r="C338" s="93"/>
      <c r="D338" s="93"/>
      <c r="E338" s="93"/>
      <c r="F338" s="93"/>
      <c r="G338" s="93"/>
      <c r="H338" s="93"/>
      <c r="I338" s="94"/>
      <c r="J338" s="94"/>
      <c r="K338" s="93"/>
      <c r="L338" s="93"/>
      <c r="M338" s="93"/>
      <c r="N338" s="93"/>
      <c r="O338" s="93"/>
      <c r="P338" s="93"/>
      <c r="Q338" s="93"/>
      <c r="R338" s="93"/>
      <c r="S338" s="93"/>
      <c r="T338" s="93"/>
      <c r="U338" s="93"/>
      <c r="V338" s="93"/>
      <c r="W338" s="93"/>
      <c r="X338" s="93"/>
    </row>
    <row r="339" spans="1:24" ht="16">
      <c r="A339" s="93"/>
      <c r="B339" s="94"/>
      <c r="C339" s="93"/>
      <c r="D339" s="93"/>
      <c r="E339" s="93"/>
      <c r="F339" s="93"/>
      <c r="G339" s="93"/>
      <c r="H339" s="93"/>
      <c r="I339" s="94"/>
      <c r="J339" s="94"/>
      <c r="K339" s="93"/>
      <c r="L339" s="93"/>
      <c r="M339" s="93"/>
      <c r="N339" s="93"/>
      <c r="O339" s="93"/>
      <c r="P339" s="93"/>
      <c r="Q339" s="93"/>
      <c r="R339" s="93"/>
      <c r="S339" s="93"/>
      <c r="T339" s="93"/>
      <c r="U339" s="93"/>
      <c r="V339" s="93"/>
      <c r="W339" s="93"/>
      <c r="X339" s="93"/>
    </row>
    <row r="340" spans="1:24" ht="16">
      <c r="A340" s="93"/>
      <c r="B340" s="94"/>
      <c r="C340" s="93"/>
      <c r="D340" s="93"/>
      <c r="E340" s="93"/>
      <c r="F340" s="93"/>
      <c r="G340" s="93"/>
      <c r="H340" s="93"/>
      <c r="I340" s="94"/>
      <c r="J340" s="94"/>
      <c r="K340" s="93"/>
      <c r="L340" s="93"/>
      <c r="M340" s="93"/>
      <c r="N340" s="93"/>
      <c r="O340" s="93"/>
      <c r="P340" s="93"/>
      <c r="Q340" s="93"/>
      <c r="R340" s="93"/>
      <c r="S340" s="93"/>
      <c r="T340" s="93"/>
      <c r="U340" s="93"/>
      <c r="V340" s="93"/>
      <c r="W340" s="93"/>
      <c r="X340" s="93"/>
    </row>
    <row r="341" spans="1:24" ht="16">
      <c r="A341" s="93"/>
      <c r="B341" s="94"/>
      <c r="C341" s="93"/>
      <c r="D341" s="93"/>
      <c r="E341" s="93"/>
      <c r="F341" s="93"/>
      <c r="G341" s="93"/>
      <c r="H341" s="93"/>
      <c r="I341" s="94"/>
      <c r="J341" s="94"/>
      <c r="K341" s="93"/>
      <c r="L341" s="93"/>
      <c r="M341" s="93"/>
      <c r="N341" s="93"/>
      <c r="O341" s="93"/>
      <c r="P341" s="93"/>
      <c r="Q341" s="93"/>
      <c r="R341" s="93"/>
      <c r="S341" s="93"/>
      <c r="T341" s="93"/>
      <c r="U341" s="93"/>
      <c r="V341" s="93"/>
      <c r="W341" s="93"/>
      <c r="X341" s="93"/>
    </row>
    <row r="342" spans="1:24" ht="16">
      <c r="A342" s="93"/>
      <c r="B342" s="94"/>
      <c r="C342" s="93"/>
      <c r="D342" s="93"/>
      <c r="E342" s="93"/>
      <c r="F342" s="93"/>
      <c r="G342" s="93"/>
      <c r="H342" s="93"/>
      <c r="I342" s="94"/>
      <c r="J342" s="94"/>
      <c r="K342" s="93"/>
      <c r="L342" s="93"/>
      <c r="M342" s="93"/>
      <c r="N342" s="93"/>
      <c r="O342" s="93"/>
      <c r="P342" s="93"/>
      <c r="Q342" s="93"/>
      <c r="R342" s="93"/>
      <c r="S342" s="93"/>
      <c r="T342" s="93"/>
      <c r="U342" s="93"/>
      <c r="V342" s="93"/>
      <c r="W342" s="93"/>
      <c r="X342" s="93"/>
    </row>
    <row r="343" spans="1:24" ht="16">
      <c r="A343" s="93"/>
      <c r="B343" s="94"/>
      <c r="C343" s="93"/>
      <c r="D343" s="93"/>
      <c r="E343" s="93"/>
      <c r="F343" s="93"/>
      <c r="G343" s="93"/>
      <c r="H343" s="93"/>
      <c r="I343" s="94"/>
      <c r="J343" s="94"/>
      <c r="K343" s="93"/>
      <c r="L343" s="93"/>
      <c r="M343" s="93"/>
      <c r="N343" s="93"/>
      <c r="O343" s="93"/>
      <c r="P343" s="93"/>
      <c r="Q343" s="93"/>
      <c r="R343" s="93"/>
      <c r="S343" s="93"/>
      <c r="T343" s="93"/>
      <c r="U343" s="93"/>
      <c r="V343" s="93"/>
      <c r="W343" s="93"/>
      <c r="X343" s="93"/>
    </row>
    <row r="344" spans="1:24" ht="16">
      <c r="A344" s="93"/>
      <c r="B344" s="94"/>
      <c r="C344" s="93"/>
      <c r="D344" s="93"/>
      <c r="E344" s="93"/>
      <c r="F344" s="93"/>
      <c r="G344" s="93"/>
      <c r="H344" s="93"/>
      <c r="I344" s="94"/>
      <c r="J344" s="94"/>
      <c r="K344" s="93"/>
      <c r="L344" s="93"/>
      <c r="M344" s="93"/>
      <c r="N344" s="93"/>
      <c r="O344" s="93"/>
      <c r="P344" s="93"/>
      <c r="Q344" s="93"/>
      <c r="R344" s="93"/>
      <c r="S344" s="93"/>
      <c r="T344" s="93"/>
      <c r="U344" s="93"/>
      <c r="V344" s="93"/>
      <c r="W344" s="93"/>
      <c r="X344" s="93"/>
    </row>
    <row r="345" spans="1:24" ht="16">
      <c r="A345" s="93"/>
      <c r="B345" s="94"/>
      <c r="C345" s="93"/>
      <c r="D345" s="93"/>
      <c r="E345" s="93"/>
      <c r="F345" s="93"/>
      <c r="G345" s="93"/>
      <c r="H345" s="93"/>
      <c r="I345" s="94"/>
      <c r="J345" s="94"/>
      <c r="K345" s="93"/>
      <c r="L345" s="93"/>
      <c r="M345" s="93"/>
      <c r="N345" s="93"/>
      <c r="O345" s="93"/>
      <c r="P345" s="93"/>
      <c r="Q345" s="93"/>
      <c r="R345" s="93"/>
      <c r="S345" s="93"/>
      <c r="T345" s="93"/>
      <c r="U345" s="93"/>
      <c r="V345" s="93"/>
      <c r="W345" s="93"/>
      <c r="X345" s="93"/>
    </row>
    <row r="346" spans="1:24" ht="16">
      <c r="A346" s="93"/>
      <c r="B346" s="94"/>
      <c r="C346" s="93"/>
      <c r="D346" s="93"/>
      <c r="E346" s="93"/>
      <c r="F346" s="93"/>
      <c r="G346" s="93"/>
      <c r="H346" s="93"/>
      <c r="I346" s="94"/>
      <c r="J346" s="94"/>
      <c r="K346" s="93"/>
      <c r="L346" s="93"/>
      <c r="M346" s="93"/>
      <c r="N346" s="93"/>
      <c r="O346" s="93"/>
      <c r="P346" s="93"/>
      <c r="Q346" s="93"/>
      <c r="R346" s="93"/>
      <c r="S346" s="93"/>
      <c r="T346" s="93"/>
      <c r="U346" s="93"/>
      <c r="V346" s="93"/>
      <c r="W346" s="93"/>
      <c r="X346" s="93"/>
    </row>
    <row r="347" spans="1:24" ht="16">
      <c r="A347" s="93"/>
      <c r="B347" s="94"/>
      <c r="C347" s="93"/>
      <c r="D347" s="93"/>
      <c r="E347" s="93"/>
      <c r="F347" s="93"/>
      <c r="G347" s="93"/>
      <c r="H347" s="93"/>
      <c r="I347" s="94"/>
      <c r="J347" s="94"/>
      <c r="K347" s="93"/>
      <c r="L347" s="93"/>
      <c r="M347" s="93"/>
      <c r="N347" s="93"/>
      <c r="O347" s="93"/>
      <c r="P347" s="93"/>
      <c r="Q347" s="93"/>
      <c r="R347" s="93"/>
      <c r="S347" s="93"/>
      <c r="T347" s="93"/>
      <c r="U347" s="93"/>
      <c r="V347" s="93"/>
      <c r="W347" s="93"/>
      <c r="X347" s="93"/>
    </row>
    <row r="348" spans="1:24" ht="16">
      <c r="A348" s="93"/>
      <c r="B348" s="94"/>
      <c r="C348" s="93"/>
      <c r="D348" s="93"/>
      <c r="E348" s="93"/>
      <c r="F348" s="93"/>
      <c r="G348" s="93"/>
      <c r="H348" s="93"/>
      <c r="I348" s="94"/>
      <c r="J348" s="94"/>
      <c r="K348" s="93"/>
      <c r="L348" s="93"/>
      <c r="M348" s="93"/>
      <c r="N348" s="93"/>
      <c r="O348" s="93"/>
      <c r="P348" s="93"/>
      <c r="Q348" s="93"/>
      <c r="R348" s="93"/>
      <c r="S348" s="93"/>
      <c r="T348" s="93"/>
      <c r="U348" s="93"/>
      <c r="V348" s="93"/>
      <c r="W348" s="93"/>
      <c r="X348" s="93"/>
    </row>
    <row r="349" spans="1:24" ht="16">
      <c r="A349" s="93"/>
      <c r="B349" s="94"/>
      <c r="C349" s="93"/>
      <c r="D349" s="93"/>
      <c r="E349" s="93"/>
      <c r="F349" s="93"/>
      <c r="G349" s="93"/>
      <c r="H349" s="93"/>
      <c r="I349" s="94"/>
      <c r="J349" s="94"/>
      <c r="K349" s="93"/>
      <c r="L349" s="93"/>
      <c r="M349" s="93"/>
      <c r="N349" s="93"/>
      <c r="O349" s="93"/>
      <c r="P349" s="93"/>
      <c r="Q349" s="93"/>
      <c r="R349" s="93"/>
      <c r="S349" s="93"/>
      <c r="T349" s="93"/>
      <c r="U349" s="93"/>
      <c r="V349" s="93"/>
      <c r="W349" s="93"/>
      <c r="X349" s="93"/>
    </row>
    <row r="350" spans="1:24" ht="16">
      <c r="A350" s="93"/>
      <c r="B350" s="94"/>
      <c r="C350" s="93"/>
      <c r="D350" s="93"/>
      <c r="E350" s="93"/>
      <c r="F350" s="93"/>
      <c r="G350" s="93"/>
      <c r="H350" s="93"/>
      <c r="I350" s="94"/>
      <c r="J350" s="94"/>
      <c r="K350" s="93"/>
      <c r="L350" s="93"/>
      <c r="M350" s="93"/>
      <c r="N350" s="93"/>
      <c r="O350" s="93"/>
      <c r="P350" s="93"/>
      <c r="Q350" s="93"/>
      <c r="R350" s="93"/>
      <c r="S350" s="93"/>
      <c r="T350" s="93"/>
      <c r="U350" s="93"/>
      <c r="V350" s="93"/>
      <c r="W350" s="93"/>
      <c r="X350" s="93"/>
    </row>
    <row r="351" spans="1:24" ht="16">
      <c r="A351" s="93"/>
      <c r="B351" s="94"/>
      <c r="C351" s="93"/>
      <c r="D351" s="93"/>
      <c r="E351" s="93"/>
      <c r="F351" s="93"/>
      <c r="G351" s="93"/>
      <c r="H351" s="93"/>
      <c r="I351" s="94"/>
      <c r="J351" s="94"/>
      <c r="K351" s="93"/>
      <c r="L351" s="93"/>
      <c r="M351" s="93"/>
      <c r="N351" s="93"/>
      <c r="O351" s="93"/>
      <c r="P351" s="93"/>
      <c r="Q351" s="93"/>
      <c r="R351" s="93"/>
      <c r="S351" s="93"/>
      <c r="T351" s="93"/>
      <c r="U351" s="93"/>
      <c r="V351" s="93"/>
      <c r="W351" s="93"/>
      <c r="X351" s="93"/>
    </row>
    <row r="352" spans="1:24" ht="16">
      <c r="A352" s="93"/>
      <c r="B352" s="94"/>
      <c r="C352" s="93"/>
      <c r="D352" s="93"/>
      <c r="E352" s="93"/>
      <c r="F352" s="93"/>
      <c r="G352" s="93"/>
      <c r="H352" s="93"/>
      <c r="I352" s="94"/>
      <c r="J352" s="94"/>
      <c r="K352" s="93"/>
      <c r="L352" s="93"/>
      <c r="M352" s="93"/>
      <c r="N352" s="93"/>
      <c r="O352" s="93"/>
      <c r="P352" s="93"/>
      <c r="Q352" s="93"/>
      <c r="R352" s="93"/>
      <c r="S352" s="93"/>
      <c r="T352" s="93"/>
      <c r="U352" s="93"/>
      <c r="V352" s="93"/>
      <c r="W352" s="93"/>
      <c r="X352" s="93"/>
    </row>
    <row r="353" spans="1:24" ht="16">
      <c r="A353" s="93"/>
      <c r="B353" s="94"/>
      <c r="C353" s="93"/>
      <c r="D353" s="93"/>
      <c r="E353" s="93"/>
      <c r="F353" s="93"/>
      <c r="G353" s="93"/>
      <c r="H353" s="93"/>
      <c r="I353" s="94"/>
      <c r="J353" s="94"/>
      <c r="K353" s="93"/>
      <c r="L353" s="93"/>
      <c r="M353" s="93"/>
      <c r="N353" s="93"/>
      <c r="O353" s="93"/>
      <c r="P353" s="93"/>
      <c r="Q353" s="93"/>
      <c r="R353" s="93"/>
      <c r="S353" s="93"/>
      <c r="T353" s="93"/>
      <c r="U353" s="93"/>
      <c r="V353" s="93"/>
      <c r="W353" s="93"/>
      <c r="X353" s="93"/>
    </row>
    <row r="354" spans="1:24" ht="16">
      <c r="A354" s="93"/>
      <c r="B354" s="94"/>
      <c r="C354" s="93"/>
      <c r="D354" s="93"/>
      <c r="E354" s="93"/>
      <c r="F354" s="93"/>
      <c r="G354" s="93"/>
      <c r="H354" s="93"/>
      <c r="I354" s="94"/>
      <c r="J354" s="94"/>
      <c r="K354" s="93"/>
      <c r="L354" s="93"/>
      <c r="M354" s="93"/>
      <c r="N354" s="93"/>
      <c r="O354" s="93"/>
      <c r="P354" s="93"/>
      <c r="Q354" s="93"/>
      <c r="R354" s="93"/>
      <c r="S354" s="93"/>
      <c r="T354" s="93"/>
      <c r="U354" s="93"/>
      <c r="V354" s="93"/>
      <c r="W354" s="93"/>
      <c r="X354" s="93"/>
    </row>
    <row r="355" spans="1:24" ht="16">
      <c r="A355" s="93"/>
      <c r="B355" s="94"/>
      <c r="C355" s="93"/>
      <c r="D355" s="93"/>
      <c r="E355" s="93"/>
      <c r="F355" s="93"/>
      <c r="G355" s="93"/>
      <c r="H355" s="93"/>
      <c r="I355" s="94"/>
      <c r="J355" s="94"/>
      <c r="K355" s="93"/>
      <c r="L355" s="93"/>
      <c r="M355" s="93"/>
      <c r="N355" s="93"/>
      <c r="O355" s="93"/>
      <c r="P355" s="93"/>
      <c r="Q355" s="93"/>
      <c r="R355" s="93"/>
      <c r="S355" s="93"/>
      <c r="T355" s="93"/>
      <c r="U355" s="93"/>
      <c r="V355" s="93"/>
      <c r="W355" s="93"/>
      <c r="X355" s="93"/>
    </row>
    <row r="356" spans="1:24" ht="16">
      <c r="A356" s="93"/>
      <c r="B356" s="94"/>
      <c r="C356" s="93"/>
      <c r="D356" s="93"/>
      <c r="E356" s="93"/>
      <c r="F356" s="93"/>
      <c r="G356" s="93"/>
      <c r="H356" s="93"/>
      <c r="I356" s="94"/>
      <c r="J356" s="94"/>
      <c r="K356" s="93"/>
      <c r="L356" s="93"/>
      <c r="M356" s="93"/>
      <c r="N356" s="93"/>
      <c r="O356" s="93"/>
      <c r="P356" s="93"/>
      <c r="Q356" s="93"/>
      <c r="R356" s="93"/>
      <c r="S356" s="93"/>
      <c r="T356" s="93"/>
      <c r="U356" s="93"/>
      <c r="V356" s="93"/>
      <c r="W356" s="93"/>
      <c r="X356" s="93"/>
    </row>
    <row r="357" spans="1:24" ht="16">
      <c r="A357" s="93"/>
      <c r="B357" s="94"/>
      <c r="C357" s="93"/>
      <c r="D357" s="93"/>
      <c r="E357" s="93"/>
      <c r="F357" s="93"/>
      <c r="G357" s="93"/>
      <c r="H357" s="93"/>
      <c r="I357" s="94"/>
      <c r="J357" s="94"/>
      <c r="K357" s="93"/>
      <c r="L357" s="93"/>
      <c r="M357" s="93"/>
      <c r="N357" s="93"/>
      <c r="O357" s="93"/>
      <c r="P357" s="93"/>
      <c r="Q357" s="93"/>
      <c r="R357" s="93"/>
      <c r="S357" s="93"/>
      <c r="T357" s="93"/>
      <c r="U357" s="93"/>
      <c r="V357" s="93"/>
      <c r="W357" s="93"/>
      <c r="X357" s="93"/>
    </row>
    <row r="358" spans="1:24" ht="16">
      <c r="A358" s="93"/>
      <c r="B358" s="94"/>
      <c r="C358" s="93"/>
      <c r="D358" s="93"/>
      <c r="E358" s="93"/>
      <c r="F358" s="93"/>
      <c r="G358" s="93"/>
      <c r="H358" s="93"/>
      <c r="I358" s="94"/>
      <c r="J358" s="94"/>
      <c r="K358" s="93"/>
      <c r="L358" s="93"/>
      <c r="M358" s="93"/>
      <c r="N358" s="93"/>
      <c r="O358" s="93"/>
      <c r="P358" s="93"/>
      <c r="Q358" s="93"/>
      <c r="R358" s="93"/>
      <c r="S358" s="93"/>
      <c r="T358" s="93"/>
      <c r="U358" s="93"/>
      <c r="V358" s="93"/>
      <c r="W358" s="93"/>
      <c r="X358" s="93"/>
    </row>
    <row r="359" spans="1:24" ht="16">
      <c r="A359" s="93"/>
      <c r="B359" s="94"/>
      <c r="C359" s="93"/>
      <c r="D359" s="93"/>
      <c r="E359" s="93"/>
      <c r="F359" s="93"/>
      <c r="G359" s="93"/>
      <c r="H359" s="93"/>
      <c r="I359" s="94"/>
      <c r="J359" s="94"/>
      <c r="K359" s="93"/>
      <c r="L359" s="93"/>
      <c r="M359" s="93"/>
      <c r="N359" s="93"/>
      <c r="O359" s="93"/>
      <c r="P359" s="93"/>
      <c r="Q359" s="93"/>
      <c r="R359" s="93"/>
      <c r="S359" s="93"/>
      <c r="T359" s="93"/>
      <c r="U359" s="93"/>
      <c r="V359" s="93"/>
      <c r="W359" s="93"/>
      <c r="X359" s="93"/>
    </row>
    <row r="360" spans="1:24" ht="16">
      <c r="A360" s="93"/>
      <c r="B360" s="94"/>
      <c r="C360" s="93"/>
      <c r="D360" s="93"/>
      <c r="E360" s="93"/>
      <c r="F360" s="93"/>
      <c r="G360" s="93"/>
      <c r="H360" s="93"/>
      <c r="I360" s="94"/>
      <c r="J360" s="94"/>
      <c r="K360" s="93"/>
      <c r="L360" s="93"/>
      <c r="M360" s="93"/>
      <c r="N360" s="93"/>
      <c r="O360" s="93"/>
      <c r="P360" s="93"/>
      <c r="Q360" s="93"/>
      <c r="R360" s="93"/>
      <c r="S360" s="93"/>
      <c r="T360" s="93"/>
      <c r="U360" s="93"/>
      <c r="V360" s="93"/>
      <c r="W360" s="93"/>
      <c r="X360" s="93"/>
    </row>
    <row r="361" spans="1:24" ht="16">
      <c r="A361" s="93"/>
      <c r="B361" s="94"/>
      <c r="C361" s="93"/>
      <c r="D361" s="93"/>
      <c r="E361" s="93"/>
      <c r="F361" s="93"/>
      <c r="G361" s="93"/>
      <c r="H361" s="93"/>
      <c r="I361" s="94"/>
      <c r="J361" s="94"/>
      <c r="K361" s="93"/>
      <c r="L361" s="93"/>
      <c r="M361" s="93"/>
      <c r="N361" s="93"/>
      <c r="O361" s="93"/>
      <c r="P361" s="93"/>
      <c r="Q361" s="93"/>
      <c r="R361" s="93"/>
      <c r="S361" s="93"/>
      <c r="T361" s="93"/>
      <c r="U361" s="93"/>
      <c r="V361" s="93"/>
      <c r="W361" s="93"/>
      <c r="X361" s="93"/>
    </row>
    <row r="362" spans="1:24" ht="16">
      <c r="A362" s="93"/>
      <c r="B362" s="94"/>
      <c r="C362" s="93"/>
      <c r="D362" s="93"/>
      <c r="E362" s="93"/>
      <c r="F362" s="93"/>
      <c r="G362" s="93"/>
      <c r="H362" s="93"/>
      <c r="I362" s="94"/>
      <c r="J362" s="94"/>
      <c r="K362" s="93"/>
      <c r="L362" s="93"/>
      <c r="M362" s="93"/>
      <c r="N362" s="93"/>
      <c r="O362" s="93"/>
      <c r="P362" s="93"/>
      <c r="Q362" s="93"/>
      <c r="R362" s="93"/>
      <c r="S362" s="93"/>
      <c r="T362" s="93"/>
      <c r="U362" s="93"/>
      <c r="V362" s="93"/>
      <c r="W362" s="93"/>
      <c r="X362" s="93"/>
    </row>
    <row r="363" spans="1:24" ht="16">
      <c r="A363" s="93"/>
      <c r="B363" s="94"/>
      <c r="C363" s="93"/>
      <c r="D363" s="93"/>
      <c r="E363" s="93"/>
      <c r="F363" s="93"/>
      <c r="G363" s="93"/>
      <c r="H363" s="93"/>
      <c r="I363" s="94"/>
      <c r="J363" s="94"/>
      <c r="K363" s="93"/>
      <c r="L363" s="93"/>
      <c r="M363" s="93"/>
      <c r="N363" s="93"/>
      <c r="O363" s="93"/>
      <c r="P363" s="93"/>
      <c r="Q363" s="93"/>
      <c r="R363" s="93"/>
      <c r="S363" s="93"/>
      <c r="T363" s="93"/>
      <c r="U363" s="93"/>
      <c r="V363" s="93"/>
      <c r="W363" s="93"/>
      <c r="X363" s="93"/>
    </row>
    <row r="364" spans="1:24" ht="16">
      <c r="A364" s="93"/>
      <c r="B364" s="94"/>
      <c r="C364" s="93"/>
      <c r="D364" s="93"/>
      <c r="E364" s="93"/>
      <c r="F364" s="93"/>
      <c r="G364" s="93"/>
      <c r="H364" s="93"/>
      <c r="I364" s="94"/>
      <c r="J364" s="94"/>
      <c r="K364" s="93"/>
      <c r="L364" s="93"/>
      <c r="M364" s="93"/>
      <c r="N364" s="93"/>
      <c r="O364" s="93"/>
      <c r="P364" s="93"/>
      <c r="Q364" s="93"/>
      <c r="R364" s="93"/>
      <c r="S364" s="93"/>
      <c r="T364" s="93"/>
      <c r="U364" s="93"/>
      <c r="V364" s="93"/>
      <c r="W364" s="93"/>
      <c r="X364" s="93"/>
    </row>
    <row r="365" spans="1:24" ht="16">
      <c r="A365" s="93"/>
      <c r="B365" s="94"/>
      <c r="C365" s="93"/>
      <c r="D365" s="93"/>
      <c r="E365" s="93"/>
      <c r="F365" s="93"/>
      <c r="G365" s="93"/>
      <c r="H365" s="93"/>
      <c r="I365" s="94"/>
      <c r="J365" s="94"/>
      <c r="K365" s="93"/>
      <c r="L365" s="93"/>
      <c r="M365" s="93"/>
      <c r="N365" s="93"/>
      <c r="O365" s="93"/>
      <c r="P365" s="93"/>
      <c r="Q365" s="93"/>
      <c r="R365" s="93"/>
      <c r="S365" s="93"/>
      <c r="T365" s="93"/>
      <c r="U365" s="93"/>
      <c r="V365" s="93"/>
      <c r="W365" s="93"/>
      <c r="X365" s="93"/>
    </row>
    <row r="366" spans="1:24" ht="16">
      <c r="A366" s="93"/>
      <c r="B366" s="94"/>
      <c r="C366" s="93"/>
      <c r="D366" s="93"/>
      <c r="E366" s="93"/>
      <c r="F366" s="93"/>
      <c r="G366" s="93"/>
      <c r="H366" s="93"/>
      <c r="I366" s="94"/>
      <c r="J366" s="94"/>
      <c r="K366" s="93"/>
      <c r="L366" s="93"/>
      <c r="M366" s="93"/>
      <c r="N366" s="93"/>
      <c r="O366" s="93"/>
      <c r="P366" s="93"/>
      <c r="Q366" s="93"/>
      <c r="R366" s="93"/>
      <c r="S366" s="93"/>
      <c r="T366" s="93"/>
      <c r="U366" s="93"/>
      <c r="V366" s="93"/>
      <c r="W366" s="93"/>
      <c r="X366" s="93"/>
    </row>
    <row r="367" spans="1:24" ht="16">
      <c r="A367" s="93"/>
      <c r="B367" s="94"/>
      <c r="C367" s="93"/>
      <c r="D367" s="93"/>
      <c r="E367" s="93"/>
      <c r="F367" s="93"/>
      <c r="G367" s="93"/>
      <c r="H367" s="93"/>
      <c r="I367" s="94"/>
      <c r="J367" s="94"/>
      <c r="K367" s="93"/>
      <c r="L367" s="93"/>
      <c r="M367" s="93"/>
      <c r="N367" s="93"/>
      <c r="O367" s="93"/>
      <c r="P367" s="93"/>
      <c r="Q367" s="93"/>
      <c r="R367" s="93"/>
      <c r="S367" s="93"/>
      <c r="T367" s="93"/>
      <c r="U367" s="93"/>
      <c r="V367" s="93"/>
      <c r="W367" s="93"/>
      <c r="X367" s="93"/>
    </row>
    <row r="368" spans="1:24" ht="16">
      <c r="A368" s="93"/>
      <c r="B368" s="94"/>
      <c r="C368" s="93"/>
      <c r="D368" s="93"/>
      <c r="E368" s="93"/>
      <c r="F368" s="93"/>
      <c r="G368" s="93"/>
      <c r="H368" s="93"/>
      <c r="I368" s="94"/>
      <c r="J368" s="94"/>
      <c r="K368" s="93"/>
      <c r="L368" s="93"/>
      <c r="M368" s="93"/>
      <c r="N368" s="93"/>
      <c r="O368" s="93"/>
      <c r="P368" s="93"/>
      <c r="Q368" s="93"/>
      <c r="R368" s="93"/>
      <c r="S368" s="93"/>
      <c r="T368" s="93"/>
      <c r="U368" s="93"/>
      <c r="V368" s="93"/>
      <c r="W368" s="93"/>
      <c r="X368" s="93"/>
    </row>
    <row r="369" spans="1:24" ht="16">
      <c r="A369" s="93"/>
      <c r="B369" s="94"/>
      <c r="C369" s="93"/>
      <c r="D369" s="93"/>
      <c r="E369" s="93"/>
      <c r="F369" s="93"/>
      <c r="G369" s="93"/>
      <c r="H369" s="93"/>
      <c r="I369" s="94"/>
      <c r="J369" s="94"/>
      <c r="K369" s="93"/>
      <c r="L369" s="93"/>
      <c r="M369" s="93"/>
      <c r="N369" s="93"/>
      <c r="O369" s="93"/>
      <c r="P369" s="93"/>
      <c r="Q369" s="93"/>
      <c r="R369" s="93"/>
      <c r="S369" s="93"/>
      <c r="T369" s="93"/>
      <c r="U369" s="93"/>
      <c r="V369" s="93"/>
      <c r="W369" s="93"/>
      <c r="X369" s="93"/>
    </row>
    <row r="370" spans="1:24" ht="16">
      <c r="A370" s="93"/>
      <c r="B370" s="94"/>
      <c r="C370" s="93"/>
      <c r="D370" s="93"/>
      <c r="E370" s="93"/>
      <c r="F370" s="93"/>
      <c r="G370" s="93"/>
      <c r="H370" s="93"/>
      <c r="I370" s="94"/>
      <c r="J370" s="94"/>
      <c r="K370" s="93"/>
      <c r="L370" s="93"/>
      <c r="M370" s="93"/>
      <c r="N370" s="93"/>
      <c r="O370" s="93"/>
      <c r="P370" s="93"/>
      <c r="Q370" s="93"/>
      <c r="R370" s="93"/>
      <c r="S370" s="93"/>
      <c r="T370" s="93"/>
      <c r="U370" s="93"/>
      <c r="V370" s="93"/>
      <c r="W370" s="93"/>
      <c r="X370" s="93"/>
    </row>
    <row r="371" spans="1:24" ht="16">
      <c r="A371" s="93"/>
      <c r="B371" s="94"/>
      <c r="C371" s="93"/>
      <c r="D371" s="93"/>
      <c r="E371" s="93"/>
      <c r="F371" s="93"/>
      <c r="G371" s="93"/>
      <c r="H371" s="93"/>
      <c r="I371" s="94"/>
      <c r="J371" s="94"/>
      <c r="K371" s="93"/>
      <c r="L371" s="93"/>
      <c r="M371" s="93"/>
      <c r="N371" s="93"/>
      <c r="O371" s="93"/>
      <c r="P371" s="93"/>
      <c r="Q371" s="93"/>
      <c r="R371" s="93"/>
      <c r="S371" s="93"/>
      <c r="T371" s="93"/>
      <c r="U371" s="93"/>
      <c r="V371" s="93"/>
      <c r="W371" s="93"/>
      <c r="X371" s="93"/>
    </row>
    <row r="372" spans="1:24" ht="16">
      <c r="A372" s="93"/>
      <c r="B372" s="94"/>
      <c r="C372" s="93"/>
      <c r="D372" s="93"/>
      <c r="E372" s="93"/>
      <c r="F372" s="93"/>
      <c r="G372" s="93"/>
      <c r="H372" s="93"/>
      <c r="I372" s="94"/>
      <c r="J372" s="94"/>
      <c r="K372" s="93"/>
      <c r="L372" s="93"/>
      <c r="M372" s="93"/>
      <c r="N372" s="93"/>
      <c r="O372" s="93"/>
      <c r="P372" s="93"/>
      <c r="Q372" s="93"/>
      <c r="R372" s="93"/>
      <c r="S372" s="93"/>
      <c r="T372" s="93"/>
      <c r="U372" s="93"/>
      <c r="V372" s="93"/>
      <c r="W372" s="93"/>
      <c r="X372" s="93"/>
    </row>
    <row r="373" spans="1:24" ht="16">
      <c r="A373" s="93"/>
      <c r="B373" s="94"/>
      <c r="C373" s="93"/>
      <c r="D373" s="93"/>
      <c r="E373" s="93"/>
      <c r="F373" s="93"/>
      <c r="G373" s="93"/>
      <c r="H373" s="93"/>
      <c r="I373" s="94"/>
      <c r="J373" s="94"/>
      <c r="K373" s="93"/>
      <c r="L373" s="93"/>
      <c r="M373" s="93"/>
      <c r="N373" s="93"/>
      <c r="O373" s="93"/>
      <c r="P373" s="93"/>
      <c r="Q373" s="93"/>
      <c r="R373" s="93"/>
      <c r="S373" s="93"/>
      <c r="T373" s="93"/>
      <c r="U373" s="93"/>
      <c r="V373" s="93"/>
      <c r="W373" s="93"/>
      <c r="X373" s="93"/>
    </row>
    <row r="374" spans="1:24" ht="16">
      <c r="A374" s="93"/>
      <c r="B374" s="94"/>
      <c r="C374" s="93"/>
      <c r="D374" s="93"/>
      <c r="E374" s="93"/>
      <c r="F374" s="93"/>
      <c r="G374" s="93"/>
      <c r="H374" s="93"/>
      <c r="I374" s="94"/>
      <c r="J374" s="94"/>
      <c r="K374" s="93"/>
      <c r="L374" s="93"/>
      <c r="M374" s="93"/>
      <c r="N374" s="93"/>
      <c r="O374" s="93"/>
      <c r="P374" s="93"/>
      <c r="Q374" s="93"/>
      <c r="R374" s="93"/>
      <c r="S374" s="93"/>
      <c r="T374" s="93"/>
      <c r="U374" s="93"/>
      <c r="V374" s="93"/>
      <c r="W374" s="93"/>
      <c r="X374" s="93"/>
    </row>
    <row r="375" spans="1:24" ht="16">
      <c r="A375" s="93"/>
      <c r="B375" s="94"/>
      <c r="C375" s="93"/>
      <c r="D375" s="93"/>
      <c r="E375" s="93"/>
      <c r="F375" s="93"/>
      <c r="G375" s="93"/>
      <c r="H375" s="93"/>
      <c r="I375" s="94"/>
      <c r="J375" s="94"/>
      <c r="K375" s="93"/>
      <c r="L375" s="93"/>
      <c r="M375" s="93"/>
      <c r="N375" s="93"/>
      <c r="O375" s="93"/>
      <c r="P375" s="93"/>
      <c r="Q375" s="93"/>
      <c r="R375" s="93"/>
      <c r="S375" s="93"/>
      <c r="T375" s="93"/>
      <c r="U375" s="93"/>
      <c r="V375" s="93"/>
      <c r="W375" s="93"/>
      <c r="X375" s="93"/>
    </row>
    <row r="376" spans="1:24" ht="16">
      <c r="A376" s="93"/>
      <c r="B376" s="94"/>
      <c r="C376" s="93"/>
      <c r="D376" s="93"/>
      <c r="E376" s="93"/>
      <c r="F376" s="93"/>
      <c r="G376" s="93"/>
      <c r="H376" s="93"/>
      <c r="I376" s="94"/>
      <c r="J376" s="94"/>
      <c r="K376" s="93"/>
      <c r="L376" s="93"/>
      <c r="M376" s="93"/>
      <c r="N376" s="93"/>
      <c r="O376" s="93"/>
      <c r="P376" s="93"/>
      <c r="Q376" s="93"/>
      <c r="R376" s="93"/>
      <c r="S376" s="93"/>
      <c r="T376" s="93"/>
      <c r="U376" s="93"/>
      <c r="V376" s="93"/>
      <c r="W376" s="93"/>
      <c r="X376" s="93"/>
    </row>
    <row r="377" spans="1:24" ht="16">
      <c r="A377" s="93"/>
      <c r="B377" s="94"/>
      <c r="C377" s="93"/>
      <c r="D377" s="93"/>
      <c r="E377" s="93"/>
      <c r="F377" s="93"/>
      <c r="G377" s="93"/>
      <c r="H377" s="93"/>
      <c r="I377" s="94"/>
      <c r="J377" s="94"/>
      <c r="K377" s="93"/>
      <c r="L377" s="93"/>
      <c r="M377" s="93"/>
      <c r="N377" s="93"/>
      <c r="O377" s="93"/>
      <c r="P377" s="93"/>
      <c r="Q377" s="93"/>
      <c r="R377" s="93"/>
      <c r="S377" s="93"/>
      <c r="T377" s="93"/>
      <c r="U377" s="93"/>
      <c r="V377" s="93"/>
      <c r="W377" s="93"/>
      <c r="X377" s="93"/>
    </row>
    <row r="378" spans="1:24" ht="16">
      <c r="A378" s="93"/>
      <c r="B378" s="94"/>
      <c r="C378" s="93"/>
      <c r="D378" s="93"/>
      <c r="E378" s="93"/>
      <c r="F378" s="93"/>
      <c r="G378" s="93"/>
      <c r="H378" s="93"/>
      <c r="I378" s="94"/>
      <c r="J378" s="94"/>
      <c r="K378" s="93"/>
      <c r="L378" s="93"/>
      <c r="M378" s="93"/>
      <c r="N378" s="93"/>
      <c r="O378" s="93"/>
      <c r="P378" s="93"/>
      <c r="Q378" s="93"/>
      <c r="R378" s="93"/>
      <c r="S378" s="93"/>
      <c r="T378" s="93"/>
      <c r="U378" s="93"/>
      <c r="V378" s="93"/>
      <c r="W378" s="93"/>
      <c r="X378" s="93"/>
    </row>
    <row r="379" spans="1:24" ht="16">
      <c r="A379" s="93"/>
      <c r="B379" s="94"/>
      <c r="C379" s="93"/>
      <c r="D379" s="93"/>
      <c r="E379" s="93"/>
      <c r="F379" s="93"/>
      <c r="G379" s="93"/>
      <c r="H379" s="93"/>
      <c r="I379" s="94"/>
      <c r="J379" s="94"/>
      <c r="K379" s="93"/>
      <c r="L379" s="93"/>
      <c r="M379" s="93"/>
      <c r="N379" s="93"/>
      <c r="O379" s="93"/>
      <c r="P379" s="93"/>
      <c r="Q379" s="93"/>
      <c r="R379" s="93"/>
      <c r="S379" s="93"/>
      <c r="T379" s="93"/>
      <c r="U379" s="93"/>
      <c r="V379" s="93"/>
      <c r="W379" s="93"/>
      <c r="X379" s="93"/>
    </row>
    <row r="380" spans="1:24" ht="16">
      <c r="A380" s="93"/>
      <c r="B380" s="94"/>
      <c r="C380" s="93"/>
      <c r="D380" s="93"/>
      <c r="E380" s="93"/>
      <c r="F380" s="93"/>
      <c r="G380" s="93"/>
      <c r="H380" s="93"/>
      <c r="I380" s="94"/>
      <c r="J380" s="94"/>
      <c r="K380" s="93"/>
      <c r="L380" s="93"/>
      <c r="M380" s="93"/>
      <c r="N380" s="93"/>
      <c r="O380" s="93"/>
      <c r="P380" s="93"/>
      <c r="Q380" s="93"/>
      <c r="R380" s="93"/>
      <c r="S380" s="93"/>
      <c r="T380" s="93"/>
      <c r="U380" s="93"/>
      <c r="V380" s="93"/>
      <c r="W380" s="93"/>
      <c r="X380" s="93"/>
    </row>
    <row r="381" spans="1:24" ht="16">
      <c r="A381" s="93"/>
      <c r="B381" s="94"/>
      <c r="C381" s="93"/>
      <c r="D381" s="93"/>
      <c r="E381" s="93"/>
      <c r="F381" s="93"/>
      <c r="G381" s="93"/>
      <c r="H381" s="93"/>
      <c r="I381" s="94"/>
      <c r="J381" s="94"/>
      <c r="K381" s="93"/>
      <c r="L381" s="93"/>
      <c r="M381" s="93"/>
      <c r="N381" s="93"/>
      <c r="O381" s="93"/>
      <c r="P381" s="93"/>
      <c r="Q381" s="93"/>
      <c r="R381" s="93"/>
      <c r="S381" s="93"/>
      <c r="T381" s="93"/>
      <c r="U381" s="93"/>
      <c r="V381" s="93"/>
      <c r="W381" s="93"/>
      <c r="X381" s="93"/>
    </row>
    <row r="382" spans="1:24" ht="16">
      <c r="A382" s="93"/>
      <c r="B382" s="94"/>
      <c r="C382" s="93"/>
      <c r="D382" s="93"/>
      <c r="E382" s="93"/>
      <c r="F382" s="93"/>
      <c r="G382" s="93"/>
      <c r="H382" s="93"/>
      <c r="I382" s="94"/>
      <c r="J382" s="94"/>
      <c r="K382" s="93"/>
      <c r="L382" s="93"/>
      <c r="M382" s="93"/>
      <c r="N382" s="93"/>
      <c r="O382" s="93"/>
      <c r="P382" s="93"/>
      <c r="Q382" s="93"/>
      <c r="R382" s="93"/>
      <c r="S382" s="93"/>
      <c r="T382" s="93"/>
      <c r="U382" s="93"/>
      <c r="V382" s="93"/>
      <c r="W382" s="93"/>
      <c r="X382" s="93"/>
    </row>
    <row r="383" spans="1:24" ht="16">
      <c r="A383" s="93"/>
      <c r="B383" s="94"/>
      <c r="C383" s="93"/>
      <c r="D383" s="93"/>
      <c r="E383" s="93"/>
      <c r="F383" s="93"/>
      <c r="G383" s="93"/>
      <c r="H383" s="93"/>
      <c r="I383" s="94"/>
      <c r="J383" s="94"/>
      <c r="K383" s="93"/>
      <c r="L383" s="93"/>
      <c r="M383" s="93"/>
      <c r="N383" s="93"/>
      <c r="O383" s="93"/>
      <c r="P383" s="93"/>
      <c r="Q383" s="93"/>
      <c r="R383" s="93"/>
      <c r="S383" s="93"/>
      <c r="T383" s="93"/>
      <c r="U383" s="93"/>
      <c r="V383" s="93"/>
      <c r="W383" s="93"/>
      <c r="X383" s="93"/>
    </row>
    <row r="384" spans="1:24" ht="16">
      <c r="A384" s="93"/>
      <c r="B384" s="94"/>
      <c r="C384" s="93"/>
      <c r="D384" s="93"/>
      <c r="E384" s="93"/>
      <c r="F384" s="93"/>
      <c r="G384" s="93"/>
      <c r="H384" s="93"/>
      <c r="I384" s="94"/>
      <c r="J384" s="94"/>
      <c r="K384" s="93"/>
      <c r="L384" s="93"/>
      <c r="M384" s="93"/>
      <c r="N384" s="93"/>
      <c r="O384" s="93"/>
      <c r="P384" s="93"/>
      <c r="Q384" s="93"/>
      <c r="R384" s="93"/>
      <c r="S384" s="93"/>
      <c r="T384" s="93"/>
      <c r="U384" s="93"/>
      <c r="V384" s="93"/>
      <c r="W384" s="93"/>
      <c r="X384" s="93"/>
    </row>
    <row r="385" spans="1:24" ht="16">
      <c r="A385" s="93"/>
      <c r="B385" s="94"/>
      <c r="C385" s="93"/>
      <c r="D385" s="93"/>
      <c r="E385" s="93"/>
      <c r="F385" s="93"/>
      <c r="G385" s="93"/>
      <c r="H385" s="93"/>
      <c r="I385" s="94"/>
      <c r="J385" s="94"/>
      <c r="K385" s="93"/>
      <c r="L385" s="93"/>
      <c r="M385" s="93"/>
      <c r="N385" s="93"/>
      <c r="O385" s="93"/>
      <c r="P385" s="93"/>
      <c r="Q385" s="93"/>
      <c r="R385" s="93"/>
      <c r="S385" s="93"/>
      <c r="T385" s="93"/>
      <c r="U385" s="93"/>
      <c r="V385" s="93"/>
      <c r="W385" s="93"/>
      <c r="X385" s="93"/>
    </row>
    <row r="386" spans="1:24" ht="16">
      <c r="A386" s="93"/>
      <c r="B386" s="94"/>
      <c r="C386" s="93"/>
      <c r="D386" s="93"/>
      <c r="E386" s="93"/>
      <c r="F386" s="93"/>
      <c r="G386" s="93"/>
      <c r="H386" s="93"/>
      <c r="I386" s="94"/>
      <c r="J386" s="94"/>
      <c r="K386" s="93"/>
      <c r="L386" s="93"/>
      <c r="M386" s="93"/>
      <c r="N386" s="93"/>
      <c r="O386" s="93"/>
      <c r="P386" s="93"/>
      <c r="Q386" s="93"/>
      <c r="R386" s="93"/>
      <c r="S386" s="93"/>
      <c r="T386" s="93"/>
      <c r="U386" s="93"/>
      <c r="V386" s="93"/>
      <c r="W386" s="93"/>
      <c r="X386" s="93"/>
    </row>
    <row r="387" spans="1:24" ht="16">
      <c r="A387" s="93"/>
      <c r="B387" s="94"/>
      <c r="C387" s="93"/>
      <c r="D387" s="93"/>
      <c r="E387" s="93"/>
      <c r="F387" s="93"/>
      <c r="G387" s="93"/>
      <c r="H387" s="93"/>
      <c r="I387" s="94"/>
      <c r="J387" s="94"/>
      <c r="K387" s="93"/>
      <c r="L387" s="93"/>
      <c r="M387" s="93"/>
      <c r="N387" s="93"/>
      <c r="O387" s="93"/>
      <c r="P387" s="93"/>
      <c r="Q387" s="93"/>
      <c r="R387" s="93"/>
      <c r="S387" s="93"/>
      <c r="T387" s="93"/>
      <c r="U387" s="93"/>
      <c r="V387" s="93"/>
      <c r="W387" s="93"/>
      <c r="X387" s="93"/>
    </row>
    <row r="388" spans="1:24" ht="16">
      <c r="A388" s="93"/>
      <c r="B388" s="94"/>
      <c r="C388" s="93"/>
      <c r="D388" s="93"/>
      <c r="E388" s="93"/>
      <c r="F388" s="93"/>
      <c r="G388" s="93"/>
      <c r="H388" s="93"/>
      <c r="I388" s="94"/>
      <c r="J388" s="94"/>
      <c r="K388" s="93"/>
      <c r="L388" s="93"/>
      <c r="M388" s="93"/>
      <c r="N388" s="93"/>
      <c r="O388" s="93"/>
      <c r="P388" s="93"/>
      <c r="Q388" s="93"/>
      <c r="R388" s="93"/>
      <c r="S388" s="93"/>
      <c r="T388" s="93"/>
      <c r="U388" s="93"/>
      <c r="V388" s="93"/>
      <c r="W388" s="93"/>
      <c r="X388" s="93"/>
    </row>
    <row r="389" spans="1:24" ht="16">
      <c r="A389" s="93"/>
      <c r="B389" s="94"/>
      <c r="C389" s="93"/>
      <c r="D389" s="93"/>
      <c r="E389" s="93"/>
      <c r="F389" s="93"/>
      <c r="G389" s="93"/>
      <c r="H389" s="93"/>
      <c r="I389" s="94"/>
      <c r="J389" s="94"/>
      <c r="K389" s="93"/>
      <c r="L389" s="93"/>
      <c r="M389" s="93"/>
      <c r="N389" s="93"/>
      <c r="O389" s="93"/>
      <c r="P389" s="93"/>
      <c r="Q389" s="93"/>
      <c r="R389" s="93"/>
      <c r="S389" s="93"/>
      <c r="T389" s="93"/>
      <c r="U389" s="93"/>
      <c r="V389" s="93"/>
      <c r="W389" s="93"/>
      <c r="X389" s="93"/>
    </row>
    <row r="390" spans="1:24" ht="16">
      <c r="A390" s="93"/>
      <c r="B390" s="94"/>
      <c r="C390" s="93"/>
      <c r="D390" s="93"/>
      <c r="E390" s="93"/>
      <c r="F390" s="93"/>
      <c r="G390" s="93"/>
      <c r="H390" s="93"/>
      <c r="I390" s="94"/>
      <c r="J390" s="94"/>
      <c r="K390" s="93"/>
      <c r="L390" s="93"/>
      <c r="M390" s="93"/>
      <c r="N390" s="93"/>
      <c r="O390" s="93"/>
      <c r="P390" s="93"/>
      <c r="Q390" s="93"/>
      <c r="R390" s="93"/>
      <c r="S390" s="93"/>
      <c r="T390" s="93"/>
      <c r="U390" s="93"/>
      <c r="V390" s="93"/>
      <c r="W390" s="93"/>
      <c r="X390" s="93"/>
    </row>
    <row r="391" spans="1:24" ht="16">
      <c r="A391" s="93"/>
      <c r="B391" s="94"/>
      <c r="C391" s="93"/>
      <c r="D391" s="93"/>
      <c r="E391" s="93"/>
      <c r="F391" s="93"/>
      <c r="G391" s="93"/>
      <c r="H391" s="93"/>
      <c r="I391" s="94"/>
      <c r="J391" s="94"/>
      <c r="K391" s="93"/>
      <c r="L391" s="93"/>
      <c r="M391" s="93"/>
      <c r="N391" s="93"/>
      <c r="O391" s="93"/>
      <c r="P391" s="93"/>
      <c r="Q391" s="93"/>
      <c r="R391" s="93"/>
      <c r="S391" s="93"/>
      <c r="T391" s="93"/>
      <c r="U391" s="93"/>
      <c r="V391" s="93"/>
      <c r="W391" s="93"/>
      <c r="X391" s="93"/>
    </row>
    <row r="392" spans="1:24" ht="16">
      <c r="A392" s="93"/>
      <c r="B392" s="94"/>
      <c r="C392" s="93"/>
      <c r="D392" s="93"/>
      <c r="E392" s="93"/>
      <c r="F392" s="93"/>
      <c r="G392" s="93"/>
      <c r="H392" s="93"/>
      <c r="I392" s="94"/>
      <c r="J392" s="94"/>
      <c r="K392" s="93"/>
      <c r="L392" s="93"/>
      <c r="M392" s="93"/>
      <c r="N392" s="93"/>
      <c r="O392" s="93"/>
      <c r="P392" s="93"/>
      <c r="Q392" s="93"/>
      <c r="R392" s="93"/>
      <c r="S392" s="93"/>
      <c r="T392" s="93"/>
      <c r="U392" s="93"/>
      <c r="V392" s="93"/>
      <c r="W392" s="93"/>
      <c r="X392" s="93"/>
    </row>
    <row r="393" spans="1:24" ht="16">
      <c r="A393" s="93"/>
      <c r="B393" s="94"/>
      <c r="C393" s="93"/>
      <c r="D393" s="93"/>
      <c r="E393" s="93"/>
      <c r="F393" s="93"/>
      <c r="G393" s="93"/>
      <c r="H393" s="93"/>
      <c r="I393" s="94"/>
      <c r="J393" s="94"/>
      <c r="K393" s="93"/>
      <c r="L393" s="93"/>
      <c r="M393" s="93"/>
      <c r="N393" s="93"/>
      <c r="O393" s="93"/>
      <c r="P393" s="93"/>
      <c r="Q393" s="93"/>
      <c r="R393" s="93"/>
      <c r="S393" s="93"/>
      <c r="T393" s="93"/>
      <c r="U393" s="93"/>
      <c r="V393" s="93"/>
      <c r="W393" s="93"/>
      <c r="X393" s="93"/>
    </row>
    <row r="394" spans="1:24" ht="16">
      <c r="A394" s="93"/>
      <c r="B394" s="94"/>
      <c r="C394" s="93"/>
      <c r="D394" s="93"/>
      <c r="E394" s="93"/>
      <c r="F394" s="93"/>
      <c r="G394" s="93"/>
      <c r="H394" s="93"/>
      <c r="I394" s="94"/>
      <c r="J394" s="94"/>
      <c r="K394" s="93"/>
      <c r="L394" s="93"/>
      <c r="M394" s="93"/>
      <c r="N394" s="93"/>
      <c r="O394" s="93"/>
      <c r="P394" s="93"/>
      <c r="Q394" s="93"/>
      <c r="R394" s="93"/>
      <c r="S394" s="93"/>
      <c r="T394" s="93"/>
      <c r="U394" s="93"/>
      <c r="V394" s="93"/>
      <c r="W394" s="93"/>
      <c r="X394" s="93"/>
    </row>
    <row r="395" spans="1:24" ht="16">
      <c r="A395" s="93"/>
      <c r="B395" s="94"/>
      <c r="C395" s="93"/>
      <c r="D395" s="93"/>
      <c r="E395" s="93"/>
      <c r="F395" s="93"/>
      <c r="G395" s="93"/>
      <c r="H395" s="93"/>
      <c r="I395" s="94"/>
      <c r="J395" s="94"/>
      <c r="K395" s="93"/>
      <c r="L395" s="93"/>
      <c r="M395" s="93"/>
      <c r="N395" s="93"/>
      <c r="O395" s="93"/>
      <c r="P395" s="93"/>
      <c r="Q395" s="93"/>
      <c r="R395" s="93"/>
      <c r="S395" s="93"/>
      <c r="T395" s="93"/>
      <c r="U395" s="93"/>
      <c r="V395" s="93"/>
      <c r="W395" s="93"/>
      <c r="X395" s="93"/>
    </row>
    <row r="396" spans="1:24" ht="16">
      <c r="A396" s="93"/>
      <c r="B396" s="94"/>
      <c r="C396" s="93"/>
      <c r="D396" s="93"/>
      <c r="E396" s="93"/>
      <c r="F396" s="93"/>
      <c r="G396" s="93"/>
      <c r="H396" s="93"/>
      <c r="I396" s="94"/>
      <c r="J396" s="94"/>
      <c r="K396" s="93"/>
      <c r="L396" s="93"/>
      <c r="M396" s="93"/>
      <c r="N396" s="93"/>
      <c r="O396" s="93"/>
      <c r="P396" s="93"/>
      <c r="Q396" s="93"/>
      <c r="R396" s="93"/>
      <c r="S396" s="93"/>
      <c r="T396" s="93"/>
      <c r="U396" s="93"/>
      <c r="V396" s="93"/>
      <c r="W396" s="93"/>
      <c r="X396" s="93"/>
    </row>
    <row r="397" spans="1:24" ht="16">
      <c r="A397" s="93"/>
      <c r="B397" s="94"/>
      <c r="C397" s="93"/>
      <c r="D397" s="93"/>
      <c r="E397" s="93"/>
      <c r="F397" s="93"/>
      <c r="G397" s="93"/>
      <c r="H397" s="93"/>
      <c r="I397" s="94"/>
      <c r="J397" s="94"/>
      <c r="K397" s="93"/>
      <c r="L397" s="93"/>
      <c r="M397" s="93"/>
      <c r="N397" s="93"/>
      <c r="O397" s="93"/>
      <c r="P397" s="93"/>
      <c r="Q397" s="93"/>
      <c r="R397" s="93"/>
      <c r="S397" s="93"/>
      <c r="T397" s="93"/>
      <c r="U397" s="93"/>
      <c r="V397" s="93"/>
      <c r="W397" s="93"/>
      <c r="X397" s="93"/>
    </row>
    <row r="398" spans="1:24" ht="16">
      <c r="A398" s="93"/>
      <c r="B398" s="94"/>
      <c r="C398" s="93"/>
      <c r="D398" s="93"/>
      <c r="E398" s="93"/>
      <c r="F398" s="93"/>
      <c r="G398" s="93"/>
      <c r="H398" s="93"/>
      <c r="I398" s="94"/>
      <c r="J398" s="94"/>
      <c r="K398" s="93"/>
      <c r="L398" s="93"/>
      <c r="M398" s="93"/>
      <c r="N398" s="93"/>
      <c r="O398" s="93"/>
      <c r="P398" s="93"/>
      <c r="Q398" s="93"/>
      <c r="R398" s="93"/>
      <c r="S398" s="93"/>
      <c r="T398" s="93"/>
      <c r="U398" s="93"/>
      <c r="V398" s="93"/>
      <c r="W398" s="93"/>
      <c r="X398" s="93"/>
    </row>
    <row r="399" spans="1:24" ht="16">
      <c r="A399" s="93"/>
      <c r="B399" s="94"/>
      <c r="C399" s="93"/>
      <c r="D399" s="93"/>
      <c r="E399" s="93"/>
      <c r="F399" s="93"/>
      <c r="G399" s="93"/>
      <c r="H399" s="93"/>
      <c r="I399" s="94"/>
      <c r="J399" s="94"/>
      <c r="K399" s="93"/>
      <c r="L399" s="93"/>
      <c r="M399" s="93"/>
      <c r="N399" s="93"/>
      <c r="O399" s="93"/>
      <c r="P399" s="93"/>
      <c r="Q399" s="93"/>
      <c r="R399" s="93"/>
      <c r="S399" s="93"/>
      <c r="T399" s="93"/>
      <c r="U399" s="93"/>
      <c r="V399" s="93"/>
      <c r="W399" s="93"/>
      <c r="X399" s="93"/>
    </row>
    <row r="400" spans="1:24" ht="16">
      <c r="A400" s="93"/>
      <c r="B400" s="94"/>
      <c r="C400" s="93"/>
      <c r="D400" s="93"/>
      <c r="E400" s="93"/>
      <c r="F400" s="93"/>
      <c r="G400" s="93"/>
      <c r="H400" s="93"/>
      <c r="I400" s="94"/>
      <c r="J400" s="94"/>
      <c r="K400" s="93"/>
      <c r="L400" s="93"/>
      <c r="M400" s="93"/>
      <c r="N400" s="93"/>
      <c r="O400" s="93"/>
      <c r="P400" s="93"/>
      <c r="Q400" s="93"/>
      <c r="R400" s="93"/>
      <c r="S400" s="93"/>
      <c r="T400" s="93"/>
      <c r="U400" s="93"/>
      <c r="V400" s="93"/>
      <c r="W400" s="93"/>
      <c r="X400" s="93"/>
    </row>
    <row r="401" spans="1:24" ht="16">
      <c r="A401" s="93"/>
      <c r="B401" s="94"/>
      <c r="C401" s="93"/>
      <c r="D401" s="93"/>
      <c r="E401" s="93"/>
      <c r="F401" s="93"/>
      <c r="G401" s="93"/>
      <c r="H401" s="93"/>
      <c r="I401" s="94"/>
      <c r="J401" s="94"/>
      <c r="K401" s="93"/>
      <c r="L401" s="93"/>
      <c r="M401" s="93"/>
      <c r="N401" s="93"/>
      <c r="O401" s="93"/>
      <c r="P401" s="93"/>
      <c r="Q401" s="93"/>
      <c r="R401" s="93"/>
      <c r="S401" s="93"/>
      <c r="T401" s="93"/>
      <c r="U401" s="93"/>
      <c r="V401" s="93"/>
      <c r="W401" s="93"/>
      <c r="X401" s="93"/>
    </row>
    <row r="402" spans="1:24" ht="16">
      <c r="A402" s="93"/>
      <c r="B402" s="94"/>
      <c r="C402" s="93"/>
      <c r="D402" s="93"/>
      <c r="E402" s="93"/>
      <c r="F402" s="93"/>
      <c r="G402" s="93"/>
      <c r="H402" s="93"/>
      <c r="I402" s="94"/>
      <c r="J402" s="94"/>
      <c r="K402" s="93"/>
      <c r="L402" s="93"/>
      <c r="M402" s="93"/>
      <c r="N402" s="93"/>
      <c r="O402" s="93"/>
      <c r="P402" s="93"/>
      <c r="Q402" s="93"/>
      <c r="R402" s="93"/>
      <c r="S402" s="93"/>
      <c r="T402" s="93"/>
      <c r="U402" s="93"/>
      <c r="V402" s="93"/>
      <c r="W402" s="93"/>
      <c r="X402" s="93"/>
    </row>
    <row r="403" spans="1:24" ht="16">
      <c r="A403" s="93"/>
      <c r="B403" s="94"/>
      <c r="C403" s="93"/>
      <c r="D403" s="93"/>
      <c r="E403" s="93"/>
      <c r="F403" s="93"/>
      <c r="G403" s="93"/>
      <c r="H403" s="93"/>
      <c r="I403" s="94"/>
      <c r="J403" s="94"/>
      <c r="K403" s="93"/>
      <c r="L403" s="93"/>
      <c r="M403" s="93"/>
      <c r="N403" s="93"/>
      <c r="O403" s="93"/>
      <c r="P403" s="93"/>
      <c r="Q403" s="93"/>
      <c r="R403" s="93"/>
      <c r="S403" s="93"/>
      <c r="T403" s="93"/>
      <c r="U403" s="93"/>
      <c r="V403" s="93"/>
      <c r="W403" s="93"/>
      <c r="X403" s="93"/>
    </row>
    <row r="404" spans="1:24" ht="16">
      <c r="A404" s="93"/>
      <c r="B404" s="94"/>
      <c r="C404" s="93"/>
      <c r="D404" s="93"/>
      <c r="E404" s="93"/>
      <c r="F404" s="93"/>
      <c r="G404" s="93"/>
      <c r="H404" s="93"/>
      <c r="I404" s="94"/>
      <c r="J404" s="94"/>
      <c r="K404" s="93"/>
      <c r="L404" s="93"/>
      <c r="M404" s="93"/>
      <c r="N404" s="93"/>
      <c r="O404" s="93"/>
      <c r="P404" s="93"/>
      <c r="Q404" s="93"/>
      <c r="R404" s="93"/>
      <c r="S404" s="93"/>
      <c r="T404" s="93"/>
      <c r="U404" s="93"/>
      <c r="V404" s="93"/>
      <c r="W404" s="93"/>
      <c r="X404" s="93"/>
    </row>
    <row r="405" spans="1:24" ht="16">
      <c r="A405" s="93"/>
      <c r="B405" s="94"/>
      <c r="C405" s="93"/>
      <c r="D405" s="93"/>
      <c r="E405" s="93"/>
      <c r="F405" s="93"/>
      <c r="G405" s="93"/>
      <c r="H405" s="93"/>
      <c r="I405" s="94"/>
      <c r="J405" s="94"/>
      <c r="K405" s="93"/>
      <c r="L405" s="93"/>
      <c r="M405" s="93"/>
      <c r="N405" s="93"/>
      <c r="O405" s="93"/>
      <c r="P405" s="93"/>
      <c r="Q405" s="93"/>
      <c r="R405" s="93"/>
      <c r="S405" s="93"/>
      <c r="T405" s="93"/>
      <c r="U405" s="93"/>
      <c r="V405" s="93"/>
      <c r="W405" s="93"/>
      <c r="X405" s="93"/>
    </row>
    <row r="406" spans="1:24" ht="16">
      <c r="A406" s="93"/>
      <c r="B406" s="94"/>
      <c r="C406" s="93"/>
      <c r="D406" s="93"/>
      <c r="E406" s="93"/>
      <c r="F406" s="93"/>
      <c r="G406" s="93"/>
      <c r="H406" s="93"/>
      <c r="I406" s="94"/>
      <c r="J406" s="94"/>
      <c r="K406" s="93"/>
      <c r="L406" s="93"/>
      <c r="M406" s="93"/>
      <c r="N406" s="93"/>
      <c r="O406" s="93"/>
      <c r="P406" s="93"/>
      <c r="Q406" s="93"/>
      <c r="R406" s="93"/>
      <c r="S406" s="93"/>
      <c r="T406" s="93"/>
      <c r="U406" s="93"/>
      <c r="V406" s="93"/>
      <c r="W406" s="93"/>
      <c r="X406" s="93"/>
    </row>
    <row r="407" spans="1:24" ht="16">
      <c r="A407" s="93"/>
      <c r="B407" s="94"/>
      <c r="C407" s="93"/>
      <c r="D407" s="93"/>
      <c r="E407" s="93"/>
      <c r="F407" s="93"/>
      <c r="G407" s="93"/>
      <c r="H407" s="93"/>
      <c r="I407" s="94"/>
      <c r="J407" s="94"/>
      <c r="K407" s="93"/>
      <c r="L407" s="93"/>
      <c r="M407" s="93"/>
      <c r="N407" s="93"/>
      <c r="O407" s="93"/>
      <c r="P407" s="93"/>
      <c r="Q407" s="93"/>
      <c r="R407" s="93"/>
      <c r="S407" s="93"/>
      <c r="T407" s="93"/>
      <c r="U407" s="93"/>
      <c r="V407" s="93"/>
      <c r="W407" s="93"/>
      <c r="X407" s="93"/>
    </row>
    <row r="408" spans="1:24" ht="16">
      <c r="A408" s="93"/>
      <c r="B408" s="94"/>
      <c r="C408" s="93"/>
      <c r="D408" s="93"/>
      <c r="E408" s="93"/>
      <c r="F408" s="93"/>
      <c r="G408" s="93"/>
      <c r="H408" s="93"/>
      <c r="I408" s="94"/>
      <c r="J408" s="94"/>
      <c r="K408" s="93"/>
      <c r="L408" s="93"/>
      <c r="M408" s="93"/>
      <c r="N408" s="93"/>
      <c r="O408" s="93"/>
      <c r="P408" s="93"/>
      <c r="Q408" s="93"/>
      <c r="R408" s="93"/>
      <c r="S408" s="93"/>
      <c r="T408" s="93"/>
      <c r="U408" s="93"/>
      <c r="V408" s="93"/>
      <c r="W408" s="93"/>
      <c r="X408" s="93"/>
    </row>
    <row r="409" spans="1:24" ht="16">
      <c r="A409" s="93"/>
      <c r="B409" s="94"/>
      <c r="C409" s="93"/>
      <c r="D409" s="93"/>
      <c r="E409" s="93"/>
      <c r="F409" s="93"/>
      <c r="G409" s="93"/>
      <c r="H409" s="93"/>
      <c r="I409" s="94"/>
      <c r="J409" s="94"/>
      <c r="K409" s="93"/>
      <c r="L409" s="93"/>
      <c r="M409" s="93"/>
      <c r="N409" s="93"/>
      <c r="O409" s="93"/>
      <c r="P409" s="93"/>
      <c r="Q409" s="93"/>
      <c r="R409" s="93"/>
      <c r="S409" s="93"/>
      <c r="T409" s="93"/>
      <c r="U409" s="93"/>
      <c r="V409" s="93"/>
      <c r="W409" s="93"/>
      <c r="X409" s="93"/>
    </row>
    <row r="410" spans="1:24" ht="16">
      <c r="A410" s="93"/>
      <c r="B410" s="94"/>
      <c r="C410" s="93"/>
      <c r="D410" s="93"/>
      <c r="E410" s="93"/>
      <c r="F410" s="93"/>
      <c r="G410" s="93"/>
      <c r="H410" s="93"/>
      <c r="I410" s="94"/>
      <c r="J410" s="94"/>
      <c r="K410" s="93"/>
      <c r="L410" s="93"/>
      <c r="M410" s="93"/>
      <c r="N410" s="93"/>
      <c r="O410" s="93"/>
      <c r="P410" s="93"/>
      <c r="Q410" s="93"/>
      <c r="R410" s="93"/>
      <c r="S410" s="93"/>
      <c r="T410" s="93"/>
      <c r="U410" s="93"/>
      <c r="V410" s="93"/>
      <c r="W410" s="93"/>
      <c r="X410" s="93"/>
    </row>
    <row r="411" spans="1:24" ht="16">
      <c r="A411" s="93"/>
      <c r="B411" s="94"/>
      <c r="C411" s="93"/>
      <c r="D411" s="93"/>
      <c r="E411" s="93"/>
      <c r="F411" s="93"/>
      <c r="G411" s="93"/>
      <c r="H411" s="93"/>
      <c r="I411" s="94"/>
      <c r="J411" s="94"/>
      <c r="K411" s="93"/>
      <c r="L411" s="93"/>
      <c r="M411" s="93"/>
      <c r="N411" s="93"/>
      <c r="O411" s="93"/>
      <c r="P411" s="93"/>
      <c r="Q411" s="93"/>
      <c r="R411" s="93"/>
      <c r="S411" s="93"/>
      <c r="T411" s="93"/>
      <c r="U411" s="93"/>
      <c r="V411" s="93"/>
      <c r="W411" s="93"/>
      <c r="X411" s="93"/>
    </row>
    <row r="412" spans="1:24" ht="16">
      <c r="A412" s="93"/>
      <c r="B412" s="94"/>
      <c r="C412" s="93"/>
      <c r="D412" s="93"/>
      <c r="E412" s="93"/>
      <c r="F412" s="93"/>
      <c r="G412" s="93"/>
      <c r="H412" s="93"/>
      <c r="I412" s="94"/>
      <c r="J412" s="94"/>
      <c r="K412" s="93"/>
      <c r="L412" s="93"/>
      <c r="M412" s="93"/>
      <c r="N412" s="93"/>
      <c r="O412" s="93"/>
      <c r="P412" s="93"/>
      <c r="Q412" s="93"/>
      <c r="R412" s="93"/>
      <c r="S412" s="93"/>
      <c r="T412" s="93"/>
      <c r="U412" s="93"/>
      <c r="V412" s="93"/>
      <c r="W412" s="93"/>
      <c r="X412" s="93"/>
    </row>
    <row r="413" spans="1:24" ht="16">
      <c r="A413" s="93"/>
      <c r="B413" s="94"/>
      <c r="C413" s="93"/>
      <c r="D413" s="93"/>
      <c r="E413" s="93"/>
      <c r="F413" s="93"/>
      <c r="G413" s="93"/>
      <c r="H413" s="93"/>
      <c r="I413" s="94"/>
      <c r="J413" s="94"/>
      <c r="K413" s="93"/>
      <c r="L413" s="93"/>
      <c r="M413" s="93"/>
      <c r="N413" s="93"/>
      <c r="O413" s="93"/>
      <c r="P413" s="93"/>
      <c r="Q413" s="93"/>
      <c r="R413" s="93"/>
      <c r="S413" s="93"/>
      <c r="T413" s="93"/>
      <c r="U413" s="93"/>
      <c r="V413" s="93"/>
      <c r="W413" s="93"/>
      <c r="X413" s="93"/>
    </row>
    <row r="414" spans="1:24" ht="16">
      <c r="A414" s="93"/>
      <c r="B414" s="94"/>
      <c r="C414" s="93"/>
      <c r="D414" s="93"/>
      <c r="E414" s="93"/>
      <c r="F414" s="93"/>
      <c r="G414" s="93"/>
      <c r="H414" s="93"/>
      <c r="I414" s="94"/>
      <c r="J414" s="94"/>
      <c r="K414" s="93"/>
      <c r="L414" s="93"/>
      <c r="M414" s="93"/>
      <c r="N414" s="93"/>
      <c r="O414" s="93"/>
      <c r="P414" s="93"/>
      <c r="Q414" s="93"/>
      <c r="R414" s="93"/>
      <c r="S414" s="93"/>
      <c r="T414" s="93"/>
      <c r="U414" s="93"/>
      <c r="V414" s="93"/>
      <c r="W414" s="93"/>
      <c r="X414" s="93"/>
    </row>
    <row r="415" spans="1:24" ht="16">
      <c r="A415" s="93"/>
      <c r="B415" s="94"/>
      <c r="C415" s="93"/>
      <c r="D415" s="93"/>
      <c r="E415" s="93"/>
      <c r="F415" s="93"/>
      <c r="G415" s="93"/>
      <c r="H415" s="93"/>
      <c r="I415" s="94"/>
      <c r="J415" s="94"/>
      <c r="K415" s="93"/>
      <c r="L415" s="93"/>
      <c r="M415" s="93"/>
      <c r="N415" s="93"/>
      <c r="O415" s="93"/>
      <c r="P415" s="93"/>
      <c r="Q415" s="93"/>
      <c r="R415" s="93"/>
      <c r="S415" s="93"/>
      <c r="T415" s="93"/>
      <c r="U415" s="93"/>
      <c r="V415" s="93"/>
      <c r="W415" s="93"/>
      <c r="X415" s="93"/>
    </row>
    <row r="416" spans="1:24" ht="16">
      <c r="A416" s="93"/>
      <c r="B416" s="94"/>
      <c r="C416" s="93"/>
      <c r="D416" s="93"/>
      <c r="E416" s="93"/>
      <c r="F416" s="93"/>
      <c r="G416" s="93"/>
      <c r="H416" s="93"/>
      <c r="I416" s="94"/>
      <c r="J416" s="94"/>
      <c r="K416" s="93"/>
      <c r="L416" s="93"/>
      <c r="M416" s="93"/>
      <c r="N416" s="93"/>
      <c r="O416" s="93"/>
      <c r="P416" s="93"/>
      <c r="Q416" s="93"/>
      <c r="R416" s="93"/>
      <c r="S416" s="93"/>
      <c r="T416" s="93"/>
      <c r="U416" s="93"/>
      <c r="V416" s="93"/>
      <c r="W416" s="93"/>
      <c r="X416" s="93"/>
    </row>
    <row r="417" spans="1:24" ht="16">
      <c r="A417" s="93"/>
      <c r="B417" s="94"/>
      <c r="C417" s="93"/>
      <c r="D417" s="93"/>
      <c r="E417" s="93"/>
      <c r="F417" s="93"/>
      <c r="G417" s="93"/>
      <c r="H417" s="93"/>
      <c r="I417" s="94"/>
      <c r="J417" s="94"/>
      <c r="K417" s="93"/>
      <c r="L417" s="93"/>
      <c r="M417" s="93"/>
      <c r="N417" s="93"/>
      <c r="O417" s="93"/>
      <c r="P417" s="93"/>
      <c r="Q417" s="93"/>
      <c r="R417" s="93"/>
      <c r="S417" s="93"/>
      <c r="T417" s="93"/>
      <c r="U417" s="93"/>
      <c r="V417" s="93"/>
      <c r="W417" s="93"/>
      <c r="X417" s="93"/>
    </row>
    <row r="418" spans="1:24" ht="16">
      <c r="A418" s="93"/>
      <c r="B418" s="94"/>
      <c r="C418" s="93"/>
      <c r="D418" s="93"/>
      <c r="E418" s="93"/>
      <c r="F418" s="93"/>
      <c r="G418" s="93"/>
      <c r="H418" s="93"/>
      <c r="I418" s="94"/>
      <c r="J418" s="94"/>
      <c r="K418" s="93"/>
      <c r="L418" s="93"/>
      <c r="M418" s="93"/>
      <c r="N418" s="93"/>
      <c r="O418" s="93"/>
      <c r="P418" s="93"/>
      <c r="Q418" s="93"/>
      <c r="R418" s="93"/>
      <c r="S418" s="93"/>
      <c r="T418" s="93"/>
      <c r="U418" s="93"/>
      <c r="V418" s="93"/>
      <c r="W418" s="93"/>
      <c r="X418" s="93"/>
    </row>
    <row r="419" spans="1:24" ht="16">
      <c r="A419" s="93"/>
      <c r="B419" s="94"/>
      <c r="C419" s="93"/>
      <c r="D419" s="93"/>
      <c r="E419" s="93"/>
      <c r="F419" s="93"/>
      <c r="G419" s="93"/>
      <c r="H419" s="93"/>
      <c r="I419" s="94"/>
      <c r="J419" s="94"/>
      <c r="K419" s="93"/>
      <c r="L419" s="93"/>
      <c r="M419" s="93"/>
      <c r="N419" s="93"/>
      <c r="O419" s="93"/>
      <c r="P419" s="93"/>
      <c r="Q419" s="93"/>
      <c r="R419" s="93"/>
      <c r="S419" s="93"/>
      <c r="T419" s="93"/>
      <c r="U419" s="93"/>
      <c r="V419" s="93"/>
      <c r="W419" s="93"/>
      <c r="X419" s="93"/>
    </row>
    <row r="420" spans="1:24" ht="16">
      <c r="A420" s="93"/>
      <c r="B420" s="94"/>
      <c r="C420" s="93"/>
      <c r="D420" s="93"/>
      <c r="E420" s="93"/>
      <c r="F420" s="93"/>
      <c r="G420" s="93"/>
      <c r="H420" s="93"/>
      <c r="I420" s="94"/>
      <c r="J420" s="94"/>
      <c r="K420" s="93"/>
      <c r="L420" s="93"/>
      <c r="M420" s="93"/>
      <c r="N420" s="93"/>
      <c r="O420" s="93"/>
      <c r="P420" s="93"/>
      <c r="Q420" s="93"/>
      <c r="R420" s="93"/>
      <c r="S420" s="93"/>
      <c r="T420" s="93"/>
      <c r="U420" s="93"/>
      <c r="V420" s="93"/>
      <c r="W420" s="93"/>
      <c r="X420" s="93"/>
    </row>
    <row r="421" spans="1:24" ht="16">
      <c r="A421" s="93"/>
      <c r="B421" s="94"/>
      <c r="C421" s="93"/>
      <c r="D421" s="93"/>
      <c r="E421" s="93"/>
      <c r="F421" s="93"/>
      <c r="G421" s="93"/>
      <c r="H421" s="93"/>
      <c r="I421" s="94"/>
      <c r="J421" s="94"/>
      <c r="K421" s="93"/>
      <c r="L421" s="93"/>
      <c r="M421" s="93"/>
      <c r="N421" s="93"/>
      <c r="O421" s="93"/>
      <c r="P421" s="93"/>
      <c r="Q421" s="93"/>
      <c r="R421" s="93"/>
      <c r="S421" s="93"/>
      <c r="T421" s="93"/>
      <c r="U421" s="93"/>
      <c r="V421" s="93"/>
      <c r="W421" s="93"/>
      <c r="X421" s="93"/>
    </row>
    <row r="422" spans="1:24" ht="16">
      <c r="A422" s="93"/>
      <c r="B422" s="94"/>
      <c r="C422" s="93"/>
      <c r="D422" s="93"/>
      <c r="E422" s="93"/>
      <c r="F422" s="93"/>
      <c r="G422" s="93"/>
      <c r="H422" s="93"/>
      <c r="I422" s="94"/>
      <c r="J422" s="94"/>
      <c r="K422" s="93"/>
      <c r="L422" s="93"/>
      <c r="M422" s="93"/>
      <c r="N422" s="93"/>
      <c r="O422" s="93"/>
      <c r="P422" s="93"/>
      <c r="Q422" s="93"/>
      <c r="R422" s="93"/>
      <c r="S422" s="93"/>
      <c r="T422" s="93"/>
      <c r="U422" s="93"/>
      <c r="V422" s="93"/>
      <c r="W422" s="93"/>
      <c r="X422" s="93"/>
    </row>
    <row r="423" spans="1:24" ht="16">
      <c r="A423" s="93"/>
      <c r="B423" s="94"/>
      <c r="C423" s="93"/>
      <c r="D423" s="93"/>
      <c r="E423" s="93"/>
      <c r="F423" s="93"/>
      <c r="G423" s="93"/>
      <c r="H423" s="93"/>
      <c r="I423" s="94"/>
      <c r="J423" s="94"/>
      <c r="K423" s="93"/>
      <c r="L423" s="93"/>
      <c r="M423" s="93"/>
      <c r="N423" s="93"/>
      <c r="O423" s="93"/>
      <c r="P423" s="93"/>
      <c r="Q423" s="93"/>
      <c r="R423" s="93"/>
      <c r="S423" s="93"/>
      <c r="T423" s="93"/>
      <c r="U423" s="93"/>
      <c r="V423" s="93"/>
      <c r="W423" s="93"/>
      <c r="X423" s="93"/>
    </row>
    <row r="424" spans="1:24" ht="16">
      <c r="A424" s="93"/>
      <c r="B424" s="94"/>
      <c r="C424" s="93"/>
      <c r="D424" s="93"/>
      <c r="E424" s="93"/>
      <c r="F424" s="93"/>
      <c r="G424" s="93"/>
      <c r="H424" s="93"/>
      <c r="I424" s="94"/>
      <c r="J424" s="94"/>
      <c r="K424" s="93"/>
      <c r="L424" s="93"/>
      <c r="M424" s="93"/>
      <c r="N424" s="93"/>
      <c r="O424" s="93"/>
      <c r="P424" s="93"/>
      <c r="Q424" s="93"/>
      <c r="R424" s="93"/>
      <c r="S424" s="93"/>
      <c r="T424" s="93"/>
      <c r="U424" s="93"/>
      <c r="V424" s="93"/>
      <c r="W424" s="93"/>
      <c r="X424" s="93"/>
    </row>
    <row r="425" spans="1:24" ht="16">
      <c r="A425" s="93"/>
      <c r="B425" s="94"/>
      <c r="C425" s="93"/>
      <c r="D425" s="93"/>
      <c r="E425" s="93"/>
      <c r="F425" s="93"/>
      <c r="G425" s="93"/>
      <c r="H425" s="93"/>
      <c r="I425" s="94"/>
      <c r="J425" s="94"/>
      <c r="K425" s="93"/>
      <c r="L425" s="93"/>
      <c r="M425" s="93"/>
      <c r="N425" s="93"/>
      <c r="O425" s="93"/>
      <c r="P425" s="93"/>
      <c r="Q425" s="93"/>
      <c r="R425" s="93"/>
      <c r="S425" s="93"/>
      <c r="T425" s="93"/>
      <c r="U425" s="93"/>
      <c r="V425" s="93"/>
      <c r="W425" s="93"/>
      <c r="X425" s="93"/>
    </row>
    <row r="426" spans="1:24" ht="16">
      <c r="A426" s="93"/>
      <c r="B426" s="94"/>
      <c r="C426" s="93"/>
      <c r="D426" s="93"/>
      <c r="E426" s="93"/>
      <c r="F426" s="93"/>
      <c r="G426" s="93"/>
      <c r="H426" s="93"/>
      <c r="I426" s="94"/>
      <c r="J426" s="94"/>
      <c r="K426" s="93"/>
      <c r="L426" s="93"/>
      <c r="M426" s="93"/>
      <c r="N426" s="93"/>
      <c r="O426" s="93"/>
      <c r="P426" s="93"/>
      <c r="Q426" s="93"/>
      <c r="R426" s="93"/>
      <c r="S426" s="93"/>
      <c r="T426" s="93"/>
      <c r="U426" s="93"/>
      <c r="V426" s="93"/>
      <c r="W426" s="93"/>
      <c r="X426" s="93"/>
    </row>
    <row r="427" spans="1:24" ht="16">
      <c r="A427" s="93"/>
      <c r="B427" s="94"/>
      <c r="C427" s="93"/>
      <c r="D427" s="93"/>
      <c r="E427" s="93"/>
      <c r="F427" s="93"/>
      <c r="G427" s="93"/>
      <c r="H427" s="93"/>
      <c r="I427" s="94"/>
      <c r="J427" s="94"/>
      <c r="K427" s="93"/>
      <c r="L427" s="93"/>
      <c r="M427" s="93"/>
      <c r="N427" s="93"/>
      <c r="O427" s="93"/>
      <c r="P427" s="93"/>
      <c r="Q427" s="93"/>
      <c r="R427" s="93"/>
      <c r="S427" s="93"/>
      <c r="T427" s="93"/>
      <c r="U427" s="93"/>
      <c r="V427" s="93"/>
      <c r="W427" s="93"/>
      <c r="X427" s="93"/>
    </row>
    <row r="428" spans="1:24" ht="16">
      <c r="A428" s="93"/>
      <c r="B428" s="94"/>
      <c r="C428" s="93"/>
      <c r="D428" s="93"/>
      <c r="E428" s="93"/>
      <c r="F428" s="93"/>
      <c r="G428" s="93"/>
      <c r="H428" s="93"/>
      <c r="I428" s="94"/>
      <c r="J428" s="94"/>
      <c r="K428" s="93"/>
      <c r="L428" s="93"/>
      <c r="M428" s="93"/>
      <c r="N428" s="93"/>
      <c r="O428" s="93"/>
      <c r="P428" s="93"/>
      <c r="Q428" s="93"/>
      <c r="R428" s="93"/>
      <c r="S428" s="93"/>
      <c r="T428" s="93"/>
      <c r="U428" s="93"/>
      <c r="V428" s="93"/>
      <c r="W428" s="93"/>
      <c r="X428" s="93"/>
    </row>
    <row r="429" spans="1:24" ht="16">
      <c r="A429" s="93"/>
      <c r="B429" s="94"/>
      <c r="C429" s="93"/>
      <c r="D429" s="93"/>
      <c r="E429" s="93"/>
      <c r="F429" s="93"/>
      <c r="G429" s="93"/>
      <c r="H429" s="93"/>
      <c r="I429" s="94"/>
      <c r="J429" s="94"/>
      <c r="K429" s="93"/>
      <c r="L429" s="93"/>
      <c r="M429" s="93"/>
      <c r="N429" s="93"/>
      <c r="O429" s="93"/>
      <c r="P429" s="93"/>
      <c r="Q429" s="93"/>
      <c r="R429" s="93"/>
      <c r="S429" s="93"/>
      <c r="T429" s="93"/>
      <c r="U429" s="93"/>
      <c r="V429" s="93"/>
      <c r="W429" s="93"/>
      <c r="X429" s="93"/>
    </row>
    <row r="430" spans="1:24" ht="16">
      <c r="A430" s="93"/>
      <c r="B430" s="94"/>
      <c r="C430" s="93"/>
      <c r="D430" s="93"/>
      <c r="E430" s="93"/>
      <c r="F430" s="93"/>
      <c r="G430" s="93"/>
      <c r="H430" s="93"/>
      <c r="I430" s="94"/>
      <c r="J430" s="94"/>
      <c r="K430" s="93"/>
      <c r="L430" s="93"/>
      <c r="M430" s="93"/>
      <c r="N430" s="93"/>
      <c r="O430" s="93"/>
      <c r="P430" s="93"/>
      <c r="Q430" s="93"/>
      <c r="R430" s="93"/>
      <c r="S430" s="93"/>
      <c r="T430" s="93"/>
      <c r="U430" s="93"/>
      <c r="V430" s="93"/>
      <c r="W430" s="93"/>
      <c r="X430" s="93"/>
    </row>
    <row r="431" spans="1:24" ht="16">
      <c r="A431" s="93"/>
      <c r="B431" s="94"/>
      <c r="C431" s="93"/>
      <c r="D431" s="93"/>
      <c r="E431" s="93"/>
      <c r="F431" s="93"/>
      <c r="G431" s="93"/>
      <c r="H431" s="93"/>
      <c r="I431" s="94"/>
      <c r="J431" s="94"/>
      <c r="K431" s="93"/>
      <c r="L431" s="93"/>
      <c r="M431" s="93"/>
      <c r="N431" s="93"/>
      <c r="O431" s="93"/>
      <c r="P431" s="93"/>
      <c r="Q431" s="93"/>
      <c r="R431" s="93"/>
      <c r="S431" s="93"/>
      <c r="T431" s="93"/>
      <c r="U431" s="93"/>
      <c r="V431" s="93"/>
      <c r="W431" s="93"/>
      <c r="X431" s="93"/>
    </row>
    <row r="432" spans="1:24" ht="16">
      <c r="A432" s="93"/>
      <c r="B432" s="94"/>
      <c r="C432" s="93"/>
      <c r="D432" s="93"/>
      <c r="E432" s="93"/>
      <c r="F432" s="93"/>
      <c r="G432" s="93"/>
      <c r="H432" s="93"/>
      <c r="I432" s="94"/>
      <c r="J432" s="94"/>
      <c r="K432" s="93"/>
      <c r="L432" s="93"/>
      <c r="M432" s="93"/>
      <c r="N432" s="93"/>
      <c r="O432" s="93"/>
      <c r="P432" s="93"/>
      <c r="Q432" s="93"/>
      <c r="R432" s="93"/>
      <c r="S432" s="93"/>
      <c r="T432" s="93"/>
      <c r="U432" s="93"/>
      <c r="V432" s="93"/>
      <c r="W432" s="93"/>
      <c r="X432" s="93"/>
    </row>
    <row r="433" spans="1:24" ht="16">
      <c r="A433" s="93"/>
      <c r="B433" s="94"/>
      <c r="C433" s="93"/>
      <c r="D433" s="93"/>
      <c r="E433" s="93"/>
      <c r="F433" s="93"/>
      <c r="G433" s="93"/>
      <c r="H433" s="93"/>
      <c r="I433" s="94"/>
      <c r="J433" s="94"/>
      <c r="K433" s="93"/>
      <c r="L433" s="93"/>
      <c r="M433" s="93"/>
      <c r="N433" s="93"/>
      <c r="O433" s="93"/>
      <c r="P433" s="93"/>
      <c r="Q433" s="93"/>
      <c r="R433" s="93"/>
      <c r="S433" s="93"/>
      <c r="T433" s="93"/>
      <c r="U433" s="93"/>
      <c r="V433" s="93"/>
      <c r="W433" s="93"/>
      <c r="X433" s="93"/>
    </row>
    <row r="434" spans="1:24" ht="16">
      <c r="A434" s="93"/>
      <c r="B434" s="94"/>
      <c r="C434" s="93"/>
      <c r="D434" s="93"/>
      <c r="E434" s="93"/>
      <c r="F434" s="93"/>
      <c r="G434" s="93"/>
      <c r="H434" s="93"/>
      <c r="I434" s="94"/>
      <c r="J434" s="94"/>
      <c r="K434" s="93"/>
      <c r="L434" s="93"/>
      <c r="M434" s="93"/>
      <c r="N434" s="93"/>
      <c r="O434" s="93"/>
      <c r="P434" s="93"/>
      <c r="Q434" s="93"/>
      <c r="R434" s="93"/>
      <c r="S434" s="93"/>
      <c r="T434" s="93"/>
      <c r="U434" s="93"/>
      <c r="V434" s="93"/>
      <c r="W434" s="93"/>
      <c r="X434" s="93"/>
    </row>
    <row r="435" spans="1:24" ht="16">
      <c r="A435" s="93"/>
      <c r="B435" s="94"/>
      <c r="C435" s="93"/>
      <c r="D435" s="93"/>
      <c r="E435" s="93"/>
      <c r="F435" s="93"/>
      <c r="G435" s="93"/>
      <c r="H435" s="93"/>
      <c r="I435" s="94"/>
      <c r="J435" s="94"/>
      <c r="K435" s="93"/>
      <c r="L435" s="93"/>
      <c r="M435" s="93"/>
      <c r="N435" s="93"/>
      <c r="O435" s="93"/>
      <c r="P435" s="93"/>
      <c r="Q435" s="93"/>
      <c r="R435" s="93"/>
      <c r="S435" s="93"/>
      <c r="T435" s="93"/>
      <c r="U435" s="93"/>
      <c r="V435" s="93"/>
      <c r="W435" s="93"/>
      <c r="X435" s="93"/>
    </row>
    <row r="436" spans="1:24" ht="16">
      <c r="A436" s="93"/>
      <c r="B436" s="94"/>
      <c r="C436" s="93"/>
      <c r="D436" s="93"/>
      <c r="E436" s="93"/>
      <c r="F436" s="93"/>
      <c r="G436" s="93"/>
      <c r="H436" s="93"/>
      <c r="I436" s="94"/>
      <c r="J436" s="94"/>
      <c r="K436" s="93"/>
      <c r="L436" s="93"/>
      <c r="M436" s="93"/>
      <c r="N436" s="93"/>
      <c r="O436" s="93"/>
      <c r="P436" s="93"/>
      <c r="Q436" s="93"/>
      <c r="R436" s="93"/>
      <c r="S436" s="93"/>
      <c r="T436" s="93"/>
      <c r="U436" s="93"/>
      <c r="V436" s="93"/>
      <c r="W436" s="93"/>
      <c r="X436" s="93"/>
    </row>
    <row r="437" spans="1:24" ht="16">
      <c r="A437" s="93"/>
      <c r="B437" s="94"/>
      <c r="C437" s="93"/>
      <c r="D437" s="93"/>
      <c r="E437" s="93"/>
      <c r="F437" s="93"/>
      <c r="G437" s="93"/>
      <c r="H437" s="93"/>
      <c r="I437" s="94"/>
      <c r="J437" s="94"/>
      <c r="K437" s="93"/>
      <c r="L437" s="93"/>
      <c r="M437" s="93"/>
      <c r="N437" s="93"/>
      <c r="O437" s="93"/>
      <c r="P437" s="93"/>
      <c r="Q437" s="93"/>
      <c r="R437" s="93"/>
      <c r="S437" s="93"/>
      <c r="T437" s="93"/>
      <c r="U437" s="93"/>
      <c r="V437" s="93"/>
      <c r="W437" s="93"/>
      <c r="X437" s="93"/>
    </row>
    <row r="438" spans="1:24" ht="16">
      <c r="A438" s="93"/>
      <c r="B438" s="94"/>
      <c r="C438" s="93"/>
      <c r="D438" s="93"/>
      <c r="E438" s="93"/>
      <c r="F438" s="93"/>
      <c r="G438" s="93"/>
      <c r="H438" s="93"/>
      <c r="I438" s="94"/>
      <c r="J438" s="94"/>
      <c r="K438" s="93"/>
      <c r="L438" s="93"/>
      <c r="M438" s="93"/>
      <c r="N438" s="93"/>
      <c r="O438" s="93"/>
      <c r="P438" s="93"/>
      <c r="Q438" s="93"/>
      <c r="R438" s="93"/>
      <c r="S438" s="93"/>
      <c r="T438" s="93"/>
      <c r="U438" s="93"/>
      <c r="V438" s="93"/>
      <c r="W438" s="93"/>
      <c r="X438" s="93"/>
    </row>
    <row r="439" spans="1:24" ht="16">
      <c r="A439" s="93"/>
      <c r="B439" s="94"/>
      <c r="C439" s="93"/>
      <c r="D439" s="93"/>
      <c r="E439" s="93"/>
      <c r="F439" s="93"/>
      <c r="G439" s="93"/>
      <c r="H439" s="93"/>
      <c r="I439" s="94"/>
      <c r="J439" s="94"/>
      <c r="K439" s="93"/>
      <c r="L439" s="93"/>
      <c r="M439" s="93"/>
      <c r="N439" s="93"/>
      <c r="O439" s="93"/>
      <c r="P439" s="93"/>
      <c r="Q439" s="93"/>
      <c r="R439" s="93"/>
      <c r="S439" s="93"/>
      <c r="T439" s="93"/>
      <c r="U439" s="93"/>
      <c r="V439" s="93"/>
      <c r="W439" s="93"/>
      <c r="X439" s="93"/>
    </row>
    <row r="440" spans="1:24" ht="16">
      <c r="A440" s="93"/>
      <c r="B440" s="94"/>
      <c r="C440" s="93"/>
      <c r="D440" s="93"/>
      <c r="E440" s="93"/>
      <c r="F440" s="93"/>
      <c r="G440" s="93"/>
      <c r="H440" s="93"/>
      <c r="I440" s="94"/>
      <c r="J440" s="94"/>
      <c r="K440" s="93"/>
      <c r="L440" s="93"/>
      <c r="M440" s="93"/>
      <c r="N440" s="93"/>
      <c r="O440" s="93"/>
      <c r="P440" s="93"/>
      <c r="Q440" s="93"/>
      <c r="R440" s="93"/>
      <c r="S440" s="93"/>
      <c r="T440" s="93"/>
      <c r="U440" s="93"/>
      <c r="V440" s="93"/>
      <c r="W440" s="93"/>
      <c r="X440" s="93"/>
    </row>
    <row r="441" spans="1:24" ht="16">
      <c r="A441" s="93"/>
      <c r="B441" s="94"/>
      <c r="C441" s="93"/>
      <c r="D441" s="93"/>
      <c r="E441" s="93"/>
      <c r="F441" s="93"/>
      <c r="G441" s="93"/>
      <c r="H441" s="93"/>
      <c r="I441" s="94"/>
      <c r="J441" s="94"/>
      <c r="K441" s="93"/>
      <c r="L441" s="93"/>
      <c r="M441" s="93"/>
      <c r="N441" s="93"/>
      <c r="O441" s="93"/>
      <c r="P441" s="93"/>
      <c r="Q441" s="93"/>
      <c r="R441" s="93"/>
      <c r="S441" s="93"/>
      <c r="T441" s="93"/>
      <c r="U441" s="93"/>
      <c r="V441" s="93"/>
      <c r="W441" s="93"/>
      <c r="X441" s="93"/>
    </row>
    <row r="442" spans="1:24" ht="16">
      <c r="A442" s="93"/>
      <c r="B442" s="94"/>
      <c r="C442" s="93"/>
      <c r="D442" s="93"/>
      <c r="E442" s="93"/>
      <c r="F442" s="93"/>
      <c r="G442" s="93"/>
      <c r="H442" s="93"/>
      <c r="I442" s="94"/>
      <c r="J442" s="94"/>
      <c r="K442" s="93"/>
      <c r="L442" s="93"/>
      <c r="M442" s="93"/>
      <c r="N442" s="93"/>
      <c r="O442" s="93"/>
      <c r="P442" s="93"/>
      <c r="Q442" s="93"/>
      <c r="R442" s="93"/>
      <c r="S442" s="93"/>
      <c r="T442" s="93"/>
      <c r="U442" s="93"/>
      <c r="V442" s="93"/>
      <c r="W442" s="93"/>
      <c r="X442" s="93"/>
    </row>
    <row r="443" spans="1:24" ht="16">
      <c r="A443" s="93"/>
      <c r="B443" s="94"/>
      <c r="C443" s="93"/>
      <c r="D443" s="93"/>
      <c r="E443" s="93"/>
      <c r="F443" s="93"/>
      <c r="G443" s="93"/>
      <c r="H443" s="93"/>
      <c r="I443" s="94"/>
      <c r="J443" s="94"/>
      <c r="K443" s="93"/>
      <c r="L443" s="93"/>
      <c r="M443" s="93"/>
      <c r="N443" s="93"/>
      <c r="O443" s="93"/>
      <c r="P443" s="93"/>
      <c r="Q443" s="93"/>
      <c r="R443" s="93"/>
      <c r="S443" s="93"/>
      <c r="T443" s="93"/>
      <c r="U443" s="93"/>
      <c r="V443" s="93"/>
      <c r="W443" s="93"/>
      <c r="X443" s="93"/>
    </row>
    <row r="444" spans="1:24" ht="16">
      <c r="A444" s="93"/>
      <c r="B444" s="94"/>
      <c r="C444" s="93"/>
      <c r="D444" s="93"/>
      <c r="E444" s="93"/>
      <c r="F444" s="93"/>
      <c r="G444" s="93"/>
      <c r="H444" s="93"/>
      <c r="I444" s="94"/>
      <c r="J444" s="94"/>
      <c r="K444" s="93"/>
      <c r="L444" s="93"/>
      <c r="M444" s="93"/>
      <c r="N444" s="93"/>
      <c r="O444" s="93"/>
      <c r="P444" s="93"/>
      <c r="Q444" s="93"/>
      <c r="R444" s="93"/>
      <c r="S444" s="93"/>
      <c r="T444" s="93"/>
      <c r="U444" s="93"/>
      <c r="V444" s="93"/>
      <c r="W444" s="93"/>
      <c r="X444" s="93"/>
    </row>
    <row r="445" spans="1:24" ht="16">
      <c r="A445" s="93"/>
      <c r="B445" s="94"/>
      <c r="C445" s="93"/>
      <c r="D445" s="93"/>
      <c r="E445" s="93"/>
      <c r="F445" s="93"/>
      <c r="G445" s="93"/>
      <c r="H445" s="93"/>
      <c r="I445" s="94"/>
      <c r="J445" s="94"/>
      <c r="K445" s="93"/>
      <c r="L445" s="93"/>
      <c r="M445" s="93"/>
      <c r="N445" s="93"/>
      <c r="O445" s="93"/>
      <c r="P445" s="93"/>
      <c r="Q445" s="93"/>
      <c r="R445" s="93"/>
      <c r="S445" s="93"/>
      <c r="T445" s="93"/>
      <c r="U445" s="93"/>
      <c r="V445" s="93"/>
      <c r="W445" s="93"/>
      <c r="X445" s="93"/>
    </row>
    <row r="446" spans="1:24" ht="16">
      <c r="A446" s="93"/>
      <c r="B446" s="94"/>
      <c r="C446" s="93"/>
      <c r="D446" s="93"/>
      <c r="E446" s="93"/>
      <c r="F446" s="93"/>
      <c r="G446" s="93"/>
      <c r="H446" s="93"/>
      <c r="I446" s="94"/>
      <c r="J446" s="94"/>
      <c r="K446" s="93"/>
      <c r="L446" s="93"/>
      <c r="M446" s="93"/>
      <c r="N446" s="93"/>
      <c r="O446" s="93"/>
      <c r="P446" s="93"/>
      <c r="Q446" s="93"/>
      <c r="R446" s="93"/>
      <c r="S446" s="93"/>
      <c r="T446" s="93"/>
      <c r="U446" s="93"/>
      <c r="V446" s="93"/>
      <c r="W446" s="93"/>
      <c r="X446" s="93"/>
    </row>
    <row r="447" spans="1:24" ht="16">
      <c r="A447" s="93"/>
      <c r="B447" s="94"/>
      <c r="C447" s="93"/>
      <c r="D447" s="93"/>
      <c r="E447" s="93"/>
      <c r="F447" s="93"/>
      <c r="G447" s="93"/>
      <c r="H447" s="93"/>
      <c r="I447" s="94"/>
      <c r="J447" s="94"/>
      <c r="K447" s="93"/>
      <c r="L447" s="93"/>
      <c r="M447" s="93"/>
      <c r="N447" s="93"/>
      <c r="O447" s="93"/>
      <c r="P447" s="93"/>
      <c r="Q447" s="93"/>
      <c r="R447" s="93"/>
      <c r="S447" s="93"/>
      <c r="T447" s="93"/>
      <c r="U447" s="93"/>
      <c r="V447" s="93"/>
      <c r="W447" s="93"/>
      <c r="X447" s="93"/>
    </row>
    <row r="448" spans="1:24" ht="16">
      <c r="A448" s="93"/>
      <c r="B448" s="94"/>
      <c r="C448" s="93"/>
      <c r="D448" s="93"/>
      <c r="E448" s="93"/>
      <c r="F448" s="93"/>
      <c r="G448" s="93"/>
      <c r="H448" s="93"/>
      <c r="I448" s="94"/>
      <c r="J448" s="94"/>
      <c r="K448" s="93"/>
      <c r="L448" s="93"/>
      <c r="M448" s="93"/>
      <c r="N448" s="93"/>
      <c r="O448" s="93"/>
      <c r="P448" s="93"/>
      <c r="Q448" s="93"/>
      <c r="R448" s="93"/>
      <c r="S448" s="93"/>
      <c r="T448" s="93"/>
      <c r="U448" s="93"/>
      <c r="V448" s="93"/>
      <c r="W448" s="93"/>
      <c r="X448" s="93"/>
    </row>
    <row r="449" spans="1:24" ht="16">
      <c r="A449" s="93"/>
      <c r="B449" s="94"/>
      <c r="C449" s="93"/>
      <c r="D449" s="93"/>
      <c r="E449" s="93"/>
      <c r="F449" s="93"/>
      <c r="G449" s="93"/>
      <c r="H449" s="93"/>
      <c r="I449" s="94"/>
      <c r="J449" s="94"/>
      <c r="K449" s="93"/>
      <c r="L449" s="93"/>
      <c r="M449" s="93"/>
      <c r="N449" s="93"/>
      <c r="O449" s="93"/>
      <c r="P449" s="93"/>
      <c r="Q449" s="93"/>
      <c r="R449" s="93"/>
      <c r="S449" s="93"/>
      <c r="T449" s="93"/>
      <c r="U449" s="93"/>
      <c r="V449" s="93"/>
      <c r="W449" s="93"/>
      <c r="X449" s="93"/>
    </row>
    <row r="450" spans="1:24" ht="16">
      <c r="A450" s="93"/>
      <c r="B450" s="94"/>
      <c r="C450" s="93"/>
      <c r="D450" s="93"/>
      <c r="E450" s="93"/>
      <c r="F450" s="93"/>
      <c r="G450" s="93"/>
      <c r="H450" s="93"/>
      <c r="I450" s="94"/>
      <c r="J450" s="94"/>
      <c r="K450" s="93"/>
      <c r="L450" s="93"/>
      <c r="M450" s="93"/>
      <c r="N450" s="93"/>
      <c r="O450" s="93"/>
      <c r="P450" s="93"/>
      <c r="Q450" s="93"/>
      <c r="R450" s="93"/>
      <c r="S450" s="93"/>
      <c r="T450" s="93"/>
      <c r="U450" s="93"/>
      <c r="V450" s="93"/>
      <c r="W450" s="93"/>
      <c r="X450" s="93"/>
    </row>
    <row r="451" spans="1:24" ht="16">
      <c r="A451" s="93"/>
      <c r="B451" s="94"/>
      <c r="C451" s="93"/>
      <c r="D451" s="93"/>
      <c r="E451" s="93"/>
      <c r="F451" s="93"/>
      <c r="G451" s="93"/>
      <c r="H451" s="93"/>
      <c r="I451" s="94"/>
      <c r="J451" s="94"/>
      <c r="K451" s="93"/>
      <c r="L451" s="93"/>
      <c r="M451" s="93"/>
      <c r="N451" s="93"/>
      <c r="O451" s="93"/>
      <c r="P451" s="93"/>
      <c r="Q451" s="93"/>
      <c r="R451" s="93"/>
      <c r="S451" s="93"/>
      <c r="T451" s="93"/>
      <c r="U451" s="93"/>
      <c r="V451" s="93"/>
      <c r="W451" s="93"/>
      <c r="X451" s="93"/>
    </row>
    <row r="452" spans="1:24" ht="16">
      <c r="A452" s="93"/>
      <c r="B452" s="94"/>
      <c r="C452" s="93"/>
      <c r="D452" s="93"/>
      <c r="E452" s="93"/>
      <c r="F452" s="93"/>
      <c r="G452" s="93"/>
      <c r="H452" s="93"/>
      <c r="I452" s="94"/>
      <c r="J452" s="94"/>
      <c r="K452" s="93"/>
      <c r="L452" s="93"/>
      <c r="M452" s="93"/>
      <c r="N452" s="93"/>
      <c r="O452" s="93"/>
      <c r="P452" s="93"/>
      <c r="Q452" s="93"/>
      <c r="R452" s="93"/>
      <c r="S452" s="93"/>
      <c r="T452" s="93"/>
      <c r="U452" s="93"/>
      <c r="V452" s="93"/>
      <c r="W452" s="93"/>
      <c r="X452" s="93"/>
    </row>
    <row r="453" spans="1:24" ht="16">
      <c r="A453" s="93"/>
      <c r="B453" s="94"/>
      <c r="C453" s="93"/>
      <c r="D453" s="93"/>
      <c r="E453" s="93"/>
      <c r="F453" s="93"/>
      <c r="G453" s="93"/>
      <c r="H453" s="93"/>
      <c r="I453" s="94"/>
      <c r="J453" s="94"/>
      <c r="K453" s="93"/>
      <c r="L453" s="93"/>
      <c r="M453" s="93"/>
      <c r="N453" s="93"/>
      <c r="O453" s="93"/>
      <c r="P453" s="93"/>
      <c r="Q453" s="93"/>
      <c r="R453" s="93"/>
      <c r="S453" s="93"/>
      <c r="T453" s="93"/>
      <c r="U453" s="93"/>
      <c r="V453" s="93"/>
      <c r="W453" s="93"/>
      <c r="X453" s="93"/>
    </row>
    <row r="454" spans="1:24" ht="16">
      <c r="A454" s="93"/>
      <c r="B454" s="94"/>
      <c r="C454" s="93"/>
      <c r="D454" s="93"/>
      <c r="E454" s="93"/>
      <c r="F454" s="93"/>
      <c r="G454" s="93"/>
      <c r="H454" s="93"/>
      <c r="I454" s="94"/>
      <c r="J454" s="94"/>
      <c r="K454" s="93"/>
      <c r="L454" s="93"/>
      <c r="M454" s="93"/>
      <c r="N454" s="93"/>
      <c r="O454" s="93"/>
      <c r="P454" s="93"/>
      <c r="Q454" s="93"/>
      <c r="R454" s="93"/>
      <c r="S454" s="93"/>
      <c r="T454" s="93"/>
      <c r="U454" s="93"/>
      <c r="V454" s="93"/>
      <c r="W454" s="93"/>
      <c r="X454" s="93"/>
    </row>
    <row r="455" spans="1:24" ht="16">
      <c r="A455" s="93"/>
      <c r="B455" s="94"/>
      <c r="C455" s="93"/>
      <c r="D455" s="93"/>
      <c r="E455" s="93"/>
      <c r="F455" s="93"/>
      <c r="G455" s="93"/>
      <c r="H455" s="93"/>
      <c r="I455" s="94"/>
      <c r="J455" s="94"/>
      <c r="K455" s="93"/>
      <c r="L455" s="93"/>
      <c r="M455" s="93"/>
      <c r="N455" s="93"/>
      <c r="O455" s="93"/>
      <c r="P455" s="93"/>
      <c r="Q455" s="93"/>
      <c r="R455" s="93"/>
      <c r="S455" s="93"/>
      <c r="T455" s="93"/>
      <c r="U455" s="93"/>
      <c r="V455" s="93"/>
      <c r="W455" s="93"/>
      <c r="X455" s="93"/>
    </row>
    <row r="456" spans="1:24" ht="16">
      <c r="A456" s="93"/>
      <c r="B456" s="94"/>
      <c r="C456" s="93"/>
      <c r="D456" s="93"/>
      <c r="E456" s="93"/>
      <c r="F456" s="93"/>
      <c r="G456" s="93"/>
      <c r="H456" s="93"/>
      <c r="I456" s="94"/>
      <c r="J456" s="94"/>
      <c r="K456" s="93"/>
      <c r="L456" s="93"/>
      <c r="M456" s="93"/>
      <c r="N456" s="93"/>
      <c r="O456" s="93"/>
      <c r="P456" s="93"/>
      <c r="Q456" s="93"/>
      <c r="R456" s="93"/>
      <c r="S456" s="93"/>
      <c r="T456" s="93"/>
      <c r="U456" s="93"/>
      <c r="V456" s="93"/>
      <c r="W456" s="93"/>
      <c r="X456" s="93"/>
    </row>
    <row r="457" spans="1:24" ht="16">
      <c r="A457" s="93"/>
      <c r="B457" s="94"/>
      <c r="C457" s="93"/>
      <c r="D457" s="93"/>
      <c r="E457" s="93"/>
      <c r="F457" s="93"/>
      <c r="G457" s="93"/>
      <c r="H457" s="93"/>
      <c r="I457" s="94"/>
      <c r="J457" s="94"/>
      <c r="K457" s="93"/>
      <c r="L457" s="93"/>
      <c r="M457" s="93"/>
      <c r="N457" s="93"/>
      <c r="O457" s="93"/>
      <c r="P457" s="93"/>
      <c r="Q457" s="93"/>
      <c r="R457" s="93"/>
      <c r="S457" s="93"/>
      <c r="T457" s="93"/>
      <c r="U457" s="93"/>
      <c r="V457" s="93"/>
      <c r="W457" s="93"/>
      <c r="X457" s="93"/>
    </row>
    <row r="458" spans="1:24" ht="16">
      <c r="A458" s="93"/>
      <c r="B458" s="94"/>
      <c r="C458" s="93"/>
      <c r="D458" s="93"/>
      <c r="E458" s="93"/>
      <c r="F458" s="93"/>
      <c r="G458" s="93"/>
      <c r="H458" s="93"/>
      <c r="I458" s="94"/>
      <c r="J458" s="94"/>
      <c r="K458" s="93"/>
      <c r="L458" s="93"/>
      <c r="M458" s="93"/>
      <c r="N458" s="93"/>
      <c r="O458" s="93"/>
      <c r="P458" s="93"/>
      <c r="Q458" s="93"/>
      <c r="R458" s="93"/>
      <c r="S458" s="93"/>
      <c r="T458" s="93"/>
      <c r="U458" s="93"/>
      <c r="V458" s="93"/>
      <c r="W458" s="93"/>
      <c r="X458" s="93"/>
    </row>
    <row r="459" spans="1:24" ht="16">
      <c r="A459" s="93"/>
      <c r="B459" s="94"/>
      <c r="C459" s="93"/>
      <c r="D459" s="93"/>
      <c r="E459" s="93"/>
      <c r="F459" s="93"/>
      <c r="G459" s="93"/>
      <c r="H459" s="93"/>
      <c r="I459" s="94"/>
      <c r="J459" s="94"/>
      <c r="K459" s="93"/>
      <c r="L459" s="93"/>
      <c r="M459" s="93"/>
      <c r="N459" s="93"/>
      <c r="O459" s="93"/>
      <c r="P459" s="93"/>
      <c r="Q459" s="93"/>
      <c r="R459" s="93"/>
      <c r="S459" s="93"/>
      <c r="T459" s="93"/>
      <c r="U459" s="93"/>
      <c r="V459" s="93"/>
      <c r="W459" s="93"/>
      <c r="X459" s="93"/>
    </row>
    <row r="460" spans="1:24" ht="16">
      <c r="A460" s="93"/>
      <c r="B460" s="94"/>
      <c r="C460" s="93"/>
      <c r="D460" s="93"/>
      <c r="E460" s="93"/>
      <c r="F460" s="93"/>
      <c r="G460" s="93"/>
      <c r="H460" s="93"/>
      <c r="I460" s="94"/>
      <c r="J460" s="94"/>
      <c r="K460" s="93"/>
      <c r="L460" s="93"/>
      <c r="M460" s="93"/>
      <c r="N460" s="93"/>
      <c r="O460" s="93"/>
      <c r="P460" s="93"/>
      <c r="Q460" s="93"/>
      <c r="R460" s="93"/>
      <c r="S460" s="93"/>
      <c r="T460" s="93"/>
      <c r="U460" s="93"/>
      <c r="V460" s="93"/>
      <c r="W460" s="93"/>
      <c r="X460" s="93"/>
    </row>
    <row r="461" spans="1:24" ht="16">
      <c r="A461" s="93"/>
      <c r="B461" s="94"/>
      <c r="C461" s="93"/>
      <c r="D461" s="93"/>
      <c r="E461" s="93"/>
      <c r="F461" s="93"/>
      <c r="G461" s="93"/>
      <c r="H461" s="93"/>
      <c r="I461" s="94"/>
      <c r="J461" s="94"/>
      <c r="K461" s="93"/>
      <c r="L461" s="93"/>
      <c r="M461" s="93"/>
      <c r="N461" s="93"/>
      <c r="O461" s="93"/>
      <c r="P461" s="93"/>
      <c r="Q461" s="93"/>
      <c r="R461" s="93"/>
      <c r="S461" s="93"/>
      <c r="T461" s="93"/>
      <c r="U461" s="93"/>
      <c r="V461" s="93"/>
      <c r="W461" s="93"/>
      <c r="X461" s="93"/>
    </row>
    <row r="462" spans="1:24" ht="16">
      <c r="A462" s="93"/>
      <c r="B462" s="94"/>
      <c r="C462" s="93"/>
      <c r="D462" s="93"/>
      <c r="E462" s="93"/>
      <c r="F462" s="93"/>
      <c r="G462" s="93"/>
      <c r="H462" s="93"/>
      <c r="I462" s="94"/>
      <c r="J462" s="94"/>
      <c r="K462" s="93"/>
      <c r="L462" s="93"/>
      <c r="M462" s="93"/>
      <c r="N462" s="93"/>
      <c r="O462" s="93"/>
      <c r="P462" s="93"/>
      <c r="Q462" s="93"/>
      <c r="R462" s="93"/>
      <c r="S462" s="93"/>
      <c r="T462" s="93"/>
      <c r="U462" s="93"/>
      <c r="V462" s="93"/>
      <c r="W462" s="93"/>
      <c r="X462" s="93"/>
    </row>
    <row r="463" spans="1:24" ht="16">
      <c r="A463" s="93"/>
      <c r="B463" s="94"/>
      <c r="C463" s="93"/>
      <c r="D463" s="93"/>
      <c r="E463" s="93"/>
      <c r="F463" s="93"/>
      <c r="G463" s="93"/>
      <c r="H463" s="93"/>
      <c r="I463" s="94"/>
      <c r="J463" s="94"/>
      <c r="K463" s="93"/>
      <c r="L463" s="93"/>
      <c r="M463" s="93"/>
      <c r="N463" s="93"/>
      <c r="O463" s="93"/>
      <c r="P463" s="93"/>
      <c r="Q463" s="93"/>
      <c r="R463" s="93"/>
      <c r="S463" s="93"/>
      <c r="T463" s="93"/>
      <c r="U463" s="93"/>
      <c r="V463" s="93"/>
      <c r="W463" s="93"/>
      <c r="X463" s="93"/>
    </row>
    <row r="464" spans="1:24" ht="16">
      <c r="A464" s="93"/>
      <c r="B464" s="94"/>
      <c r="C464" s="93"/>
      <c r="D464" s="93"/>
      <c r="E464" s="93"/>
      <c r="F464" s="93"/>
      <c r="G464" s="93"/>
      <c r="H464" s="93"/>
      <c r="I464" s="94"/>
      <c r="J464" s="94"/>
      <c r="K464" s="93"/>
      <c r="L464" s="93"/>
      <c r="M464" s="93"/>
      <c r="N464" s="93"/>
      <c r="O464" s="93"/>
      <c r="P464" s="93"/>
      <c r="Q464" s="93"/>
      <c r="R464" s="93"/>
      <c r="S464" s="93"/>
      <c r="T464" s="93"/>
      <c r="U464" s="93"/>
      <c r="V464" s="93"/>
      <c r="W464" s="93"/>
      <c r="X464" s="93"/>
    </row>
    <row r="465" spans="1:24" ht="16">
      <c r="A465" s="93"/>
      <c r="B465" s="94"/>
      <c r="C465" s="93"/>
      <c r="D465" s="93"/>
      <c r="E465" s="93"/>
      <c r="F465" s="93"/>
      <c r="G465" s="93"/>
      <c r="H465" s="93"/>
      <c r="I465" s="94"/>
      <c r="J465" s="94"/>
      <c r="K465" s="93"/>
      <c r="L465" s="93"/>
      <c r="M465" s="93"/>
      <c r="N465" s="93"/>
      <c r="O465" s="93"/>
      <c r="P465" s="93"/>
      <c r="Q465" s="93"/>
      <c r="R465" s="93"/>
      <c r="S465" s="93"/>
      <c r="T465" s="93"/>
      <c r="U465" s="93"/>
      <c r="V465" s="93"/>
      <c r="W465" s="93"/>
      <c r="X465" s="93"/>
    </row>
    <row r="466" spans="1:24" ht="16">
      <c r="A466" s="93"/>
      <c r="B466" s="94"/>
      <c r="C466" s="93"/>
      <c r="D466" s="93"/>
      <c r="E466" s="93"/>
      <c r="F466" s="93"/>
      <c r="G466" s="93"/>
      <c r="H466" s="93"/>
      <c r="I466" s="94"/>
      <c r="J466" s="94"/>
      <c r="K466" s="93"/>
      <c r="L466" s="93"/>
      <c r="M466" s="93"/>
      <c r="N466" s="93"/>
      <c r="O466" s="93"/>
      <c r="P466" s="93"/>
      <c r="Q466" s="93"/>
      <c r="R466" s="93"/>
      <c r="S466" s="93"/>
      <c r="T466" s="93"/>
      <c r="U466" s="93"/>
      <c r="V466" s="93"/>
      <c r="W466" s="93"/>
      <c r="X466" s="93"/>
    </row>
    <row r="467" spans="1:24" ht="16">
      <c r="A467" s="93"/>
      <c r="B467" s="94"/>
      <c r="C467" s="93"/>
      <c r="D467" s="93"/>
      <c r="E467" s="93"/>
      <c r="F467" s="93"/>
      <c r="G467" s="93"/>
      <c r="H467" s="93"/>
      <c r="I467" s="94"/>
      <c r="J467" s="94"/>
      <c r="K467" s="93"/>
      <c r="L467" s="93"/>
      <c r="M467" s="93"/>
      <c r="N467" s="93"/>
      <c r="O467" s="93"/>
      <c r="P467" s="93"/>
      <c r="Q467" s="93"/>
      <c r="R467" s="93"/>
      <c r="S467" s="93"/>
      <c r="T467" s="93"/>
      <c r="U467" s="93"/>
      <c r="V467" s="93"/>
      <c r="W467" s="93"/>
      <c r="X467" s="93"/>
    </row>
    <row r="468" spans="1:24" ht="16">
      <c r="A468" s="93"/>
      <c r="B468" s="94"/>
      <c r="C468" s="93"/>
      <c r="D468" s="93"/>
      <c r="E468" s="93"/>
      <c r="F468" s="93"/>
      <c r="G468" s="93"/>
      <c r="H468" s="93"/>
      <c r="I468" s="94"/>
      <c r="J468" s="94"/>
      <c r="K468" s="93"/>
      <c r="L468" s="93"/>
      <c r="M468" s="93"/>
      <c r="N468" s="93"/>
      <c r="O468" s="93"/>
      <c r="P468" s="93"/>
      <c r="Q468" s="93"/>
      <c r="R468" s="93"/>
      <c r="S468" s="93"/>
      <c r="T468" s="93"/>
      <c r="U468" s="93"/>
      <c r="V468" s="93"/>
      <c r="W468" s="93"/>
      <c r="X468" s="93"/>
    </row>
    <row r="469" spans="1:24" ht="16">
      <c r="A469" s="93"/>
      <c r="B469" s="94"/>
      <c r="C469" s="93"/>
      <c r="D469" s="93"/>
      <c r="E469" s="93"/>
      <c r="F469" s="93"/>
      <c r="G469" s="93"/>
      <c r="H469" s="93"/>
      <c r="I469" s="94"/>
      <c r="J469" s="94"/>
      <c r="K469" s="93"/>
      <c r="L469" s="93"/>
      <c r="M469" s="93"/>
      <c r="N469" s="93"/>
      <c r="O469" s="93"/>
      <c r="P469" s="93"/>
      <c r="Q469" s="93"/>
      <c r="R469" s="93"/>
      <c r="S469" s="93"/>
      <c r="T469" s="93"/>
      <c r="U469" s="93"/>
      <c r="V469" s="93"/>
      <c r="W469" s="93"/>
      <c r="X469" s="93"/>
    </row>
    <row r="470" spans="1:24" ht="16">
      <c r="A470" s="93"/>
      <c r="B470" s="94"/>
      <c r="C470" s="93"/>
      <c r="D470" s="93"/>
      <c r="E470" s="93"/>
      <c r="F470" s="93"/>
      <c r="G470" s="93"/>
      <c r="H470" s="93"/>
      <c r="I470" s="94"/>
      <c r="J470" s="94"/>
      <c r="K470" s="93"/>
      <c r="L470" s="93"/>
      <c r="M470" s="93"/>
      <c r="N470" s="93"/>
      <c r="O470" s="93"/>
      <c r="P470" s="93"/>
      <c r="Q470" s="93"/>
      <c r="R470" s="93"/>
      <c r="S470" s="93"/>
      <c r="T470" s="93"/>
      <c r="U470" s="93"/>
      <c r="V470" s="93"/>
      <c r="W470" s="93"/>
      <c r="X470" s="93"/>
    </row>
    <row r="471" spans="1:24" ht="16">
      <c r="A471" s="93"/>
      <c r="B471" s="94"/>
      <c r="C471" s="93"/>
      <c r="D471" s="93"/>
      <c r="E471" s="93"/>
      <c r="F471" s="93"/>
      <c r="G471" s="93"/>
      <c r="H471" s="93"/>
      <c r="I471" s="94"/>
      <c r="J471" s="94"/>
      <c r="K471" s="93"/>
      <c r="L471" s="93"/>
      <c r="M471" s="93"/>
      <c r="N471" s="93"/>
      <c r="O471" s="93"/>
      <c r="P471" s="93"/>
      <c r="Q471" s="93"/>
      <c r="R471" s="93"/>
      <c r="S471" s="93"/>
      <c r="T471" s="93"/>
      <c r="U471" s="93"/>
      <c r="V471" s="93"/>
      <c r="W471" s="93"/>
      <c r="X471" s="93"/>
    </row>
    <row r="472" spans="1:24" ht="16">
      <c r="A472" s="93"/>
      <c r="B472" s="94"/>
      <c r="C472" s="93"/>
      <c r="D472" s="93"/>
      <c r="E472" s="93"/>
      <c r="F472" s="93"/>
      <c r="G472" s="93"/>
      <c r="H472" s="93"/>
      <c r="I472" s="94"/>
      <c r="J472" s="94"/>
      <c r="K472" s="93"/>
      <c r="L472" s="93"/>
      <c r="M472" s="93"/>
      <c r="N472" s="93"/>
      <c r="O472" s="93"/>
      <c r="P472" s="93"/>
      <c r="Q472" s="93"/>
      <c r="R472" s="93"/>
      <c r="S472" s="93"/>
      <c r="T472" s="93"/>
      <c r="U472" s="93"/>
      <c r="V472" s="93"/>
      <c r="W472" s="93"/>
      <c r="X472" s="93"/>
    </row>
    <row r="473" spans="1:24" ht="16">
      <c r="A473" s="93"/>
      <c r="B473" s="94"/>
      <c r="C473" s="93"/>
      <c r="D473" s="93"/>
      <c r="E473" s="93"/>
      <c r="F473" s="93"/>
      <c r="G473" s="93"/>
      <c r="H473" s="93"/>
      <c r="I473" s="94"/>
      <c r="J473" s="94"/>
      <c r="K473" s="93"/>
      <c r="L473" s="93"/>
      <c r="M473" s="93"/>
      <c r="N473" s="93"/>
      <c r="O473" s="93"/>
      <c r="P473" s="93"/>
      <c r="Q473" s="93"/>
      <c r="R473" s="93"/>
      <c r="S473" s="93"/>
      <c r="T473" s="93"/>
      <c r="U473" s="93"/>
      <c r="V473" s="93"/>
      <c r="W473" s="93"/>
      <c r="X473" s="93"/>
    </row>
    <row r="474" spans="1:24" ht="16">
      <c r="A474" s="93"/>
      <c r="B474" s="94"/>
      <c r="C474" s="93"/>
      <c r="D474" s="93"/>
      <c r="E474" s="93"/>
      <c r="F474" s="93"/>
      <c r="G474" s="93"/>
      <c r="H474" s="93"/>
      <c r="I474" s="94"/>
      <c r="J474" s="94"/>
      <c r="K474" s="93"/>
      <c r="L474" s="93"/>
      <c r="M474" s="93"/>
      <c r="N474" s="93"/>
      <c r="O474" s="93"/>
      <c r="P474" s="93"/>
      <c r="Q474" s="93"/>
      <c r="R474" s="93"/>
      <c r="S474" s="93"/>
      <c r="T474" s="93"/>
      <c r="U474" s="93"/>
      <c r="V474" s="93"/>
      <c r="W474" s="93"/>
      <c r="X474" s="93"/>
    </row>
    <row r="475" spans="1:24" ht="16">
      <c r="A475" s="93"/>
      <c r="B475" s="94"/>
      <c r="C475" s="93"/>
      <c r="D475" s="93"/>
      <c r="E475" s="93"/>
      <c r="F475" s="93"/>
      <c r="G475" s="93"/>
      <c r="H475" s="93"/>
      <c r="I475" s="94"/>
      <c r="J475" s="94"/>
      <c r="K475" s="93"/>
      <c r="L475" s="93"/>
      <c r="M475" s="93"/>
      <c r="N475" s="93"/>
      <c r="O475" s="93"/>
      <c r="P475" s="93"/>
      <c r="Q475" s="93"/>
      <c r="R475" s="93"/>
      <c r="S475" s="93"/>
      <c r="T475" s="93"/>
      <c r="U475" s="93"/>
      <c r="V475" s="93"/>
      <c r="W475" s="93"/>
      <c r="X475" s="93"/>
    </row>
    <row r="476" spans="1:24" ht="16">
      <c r="A476" s="93"/>
      <c r="B476" s="94"/>
      <c r="C476" s="93"/>
      <c r="D476" s="93"/>
      <c r="E476" s="93"/>
      <c r="F476" s="93"/>
      <c r="G476" s="93"/>
      <c r="H476" s="93"/>
      <c r="I476" s="94"/>
      <c r="J476" s="94"/>
      <c r="K476" s="93"/>
      <c r="L476" s="93"/>
      <c r="M476" s="93"/>
      <c r="N476" s="93"/>
      <c r="O476" s="93"/>
      <c r="P476" s="93"/>
      <c r="Q476" s="93"/>
      <c r="R476" s="93"/>
      <c r="S476" s="93"/>
      <c r="T476" s="93"/>
      <c r="U476" s="93"/>
      <c r="V476" s="93"/>
      <c r="W476" s="93"/>
      <c r="X476" s="93"/>
    </row>
    <row r="477" spans="1:24" ht="16">
      <c r="A477" s="93"/>
      <c r="B477" s="94"/>
      <c r="C477" s="93"/>
      <c r="D477" s="93"/>
      <c r="E477" s="93"/>
      <c r="F477" s="93"/>
      <c r="G477" s="93"/>
      <c r="H477" s="93"/>
      <c r="I477" s="94"/>
      <c r="J477" s="94"/>
      <c r="K477" s="93"/>
      <c r="L477" s="93"/>
      <c r="M477" s="93"/>
      <c r="N477" s="93"/>
      <c r="O477" s="93"/>
      <c r="P477" s="93"/>
      <c r="Q477" s="93"/>
      <c r="R477" s="93"/>
      <c r="S477" s="93"/>
      <c r="T477" s="93"/>
      <c r="U477" s="93"/>
      <c r="V477" s="93"/>
      <c r="W477" s="93"/>
      <c r="X477" s="93"/>
    </row>
    <row r="478" spans="1:24" ht="16">
      <c r="A478" s="93"/>
      <c r="B478" s="94"/>
      <c r="C478" s="93"/>
      <c r="D478" s="93"/>
      <c r="E478" s="93"/>
      <c r="F478" s="93"/>
      <c r="G478" s="93"/>
      <c r="H478" s="93"/>
      <c r="I478" s="94"/>
      <c r="J478" s="94"/>
      <c r="K478" s="93"/>
      <c r="L478" s="93"/>
      <c r="M478" s="93"/>
      <c r="N478" s="93"/>
      <c r="O478" s="93"/>
      <c r="P478" s="93"/>
      <c r="Q478" s="93"/>
      <c r="R478" s="93"/>
      <c r="S478" s="93"/>
      <c r="T478" s="93"/>
      <c r="U478" s="93"/>
      <c r="V478" s="93"/>
      <c r="W478" s="93"/>
      <c r="X478" s="93"/>
    </row>
    <row r="479" spans="1:24" ht="16">
      <c r="A479" s="93"/>
      <c r="B479" s="94"/>
      <c r="C479" s="93"/>
      <c r="D479" s="93"/>
      <c r="E479" s="93"/>
      <c r="F479" s="93"/>
      <c r="G479" s="93"/>
      <c r="H479" s="93"/>
      <c r="I479" s="94"/>
      <c r="J479" s="94"/>
      <c r="K479" s="93"/>
      <c r="L479" s="93"/>
      <c r="M479" s="93"/>
      <c r="N479" s="93"/>
      <c r="O479" s="93"/>
      <c r="P479" s="93"/>
      <c r="Q479" s="93"/>
      <c r="R479" s="93"/>
      <c r="S479" s="93"/>
      <c r="T479" s="93"/>
      <c r="U479" s="93"/>
      <c r="V479" s="93"/>
      <c r="W479" s="93"/>
      <c r="X479" s="93"/>
    </row>
    <row r="480" spans="1:24" ht="16">
      <c r="A480" s="93"/>
      <c r="B480" s="94"/>
      <c r="C480" s="93"/>
      <c r="D480" s="93"/>
      <c r="E480" s="93"/>
      <c r="F480" s="93"/>
      <c r="G480" s="93"/>
      <c r="H480" s="93"/>
      <c r="I480" s="94"/>
      <c r="J480" s="94"/>
      <c r="K480" s="93"/>
      <c r="L480" s="93"/>
      <c r="M480" s="93"/>
      <c r="N480" s="93"/>
      <c r="O480" s="93"/>
      <c r="P480" s="93"/>
      <c r="Q480" s="93"/>
      <c r="R480" s="93"/>
      <c r="S480" s="93"/>
      <c r="T480" s="93"/>
      <c r="U480" s="93"/>
      <c r="V480" s="93"/>
      <c r="W480" s="93"/>
      <c r="X480" s="93"/>
    </row>
    <row r="481" spans="1:24" ht="16">
      <c r="A481" s="93"/>
      <c r="B481" s="94"/>
      <c r="C481" s="93"/>
      <c r="D481" s="93"/>
      <c r="E481" s="93"/>
      <c r="F481" s="93"/>
      <c r="G481" s="93"/>
      <c r="H481" s="93"/>
      <c r="I481" s="94"/>
      <c r="J481" s="94"/>
      <c r="K481" s="93"/>
      <c r="L481" s="93"/>
      <c r="M481" s="93"/>
      <c r="N481" s="93"/>
      <c r="O481" s="93"/>
      <c r="P481" s="93"/>
      <c r="Q481" s="93"/>
      <c r="R481" s="93"/>
      <c r="S481" s="93"/>
      <c r="T481" s="93"/>
      <c r="U481" s="93"/>
      <c r="V481" s="93"/>
      <c r="W481" s="93"/>
      <c r="X481" s="93"/>
    </row>
    <row r="482" spans="1:24" ht="16">
      <c r="A482" s="93"/>
      <c r="B482" s="94"/>
      <c r="C482" s="93"/>
      <c r="D482" s="93"/>
      <c r="E482" s="93"/>
      <c r="F482" s="93"/>
      <c r="G482" s="93"/>
      <c r="H482" s="93"/>
      <c r="I482" s="94"/>
      <c r="J482" s="94"/>
      <c r="K482" s="93"/>
      <c r="L482" s="93"/>
      <c r="M482" s="93"/>
      <c r="N482" s="93"/>
      <c r="O482" s="93"/>
      <c r="P482" s="93"/>
      <c r="Q482" s="93"/>
      <c r="R482" s="93"/>
      <c r="S482" s="93"/>
      <c r="T482" s="93"/>
      <c r="U482" s="93"/>
      <c r="V482" s="93"/>
      <c r="W482" s="93"/>
      <c r="X482" s="93"/>
    </row>
    <row r="483" spans="1:24" ht="16">
      <c r="A483" s="93"/>
      <c r="B483" s="94"/>
      <c r="C483" s="93"/>
      <c r="D483" s="93"/>
      <c r="E483" s="93"/>
      <c r="F483" s="93"/>
      <c r="G483" s="93"/>
      <c r="H483" s="93"/>
      <c r="I483" s="94"/>
      <c r="J483" s="94"/>
      <c r="K483" s="93"/>
      <c r="L483" s="93"/>
      <c r="M483" s="93"/>
      <c r="N483" s="93"/>
      <c r="O483" s="93"/>
      <c r="P483" s="93"/>
      <c r="Q483" s="93"/>
      <c r="R483" s="93"/>
      <c r="S483" s="93"/>
      <c r="T483" s="93"/>
      <c r="U483" s="93"/>
      <c r="V483" s="93"/>
      <c r="W483" s="93"/>
      <c r="X483" s="93"/>
    </row>
    <row r="484" spans="1:24" ht="16">
      <c r="A484" s="93"/>
      <c r="B484" s="94"/>
      <c r="C484" s="93"/>
      <c r="D484" s="93"/>
      <c r="E484" s="93"/>
      <c r="F484" s="93"/>
      <c r="G484" s="93"/>
      <c r="H484" s="93"/>
      <c r="I484" s="94"/>
      <c r="J484" s="94"/>
      <c r="K484" s="93"/>
      <c r="L484" s="93"/>
      <c r="M484" s="93"/>
      <c r="N484" s="93"/>
      <c r="O484" s="93"/>
      <c r="P484" s="93"/>
      <c r="Q484" s="93"/>
      <c r="R484" s="93"/>
      <c r="S484" s="93"/>
      <c r="T484" s="93"/>
      <c r="U484" s="93"/>
      <c r="V484" s="93"/>
      <c r="W484" s="93"/>
      <c r="X484" s="93"/>
    </row>
    <row r="485" spans="1:24" ht="16">
      <c r="A485" s="93"/>
      <c r="B485" s="94"/>
      <c r="C485" s="93"/>
      <c r="D485" s="93"/>
      <c r="E485" s="93"/>
      <c r="F485" s="93"/>
      <c r="G485" s="93"/>
      <c r="H485" s="93"/>
      <c r="I485" s="94"/>
      <c r="J485" s="94"/>
      <c r="K485" s="93"/>
      <c r="L485" s="93"/>
      <c r="M485" s="93"/>
      <c r="N485" s="93"/>
      <c r="O485" s="93"/>
      <c r="P485" s="93"/>
      <c r="Q485" s="93"/>
      <c r="R485" s="93"/>
      <c r="S485" s="93"/>
      <c r="T485" s="93"/>
      <c r="U485" s="93"/>
      <c r="V485" s="93"/>
      <c r="W485" s="93"/>
      <c r="X485" s="93"/>
    </row>
    <row r="486" spans="1:24" ht="16">
      <c r="A486" s="93"/>
      <c r="B486" s="94"/>
      <c r="C486" s="93"/>
      <c r="D486" s="93"/>
      <c r="E486" s="93"/>
      <c r="F486" s="93"/>
      <c r="G486" s="93"/>
      <c r="H486" s="93"/>
      <c r="I486" s="94"/>
      <c r="J486" s="94"/>
      <c r="K486" s="93"/>
      <c r="L486" s="93"/>
      <c r="M486" s="93"/>
      <c r="N486" s="93"/>
      <c r="O486" s="93"/>
      <c r="P486" s="93"/>
      <c r="Q486" s="93"/>
      <c r="R486" s="93"/>
      <c r="S486" s="93"/>
      <c r="T486" s="93"/>
      <c r="U486" s="93"/>
      <c r="V486" s="93"/>
      <c r="W486" s="93"/>
      <c r="X486" s="93"/>
    </row>
    <row r="487" spans="1:24" ht="16">
      <c r="A487" s="93"/>
      <c r="B487" s="94"/>
      <c r="C487" s="93"/>
      <c r="D487" s="93"/>
      <c r="E487" s="93"/>
      <c r="F487" s="93"/>
      <c r="G487" s="93"/>
      <c r="H487" s="93"/>
      <c r="I487" s="94"/>
      <c r="J487" s="94"/>
      <c r="K487" s="93"/>
      <c r="L487" s="93"/>
      <c r="M487" s="93"/>
      <c r="N487" s="93"/>
      <c r="O487" s="93"/>
      <c r="P487" s="93"/>
      <c r="Q487" s="93"/>
      <c r="R487" s="93"/>
      <c r="S487" s="93"/>
      <c r="T487" s="93"/>
      <c r="U487" s="93"/>
      <c r="V487" s="93"/>
      <c r="W487" s="93"/>
      <c r="X487" s="93"/>
    </row>
    <row r="488" spans="1:24" ht="16">
      <c r="A488" s="93"/>
      <c r="B488" s="94"/>
      <c r="C488" s="93"/>
      <c r="D488" s="93"/>
      <c r="E488" s="93"/>
      <c r="F488" s="93"/>
      <c r="G488" s="93"/>
      <c r="H488" s="93"/>
      <c r="I488" s="94"/>
      <c r="J488" s="94"/>
      <c r="K488" s="93"/>
      <c r="L488" s="93"/>
      <c r="M488" s="93"/>
      <c r="N488" s="93"/>
      <c r="O488" s="93"/>
      <c r="P488" s="93"/>
      <c r="Q488" s="93"/>
      <c r="R488" s="93"/>
      <c r="S488" s="93"/>
      <c r="T488" s="93"/>
      <c r="U488" s="93"/>
      <c r="V488" s="93"/>
      <c r="W488" s="93"/>
      <c r="X488" s="93"/>
    </row>
    <row r="489" spans="1:24" ht="16">
      <c r="A489" s="93"/>
      <c r="B489" s="94"/>
      <c r="C489" s="93"/>
      <c r="D489" s="93"/>
      <c r="E489" s="93"/>
      <c r="F489" s="93"/>
      <c r="G489" s="93"/>
      <c r="H489" s="93"/>
      <c r="I489" s="94"/>
      <c r="J489" s="94"/>
      <c r="K489" s="93"/>
      <c r="L489" s="93"/>
      <c r="M489" s="93"/>
      <c r="N489" s="93"/>
      <c r="O489" s="93"/>
      <c r="P489" s="93"/>
      <c r="Q489" s="93"/>
      <c r="R489" s="93"/>
      <c r="S489" s="93"/>
      <c r="T489" s="93"/>
      <c r="U489" s="93"/>
      <c r="V489" s="93"/>
      <c r="W489" s="93"/>
      <c r="X489" s="93"/>
    </row>
    <row r="490" spans="1:24" ht="16">
      <c r="A490" s="93"/>
      <c r="B490" s="94"/>
      <c r="C490" s="93"/>
      <c r="D490" s="93"/>
      <c r="E490" s="93"/>
      <c r="F490" s="93"/>
      <c r="G490" s="93"/>
      <c r="H490" s="93"/>
      <c r="I490" s="94"/>
      <c r="J490" s="94"/>
      <c r="K490" s="93"/>
      <c r="L490" s="93"/>
      <c r="M490" s="93"/>
      <c r="N490" s="93"/>
      <c r="O490" s="93"/>
      <c r="P490" s="93"/>
      <c r="Q490" s="93"/>
      <c r="R490" s="93"/>
      <c r="S490" s="93"/>
      <c r="T490" s="93"/>
      <c r="U490" s="93"/>
      <c r="V490" s="93"/>
      <c r="W490" s="93"/>
      <c r="X490" s="93"/>
    </row>
    <row r="491" spans="1:24" ht="16">
      <c r="A491" s="93"/>
      <c r="B491" s="94"/>
      <c r="C491" s="93"/>
      <c r="D491" s="93"/>
      <c r="E491" s="93"/>
      <c r="F491" s="93"/>
      <c r="G491" s="93"/>
      <c r="H491" s="93"/>
      <c r="I491" s="94"/>
      <c r="J491" s="94"/>
      <c r="K491" s="93"/>
      <c r="L491" s="93"/>
      <c r="M491" s="93"/>
      <c r="N491" s="93"/>
      <c r="O491" s="93"/>
      <c r="P491" s="93"/>
      <c r="Q491" s="93"/>
      <c r="R491" s="93"/>
      <c r="S491" s="93"/>
      <c r="T491" s="93"/>
      <c r="U491" s="93"/>
      <c r="V491" s="93"/>
      <c r="W491" s="93"/>
      <c r="X491" s="93"/>
    </row>
    <row r="492" spans="1:24" ht="16">
      <c r="A492" s="93"/>
      <c r="B492" s="94"/>
      <c r="C492" s="93"/>
      <c r="D492" s="93"/>
      <c r="E492" s="93"/>
      <c r="F492" s="93"/>
      <c r="G492" s="93"/>
      <c r="H492" s="93"/>
      <c r="I492" s="94"/>
      <c r="J492" s="94"/>
      <c r="K492" s="93"/>
      <c r="L492" s="93"/>
      <c r="M492" s="93"/>
      <c r="N492" s="93"/>
      <c r="O492" s="93"/>
      <c r="P492" s="93"/>
      <c r="Q492" s="93"/>
      <c r="R492" s="93"/>
      <c r="S492" s="93"/>
      <c r="T492" s="93"/>
      <c r="U492" s="93"/>
      <c r="V492" s="93"/>
      <c r="W492" s="93"/>
      <c r="X492" s="93"/>
    </row>
    <row r="493" spans="1:24" ht="16">
      <c r="A493" s="93"/>
      <c r="B493" s="94"/>
      <c r="C493" s="93"/>
      <c r="D493" s="93"/>
      <c r="E493" s="93"/>
      <c r="F493" s="93"/>
      <c r="G493" s="93"/>
      <c r="H493" s="93"/>
      <c r="I493" s="94"/>
      <c r="J493" s="94"/>
      <c r="K493" s="93"/>
      <c r="L493" s="93"/>
      <c r="M493" s="93"/>
      <c r="N493" s="93"/>
      <c r="O493" s="93"/>
      <c r="P493" s="93"/>
      <c r="Q493" s="93"/>
      <c r="R493" s="93"/>
      <c r="S493" s="93"/>
      <c r="T493" s="93"/>
      <c r="U493" s="93"/>
      <c r="V493" s="93"/>
      <c r="W493" s="93"/>
      <c r="X493" s="93"/>
    </row>
    <row r="494" spans="1:24" ht="16">
      <c r="A494" s="93"/>
      <c r="B494" s="94"/>
      <c r="C494" s="93"/>
      <c r="D494" s="93"/>
      <c r="E494" s="93"/>
      <c r="F494" s="93"/>
      <c r="G494" s="93"/>
      <c r="H494" s="93"/>
      <c r="I494" s="94"/>
      <c r="J494" s="94"/>
      <c r="K494" s="93"/>
      <c r="L494" s="93"/>
      <c r="M494" s="93"/>
      <c r="N494" s="93"/>
      <c r="O494" s="93"/>
      <c r="P494" s="93"/>
      <c r="Q494" s="93"/>
      <c r="R494" s="93"/>
      <c r="S494" s="93"/>
      <c r="T494" s="93"/>
      <c r="U494" s="93"/>
      <c r="V494" s="93"/>
      <c r="W494" s="93"/>
      <c r="X494" s="93"/>
    </row>
    <row r="495" spans="1:24" ht="16">
      <c r="A495" s="93"/>
      <c r="B495" s="94"/>
      <c r="C495" s="93"/>
      <c r="D495" s="93"/>
      <c r="E495" s="93"/>
      <c r="F495" s="93"/>
      <c r="G495" s="93"/>
      <c r="H495" s="93"/>
      <c r="I495" s="94"/>
      <c r="J495" s="94"/>
      <c r="K495" s="93"/>
      <c r="L495" s="93"/>
      <c r="M495" s="93"/>
      <c r="N495" s="93"/>
      <c r="O495" s="93"/>
      <c r="P495" s="93"/>
      <c r="Q495" s="93"/>
      <c r="R495" s="93"/>
      <c r="S495" s="93"/>
      <c r="T495" s="93"/>
      <c r="U495" s="93"/>
      <c r="V495" s="93"/>
      <c r="W495" s="93"/>
      <c r="X495" s="93"/>
    </row>
    <row r="496" spans="1:24" ht="16">
      <c r="A496" s="93"/>
      <c r="B496" s="94"/>
      <c r="C496" s="93"/>
      <c r="D496" s="93"/>
      <c r="E496" s="93"/>
      <c r="F496" s="93"/>
      <c r="G496" s="93"/>
      <c r="H496" s="93"/>
      <c r="I496" s="94"/>
      <c r="J496" s="94"/>
      <c r="K496" s="93"/>
      <c r="L496" s="93"/>
      <c r="M496" s="93"/>
      <c r="N496" s="93"/>
      <c r="O496" s="93"/>
      <c r="P496" s="93"/>
      <c r="Q496" s="93"/>
      <c r="R496" s="93"/>
      <c r="S496" s="93"/>
      <c r="T496" s="93"/>
      <c r="U496" s="93"/>
      <c r="V496" s="93"/>
      <c r="W496" s="93"/>
      <c r="X496" s="93"/>
    </row>
    <row r="497" spans="1:24" ht="16">
      <c r="A497" s="93"/>
      <c r="B497" s="94"/>
      <c r="C497" s="93"/>
      <c r="D497" s="93"/>
      <c r="E497" s="93"/>
      <c r="F497" s="93"/>
      <c r="G497" s="93"/>
      <c r="H497" s="93"/>
      <c r="I497" s="94"/>
      <c r="J497" s="94"/>
      <c r="K497" s="93"/>
      <c r="L497" s="93"/>
      <c r="M497" s="93"/>
      <c r="N497" s="93"/>
      <c r="O497" s="93"/>
      <c r="P497" s="93"/>
      <c r="Q497" s="93"/>
      <c r="R497" s="93"/>
      <c r="S497" s="93"/>
      <c r="T497" s="93"/>
      <c r="U497" s="93"/>
      <c r="V497" s="93"/>
      <c r="W497" s="93"/>
      <c r="X497" s="93"/>
    </row>
    <row r="498" spans="1:24" ht="16">
      <c r="A498" s="93"/>
      <c r="B498" s="94"/>
      <c r="C498" s="93"/>
      <c r="D498" s="93"/>
      <c r="E498" s="93"/>
      <c r="F498" s="93"/>
      <c r="G498" s="93"/>
      <c r="H498" s="93"/>
      <c r="I498" s="94"/>
      <c r="J498" s="94"/>
      <c r="K498" s="93"/>
      <c r="L498" s="93"/>
      <c r="M498" s="93"/>
      <c r="N498" s="93"/>
      <c r="O498" s="93"/>
      <c r="P498" s="93"/>
      <c r="Q498" s="93"/>
      <c r="R498" s="93"/>
      <c r="S498" s="93"/>
      <c r="T498" s="93"/>
      <c r="U498" s="93"/>
      <c r="V498" s="93"/>
      <c r="W498" s="93"/>
      <c r="X498" s="93"/>
    </row>
    <row r="499" spans="1:24" ht="16">
      <c r="A499" s="93"/>
      <c r="B499" s="94"/>
      <c r="C499" s="93"/>
      <c r="D499" s="93"/>
      <c r="E499" s="93"/>
      <c r="F499" s="93"/>
      <c r="G499" s="93"/>
      <c r="H499" s="93"/>
      <c r="I499" s="94"/>
      <c r="J499" s="94"/>
      <c r="K499" s="93"/>
      <c r="L499" s="93"/>
      <c r="M499" s="93"/>
      <c r="N499" s="93"/>
      <c r="O499" s="93"/>
      <c r="P499" s="93"/>
      <c r="Q499" s="93"/>
      <c r="R499" s="93"/>
      <c r="S499" s="93"/>
      <c r="T499" s="93"/>
      <c r="U499" s="93"/>
      <c r="V499" s="93"/>
      <c r="W499" s="93"/>
      <c r="X499" s="93"/>
    </row>
    <row r="500" spans="1:24" ht="16">
      <c r="A500" s="93"/>
      <c r="B500" s="94"/>
      <c r="C500" s="93"/>
      <c r="D500" s="93"/>
      <c r="E500" s="93"/>
      <c r="F500" s="93"/>
      <c r="G500" s="93"/>
      <c r="H500" s="93"/>
      <c r="I500" s="94"/>
      <c r="J500" s="94"/>
      <c r="K500" s="93"/>
      <c r="L500" s="93"/>
      <c r="M500" s="93"/>
      <c r="N500" s="93"/>
      <c r="O500" s="93"/>
      <c r="P500" s="93"/>
      <c r="Q500" s="93"/>
      <c r="R500" s="93"/>
      <c r="S500" s="93"/>
      <c r="T500" s="93"/>
      <c r="U500" s="93"/>
      <c r="V500" s="93"/>
      <c r="W500" s="93"/>
      <c r="X500" s="93"/>
    </row>
    <row r="501" spans="1:24" ht="16">
      <c r="A501" s="93"/>
      <c r="B501" s="94"/>
      <c r="C501" s="93"/>
      <c r="D501" s="93"/>
      <c r="E501" s="93"/>
      <c r="F501" s="93"/>
      <c r="G501" s="93"/>
      <c r="H501" s="93"/>
      <c r="I501" s="94"/>
      <c r="J501" s="94"/>
      <c r="K501" s="93"/>
      <c r="L501" s="93"/>
      <c r="M501" s="93"/>
      <c r="N501" s="93"/>
      <c r="O501" s="93"/>
      <c r="P501" s="93"/>
      <c r="Q501" s="93"/>
      <c r="R501" s="93"/>
      <c r="S501" s="93"/>
      <c r="T501" s="93"/>
      <c r="U501" s="93"/>
      <c r="V501" s="93"/>
      <c r="W501" s="93"/>
      <c r="X501" s="93"/>
    </row>
    <row r="502" spans="1:24" ht="16">
      <c r="A502" s="93"/>
      <c r="B502" s="94"/>
      <c r="C502" s="93"/>
      <c r="D502" s="93"/>
      <c r="E502" s="93"/>
      <c r="F502" s="93"/>
      <c r="G502" s="93"/>
      <c r="H502" s="93"/>
      <c r="I502" s="94"/>
      <c r="J502" s="94"/>
      <c r="K502" s="93"/>
      <c r="L502" s="93"/>
      <c r="M502" s="93"/>
      <c r="N502" s="93"/>
      <c r="O502" s="93"/>
      <c r="P502" s="93"/>
      <c r="Q502" s="93"/>
      <c r="R502" s="93"/>
      <c r="S502" s="93"/>
      <c r="T502" s="93"/>
      <c r="U502" s="93"/>
      <c r="V502" s="93"/>
      <c r="W502" s="93"/>
      <c r="X502" s="93"/>
    </row>
    <row r="503" spans="1:24" ht="16">
      <c r="A503" s="93"/>
      <c r="B503" s="94"/>
      <c r="C503" s="93"/>
      <c r="D503" s="93"/>
      <c r="E503" s="93"/>
      <c r="F503" s="93"/>
      <c r="G503" s="93"/>
      <c r="H503" s="93"/>
      <c r="I503" s="94"/>
      <c r="J503" s="94"/>
      <c r="K503" s="93"/>
      <c r="L503" s="93"/>
      <c r="M503" s="93"/>
      <c r="N503" s="93"/>
      <c r="O503" s="93"/>
      <c r="P503" s="93"/>
      <c r="Q503" s="93"/>
      <c r="R503" s="93"/>
      <c r="S503" s="93"/>
      <c r="T503" s="93"/>
      <c r="U503" s="93"/>
      <c r="V503" s="93"/>
      <c r="W503" s="93"/>
      <c r="X503" s="93"/>
    </row>
    <row r="504" spans="1:24" ht="16">
      <c r="A504" s="93"/>
      <c r="B504" s="94"/>
      <c r="C504" s="93"/>
      <c r="D504" s="93"/>
      <c r="E504" s="93"/>
      <c r="F504" s="93"/>
      <c r="G504" s="93"/>
      <c r="H504" s="93"/>
      <c r="I504" s="94"/>
      <c r="J504" s="94"/>
      <c r="K504" s="93"/>
      <c r="L504" s="93"/>
      <c r="M504" s="93"/>
      <c r="N504" s="93"/>
      <c r="O504" s="93"/>
      <c r="P504" s="93"/>
      <c r="Q504" s="93"/>
      <c r="R504" s="93"/>
      <c r="S504" s="93"/>
      <c r="T504" s="93"/>
      <c r="U504" s="93"/>
      <c r="V504" s="93"/>
      <c r="W504" s="93"/>
      <c r="X504" s="93"/>
    </row>
    <row r="505" spans="1:24" ht="16">
      <c r="A505" s="93"/>
      <c r="B505" s="94"/>
      <c r="C505" s="93"/>
      <c r="D505" s="93"/>
      <c r="E505" s="93"/>
      <c r="F505" s="93"/>
      <c r="G505" s="93"/>
      <c r="H505" s="93"/>
      <c r="I505" s="94"/>
      <c r="J505" s="94"/>
      <c r="K505" s="93"/>
      <c r="L505" s="93"/>
      <c r="M505" s="93"/>
      <c r="N505" s="93"/>
      <c r="O505" s="93"/>
      <c r="P505" s="93"/>
      <c r="Q505" s="93"/>
      <c r="R505" s="93"/>
      <c r="S505" s="93"/>
      <c r="T505" s="93"/>
      <c r="U505" s="93"/>
      <c r="V505" s="93"/>
      <c r="W505" s="93"/>
      <c r="X505" s="93"/>
    </row>
    <row r="506" spans="1:24" ht="16">
      <c r="A506" s="93"/>
      <c r="B506" s="94"/>
      <c r="C506" s="93"/>
      <c r="D506" s="93"/>
      <c r="E506" s="93"/>
      <c r="F506" s="93"/>
      <c r="G506" s="93"/>
      <c r="H506" s="93"/>
      <c r="I506" s="94"/>
      <c r="J506" s="94"/>
      <c r="K506" s="93"/>
      <c r="L506" s="93"/>
      <c r="M506" s="93"/>
      <c r="N506" s="93"/>
      <c r="O506" s="93"/>
      <c r="P506" s="93"/>
      <c r="Q506" s="93"/>
      <c r="R506" s="93"/>
      <c r="S506" s="93"/>
      <c r="T506" s="93"/>
      <c r="U506" s="93"/>
      <c r="V506" s="93"/>
      <c r="W506" s="93"/>
      <c r="X506" s="93"/>
    </row>
    <row r="507" spans="1:24" ht="16">
      <c r="A507" s="93"/>
      <c r="B507" s="94"/>
      <c r="C507" s="93"/>
      <c r="D507" s="93"/>
      <c r="E507" s="93"/>
      <c r="F507" s="93"/>
      <c r="G507" s="93"/>
      <c r="H507" s="93"/>
      <c r="I507" s="94"/>
      <c r="J507" s="94"/>
      <c r="K507" s="93"/>
      <c r="L507" s="93"/>
      <c r="M507" s="93"/>
      <c r="N507" s="93"/>
      <c r="O507" s="93"/>
      <c r="P507" s="93"/>
      <c r="Q507" s="93"/>
      <c r="R507" s="93"/>
      <c r="S507" s="93"/>
      <c r="T507" s="93"/>
      <c r="U507" s="93"/>
      <c r="V507" s="93"/>
      <c r="W507" s="93"/>
      <c r="X507" s="93"/>
    </row>
    <row r="508" spans="1:24" ht="16">
      <c r="A508" s="93"/>
      <c r="B508" s="94"/>
      <c r="C508" s="93"/>
      <c r="D508" s="93"/>
      <c r="E508" s="93"/>
      <c r="F508" s="93"/>
      <c r="G508" s="93"/>
      <c r="H508" s="93"/>
      <c r="I508" s="94"/>
      <c r="J508" s="94"/>
      <c r="K508" s="93"/>
      <c r="L508" s="93"/>
      <c r="M508" s="93"/>
      <c r="N508" s="93"/>
      <c r="O508" s="93"/>
      <c r="P508" s="93"/>
      <c r="Q508" s="93"/>
      <c r="R508" s="93"/>
      <c r="S508" s="93"/>
      <c r="T508" s="93"/>
      <c r="U508" s="93"/>
      <c r="V508" s="93"/>
      <c r="W508" s="93"/>
      <c r="X508" s="93"/>
    </row>
    <row r="509" spans="1:24" ht="16">
      <c r="A509" s="93"/>
      <c r="B509" s="94"/>
      <c r="C509" s="93"/>
      <c r="D509" s="93"/>
      <c r="E509" s="93"/>
      <c r="F509" s="93"/>
      <c r="G509" s="93"/>
      <c r="H509" s="93"/>
      <c r="I509" s="94"/>
      <c r="J509" s="94"/>
      <c r="K509" s="93"/>
      <c r="L509" s="93"/>
      <c r="M509" s="93"/>
      <c r="N509" s="93"/>
      <c r="O509" s="93"/>
      <c r="P509" s="93"/>
      <c r="Q509" s="93"/>
      <c r="R509" s="93"/>
      <c r="S509" s="93"/>
      <c r="T509" s="93"/>
      <c r="U509" s="93"/>
      <c r="V509" s="93"/>
      <c r="W509" s="93"/>
      <c r="X509" s="93"/>
    </row>
    <row r="510" spans="1:24" ht="16">
      <c r="A510" s="93"/>
      <c r="B510" s="94"/>
      <c r="C510" s="93"/>
      <c r="D510" s="93"/>
      <c r="E510" s="93"/>
      <c r="F510" s="93"/>
      <c r="G510" s="93"/>
      <c r="H510" s="93"/>
      <c r="I510" s="94"/>
      <c r="J510" s="94"/>
      <c r="K510" s="93"/>
      <c r="L510" s="93"/>
      <c r="M510" s="93"/>
      <c r="N510" s="93"/>
      <c r="O510" s="93"/>
      <c r="P510" s="93"/>
      <c r="Q510" s="93"/>
      <c r="R510" s="93"/>
      <c r="S510" s="93"/>
      <c r="T510" s="93"/>
      <c r="U510" s="93"/>
      <c r="V510" s="93"/>
      <c r="W510" s="93"/>
      <c r="X510" s="93"/>
    </row>
    <row r="511" spans="1:24" ht="16">
      <c r="A511" s="93"/>
      <c r="B511" s="94"/>
      <c r="C511" s="93"/>
      <c r="D511" s="93"/>
      <c r="E511" s="93"/>
      <c r="F511" s="93"/>
      <c r="G511" s="93"/>
      <c r="H511" s="93"/>
      <c r="I511" s="94"/>
      <c r="J511" s="94"/>
      <c r="K511" s="93"/>
      <c r="L511" s="93"/>
      <c r="M511" s="93"/>
      <c r="N511" s="93"/>
      <c r="O511" s="93"/>
      <c r="P511" s="93"/>
      <c r="Q511" s="93"/>
      <c r="R511" s="93"/>
      <c r="S511" s="93"/>
      <c r="T511" s="93"/>
      <c r="U511" s="93"/>
      <c r="V511" s="93"/>
      <c r="W511" s="93"/>
      <c r="X511" s="93"/>
    </row>
    <row r="512" spans="1:24" ht="16">
      <c r="A512" s="93"/>
      <c r="B512" s="94"/>
      <c r="C512" s="93"/>
      <c r="D512" s="93"/>
      <c r="E512" s="93"/>
      <c r="F512" s="93"/>
      <c r="G512" s="93"/>
      <c r="H512" s="93"/>
      <c r="I512" s="94"/>
      <c r="J512" s="94"/>
      <c r="K512" s="93"/>
      <c r="L512" s="93"/>
      <c r="M512" s="93"/>
      <c r="N512" s="93"/>
      <c r="O512" s="93"/>
      <c r="P512" s="93"/>
      <c r="Q512" s="93"/>
      <c r="R512" s="93"/>
      <c r="S512" s="93"/>
      <c r="T512" s="93"/>
      <c r="U512" s="93"/>
      <c r="V512" s="93"/>
      <c r="W512" s="93"/>
      <c r="X512" s="93"/>
    </row>
    <row r="513" spans="1:24" ht="16">
      <c r="A513" s="93"/>
      <c r="B513" s="94"/>
      <c r="C513" s="93"/>
      <c r="D513" s="93"/>
      <c r="E513" s="93"/>
      <c r="F513" s="93"/>
      <c r="G513" s="93"/>
      <c r="H513" s="93"/>
      <c r="I513" s="94"/>
      <c r="J513" s="94"/>
      <c r="K513" s="93"/>
      <c r="L513" s="93"/>
      <c r="M513" s="93"/>
      <c r="N513" s="93"/>
      <c r="O513" s="93"/>
      <c r="P513" s="93"/>
      <c r="Q513" s="93"/>
      <c r="R513" s="93"/>
      <c r="S513" s="93"/>
      <c r="T513" s="93"/>
      <c r="U513" s="93"/>
      <c r="V513" s="93"/>
      <c r="W513" s="93"/>
      <c r="X513" s="93"/>
    </row>
    <row r="514" spans="1:24" ht="16">
      <c r="A514" s="93"/>
      <c r="B514" s="94"/>
      <c r="C514" s="93"/>
      <c r="D514" s="93"/>
      <c r="E514" s="93"/>
      <c r="F514" s="93"/>
      <c r="G514" s="93"/>
      <c r="H514" s="93"/>
      <c r="I514" s="94"/>
      <c r="J514" s="94"/>
      <c r="K514" s="93"/>
      <c r="L514" s="93"/>
      <c r="M514" s="93"/>
      <c r="N514" s="93"/>
      <c r="O514" s="93"/>
      <c r="P514" s="93"/>
      <c r="Q514" s="93"/>
      <c r="R514" s="93"/>
      <c r="S514" s="93"/>
      <c r="T514" s="93"/>
      <c r="U514" s="93"/>
      <c r="V514" s="93"/>
      <c r="W514" s="93"/>
      <c r="X514" s="93"/>
    </row>
    <row r="515" spans="1:24" ht="16">
      <c r="A515" s="93"/>
      <c r="B515" s="94"/>
      <c r="C515" s="93"/>
      <c r="D515" s="93"/>
      <c r="E515" s="93"/>
      <c r="F515" s="93"/>
      <c r="G515" s="93"/>
      <c r="H515" s="93"/>
      <c r="I515" s="94"/>
      <c r="J515" s="94"/>
      <c r="K515" s="93"/>
      <c r="L515" s="93"/>
      <c r="M515" s="93"/>
      <c r="N515" s="93"/>
      <c r="O515" s="93"/>
      <c r="P515" s="93"/>
      <c r="Q515" s="93"/>
      <c r="R515" s="93"/>
      <c r="S515" s="93"/>
      <c r="T515" s="93"/>
      <c r="U515" s="93"/>
      <c r="V515" s="93"/>
      <c r="W515" s="93"/>
      <c r="X515" s="93"/>
    </row>
    <row r="516" spans="1:24" ht="16">
      <c r="A516" s="93"/>
      <c r="B516" s="94"/>
      <c r="C516" s="93"/>
      <c r="D516" s="93"/>
      <c r="E516" s="93"/>
      <c r="F516" s="93"/>
      <c r="G516" s="93"/>
      <c r="H516" s="93"/>
      <c r="I516" s="94"/>
      <c r="J516" s="94"/>
      <c r="K516" s="93"/>
      <c r="L516" s="93"/>
      <c r="M516" s="93"/>
      <c r="N516" s="93"/>
      <c r="O516" s="93"/>
      <c r="P516" s="93"/>
      <c r="Q516" s="93"/>
      <c r="R516" s="93"/>
      <c r="S516" s="93"/>
      <c r="T516" s="93"/>
      <c r="U516" s="93"/>
      <c r="V516" s="93"/>
      <c r="W516" s="93"/>
      <c r="X516" s="93"/>
    </row>
    <row r="517" spans="1:24" ht="16">
      <c r="A517" s="93"/>
      <c r="B517" s="94"/>
      <c r="C517" s="93"/>
      <c r="D517" s="93"/>
      <c r="E517" s="93"/>
      <c r="F517" s="93"/>
      <c r="G517" s="93"/>
      <c r="H517" s="93"/>
      <c r="I517" s="94"/>
      <c r="J517" s="94"/>
      <c r="K517" s="93"/>
      <c r="L517" s="93"/>
      <c r="M517" s="93"/>
      <c r="N517" s="93"/>
      <c r="O517" s="93"/>
      <c r="P517" s="93"/>
      <c r="Q517" s="93"/>
      <c r="R517" s="93"/>
      <c r="S517" s="93"/>
      <c r="T517" s="93"/>
      <c r="U517" s="93"/>
      <c r="V517" s="93"/>
      <c r="W517" s="93"/>
      <c r="X517" s="93"/>
    </row>
    <row r="518" spans="1:24" ht="16">
      <c r="A518" s="93"/>
      <c r="B518" s="94"/>
      <c r="C518" s="93"/>
      <c r="D518" s="93"/>
      <c r="E518" s="93"/>
      <c r="F518" s="93"/>
      <c r="G518" s="93"/>
      <c r="H518" s="93"/>
      <c r="I518" s="94"/>
      <c r="J518" s="94"/>
      <c r="K518" s="93"/>
      <c r="L518" s="93"/>
      <c r="M518" s="93"/>
      <c r="N518" s="93"/>
      <c r="O518" s="93"/>
      <c r="P518" s="93"/>
      <c r="Q518" s="93"/>
      <c r="R518" s="93"/>
      <c r="S518" s="93"/>
      <c r="T518" s="93"/>
      <c r="U518" s="93"/>
      <c r="V518" s="93"/>
      <c r="W518" s="93"/>
      <c r="X518" s="93"/>
    </row>
    <row r="519" spans="1:24" ht="16">
      <c r="A519" s="93"/>
      <c r="B519" s="94"/>
      <c r="C519" s="93"/>
      <c r="D519" s="93"/>
      <c r="E519" s="93"/>
      <c r="F519" s="93"/>
      <c r="G519" s="93"/>
      <c r="H519" s="93"/>
      <c r="I519" s="94"/>
      <c r="J519" s="94"/>
      <c r="K519" s="93"/>
      <c r="L519" s="93"/>
      <c r="M519" s="93"/>
      <c r="N519" s="93"/>
      <c r="O519" s="93"/>
      <c r="P519" s="93"/>
      <c r="Q519" s="93"/>
      <c r="R519" s="93"/>
      <c r="S519" s="93"/>
      <c r="T519" s="93"/>
      <c r="U519" s="93"/>
      <c r="V519" s="93"/>
      <c r="W519" s="93"/>
      <c r="X519" s="93"/>
    </row>
    <row r="520" spans="1:24" ht="16">
      <c r="A520" s="93"/>
      <c r="B520" s="94"/>
      <c r="C520" s="93"/>
      <c r="D520" s="93"/>
      <c r="E520" s="93"/>
      <c r="F520" s="93"/>
      <c r="G520" s="93"/>
      <c r="H520" s="93"/>
      <c r="I520" s="94"/>
      <c r="J520" s="94"/>
      <c r="K520" s="93"/>
      <c r="L520" s="93"/>
      <c r="M520" s="93"/>
      <c r="N520" s="93"/>
      <c r="O520" s="93"/>
      <c r="P520" s="93"/>
      <c r="Q520" s="93"/>
      <c r="R520" s="93"/>
      <c r="S520" s="93"/>
      <c r="T520" s="93"/>
      <c r="U520" s="93"/>
      <c r="V520" s="93"/>
      <c r="W520" s="93"/>
      <c r="X520" s="93"/>
    </row>
    <row r="521" spans="1:24" ht="16">
      <c r="A521" s="93"/>
      <c r="B521" s="94"/>
      <c r="C521" s="93"/>
      <c r="D521" s="93"/>
      <c r="E521" s="93"/>
      <c r="F521" s="93"/>
      <c r="G521" s="93"/>
      <c r="H521" s="93"/>
      <c r="I521" s="94"/>
      <c r="J521" s="94"/>
      <c r="K521" s="93"/>
      <c r="L521" s="93"/>
      <c r="M521" s="93"/>
      <c r="N521" s="93"/>
      <c r="O521" s="93"/>
      <c r="P521" s="93"/>
      <c r="Q521" s="93"/>
      <c r="R521" s="93"/>
      <c r="S521" s="93"/>
      <c r="T521" s="93"/>
      <c r="U521" s="93"/>
      <c r="V521" s="93"/>
      <c r="W521" s="93"/>
      <c r="X521" s="93"/>
    </row>
    <row r="522" spans="1:24" ht="16">
      <c r="A522" s="93"/>
      <c r="B522" s="94"/>
      <c r="C522" s="93"/>
      <c r="D522" s="93"/>
      <c r="E522" s="93"/>
      <c r="F522" s="93"/>
      <c r="G522" s="93"/>
      <c r="H522" s="93"/>
      <c r="I522" s="94"/>
      <c r="J522" s="94"/>
      <c r="K522" s="93"/>
      <c r="L522" s="93"/>
      <c r="M522" s="93"/>
      <c r="N522" s="93"/>
      <c r="O522" s="93"/>
      <c r="P522" s="93"/>
      <c r="Q522" s="93"/>
      <c r="R522" s="93"/>
      <c r="S522" s="93"/>
      <c r="T522" s="93"/>
      <c r="U522" s="93"/>
      <c r="V522" s="93"/>
      <c r="W522" s="93"/>
      <c r="X522" s="93"/>
    </row>
    <row r="523" spans="1:24" ht="16">
      <c r="A523" s="93"/>
      <c r="B523" s="94"/>
      <c r="C523" s="93"/>
      <c r="D523" s="93"/>
      <c r="E523" s="93"/>
      <c r="F523" s="93"/>
      <c r="G523" s="93"/>
      <c r="H523" s="93"/>
      <c r="I523" s="94"/>
      <c r="J523" s="94"/>
      <c r="K523" s="93"/>
      <c r="L523" s="93"/>
      <c r="M523" s="93"/>
      <c r="N523" s="93"/>
      <c r="O523" s="93"/>
      <c r="P523" s="93"/>
      <c r="Q523" s="93"/>
      <c r="R523" s="93"/>
      <c r="S523" s="93"/>
      <c r="T523" s="93"/>
      <c r="U523" s="93"/>
      <c r="V523" s="93"/>
      <c r="W523" s="93"/>
      <c r="X523" s="93"/>
    </row>
    <row r="524" spans="1:24" ht="16">
      <c r="A524" s="93"/>
      <c r="B524" s="94"/>
      <c r="C524" s="93"/>
      <c r="D524" s="93"/>
      <c r="E524" s="93"/>
      <c r="F524" s="93"/>
      <c r="G524" s="93"/>
      <c r="H524" s="93"/>
      <c r="I524" s="94"/>
      <c r="J524" s="94"/>
      <c r="K524" s="93"/>
      <c r="L524" s="93"/>
      <c r="M524" s="93"/>
      <c r="N524" s="93"/>
      <c r="O524" s="93"/>
      <c r="P524" s="93"/>
      <c r="Q524" s="93"/>
      <c r="R524" s="93"/>
      <c r="S524" s="93"/>
      <c r="T524" s="93"/>
      <c r="U524" s="93"/>
      <c r="V524" s="93"/>
      <c r="W524" s="93"/>
      <c r="X524" s="93"/>
    </row>
    <row r="525" spans="1:24" ht="16">
      <c r="A525" s="93"/>
      <c r="B525" s="94"/>
      <c r="C525" s="93"/>
      <c r="D525" s="93"/>
      <c r="E525" s="93"/>
      <c r="F525" s="93"/>
      <c r="G525" s="93"/>
      <c r="H525" s="93"/>
      <c r="I525" s="94"/>
      <c r="J525" s="94"/>
      <c r="K525" s="93"/>
      <c r="L525" s="93"/>
      <c r="M525" s="93"/>
      <c r="N525" s="93"/>
      <c r="O525" s="93"/>
      <c r="P525" s="93"/>
      <c r="Q525" s="93"/>
      <c r="R525" s="93"/>
      <c r="S525" s="93"/>
      <c r="T525" s="93"/>
      <c r="U525" s="93"/>
      <c r="V525" s="93"/>
      <c r="W525" s="93"/>
      <c r="X525" s="93"/>
    </row>
    <row r="526" spans="1:24" ht="16">
      <c r="A526" s="93"/>
      <c r="B526" s="94"/>
      <c r="C526" s="93"/>
      <c r="D526" s="93"/>
      <c r="E526" s="93"/>
      <c r="F526" s="93"/>
      <c r="G526" s="93"/>
      <c r="H526" s="93"/>
      <c r="I526" s="94"/>
      <c r="J526" s="94"/>
      <c r="K526" s="93"/>
      <c r="L526" s="93"/>
      <c r="M526" s="93"/>
      <c r="N526" s="93"/>
      <c r="O526" s="93"/>
      <c r="P526" s="93"/>
      <c r="Q526" s="93"/>
      <c r="R526" s="93"/>
      <c r="S526" s="93"/>
      <c r="T526" s="93"/>
      <c r="U526" s="93"/>
      <c r="V526" s="93"/>
      <c r="W526" s="93"/>
      <c r="X526" s="93"/>
    </row>
    <row r="527" spans="1:24" ht="16">
      <c r="A527" s="93"/>
      <c r="B527" s="94"/>
      <c r="C527" s="93"/>
      <c r="D527" s="93"/>
      <c r="E527" s="93"/>
      <c r="F527" s="93"/>
      <c r="G527" s="93"/>
      <c r="H527" s="93"/>
      <c r="I527" s="94"/>
      <c r="J527" s="94"/>
      <c r="K527" s="93"/>
      <c r="L527" s="93"/>
      <c r="M527" s="93"/>
      <c r="N527" s="93"/>
      <c r="O527" s="93"/>
      <c r="P527" s="93"/>
      <c r="Q527" s="93"/>
      <c r="R527" s="93"/>
      <c r="S527" s="93"/>
      <c r="T527" s="93"/>
      <c r="U527" s="93"/>
      <c r="V527" s="93"/>
      <c r="W527" s="93"/>
      <c r="X527" s="93"/>
    </row>
    <row r="528" spans="1:24" ht="16">
      <c r="A528" s="93"/>
      <c r="B528" s="94"/>
      <c r="C528" s="93"/>
      <c r="D528" s="93"/>
      <c r="E528" s="93"/>
      <c r="F528" s="93"/>
      <c r="G528" s="93"/>
      <c r="H528" s="93"/>
      <c r="I528" s="94"/>
      <c r="J528" s="94"/>
      <c r="K528" s="93"/>
      <c r="L528" s="93"/>
      <c r="M528" s="93"/>
      <c r="N528" s="93"/>
      <c r="O528" s="93"/>
      <c r="P528" s="93"/>
      <c r="Q528" s="93"/>
      <c r="R528" s="93"/>
      <c r="S528" s="93"/>
      <c r="T528" s="93"/>
      <c r="U528" s="93"/>
      <c r="V528" s="93"/>
      <c r="W528" s="93"/>
      <c r="X528" s="93"/>
    </row>
    <row r="529" spans="1:24" ht="16">
      <c r="A529" s="93"/>
      <c r="B529" s="94"/>
      <c r="C529" s="93"/>
      <c r="D529" s="93"/>
      <c r="E529" s="93"/>
      <c r="F529" s="93"/>
      <c r="G529" s="93"/>
      <c r="H529" s="93"/>
      <c r="I529" s="94"/>
      <c r="J529" s="94"/>
      <c r="K529" s="93"/>
      <c r="L529" s="93"/>
      <c r="M529" s="93"/>
      <c r="N529" s="93"/>
      <c r="O529" s="93"/>
      <c r="P529" s="93"/>
      <c r="Q529" s="93"/>
      <c r="R529" s="93"/>
      <c r="S529" s="93"/>
      <c r="T529" s="93"/>
      <c r="U529" s="93"/>
      <c r="V529" s="93"/>
      <c r="W529" s="93"/>
      <c r="X529" s="93"/>
    </row>
    <row r="530" spans="1:24" ht="16">
      <c r="A530" s="93"/>
      <c r="B530" s="94"/>
      <c r="C530" s="93"/>
      <c r="D530" s="93"/>
      <c r="E530" s="93"/>
      <c r="F530" s="93"/>
      <c r="G530" s="93"/>
      <c r="H530" s="93"/>
      <c r="I530" s="94"/>
      <c r="J530" s="94"/>
      <c r="K530" s="93"/>
      <c r="L530" s="93"/>
      <c r="M530" s="93"/>
      <c r="N530" s="93"/>
      <c r="O530" s="93"/>
      <c r="P530" s="93"/>
      <c r="Q530" s="93"/>
      <c r="R530" s="93"/>
      <c r="S530" s="93"/>
      <c r="T530" s="93"/>
      <c r="U530" s="93"/>
      <c r="V530" s="93"/>
      <c r="W530" s="93"/>
      <c r="X530" s="93"/>
    </row>
    <row r="531" spans="1:24" ht="16">
      <c r="A531" s="93"/>
      <c r="B531" s="94"/>
      <c r="C531" s="93"/>
      <c r="D531" s="93"/>
      <c r="E531" s="93"/>
      <c r="F531" s="93"/>
      <c r="G531" s="93"/>
      <c r="H531" s="93"/>
      <c r="I531" s="94"/>
      <c r="J531" s="94"/>
      <c r="K531" s="93"/>
      <c r="L531" s="93"/>
      <c r="M531" s="93"/>
      <c r="N531" s="93"/>
      <c r="O531" s="93"/>
      <c r="P531" s="93"/>
      <c r="Q531" s="93"/>
      <c r="R531" s="93"/>
      <c r="S531" s="93"/>
      <c r="T531" s="93"/>
      <c r="U531" s="93"/>
      <c r="V531" s="93"/>
      <c r="W531" s="93"/>
      <c r="X531" s="93"/>
    </row>
    <row r="532" spans="1:24" ht="16">
      <c r="A532" s="93"/>
      <c r="B532" s="94"/>
      <c r="C532" s="93"/>
      <c r="D532" s="93"/>
      <c r="E532" s="93"/>
      <c r="F532" s="93"/>
      <c r="G532" s="93"/>
      <c r="H532" s="93"/>
      <c r="I532" s="94"/>
      <c r="J532" s="94"/>
      <c r="K532" s="93"/>
      <c r="L532" s="93"/>
      <c r="M532" s="93"/>
      <c r="N532" s="93"/>
      <c r="O532" s="93"/>
      <c r="P532" s="93"/>
      <c r="Q532" s="93"/>
      <c r="R532" s="93"/>
      <c r="S532" s="93"/>
      <c r="T532" s="93"/>
      <c r="U532" s="93"/>
      <c r="V532" s="93"/>
      <c r="W532" s="93"/>
      <c r="X532" s="93"/>
    </row>
    <row r="533" spans="1:24" ht="16">
      <c r="A533" s="93"/>
      <c r="B533" s="94"/>
      <c r="C533" s="93"/>
      <c r="D533" s="93"/>
      <c r="E533" s="93"/>
      <c r="F533" s="93"/>
      <c r="G533" s="93"/>
      <c r="H533" s="93"/>
      <c r="I533" s="94"/>
      <c r="J533" s="94"/>
      <c r="K533" s="93"/>
      <c r="L533" s="93"/>
      <c r="M533" s="93"/>
      <c r="N533" s="93"/>
      <c r="O533" s="93"/>
      <c r="P533" s="93"/>
      <c r="Q533" s="93"/>
      <c r="R533" s="93"/>
      <c r="S533" s="93"/>
      <c r="T533" s="93"/>
      <c r="U533" s="93"/>
      <c r="V533" s="93"/>
      <c r="W533" s="93"/>
      <c r="X533" s="93"/>
    </row>
    <row r="534" spans="1:24" ht="16">
      <c r="A534" s="93"/>
      <c r="B534" s="94"/>
      <c r="C534" s="93"/>
      <c r="D534" s="93"/>
      <c r="E534" s="93"/>
      <c r="F534" s="93"/>
      <c r="G534" s="93"/>
      <c r="H534" s="93"/>
      <c r="I534" s="94"/>
      <c r="J534" s="94"/>
      <c r="K534" s="93"/>
      <c r="L534" s="93"/>
      <c r="M534" s="93"/>
      <c r="N534" s="93"/>
      <c r="O534" s="93"/>
      <c r="P534" s="93"/>
      <c r="Q534" s="93"/>
      <c r="R534" s="93"/>
      <c r="S534" s="93"/>
      <c r="T534" s="93"/>
      <c r="U534" s="93"/>
      <c r="V534" s="93"/>
      <c r="W534" s="93"/>
      <c r="X534" s="93"/>
    </row>
    <row r="535" spans="1:24" ht="16">
      <c r="A535" s="93"/>
      <c r="B535" s="94"/>
      <c r="C535" s="93"/>
      <c r="D535" s="93"/>
      <c r="E535" s="93"/>
      <c r="F535" s="93"/>
      <c r="G535" s="93"/>
      <c r="H535" s="93"/>
      <c r="I535" s="94"/>
      <c r="J535" s="94"/>
      <c r="K535" s="93"/>
      <c r="L535" s="93"/>
      <c r="M535" s="93"/>
      <c r="N535" s="93"/>
      <c r="O535" s="93"/>
      <c r="P535" s="93"/>
      <c r="Q535" s="93"/>
      <c r="R535" s="93"/>
      <c r="S535" s="93"/>
      <c r="T535" s="93"/>
      <c r="U535" s="93"/>
      <c r="V535" s="93"/>
      <c r="W535" s="93"/>
      <c r="X535" s="93"/>
    </row>
    <row r="536" spans="1:24" ht="16">
      <c r="A536" s="93"/>
      <c r="B536" s="94"/>
      <c r="C536" s="93"/>
      <c r="D536" s="93"/>
      <c r="E536" s="93"/>
      <c r="F536" s="93"/>
      <c r="G536" s="93"/>
      <c r="H536" s="93"/>
      <c r="I536" s="94"/>
      <c r="J536" s="94"/>
      <c r="K536" s="93"/>
      <c r="L536" s="93"/>
      <c r="M536" s="93"/>
      <c r="N536" s="93"/>
      <c r="O536" s="93"/>
      <c r="P536" s="93"/>
      <c r="Q536" s="93"/>
      <c r="R536" s="93"/>
      <c r="S536" s="93"/>
      <c r="T536" s="93"/>
      <c r="U536" s="93"/>
      <c r="V536" s="93"/>
      <c r="W536" s="93"/>
      <c r="X536" s="93"/>
    </row>
    <row r="537" spans="1:24" ht="16">
      <c r="A537" s="93"/>
      <c r="B537" s="94"/>
      <c r="C537" s="93"/>
      <c r="D537" s="93"/>
      <c r="E537" s="93"/>
      <c r="F537" s="93"/>
      <c r="G537" s="93"/>
      <c r="H537" s="93"/>
      <c r="I537" s="94"/>
      <c r="J537" s="94"/>
      <c r="K537" s="93"/>
      <c r="L537" s="93"/>
      <c r="M537" s="93"/>
      <c r="N537" s="93"/>
      <c r="O537" s="93"/>
      <c r="P537" s="93"/>
      <c r="Q537" s="93"/>
      <c r="R537" s="93"/>
      <c r="S537" s="93"/>
      <c r="T537" s="93"/>
      <c r="U537" s="93"/>
      <c r="V537" s="93"/>
      <c r="W537" s="93"/>
      <c r="X537" s="93"/>
    </row>
    <row r="538" spans="1:24" ht="16">
      <c r="A538" s="93"/>
      <c r="B538" s="94"/>
      <c r="C538" s="93"/>
      <c r="D538" s="93"/>
      <c r="E538" s="93"/>
      <c r="F538" s="93"/>
      <c r="G538" s="93"/>
      <c r="H538" s="93"/>
      <c r="I538" s="94"/>
      <c r="J538" s="94"/>
      <c r="K538" s="93"/>
      <c r="L538" s="93"/>
      <c r="M538" s="93"/>
      <c r="N538" s="93"/>
      <c r="O538" s="93"/>
      <c r="P538" s="93"/>
      <c r="Q538" s="93"/>
      <c r="R538" s="93"/>
      <c r="S538" s="93"/>
      <c r="T538" s="93"/>
      <c r="U538" s="93"/>
      <c r="V538" s="93"/>
      <c r="W538" s="93"/>
      <c r="X538" s="93"/>
    </row>
    <row r="539" spans="1:24" ht="16">
      <c r="A539" s="93"/>
      <c r="B539" s="94"/>
      <c r="C539" s="93"/>
      <c r="D539" s="93"/>
      <c r="E539" s="93"/>
      <c r="F539" s="93"/>
      <c r="G539" s="93"/>
      <c r="H539" s="93"/>
      <c r="I539" s="94"/>
      <c r="J539" s="94"/>
      <c r="K539" s="93"/>
      <c r="L539" s="93"/>
      <c r="M539" s="93"/>
      <c r="N539" s="93"/>
      <c r="O539" s="93"/>
      <c r="P539" s="93"/>
      <c r="Q539" s="93"/>
      <c r="R539" s="93"/>
      <c r="S539" s="93"/>
      <c r="T539" s="93"/>
      <c r="U539" s="93"/>
      <c r="V539" s="93"/>
      <c r="W539" s="93"/>
      <c r="X539" s="93"/>
    </row>
    <row r="540" spans="1:24" ht="16">
      <c r="A540" s="93"/>
      <c r="B540" s="94"/>
      <c r="C540" s="93"/>
      <c r="D540" s="93"/>
      <c r="E540" s="93"/>
      <c r="F540" s="93"/>
      <c r="G540" s="93"/>
      <c r="H540" s="93"/>
      <c r="I540" s="94"/>
      <c r="J540" s="94"/>
      <c r="K540" s="93"/>
      <c r="L540" s="93"/>
      <c r="M540" s="93"/>
      <c r="N540" s="93"/>
      <c r="O540" s="93"/>
      <c r="P540" s="93"/>
      <c r="Q540" s="93"/>
      <c r="R540" s="93"/>
      <c r="S540" s="93"/>
      <c r="T540" s="93"/>
      <c r="U540" s="93"/>
      <c r="V540" s="93"/>
      <c r="W540" s="93"/>
      <c r="X540" s="93"/>
    </row>
    <row r="541" spans="1:24" ht="16">
      <c r="A541" s="93"/>
      <c r="B541" s="94"/>
      <c r="C541" s="93"/>
      <c r="D541" s="93"/>
      <c r="E541" s="93"/>
      <c r="F541" s="93"/>
      <c r="G541" s="93"/>
      <c r="H541" s="93"/>
      <c r="I541" s="94"/>
      <c r="J541" s="94"/>
      <c r="K541" s="93"/>
      <c r="L541" s="93"/>
      <c r="M541" s="93"/>
      <c r="N541" s="93"/>
      <c r="O541" s="93"/>
      <c r="P541" s="93"/>
      <c r="Q541" s="93"/>
      <c r="R541" s="93"/>
      <c r="S541" s="93"/>
      <c r="T541" s="93"/>
      <c r="U541" s="93"/>
      <c r="V541" s="93"/>
      <c r="W541" s="93"/>
      <c r="X541" s="93"/>
    </row>
    <row r="542" spans="1:24" ht="16">
      <c r="A542" s="93"/>
      <c r="B542" s="94"/>
      <c r="C542" s="93"/>
      <c r="D542" s="93"/>
      <c r="E542" s="93"/>
      <c r="F542" s="93"/>
      <c r="G542" s="93"/>
      <c r="H542" s="93"/>
      <c r="I542" s="94"/>
      <c r="J542" s="94"/>
      <c r="K542" s="93"/>
      <c r="L542" s="93"/>
      <c r="M542" s="93"/>
      <c r="N542" s="93"/>
      <c r="O542" s="93"/>
      <c r="P542" s="93"/>
      <c r="Q542" s="93"/>
      <c r="R542" s="93"/>
      <c r="S542" s="93"/>
      <c r="T542" s="93"/>
      <c r="U542" s="93"/>
      <c r="V542" s="93"/>
      <c r="W542" s="93"/>
      <c r="X542" s="93"/>
    </row>
    <row r="543" spans="1:24" ht="16">
      <c r="A543" s="93"/>
      <c r="B543" s="94"/>
      <c r="C543" s="93"/>
      <c r="D543" s="93"/>
      <c r="E543" s="93"/>
      <c r="F543" s="93"/>
      <c r="G543" s="93"/>
      <c r="H543" s="93"/>
      <c r="I543" s="94"/>
      <c r="J543" s="94"/>
      <c r="K543" s="93"/>
      <c r="L543" s="93"/>
      <c r="M543" s="93"/>
      <c r="N543" s="93"/>
      <c r="O543" s="93"/>
      <c r="P543" s="93"/>
      <c r="Q543" s="93"/>
      <c r="R543" s="93"/>
      <c r="S543" s="93"/>
      <c r="T543" s="93"/>
      <c r="U543" s="93"/>
      <c r="V543" s="93"/>
      <c r="W543" s="93"/>
      <c r="X543" s="93"/>
    </row>
    <row r="544" spans="1:24" ht="16">
      <c r="A544" s="93"/>
      <c r="B544" s="94"/>
      <c r="C544" s="93"/>
      <c r="D544" s="93"/>
      <c r="E544" s="93"/>
      <c r="F544" s="93"/>
      <c r="G544" s="93"/>
      <c r="H544" s="93"/>
      <c r="I544" s="94"/>
      <c r="J544" s="94"/>
      <c r="K544" s="93"/>
      <c r="L544" s="93"/>
      <c r="M544" s="93"/>
      <c r="N544" s="93"/>
      <c r="O544" s="93"/>
      <c r="P544" s="93"/>
      <c r="Q544" s="93"/>
      <c r="R544" s="93"/>
      <c r="S544" s="93"/>
      <c r="T544" s="93"/>
      <c r="U544" s="93"/>
      <c r="V544" s="93"/>
      <c r="W544" s="93"/>
      <c r="X544" s="93"/>
    </row>
    <row r="545" spans="1:24" ht="16">
      <c r="A545" s="93"/>
      <c r="B545" s="94"/>
      <c r="C545" s="93"/>
      <c r="D545" s="93"/>
      <c r="E545" s="93"/>
      <c r="F545" s="93"/>
      <c r="G545" s="93"/>
      <c r="H545" s="93"/>
      <c r="I545" s="94"/>
      <c r="J545" s="94"/>
      <c r="K545" s="93"/>
      <c r="L545" s="93"/>
      <c r="M545" s="93"/>
      <c r="N545" s="93"/>
      <c r="O545" s="93"/>
      <c r="P545" s="93"/>
      <c r="Q545" s="93"/>
      <c r="R545" s="93"/>
      <c r="S545" s="93"/>
      <c r="T545" s="93"/>
      <c r="U545" s="93"/>
      <c r="V545" s="93"/>
      <c r="W545" s="93"/>
      <c r="X545" s="93"/>
    </row>
    <row r="546" spans="1:24" ht="16">
      <c r="A546" s="93"/>
      <c r="B546" s="94"/>
      <c r="C546" s="93"/>
      <c r="D546" s="93"/>
      <c r="E546" s="93"/>
      <c r="F546" s="93"/>
      <c r="G546" s="93"/>
      <c r="H546" s="93"/>
      <c r="I546" s="94"/>
      <c r="J546" s="94"/>
      <c r="K546" s="93"/>
      <c r="L546" s="93"/>
      <c r="M546" s="93"/>
      <c r="N546" s="93"/>
      <c r="O546" s="93"/>
      <c r="P546" s="93"/>
      <c r="Q546" s="93"/>
      <c r="R546" s="93"/>
      <c r="S546" s="93"/>
      <c r="T546" s="93"/>
      <c r="U546" s="93"/>
      <c r="V546" s="93"/>
      <c r="W546" s="93"/>
      <c r="X546" s="93"/>
    </row>
    <row r="547" spans="1:24" ht="16">
      <c r="A547" s="93"/>
      <c r="B547" s="94"/>
      <c r="C547" s="93"/>
      <c r="D547" s="93"/>
      <c r="E547" s="93"/>
      <c r="F547" s="93"/>
      <c r="G547" s="93"/>
      <c r="H547" s="93"/>
      <c r="I547" s="94"/>
      <c r="J547" s="94"/>
      <c r="K547" s="93"/>
      <c r="L547" s="93"/>
      <c r="M547" s="93"/>
      <c r="N547" s="93"/>
      <c r="O547" s="93"/>
      <c r="P547" s="93"/>
      <c r="Q547" s="93"/>
      <c r="R547" s="93"/>
      <c r="S547" s="93"/>
      <c r="T547" s="93"/>
      <c r="U547" s="93"/>
      <c r="V547" s="93"/>
      <c r="W547" s="93"/>
      <c r="X547" s="93"/>
    </row>
    <row r="548" spans="1:24" ht="16">
      <c r="A548" s="93"/>
      <c r="B548" s="94"/>
      <c r="C548" s="93"/>
      <c r="D548" s="93"/>
      <c r="E548" s="93"/>
      <c r="F548" s="93"/>
      <c r="G548" s="93"/>
      <c r="H548" s="93"/>
      <c r="I548" s="94"/>
      <c r="J548" s="94"/>
      <c r="K548" s="93"/>
      <c r="L548" s="93"/>
      <c r="M548" s="93"/>
      <c r="N548" s="93"/>
      <c r="O548" s="93"/>
      <c r="P548" s="93"/>
      <c r="Q548" s="93"/>
      <c r="R548" s="93"/>
      <c r="S548" s="93"/>
      <c r="T548" s="93"/>
      <c r="U548" s="93"/>
      <c r="V548" s="93"/>
      <c r="W548" s="93"/>
      <c r="X548" s="93"/>
    </row>
    <row r="549" spans="1:24" ht="16">
      <c r="A549" s="93"/>
      <c r="B549" s="94"/>
      <c r="C549" s="93"/>
      <c r="D549" s="93"/>
      <c r="E549" s="93"/>
      <c r="F549" s="93"/>
      <c r="G549" s="93"/>
      <c r="H549" s="93"/>
      <c r="I549" s="94"/>
      <c r="J549" s="94"/>
      <c r="K549" s="93"/>
      <c r="L549" s="93"/>
      <c r="M549" s="93"/>
      <c r="N549" s="93"/>
      <c r="O549" s="93"/>
      <c r="P549" s="93"/>
      <c r="Q549" s="93"/>
      <c r="R549" s="93"/>
      <c r="S549" s="93"/>
      <c r="T549" s="93"/>
      <c r="U549" s="93"/>
      <c r="V549" s="93"/>
      <c r="W549" s="93"/>
      <c r="X549" s="93"/>
    </row>
    <row r="550" spans="1:24" ht="16">
      <c r="A550" s="93"/>
      <c r="B550" s="94"/>
      <c r="C550" s="93"/>
      <c r="D550" s="93"/>
      <c r="E550" s="93"/>
      <c r="F550" s="93"/>
      <c r="G550" s="93"/>
      <c r="H550" s="93"/>
      <c r="I550" s="94"/>
      <c r="J550" s="94"/>
      <c r="K550" s="93"/>
      <c r="L550" s="93"/>
      <c r="M550" s="93"/>
      <c r="N550" s="93"/>
      <c r="O550" s="93"/>
      <c r="P550" s="93"/>
      <c r="Q550" s="93"/>
      <c r="R550" s="93"/>
      <c r="S550" s="93"/>
      <c r="T550" s="93"/>
      <c r="U550" s="93"/>
      <c r="V550" s="93"/>
      <c r="W550" s="93"/>
      <c r="X550" s="93"/>
    </row>
    <row r="551" spans="1:24" ht="16">
      <c r="A551" s="93"/>
      <c r="B551" s="94"/>
      <c r="C551" s="93"/>
      <c r="D551" s="93"/>
      <c r="E551" s="93"/>
      <c r="F551" s="93"/>
      <c r="G551" s="93"/>
      <c r="H551" s="93"/>
      <c r="I551" s="94"/>
      <c r="J551" s="94"/>
      <c r="K551" s="93"/>
      <c r="L551" s="93"/>
      <c r="M551" s="93"/>
      <c r="N551" s="93"/>
      <c r="O551" s="93"/>
      <c r="P551" s="93"/>
      <c r="Q551" s="93"/>
      <c r="R551" s="93"/>
      <c r="S551" s="93"/>
      <c r="T551" s="93"/>
      <c r="U551" s="93"/>
      <c r="V551" s="93"/>
      <c r="W551" s="93"/>
      <c r="X551" s="93"/>
    </row>
    <row r="552" spans="1:24" ht="16">
      <c r="A552" s="93"/>
      <c r="B552" s="94"/>
      <c r="C552" s="93"/>
      <c r="D552" s="93"/>
      <c r="E552" s="93"/>
      <c r="F552" s="93"/>
      <c r="G552" s="93"/>
      <c r="H552" s="93"/>
      <c r="I552" s="94"/>
      <c r="J552" s="94"/>
      <c r="K552" s="93"/>
      <c r="L552" s="93"/>
      <c r="M552" s="93"/>
      <c r="N552" s="93"/>
      <c r="O552" s="93"/>
      <c r="P552" s="93"/>
      <c r="Q552" s="93"/>
      <c r="R552" s="93"/>
      <c r="S552" s="93"/>
      <c r="T552" s="93"/>
      <c r="U552" s="93"/>
      <c r="V552" s="93"/>
      <c r="W552" s="93"/>
      <c r="X552" s="93"/>
    </row>
    <row r="553" spans="1:24" ht="16">
      <c r="A553" s="93"/>
      <c r="B553" s="94"/>
      <c r="C553" s="93"/>
      <c r="D553" s="93"/>
      <c r="E553" s="93"/>
      <c r="F553" s="93"/>
      <c r="G553" s="93"/>
      <c r="H553" s="93"/>
      <c r="I553" s="94"/>
      <c r="J553" s="94"/>
      <c r="K553" s="93"/>
      <c r="L553" s="93"/>
      <c r="M553" s="93"/>
      <c r="N553" s="93"/>
      <c r="O553" s="93"/>
      <c r="P553" s="93"/>
      <c r="Q553" s="93"/>
      <c r="R553" s="93"/>
      <c r="S553" s="93"/>
      <c r="T553" s="93"/>
      <c r="U553" s="93"/>
      <c r="V553" s="93"/>
      <c r="W553" s="93"/>
      <c r="X553" s="93"/>
    </row>
    <row r="554" spans="1:24" ht="16">
      <c r="A554" s="93"/>
      <c r="B554" s="94"/>
      <c r="C554" s="93"/>
      <c r="D554" s="93"/>
      <c r="E554" s="93"/>
      <c r="F554" s="93"/>
      <c r="G554" s="93"/>
      <c r="H554" s="93"/>
      <c r="I554" s="94"/>
      <c r="J554" s="94"/>
      <c r="K554" s="93"/>
      <c r="L554" s="93"/>
      <c r="M554" s="93"/>
      <c r="N554" s="93"/>
      <c r="O554" s="93"/>
      <c r="P554" s="93"/>
      <c r="Q554" s="93"/>
      <c r="R554" s="93"/>
      <c r="S554" s="93"/>
      <c r="T554" s="93"/>
      <c r="U554" s="93"/>
      <c r="V554" s="93"/>
      <c r="W554" s="93"/>
      <c r="X554" s="93"/>
    </row>
    <row r="555" spans="1:24" ht="16">
      <c r="A555" s="93"/>
      <c r="B555" s="94"/>
      <c r="C555" s="93"/>
      <c r="D555" s="93"/>
      <c r="E555" s="93"/>
      <c r="F555" s="93"/>
      <c r="G555" s="93"/>
      <c r="H555" s="93"/>
      <c r="I555" s="94"/>
      <c r="J555" s="94"/>
      <c r="K555" s="93"/>
      <c r="L555" s="93"/>
      <c r="M555" s="93"/>
      <c r="N555" s="93"/>
      <c r="O555" s="93"/>
      <c r="P555" s="93"/>
      <c r="Q555" s="93"/>
      <c r="R555" s="93"/>
      <c r="S555" s="93"/>
      <c r="T555" s="93"/>
      <c r="U555" s="93"/>
      <c r="V555" s="93"/>
      <c r="W555" s="93"/>
      <c r="X555" s="93"/>
    </row>
    <row r="556" spans="1:24" ht="16">
      <c r="A556" s="93"/>
      <c r="B556" s="94"/>
      <c r="C556" s="93"/>
      <c r="D556" s="93"/>
      <c r="E556" s="93"/>
      <c r="F556" s="93"/>
      <c r="G556" s="93"/>
      <c r="H556" s="93"/>
      <c r="I556" s="94"/>
      <c r="J556" s="94"/>
      <c r="K556" s="93"/>
      <c r="L556" s="93"/>
      <c r="M556" s="93"/>
      <c r="N556" s="93"/>
      <c r="O556" s="93"/>
      <c r="P556" s="93"/>
      <c r="Q556" s="93"/>
      <c r="R556" s="93"/>
      <c r="S556" s="93"/>
      <c r="T556" s="93"/>
      <c r="U556" s="93"/>
      <c r="V556" s="93"/>
      <c r="W556" s="93"/>
      <c r="X556" s="93"/>
    </row>
    <row r="557" spans="1:24" ht="16">
      <c r="A557" s="93"/>
      <c r="B557" s="94"/>
      <c r="C557" s="93"/>
      <c r="D557" s="93"/>
      <c r="E557" s="93"/>
      <c r="F557" s="93"/>
      <c r="G557" s="93"/>
      <c r="H557" s="93"/>
      <c r="I557" s="94"/>
      <c r="J557" s="94"/>
      <c r="K557" s="93"/>
      <c r="L557" s="93"/>
      <c r="M557" s="93"/>
      <c r="N557" s="93"/>
      <c r="O557" s="93"/>
      <c r="P557" s="93"/>
      <c r="Q557" s="93"/>
      <c r="R557" s="93"/>
      <c r="S557" s="93"/>
      <c r="T557" s="93"/>
      <c r="U557" s="93"/>
      <c r="V557" s="93"/>
      <c r="W557" s="93"/>
      <c r="X557" s="93"/>
    </row>
    <row r="558" spans="1:24" ht="16">
      <c r="A558" s="93"/>
      <c r="B558" s="94"/>
      <c r="C558" s="93"/>
      <c r="D558" s="93"/>
      <c r="E558" s="93"/>
      <c r="F558" s="93"/>
      <c r="G558" s="93"/>
      <c r="H558" s="93"/>
      <c r="I558" s="94"/>
      <c r="J558" s="94"/>
      <c r="K558" s="93"/>
      <c r="L558" s="93"/>
      <c r="M558" s="93"/>
      <c r="N558" s="93"/>
      <c r="O558" s="93"/>
      <c r="P558" s="93"/>
      <c r="Q558" s="93"/>
      <c r="R558" s="93"/>
      <c r="S558" s="93"/>
      <c r="T558" s="93"/>
      <c r="U558" s="93"/>
      <c r="V558" s="93"/>
      <c r="W558" s="93"/>
      <c r="X558" s="93"/>
    </row>
    <row r="559" spans="1:24" ht="16">
      <c r="A559" s="93"/>
      <c r="B559" s="94"/>
      <c r="C559" s="93"/>
      <c r="D559" s="93"/>
      <c r="E559" s="93"/>
      <c r="F559" s="93"/>
      <c r="G559" s="93"/>
      <c r="H559" s="93"/>
      <c r="I559" s="94"/>
      <c r="J559" s="94"/>
      <c r="K559" s="93"/>
      <c r="L559" s="93"/>
      <c r="M559" s="93"/>
      <c r="N559" s="93"/>
      <c r="O559" s="93"/>
      <c r="P559" s="93"/>
      <c r="Q559" s="93"/>
      <c r="R559" s="93"/>
      <c r="S559" s="93"/>
      <c r="T559" s="93"/>
      <c r="U559" s="93"/>
      <c r="V559" s="93"/>
      <c r="W559" s="93"/>
      <c r="X559" s="93"/>
    </row>
    <row r="560" spans="1:24" ht="16">
      <c r="A560" s="93"/>
      <c r="B560" s="94"/>
      <c r="C560" s="93"/>
      <c r="D560" s="93"/>
      <c r="E560" s="93"/>
      <c r="F560" s="93"/>
      <c r="G560" s="93"/>
      <c r="H560" s="93"/>
      <c r="I560" s="94"/>
      <c r="J560" s="94"/>
      <c r="K560" s="93"/>
      <c r="L560" s="93"/>
      <c r="M560" s="93"/>
      <c r="N560" s="93"/>
      <c r="O560" s="93"/>
      <c r="P560" s="93"/>
      <c r="Q560" s="93"/>
      <c r="R560" s="93"/>
      <c r="S560" s="93"/>
      <c r="T560" s="93"/>
      <c r="U560" s="93"/>
      <c r="V560" s="93"/>
      <c r="W560" s="93"/>
      <c r="X560" s="93"/>
    </row>
    <row r="561" spans="1:24" ht="16">
      <c r="A561" s="93"/>
      <c r="B561" s="94"/>
      <c r="C561" s="93"/>
      <c r="D561" s="93"/>
      <c r="E561" s="93"/>
      <c r="F561" s="93"/>
      <c r="G561" s="93"/>
      <c r="H561" s="93"/>
      <c r="I561" s="94"/>
      <c r="J561" s="94"/>
      <c r="K561" s="93"/>
      <c r="L561" s="93"/>
      <c r="M561" s="93"/>
      <c r="N561" s="93"/>
      <c r="O561" s="93"/>
      <c r="P561" s="93"/>
      <c r="Q561" s="93"/>
      <c r="R561" s="93"/>
      <c r="S561" s="93"/>
      <c r="T561" s="93"/>
      <c r="U561" s="93"/>
      <c r="V561" s="93"/>
      <c r="W561" s="93"/>
      <c r="X561" s="93"/>
    </row>
    <row r="562" spans="1:24" ht="16">
      <c r="A562" s="93"/>
      <c r="B562" s="94"/>
      <c r="C562" s="93"/>
      <c r="D562" s="93"/>
      <c r="E562" s="93"/>
      <c r="F562" s="93"/>
      <c r="G562" s="93"/>
      <c r="H562" s="93"/>
      <c r="I562" s="94"/>
      <c r="J562" s="94"/>
      <c r="K562" s="93"/>
      <c r="L562" s="93"/>
      <c r="M562" s="93"/>
      <c r="N562" s="93"/>
      <c r="O562" s="93"/>
      <c r="P562" s="93"/>
      <c r="Q562" s="93"/>
      <c r="R562" s="93"/>
      <c r="S562" s="93"/>
      <c r="T562" s="93"/>
      <c r="U562" s="93"/>
      <c r="V562" s="93"/>
      <c r="W562" s="93"/>
      <c r="X562" s="93"/>
    </row>
    <row r="563" spans="1:24" ht="16">
      <c r="A563" s="93"/>
      <c r="B563" s="94"/>
      <c r="C563" s="93"/>
      <c r="D563" s="93"/>
      <c r="E563" s="93"/>
      <c r="F563" s="93"/>
      <c r="G563" s="93"/>
      <c r="H563" s="93"/>
      <c r="I563" s="94"/>
      <c r="J563" s="94"/>
      <c r="K563" s="93"/>
      <c r="L563" s="93"/>
      <c r="M563" s="93"/>
      <c r="N563" s="93"/>
      <c r="O563" s="93"/>
      <c r="P563" s="93"/>
      <c r="Q563" s="93"/>
      <c r="R563" s="93"/>
      <c r="S563" s="93"/>
      <c r="T563" s="93"/>
      <c r="U563" s="93"/>
      <c r="V563" s="93"/>
      <c r="W563" s="93"/>
      <c r="X563" s="93"/>
    </row>
    <row r="564" spans="1:24" ht="16">
      <c r="A564" s="93"/>
      <c r="B564" s="94"/>
      <c r="C564" s="93"/>
      <c r="D564" s="93"/>
      <c r="E564" s="93"/>
      <c r="F564" s="93"/>
      <c r="G564" s="93"/>
      <c r="H564" s="93"/>
      <c r="I564" s="94"/>
      <c r="J564" s="94"/>
      <c r="K564" s="93"/>
      <c r="L564" s="93"/>
      <c r="M564" s="93"/>
      <c r="N564" s="93"/>
      <c r="O564" s="93"/>
      <c r="P564" s="93"/>
      <c r="Q564" s="93"/>
      <c r="R564" s="93"/>
      <c r="S564" s="93"/>
      <c r="T564" s="93"/>
      <c r="U564" s="93"/>
      <c r="V564" s="93"/>
      <c r="W564" s="93"/>
      <c r="X564" s="93"/>
    </row>
    <row r="565" spans="1:24" ht="16">
      <c r="A565" s="93"/>
      <c r="B565" s="94"/>
      <c r="C565" s="93"/>
      <c r="D565" s="93"/>
      <c r="E565" s="93"/>
      <c r="F565" s="93"/>
      <c r="G565" s="93"/>
      <c r="H565" s="93"/>
      <c r="I565" s="94"/>
      <c r="J565" s="94"/>
      <c r="K565" s="93"/>
      <c r="L565" s="93"/>
      <c r="M565" s="93"/>
      <c r="N565" s="93"/>
      <c r="O565" s="93"/>
      <c r="P565" s="93"/>
      <c r="Q565" s="93"/>
      <c r="R565" s="93"/>
      <c r="S565" s="93"/>
      <c r="T565" s="93"/>
      <c r="U565" s="93"/>
      <c r="V565" s="93"/>
      <c r="W565" s="93"/>
      <c r="X565" s="93"/>
    </row>
    <row r="566" spans="1:24" ht="16">
      <c r="A566" s="93"/>
      <c r="B566" s="94"/>
      <c r="C566" s="93"/>
      <c r="D566" s="93"/>
      <c r="E566" s="93"/>
      <c r="F566" s="93"/>
      <c r="G566" s="93"/>
      <c r="H566" s="93"/>
      <c r="I566" s="94"/>
      <c r="J566" s="94"/>
      <c r="K566" s="93"/>
      <c r="L566" s="93"/>
      <c r="M566" s="93"/>
      <c r="N566" s="93"/>
      <c r="O566" s="93"/>
      <c r="P566" s="93"/>
      <c r="Q566" s="93"/>
      <c r="R566" s="93"/>
      <c r="S566" s="93"/>
      <c r="T566" s="93"/>
      <c r="U566" s="93"/>
      <c r="V566" s="93"/>
      <c r="W566" s="93"/>
      <c r="X566" s="93"/>
    </row>
    <row r="567" spans="1:24" ht="16">
      <c r="A567" s="93"/>
      <c r="B567" s="94"/>
      <c r="C567" s="93"/>
      <c r="D567" s="93"/>
      <c r="E567" s="93"/>
      <c r="F567" s="93"/>
      <c r="G567" s="93"/>
      <c r="H567" s="93"/>
      <c r="I567" s="94"/>
      <c r="J567" s="94"/>
      <c r="K567" s="93"/>
      <c r="L567" s="93"/>
      <c r="M567" s="93"/>
      <c r="N567" s="93"/>
      <c r="O567" s="93"/>
      <c r="P567" s="93"/>
      <c r="Q567" s="93"/>
      <c r="R567" s="93"/>
      <c r="S567" s="93"/>
      <c r="T567" s="93"/>
      <c r="U567" s="93"/>
      <c r="V567" s="93"/>
      <c r="W567" s="93"/>
      <c r="X567" s="93"/>
    </row>
    <row r="568" spans="1:24" ht="16">
      <c r="A568" s="93"/>
      <c r="B568" s="94"/>
      <c r="C568" s="93"/>
      <c r="D568" s="93"/>
      <c r="E568" s="93"/>
      <c r="F568" s="93"/>
      <c r="G568" s="93"/>
      <c r="H568" s="93"/>
      <c r="I568" s="94"/>
      <c r="J568" s="94"/>
      <c r="K568" s="93"/>
      <c r="L568" s="93"/>
      <c r="M568" s="93"/>
      <c r="N568" s="93"/>
      <c r="O568" s="93"/>
      <c r="P568" s="93"/>
      <c r="Q568" s="93"/>
      <c r="R568" s="93"/>
      <c r="S568" s="93"/>
      <c r="T568" s="93"/>
      <c r="U568" s="93"/>
      <c r="V568" s="93"/>
      <c r="W568" s="93"/>
      <c r="X568" s="93"/>
    </row>
    <row r="569" spans="1:24" ht="16">
      <c r="A569" s="93"/>
      <c r="B569" s="94"/>
      <c r="C569" s="93"/>
      <c r="D569" s="93"/>
      <c r="E569" s="93"/>
      <c r="F569" s="93"/>
      <c r="G569" s="93"/>
      <c r="H569" s="93"/>
      <c r="I569" s="94"/>
      <c r="J569" s="94"/>
      <c r="K569" s="93"/>
      <c r="L569" s="93"/>
      <c r="M569" s="93"/>
      <c r="N569" s="93"/>
      <c r="O569" s="93"/>
      <c r="P569" s="93"/>
      <c r="Q569" s="93"/>
      <c r="R569" s="93"/>
      <c r="S569" s="93"/>
      <c r="T569" s="93"/>
      <c r="U569" s="93"/>
      <c r="V569" s="93"/>
      <c r="W569" s="93"/>
      <c r="X569" s="93"/>
    </row>
    <row r="570" spans="1:24" ht="16">
      <c r="A570" s="93"/>
      <c r="B570" s="94"/>
      <c r="C570" s="93"/>
      <c r="D570" s="93"/>
      <c r="E570" s="93"/>
      <c r="F570" s="93"/>
      <c r="G570" s="93"/>
      <c r="H570" s="93"/>
      <c r="I570" s="94"/>
      <c r="J570" s="94"/>
      <c r="K570" s="93"/>
      <c r="L570" s="93"/>
      <c r="M570" s="93"/>
      <c r="N570" s="93"/>
      <c r="O570" s="93"/>
      <c r="P570" s="93"/>
      <c r="Q570" s="93"/>
      <c r="R570" s="93"/>
      <c r="S570" s="93"/>
      <c r="T570" s="93"/>
      <c r="U570" s="93"/>
      <c r="V570" s="93"/>
      <c r="W570" s="93"/>
      <c r="X570" s="93"/>
    </row>
    <row r="571" spans="1:24" ht="16">
      <c r="A571" s="93"/>
      <c r="B571" s="94"/>
      <c r="C571" s="93"/>
      <c r="D571" s="93"/>
      <c r="E571" s="93"/>
      <c r="F571" s="93"/>
      <c r="G571" s="93"/>
      <c r="H571" s="93"/>
      <c r="I571" s="94"/>
      <c r="J571" s="94"/>
      <c r="K571" s="93"/>
      <c r="L571" s="93"/>
      <c r="M571" s="93"/>
      <c r="N571" s="93"/>
      <c r="O571" s="93"/>
      <c r="P571" s="93"/>
      <c r="Q571" s="93"/>
      <c r="R571" s="93"/>
      <c r="S571" s="93"/>
      <c r="T571" s="93"/>
      <c r="U571" s="93"/>
      <c r="V571" s="93"/>
      <c r="W571" s="93"/>
      <c r="X571" s="93"/>
    </row>
    <row r="572" spans="1:24" ht="16">
      <c r="A572" s="93"/>
      <c r="B572" s="94"/>
      <c r="C572" s="93"/>
      <c r="D572" s="93"/>
      <c r="E572" s="93"/>
      <c r="F572" s="93"/>
      <c r="G572" s="93"/>
      <c r="H572" s="93"/>
      <c r="I572" s="94"/>
      <c r="J572" s="94"/>
      <c r="K572" s="93"/>
      <c r="L572" s="93"/>
      <c r="M572" s="93"/>
      <c r="N572" s="93"/>
      <c r="O572" s="93"/>
      <c r="P572" s="93"/>
      <c r="Q572" s="93"/>
      <c r="R572" s="93"/>
      <c r="S572" s="93"/>
      <c r="T572" s="93"/>
      <c r="U572" s="93"/>
      <c r="V572" s="93"/>
      <c r="W572" s="93"/>
      <c r="X572" s="93"/>
    </row>
    <row r="573" spans="1:24" ht="16">
      <c r="A573" s="93"/>
      <c r="B573" s="94"/>
      <c r="C573" s="93"/>
      <c r="D573" s="93"/>
      <c r="E573" s="93"/>
      <c r="F573" s="93"/>
      <c r="G573" s="93"/>
      <c r="H573" s="93"/>
      <c r="I573" s="94"/>
      <c r="J573" s="94"/>
      <c r="K573" s="93"/>
      <c r="L573" s="93"/>
      <c r="M573" s="93"/>
      <c r="N573" s="93"/>
      <c r="O573" s="93"/>
      <c r="P573" s="93"/>
      <c r="Q573" s="93"/>
      <c r="R573" s="93"/>
      <c r="S573" s="93"/>
      <c r="T573" s="93"/>
      <c r="U573" s="93"/>
      <c r="V573" s="93"/>
      <c r="W573" s="93"/>
      <c r="X573" s="93"/>
    </row>
    <row r="574" spans="1:24" ht="16">
      <c r="A574" s="93"/>
      <c r="B574" s="94"/>
      <c r="C574" s="93"/>
      <c r="D574" s="93"/>
      <c r="E574" s="93"/>
      <c r="F574" s="93"/>
      <c r="G574" s="93"/>
      <c r="H574" s="93"/>
      <c r="I574" s="94"/>
      <c r="J574" s="94"/>
      <c r="K574" s="93"/>
      <c r="L574" s="93"/>
      <c r="M574" s="93"/>
      <c r="N574" s="93"/>
      <c r="O574" s="93"/>
      <c r="P574" s="93"/>
      <c r="Q574" s="93"/>
      <c r="R574" s="93"/>
      <c r="S574" s="93"/>
      <c r="T574" s="93"/>
      <c r="U574" s="93"/>
      <c r="V574" s="93"/>
      <c r="W574" s="93"/>
      <c r="X574" s="93"/>
    </row>
    <row r="575" spans="1:24" ht="16">
      <c r="A575" s="93"/>
      <c r="B575" s="94"/>
      <c r="C575" s="93"/>
      <c r="D575" s="93"/>
      <c r="E575" s="93"/>
      <c r="F575" s="93"/>
      <c r="G575" s="93"/>
      <c r="H575" s="93"/>
      <c r="I575" s="94"/>
      <c r="J575" s="94"/>
      <c r="K575" s="93"/>
      <c r="L575" s="93"/>
      <c r="M575" s="93"/>
      <c r="N575" s="93"/>
      <c r="O575" s="93"/>
      <c r="P575" s="93"/>
      <c r="Q575" s="93"/>
      <c r="R575" s="93"/>
      <c r="S575" s="93"/>
      <c r="T575" s="93"/>
      <c r="U575" s="93"/>
      <c r="V575" s="93"/>
      <c r="W575" s="93"/>
      <c r="X575" s="93"/>
    </row>
    <row r="576" spans="1:24" ht="16">
      <c r="A576" s="93"/>
      <c r="B576" s="94"/>
      <c r="C576" s="93"/>
      <c r="D576" s="93"/>
      <c r="E576" s="93"/>
      <c r="F576" s="93"/>
      <c r="G576" s="93"/>
      <c r="H576" s="93"/>
      <c r="I576" s="94"/>
      <c r="J576" s="94"/>
      <c r="K576" s="93"/>
      <c r="L576" s="93"/>
      <c r="M576" s="93"/>
      <c r="N576" s="93"/>
      <c r="O576" s="93"/>
      <c r="P576" s="93"/>
      <c r="Q576" s="93"/>
      <c r="R576" s="93"/>
      <c r="S576" s="93"/>
      <c r="T576" s="93"/>
      <c r="U576" s="93"/>
      <c r="V576" s="93"/>
      <c r="W576" s="93"/>
      <c r="X576" s="93"/>
    </row>
    <row r="577" spans="1:24" ht="16">
      <c r="A577" s="93"/>
      <c r="B577" s="94"/>
      <c r="C577" s="93"/>
      <c r="D577" s="93"/>
      <c r="E577" s="93"/>
      <c r="F577" s="93"/>
      <c r="G577" s="93"/>
      <c r="H577" s="93"/>
      <c r="I577" s="94"/>
      <c r="J577" s="94"/>
      <c r="K577" s="93"/>
      <c r="L577" s="93"/>
      <c r="M577" s="93"/>
      <c r="N577" s="93"/>
      <c r="O577" s="93"/>
      <c r="P577" s="93"/>
      <c r="Q577" s="93"/>
      <c r="R577" s="93"/>
      <c r="S577" s="93"/>
      <c r="T577" s="93"/>
      <c r="U577" s="93"/>
      <c r="V577" s="93"/>
      <c r="W577" s="93"/>
      <c r="X577" s="93"/>
    </row>
    <row r="578" spans="1:24" ht="16">
      <c r="A578" s="93"/>
      <c r="B578" s="94"/>
      <c r="C578" s="93"/>
      <c r="D578" s="93"/>
      <c r="E578" s="93"/>
      <c r="F578" s="93"/>
      <c r="G578" s="93"/>
      <c r="H578" s="93"/>
      <c r="I578" s="94"/>
      <c r="J578" s="94"/>
      <c r="K578" s="93"/>
      <c r="L578" s="93"/>
      <c r="M578" s="93"/>
      <c r="N578" s="93"/>
      <c r="O578" s="93"/>
      <c r="P578" s="93"/>
      <c r="Q578" s="93"/>
      <c r="R578" s="93"/>
      <c r="S578" s="93"/>
      <c r="T578" s="93"/>
      <c r="U578" s="93"/>
      <c r="V578" s="93"/>
      <c r="W578" s="93"/>
      <c r="X578" s="93"/>
    </row>
    <row r="579" spans="1:24" ht="16">
      <c r="A579" s="93"/>
      <c r="B579" s="94"/>
      <c r="C579" s="93"/>
      <c r="D579" s="93"/>
      <c r="E579" s="93"/>
      <c r="F579" s="93"/>
      <c r="G579" s="93"/>
      <c r="H579" s="93"/>
      <c r="I579" s="94"/>
      <c r="J579" s="94"/>
      <c r="K579" s="93"/>
      <c r="L579" s="93"/>
      <c r="M579" s="93"/>
      <c r="N579" s="93"/>
      <c r="O579" s="93"/>
      <c r="P579" s="93"/>
      <c r="Q579" s="93"/>
      <c r="R579" s="93"/>
      <c r="S579" s="93"/>
      <c r="T579" s="93"/>
      <c r="U579" s="93"/>
      <c r="V579" s="93"/>
      <c r="W579" s="93"/>
      <c r="X579" s="93"/>
    </row>
    <row r="580" spans="1:24" ht="16">
      <c r="A580" s="93"/>
      <c r="B580" s="94"/>
      <c r="C580" s="93"/>
      <c r="D580" s="93"/>
      <c r="E580" s="93"/>
      <c r="F580" s="93"/>
      <c r="G580" s="93"/>
      <c r="H580" s="93"/>
      <c r="I580" s="94"/>
      <c r="J580" s="94"/>
      <c r="K580" s="93"/>
      <c r="L580" s="93"/>
      <c r="M580" s="93"/>
      <c r="N580" s="93"/>
      <c r="O580" s="93"/>
      <c r="P580" s="93"/>
      <c r="Q580" s="93"/>
      <c r="R580" s="93"/>
      <c r="S580" s="93"/>
      <c r="T580" s="93"/>
      <c r="U580" s="93"/>
      <c r="V580" s="93"/>
      <c r="W580" s="93"/>
      <c r="X580" s="93"/>
    </row>
    <row r="581" spans="1:24" ht="16">
      <c r="A581" s="93"/>
      <c r="B581" s="94"/>
      <c r="C581" s="93"/>
      <c r="D581" s="93"/>
      <c r="E581" s="93"/>
      <c r="F581" s="93"/>
      <c r="G581" s="93"/>
      <c r="H581" s="93"/>
      <c r="I581" s="94"/>
      <c r="J581" s="94"/>
      <c r="K581" s="93"/>
      <c r="L581" s="93"/>
      <c r="M581" s="93"/>
      <c r="N581" s="93"/>
      <c r="O581" s="93"/>
      <c r="P581" s="93"/>
      <c r="Q581" s="93"/>
      <c r="R581" s="93"/>
      <c r="S581" s="93"/>
      <c r="T581" s="93"/>
      <c r="U581" s="93"/>
      <c r="V581" s="93"/>
      <c r="W581" s="93"/>
      <c r="X581" s="93"/>
    </row>
    <row r="582" spans="1:24" ht="16">
      <c r="A582" s="93"/>
      <c r="B582" s="94"/>
      <c r="C582" s="93"/>
      <c r="D582" s="93"/>
      <c r="E582" s="93"/>
      <c r="F582" s="93"/>
      <c r="G582" s="93"/>
      <c r="H582" s="93"/>
      <c r="I582" s="94"/>
      <c r="J582" s="94"/>
      <c r="K582" s="93"/>
      <c r="L582" s="93"/>
      <c r="M582" s="93"/>
      <c r="N582" s="93"/>
      <c r="O582" s="93"/>
      <c r="P582" s="93"/>
      <c r="Q582" s="93"/>
      <c r="R582" s="93"/>
      <c r="S582" s="93"/>
      <c r="T582" s="93"/>
      <c r="U582" s="93"/>
      <c r="V582" s="93"/>
      <c r="W582" s="93"/>
      <c r="X582" s="93"/>
    </row>
    <row r="583" spans="1:24" ht="16">
      <c r="A583" s="93"/>
      <c r="B583" s="94"/>
      <c r="C583" s="93"/>
      <c r="D583" s="93"/>
      <c r="E583" s="93"/>
      <c r="F583" s="93"/>
      <c r="G583" s="93"/>
      <c r="H583" s="93"/>
      <c r="I583" s="94"/>
      <c r="J583" s="94"/>
      <c r="K583" s="93"/>
      <c r="L583" s="93"/>
      <c r="M583" s="93"/>
      <c r="N583" s="93"/>
      <c r="O583" s="93"/>
      <c r="P583" s="93"/>
      <c r="Q583" s="93"/>
      <c r="R583" s="93"/>
      <c r="S583" s="93"/>
      <c r="T583" s="93"/>
      <c r="U583" s="93"/>
      <c r="V583" s="93"/>
      <c r="W583" s="93"/>
      <c r="X583" s="93"/>
    </row>
    <row r="584" spans="1:24" ht="16">
      <c r="A584" s="93"/>
      <c r="B584" s="94"/>
      <c r="C584" s="93"/>
      <c r="D584" s="93"/>
      <c r="E584" s="93"/>
      <c r="F584" s="93"/>
      <c r="G584" s="93"/>
      <c r="H584" s="93"/>
      <c r="I584" s="94"/>
      <c r="J584" s="94"/>
      <c r="K584" s="93"/>
      <c r="L584" s="93"/>
      <c r="M584" s="93"/>
      <c r="N584" s="93"/>
      <c r="O584" s="93"/>
      <c r="P584" s="93"/>
      <c r="Q584" s="93"/>
      <c r="R584" s="93"/>
      <c r="S584" s="93"/>
      <c r="T584" s="93"/>
      <c r="U584" s="93"/>
      <c r="V584" s="93"/>
      <c r="W584" s="93"/>
      <c r="X584" s="93"/>
    </row>
    <row r="585" spans="1:24" ht="16">
      <c r="A585" s="93"/>
      <c r="B585" s="94"/>
      <c r="C585" s="93"/>
      <c r="D585" s="93"/>
      <c r="E585" s="93"/>
      <c r="F585" s="93"/>
      <c r="G585" s="93"/>
      <c r="H585" s="93"/>
      <c r="I585" s="94"/>
      <c r="J585" s="94"/>
      <c r="K585" s="93"/>
      <c r="L585" s="93"/>
      <c r="M585" s="93"/>
      <c r="N585" s="93"/>
      <c r="O585" s="93"/>
      <c r="P585" s="93"/>
      <c r="Q585" s="93"/>
      <c r="R585" s="93"/>
      <c r="S585" s="93"/>
      <c r="T585" s="93"/>
      <c r="U585" s="93"/>
      <c r="V585" s="93"/>
      <c r="W585" s="93"/>
      <c r="X585" s="93"/>
    </row>
    <row r="586" spans="1:24" ht="16">
      <c r="A586" s="93"/>
      <c r="B586" s="94"/>
      <c r="C586" s="93"/>
      <c r="D586" s="93"/>
      <c r="E586" s="93"/>
      <c r="F586" s="93"/>
      <c r="G586" s="93"/>
      <c r="H586" s="93"/>
      <c r="I586" s="94"/>
      <c r="J586" s="94"/>
      <c r="K586" s="93"/>
      <c r="L586" s="93"/>
      <c r="M586" s="93"/>
      <c r="N586" s="93"/>
      <c r="O586" s="93"/>
      <c r="P586" s="93"/>
      <c r="Q586" s="93"/>
      <c r="R586" s="93"/>
      <c r="S586" s="93"/>
      <c r="T586" s="93"/>
      <c r="U586" s="93"/>
      <c r="V586" s="93"/>
      <c r="W586" s="93"/>
      <c r="X586" s="93"/>
    </row>
    <row r="587" spans="1:24" ht="16">
      <c r="A587" s="93"/>
      <c r="B587" s="94"/>
      <c r="C587" s="93"/>
      <c r="D587" s="93"/>
      <c r="E587" s="93"/>
      <c r="F587" s="93"/>
      <c r="G587" s="93"/>
      <c r="H587" s="93"/>
      <c r="I587" s="94"/>
      <c r="J587" s="94"/>
      <c r="K587" s="93"/>
      <c r="L587" s="93"/>
      <c r="M587" s="93"/>
      <c r="N587" s="93"/>
      <c r="O587" s="93"/>
      <c r="P587" s="93"/>
      <c r="Q587" s="93"/>
      <c r="R587" s="93"/>
      <c r="S587" s="93"/>
      <c r="T587" s="93"/>
      <c r="U587" s="93"/>
      <c r="V587" s="93"/>
      <c r="W587" s="93"/>
      <c r="X587" s="93"/>
    </row>
    <row r="588" spans="1:24" ht="16">
      <c r="A588" s="93"/>
      <c r="B588" s="94"/>
      <c r="C588" s="93"/>
      <c r="D588" s="93"/>
      <c r="E588" s="93"/>
      <c r="F588" s="93"/>
      <c r="G588" s="93"/>
      <c r="H588" s="93"/>
      <c r="I588" s="94"/>
      <c r="J588" s="94"/>
      <c r="K588" s="93"/>
      <c r="L588" s="93"/>
      <c r="M588" s="93"/>
      <c r="N588" s="93"/>
      <c r="O588" s="93"/>
      <c r="P588" s="93"/>
      <c r="Q588" s="93"/>
      <c r="R588" s="93"/>
      <c r="S588" s="93"/>
      <c r="T588" s="93"/>
      <c r="U588" s="93"/>
      <c r="V588" s="93"/>
      <c r="W588" s="93"/>
      <c r="X588" s="93"/>
    </row>
    <row r="589" spans="1:24" ht="16">
      <c r="A589" s="93"/>
      <c r="B589" s="94"/>
      <c r="C589" s="93"/>
      <c r="D589" s="93"/>
      <c r="E589" s="93"/>
      <c r="F589" s="93"/>
      <c r="G589" s="93"/>
      <c r="H589" s="93"/>
      <c r="I589" s="94"/>
      <c r="J589" s="94"/>
      <c r="K589" s="93"/>
      <c r="L589" s="93"/>
      <c r="M589" s="93"/>
      <c r="N589" s="93"/>
      <c r="O589" s="93"/>
      <c r="P589" s="93"/>
      <c r="Q589" s="93"/>
      <c r="R589" s="93"/>
      <c r="S589" s="93"/>
      <c r="T589" s="93"/>
      <c r="U589" s="93"/>
      <c r="V589" s="93"/>
      <c r="W589" s="93"/>
      <c r="X589" s="93"/>
    </row>
    <row r="590" spans="1:24" ht="16">
      <c r="A590" s="93"/>
      <c r="B590" s="94"/>
      <c r="C590" s="93"/>
      <c r="D590" s="93"/>
      <c r="E590" s="93"/>
      <c r="F590" s="93"/>
      <c r="G590" s="93"/>
      <c r="H590" s="93"/>
      <c r="I590" s="94"/>
      <c r="J590" s="94"/>
      <c r="K590" s="93"/>
      <c r="L590" s="93"/>
      <c r="M590" s="93"/>
      <c r="N590" s="93"/>
      <c r="O590" s="93"/>
      <c r="P590" s="93"/>
      <c r="Q590" s="93"/>
      <c r="R590" s="93"/>
      <c r="S590" s="93"/>
      <c r="T590" s="93"/>
      <c r="U590" s="93"/>
      <c r="V590" s="93"/>
      <c r="W590" s="93"/>
      <c r="X590" s="93"/>
    </row>
    <row r="591" spans="1:24" ht="16">
      <c r="A591" s="93"/>
      <c r="B591" s="94"/>
      <c r="C591" s="93"/>
      <c r="D591" s="93"/>
      <c r="E591" s="93"/>
      <c r="F591" s="93"/>
      <c r="G591" s="93"/>
      <c r="H591" s="93"/>
      <c r="I591" s="94"/>
      <c r="J591" s="94"/>
      <c r="K591" s="93"/>
      <c r="L591" s="93"/>
      <c r="M591" s="93"/>
      <c r="N591" s="93"/>
      <c r="O591" s="93"/>
      <c r="P591" s="93"/>
      <c r="Q591" s="93"/>
      <c r="R591" s="93"/>
      <c r="S591" s="93"/>
      <c r="T591" s="93"/>
      <c r="U591" s="93"/>
      <c r="V591" s="93"/>
      <c r="W591" s="93"/>
      <c r="X591" s="93"/>
    </row>
    <row r="592" spans="1:24" ht="16">
      <c r="A592" s="93"/>
      <c r="B592" s="94"/>
      <c r="C592" s="93"/>
      <c r="D592" s="93"/>
      <c r="E592" s="93"/>
      <c r="F592" s="93"/>
      <c r="G592" s="93"/>
      <c r="H592" s="93"/>
      <c r="I592" s="94"/>
      <c r="J592" s="94"/>
      <c r="K592" s="93"/>
      <c r="L592" s="93"/>
      <c r="M592" s="93"/>
      <c r="N592" s="93"/>
      <c r="O592" s="93"/>
      <c r="P592" s="93"/>
      <c r="Q592" s="93"/>
      <c r="R592" s="93"/>
      <c r="S592" s="93"/>
      <c r="T592" s="93"/>
      <c r="U592" s="93"/>
      <c r="V592" s="93"/>
      <c r="W592" s="93"/>
      <c r="X592" s="93"/>
    </row>
    <row r="593" spans="1:24" ht="16">
      <c r="A593" s="93"/>
      <c r="B593" s="94"/>
      <c r="C593" s="93"/>
      <c r="D593" s="93"/>
      <c r="E593" s="93"/>
      <c r="F593" s="93"/>
      <c r="G593" s="93"/>
      <c r="H593" s="93"/>
      <c r="I593" s="94"/>
      <c r="J593" s="94"/>
      <c r="K593" s="93"/>
      <c r="L593" s="93"/>
      <c r="M593" s="93"/>
      <c r="N593" s="93"/>
      <c r="O593" s="93"/>
      <c r="P593" s="93"/>
      <c r="Q593" s="93"/>
      <c r="R593" s="93"/>
      <c r="S593" s="93"/>
      <c r="T593" s="93"/>
      <c r="U593" s="93"/>
      <c r="V593" s="93"/>
      <c r="W593" s="93"/>
      <c r="X593" s="93"/>
    </row>
    <row r="594" spans="1:24" ht="16">
      <c r="A594" s="93"/>
      <c r="B594" s="94"/>
      <c r="C594" s="93"/>
      <c r="D594" s="93"/>
      <c r="E594" s="93"/>
      <c r="F594" s="93"/>
      <c r="G594" s="93"/>
      <c r="H594" s="93"/>
      <c r="I594" s="94"/>
      <c r="J594" s="94"/>
      <c r="K594" s="93"/>
      <c r="L594" s="93"/>
      <c r="M594" s="93"/>
      <c r="N594" s="93"/>
      <c r="O594" s="93"/>
      <c r="P594" s="93"/>
      <c r="Q594" s="93"/>
      <c r="R594" s="93"/>
      <c r="S594" s="93"/>
      <c r="T594" s="93"/>
      <c r="U594" s="93"/>
      <c r="V594" s="93"/>
      <c r="W594" s="93"/>
      <c r="X594" s="93"/>
    </row>
    <row r="595" spans="1:24" ht="16">
      <c r="A595" s="93"/>
      <c r="B595" s="94"/>
      <c r="C595" s="93"/>
      <c r="D595" s="93"/>
      <c r="E595" s="93"/>
      <c r="F595" s="93"/>
      <c r="G595" s="93"/>
      <c r="H595" s="93"/>
      <c r="I595" s="94"/>
      <c r="J595" s="94"/>
      <c r="K595" s="93"/>
      <c r="L595" s="93"/>
      <c r="M595" s="93"/>
      <c r="N595" s="93"/>
      <c r="O595" s="93"/>
      <c r="P595" s="93"/>
      <c r="Q595" s="93"/>
      <c r="R595" s="93"/>
      <c r="S595" s="93"/>
      <c r="T595" s="93"/>
      <c r="U595" s="93"/>
      <c r="V595" s="93"/>
      <c r="W595" s="93"/>
      <c r="X595" s="93"/>
    </row>
    <row r="596" spans="1:24" ht="16">
      <c r="A596" s="93"/>
      <c r="B596" s="94"/>
      <c r="C596" s="93"/>
      <c r="D596" s="93"/>
      <c r="E596" s="93"/>
      <c r="F596" s="93"/>
      <c r="G596" s="93"/>
      <c r="H596" s="93"/>
      <c r="I596" s="94"/>
      <c r="J596" s="94"/>
      <c r="K596" s="93"/>
      <c r="L596" s="93"/>
      <c r="M596" s="93"/>
      <c r="N596" s="93"/>
      <c r="O596" s="93"/>
      <c r="P596" s="93"/>
      <c r="Q596" s="93"/>
      <c r="R596" s="93"/>
      <c r="S596" s="93"/>
      <c r="T596" s="93"/>
      <c r="U596" s="93"/>
      <c r="V596" s="93"/>
      <c r="W596" s="93"/>
      <c r="X596" s="93"/>
    </row>
    <row r="597" spans="1:24" ht="16">
      <c r="A597" s="93"/>
      <c r="B597" s="94"/>
      <c r="C597" s="93"/>
      <c r="D597" s="93"/>
      <c r="E597" s="93"/>
      <c r="F597" s="93"/>
      <c r="G597" s="93"/>
      <c r="H597" s="93"/>
      <c r="I597" s="94"/>
      <c r="J597" s="94"/>
      <c r="K597" s="93"/>
      <c r="L597" s="93"/>
      <c r="M597" s="93"/>
      <c r="N597" s="93"/>
      <c r="O597" s="93"/>
      <c r="P597" s="93"/>
      <c r="Q597" s="93"/>
      <c r="R597" s="93"/>
      <c r="S597" s="93"/>
      <c r="T597" s="93"/>
      <c r="U597" s="93"/>
      <c r="V597" s="93"/>
      <c r="W597" s="93"/>
      <c r="X597" s="93"/>
    </row>
    <row r="598" spans="1:24" ht="16">
      <c r="A598" s="93"/>
      <c r="B598" s="94"/>
      <c r="C598" s="93"/>
      <c r="D598" s="93"/>
      <c r="E598" s="93"/>
      <c r="F598" s="93"/>
      <c r="G598" s="93"/>
      <c r="H598" s="93"/>
      <c r="I598" s="94"/>
      <c r="J598" s="94"/>
      <c r="K598" s="93"/>
      <c r="L598" s="93"/>
      <c r="M598" s="93"/>
      <c r="N598" s="93"/>
      <c r="O598" s="93"/>
      <c r="P598" s="93"/>
      <c r="Q598" s="93"/>
      <c r="R598" s="93"/>
      <c r="S598" s="93"/>
      <c r="T598" s="93"/>
      <c r="U598" s="93"/>
      <c r="V598" s="93"/>
      <c r="W598" s="93"/>
      <c r="X598" s="93"/>
    </row>
    <row r="599" spans="1:24" ht="16">
      <c r="A599" s="93"/>
      <c r="B599" s="94"/>
      <c r="C599" s="93"/>
      <c r="D599" s="93"/>
      <c r="E599" s="93"/>
      <c r="F599" s="93"/>
      <c r="G599" s="93"/>
      <c r="H599" s="93"/>
      <c r="I599" s="94"/>
      <c r="J599" s="94"/>
      <c r="K599" s="93"/>
      <c r="L599" s="93"/>
      <c r="M599" s="93"/>
      <c r="N599" s="93"/>
      <c r="O599" s="93"/>
      <c r="P599" s="93"/>
      <c r="Q599" s="93"/>
      <c r="R599" s="93"/>
      <c r="S599" s="93"/>
      <c r="T599" s="93"/>
      <c r="U599" s="93"/>
      <c r="V599" s="93"/>
      <c r="W599" s="93"/>
      <c r="X599" s="93"/>
    </row>
    <row r="600" spans="1:24" ht="16">
      <c r="A600" s="93"/>
      <c r="B600" s="94"/>
      <c r="C600" s="93"/>
      <c r="D600" s="93"/>
      <c r="E600" s="93"/>
      <c r="F600" s="93"/>
      <c r="G600" s="93"/>
      <c r="H600" s="93"/>
      <c r="I600" s="94"/>
      <c r="J600" s="94"/>
      <c r="K600" s="93"/>
      <c r="L600" s="93"/>
      <c r="M600" s="93"/>
      <c r="N600" s="93"/>
      <c r="O600" s="93"/>
      <c r="P600" s="93"/>
      <c r="Q600" s="93"/>
      <c r="R600" s="93"/>
      <c r="S600" s="93"/>
      <c r="T600" s="93"/>
      <c r="U600" s="93"/>
      <c r="V600" s="93"/>
      <c r="W600" s="93"/>
      <c r="X600" s="93"/>
    </row>
    <row r="601" spans="1:24" ht="16">
      <c r="A601" s="93"/>
      <c r="B601" s="94"/>
      <c r="C601" s="93"/>
      <c r="D601" s="93"/>
      <c r="E601" s="93"/>
      <c r="F601" s="93"/>
      <c r="G601" s="93"/>
      <c r="H601" s="93"/>
      <c r="I601" s="94"/>
      <c r="J601" s="94"/>
      <c r="K601" s="93"/>
      <c r="L601" s="93"/>
      <c r="M601" s="93"/>
      <c r="N601" s="93"/>
      <c r="O601" s="93"/>
      <c r="P601" s="93"/>
      <c r="Q601" s="93"/>
      <c r="R601" s="93"/>
      <c r="S601" s="93"/>
      <c r="T601" s="93"/>
      <c r="U601" s="93"/>
      <c r="V601" s="93"/>
      <c r="W601" s="93"/>
      <c r="X601" s="93"/>
    </row>
    <row r="602" spans="1:24" ht="16">
      <c r="A602" s="93"/>
      <c r="B602" s="94"/>
      <c r="C602" s="93"/>
      <c r="D602" s="93"/>
      <c r="E602" s="93"/>
      <c r="F602" s="93"/>
      <c r="G602" s="93"/>
      <c r="H602" s="93"/>
      <c r="I602" s="94"/>
      <c r="J602" s="94"/>
      <c r="K602" s="93"/>
      <c r="L602" s="93"/>
      <c r="M602" s="93"/>
      <c r="N602" s="93"/>
      <c r="O602" s="93"/>
      <c r="P602" s="93"/>
      <c r="Q602" s="93"/>
      <c r="R602" s="93"/>
      <c r="S602" s="93"/>
      <c r="T602" s="93"/>
      <c r="U602" s="93"/>
      <c r="V602" s="93"/>
      <c r="W602" s="93"/>
      <c r="X602" s="93"/>
    </row>
    <row r="603" spans="1:24" ht="16">
      <c r="A603" s="93"/>
      <c r="B603" s="94"/>
      <c r="C603" s="93"/>
      <c r="D603" s="93"/>
      <c r="E603" s="93"/>
      <c r="F603" s="93"/>
      <c r="G603" s="93"/>
      <c r="H603" s="93"/>
      <c r="I603" s="94"/>
      <c r="J603" s="94"/>
      <c r="K603" s="93"/>
      <c r="L603" s="93"/>
      <c r="M603" s="93"/>
      <c r="N603" s="93"/>
      <c r="O603" s="93"/>
      <c r="P603" s="93"/>
      <c r="Q603" s="93"/>
      <c r="R603" s="93"/>
      <c r="S603" s="93"/>
      <c r="T603" s="93"/>
      <c r="U603" s="93"/>
      <c r="V603" s="93"/>
      <c r="W603" s="93"/>
      <c r="X603" s="93"/>
    </row>
    <row r="604" spans="1:24" ht="16">
      <c r="A604" s="93"/>
      <c r="B604" s="94"/>
      <c r="C604" s="93"/>
      <c r="D604" s="93"/>
      <c r="E604" s="93"/>
      <c r="F604" s="93"/>
      <c r="G604" s="93"/>
      <c r="H604" s="93"/>
      <c r="I604" s="94"/>
      <c r="J604" s="94"/>
      <c r="K604" s="93"/>
      <c r="L604" s="93"/>
      <c r="M604" s="93"/>
      <c r="N604" s="93"/>
      <c r="O604" s="93"/>
      <c r="P604" s="93"/>
      <c r="Q604" s="93"/>
      <c r="R604" s="93"/>
      <c r="S604" s="93"/>
      <c r="T604" s="93"/>
      <c r="U604" s="93"/>
      <c r="V604" s="93"/>
      <c r="W604" s="93"/>
      <c r="X604" s="93"/>
    </row>
    <row r="605" spans="1:24" ht="16">
      <c r="A605" s="93"/>
      <c r="B605" s="94"/>
      <c r="C605" s="93"/>
      <c r="D605" s="93"/>
      <c r="E605" s="93"/>
      <c r="F605" s="93"/>
      <c r="G605" s="93"/>
      <c r="H605" s="93"/>
      <c r="I605" s="94"/>
      <c r="J605" s="94"/>
      <c r="K605" s="93"/>
      <c r="L605" s="93"/>
      <c r="M605" s="93"/>
      <c r="N605" s="93"/>
      <c r="O605" s="93"/>
      <c r="P605" s="93"/>
      <c r="Q605" s="93"/>
      <c r="R605" s="93"/>
      <c r="S605" s="93"/>
      <c r="T605" s="93"/>
      <c r="U605" s="93"/>
      <c r="V605" s="93"/>
      <c r="W605" s="93"/>
      <c r="X605" s="93"/>
    </row>
    <row r="606" spans="1:24" ht="16">
      <c r="A606" s="93"/>
      <c r="B606" s="94"/>
      <c r="C606" s="93"/>
      <c r="D606" s="93"/>
      <c r="E606" s="93"/>
      <c r="F606" s="93"/>
      <c r="G606" s="93"/>
      <c r="H606" s="93"/>
      <c r="I606" s="94"/>
      <c r="J606" s="94"/>
      <c r="K606" s="93"/>
      <c r="L606" s="93"/>
      <c r="M606" s="93"/>
      <c r="N606" s="93"/>
      <c r="O606" s="93"/>
      <c r="P606" s="93"/>
      <c r="Q606" s="93"/>
      <c r="R606" s="93"/>
      <c r="S606" s="93"/>
      <c r="T606" s="93"/>
      <c r="U606" s="93"/>
      <c r="V606" s="93"/>
      <c r="W606" s="93"/>
      <c r="X606" s="93"/>
    </row>
    <row r="607" spans="1:24" ht="16">
      <c r="A607" s="93"/>
      <c r="B607" s="94"/>
      <c r="C607" s="93"/>
      <c r="D607" s="93"/>
      <c r="E607" s="93"/>
      <c r="F607" s="93"/>
      <c r="G607" s="93"/>
      <c r="H607" s="93"/>
      <c r="I607" s="94"/>
      <c r="J607" s="94"/>
      <c r="K607" s="93"/>
      <c r="L607" s="93"/>
      <c r="M607" s="93"/>
      <c r="N607" s="93"/>
      <c r="O607" s="93"/>
      <c r="P607" s="93"/>
      <c r="Q607" s="93"/>
      <c r="R607" s="93"/>
      <c r="S607" s="93"/>
      <c r="T607" s="93"/>
      <c r="U607" s="93"/>
      <c r="V607" s="93"/>
      <c r="W607" s="93"/>
      <c r="X607" s="93"/>
    </row>
    <row r="608" spans="1:24" ht="16">
      <c r="A608" s="93"/>
      <c r="B608" s="94"/>
      <c r="C608" s="93"/>
      <c r="D608" s="93"/>
      <c r="E608" s="93"/>
      <c r="F608" s="93"/>
      <c r="G608" s="93"/>
      <c r="H608" s="93"/>
      <c r="I608" s="94"/>
      <c r="J608" s="94"/>
      <c r="K608" s="93"/>
      <c r="L608" s="93"/>
      <c r="M608" s="93"/>
      <c r="N608" s="93"/>
      <c r="O608" s="93"/>
      <c r="P608" s="93"/>
      <c r="Q608" s="93"/>
      <c r="R608" s="93"/>
      <c r="S608" s="93"/>
      <c r="T608" s="93"/>
      <c r="U608" s="93"/>
      <c r="V608" s="93"/>
      <c r="W608" s="93"/>
      <c r="X608" s="93"/>
    </row>
    <row r="609" spans="1:24" ht="16">
      <c r="A609" s="93"/>
      <c r="B609" s="94"/>
      <c r="C609" s="93"/>
      <c r="D609" s="93"/>
      <c r="E609" s="93"/>
      <c r="F609" s="93"/>
      <c r="G609" s="93"/>
      <c r="H609" s="93"/>
      <c r="I609" s="94"/>
      <c r="J609" s="94"/>
      <c r="K609" s="93"/>
      <c r="L609" s="93"/>
      <c r="M609" s="93"/>
      <c r="N609" s="93"/>
      <c r="O609" s="93"/>
      <c r="P609" s="93"/>
      <c r="Q609" s="93"/>
      <c r="R609" s="93"/>
      <c r="S609" s="93"/>
      <c r="T609" s="93"/>
      <c r="U609" s="93"/>
      <c r="V609" s="93"/>
      <c r="W609" s="93"/>
      <c r="X609" s="93"/>
    </row>
    <row r="610" spans="1:24" ht="16">
      <c r="A610" s="93"/>
      <c r="B610" s="94"/>
      <c r="C610" s="93"/>
      <c r="D610" s="93"/>
      <c r="E610" s="93"/>
      <c r="F610" s="93"/>
      <c r="G610" s="93"/>
      <c r="H610" s="93"/>
      <c r="I610" s="94"/>
      <c r="J610" s="94"/>
      <c r="K610" s="93"/>
      <c r="L610" s="93"/>
      <c r="M610" s="93"/>
      <c r="N610" s="93"/>
      <c r="O610" s="93"/>
      <c r="P610" s="93"/>
      <c r="Q610" s="93"/>
      <c r="R610" s="93"/>
      <c r="S610" s="93"/>
      <c r="T610" s="93"/>
      <c r="U610" s="93"/>
      <c r="V610" s="93"/>
      <c r="W610" s="93"/>
      <c r="X610" s="93"/>
    </row>
    <row r="611" spans="1:24" ht="16">
      <c r="A611" s="93"/>
      <c r="B611" s="94"/>
      <c r="C611" s="93"/>
      <c r="D611" s="93"/>
      <c r="E611" s="93"/>
      <c r="F611" s="93"/>
      <c r="G611" s="93"/>
      <c r="H611" s="93"/>
      <c r="I611" s="94"/>
      <c r="J611" s="94"/>
      <c r="K611" s="93"/>
      <c r="L611" s="93"/>
      <c r="M611" s="93"/>
      <c r="N611" s="93"/>
      <c r="O611" s="93"/>
      <c r="P611" s="93"/>
      <c r="Q611" s="93"/>
      <c r="R611" s="93"/>
      <c r="S611" s="93"/>
      <c r="T611" s="93"/>
      <c r="U611" s="93"/>
      <c r="V611" s="93"/>
      <c r="W611" s="93"/>
      <c r="X611" s="93"/>
    </row>
    <row r="612" spans="1:24" ht="16">
      <c r="A612" s="93"/>
      <c r="B612" s="94"/>
      <c r="C612" s="93"/>
      <c r="D612" s="93"/>
      <c r="E612" s="93"/>
      <c r="F612" s="93"/>
      <c r="G612" s="93"/>
      <c r="H612" s="93"/>
      <c r="I612" s="94"/>
      <c r="J612" s="94"/>
      <c r="K612" s="93"/>
      <c r="L612" s="93"/>
      <c r="M612" s="93"/>
      <c r="N612" s="93"/>
      <c r="O612" s="93"/>
      <c r="P612" s="93"/>
      <c r="Q612" s="93"/>
      <c r="R612" s="93"/>
      <c r="S612" s="93"/>
      <c r="T612" s="93"/>
      <c r="U612" s="93"/>
      <c r="V612" s="93"/>
      <c r="W612" s="93"/>
      <c r="X612" s="93"/>
    </row>
    <row r="613" spans="1:24" ht="16">
      <c r="A613" s="93"/>
      <c r="B613" s="94"/>
      <c r="C613" s="93"/>
      <c r="D613" s="93"/>
      <c r="E613" s="93"/>
      <c r="F613" s="93"/>
      <c r="G613" s="93"/>
      <c r="H613" s="93"/>
      <c r="I613" s="94"/>
      <c r="J613" s="94"/>
      <c r="K613" s="93"/>
      <c r="L613" s="93"/>
      <c r="M613" s="93"/>
      <c r="N613" s="93"/>
      <c r="O613" s="93"/>
      <c r="P613" s="93"/>
      <c r="Q613" s="93"/>
      <c r="R613" s="93"/>
      <c r="S613" s="93"/>
      <c r="T613" s="93"/>
      <c r="U613" s="93"/>
      <c r="V613" s="93"/>
      <c r="W613" s="93"/>
      <c r="X613" s="93"/>
    </row>
    <row r="614" spans="1:24" ht="16">
      <c r="A614" s="93"/>
      <c r="B614" s="94"/>
      <c r="C614" s="93"/>
      <c r="D614" s="93"/>
      <c r="E614" s="93"/>
      <c r="F614" s="93"/>
      <c r="G614" s="93"/>
      <c r="H614" s="93"/>
      <c r="I614" s="94"/>
      <c r="J614" s="94"/>
      <c r="K614" s="93"/>
      <c r="L614" s="93"/>
      <c r="M614" s="93"/>
      <c r="N614" s="93"/>
      <c r="O614" s="93"/>
      <c r="P614" s="93"/>
      <c r="Q614" s="93"/>
      <c r="R614" s="93"/>
      <c r="S614" s="93"/>
      <c r="T614" s="93"/>
      <c r="U614" s="93"/>
      <c r="V614" s="93"/>
      <c r="W614" s="93"/>
      <c r="X614" s="93"/>
    </row>
    <row r="615" spans="1:24" ht="16">
      <c r="A615" s="93"/>
      <c r="B615" s="94"/>
      <c r="C615" s="93"/>
      <c r="D615" s="93"/>
      <c r="E615" s="93"/>
      <c r="F615" s="93"/>
      <c r="G615" s="93"/>
      <c r="H615" s="93"/>
      <c r="I615" s="94"/>
      <c r="J615" s="94"/>
      <c r="K615" s="93"/>
      <c r="L615" s="93"/>
      <c r="M615" s="93"/>
      <c r="N615" s="93"/>
      <c r="O615" s="93"/>
      <c r="P615" s="93"/>
      <c r="Q615" s="93"/>
      <c r="R615" s="93"/>
      <c r="S615" s="93"/>
      <c r="T615" s="93"/>
      <c r="U615" s="93"/>
      <c r="V615" s="93"/>
      <c r="W615" s="93"/>
      <c r="X615" s="93"/>
    </row>
    <row r="616" spans="1:24" ht="16">
      <c r="A616" s="93"/>
      <c r="B616" s="94"/>
      <c r="C616" s="93"/>
      <c r="D616" s="93"/>
      <c r="E616" s="93"/>
      <c r="F616" s="93"/>
      <c r="G616" s="93"/>
      <c r="H616" s="93"/>
      <c r="I616" s="94"/>
      <c r="J616" s="94"/>
      <c r="K616" s="93"/>
      <c r="L616" s="93"/>
      <c r="M616" s="93"/>
      <c r="N616" s="93"/>
      <c r="O616" s="93"/>
      <c r="P616" s="93"/>
      <c r="Q616" s="93"/>
      <c r="R616" s="93"/>
      <c r="S616" s="93"/>
      <c r="T616" s="93"/>
      <c r="U616" s="93"/>
      <c r="V616" s="93"/>
      <c r="W616" s="93"/>
      <c r="X616" s="93"/>
    </row>
    <row r="617" spans="1:24" ht="16">
      <c r="A617" s="93"/>
      <c r="B617" s="94"/>
      <c r="C617" s="93"/>
      <c r="D617" s="93"/>
      <c r="E617" s="93"/>
      <c r="F617" s="93"/>
      <c r="G617" s="93"/>
      <c r="H617" s="93"/>
      <c r="I617" s="94"/>
      <c r="J617" s="94"/>
      <c r="K617" s="93"/>
      <c r="L617" s="93"/>
      <c r="M617" s="93"/>
      <c r="N617" s="93"/>
      <c r="O617" s="93"/>
      <c r="P617" s="93"/>
      <c r="Q617" s="93"/>
      <c r="R617" s="93"/>
      <c r="S617" s="93"/>
      <c r="T617" s="93"/>
      <c r="U617" s="93"/>
      <c r="V617" s="93"/>
      <c r="W617" s="93"/>
      <c r="X617" s="93"/>
    </row>
    <row r="618" spans="1:24" ht="16">
      <c r="A618" s="93"/>
      <c r="B618" s="94"/>
      <c r="C618" s="93"/>
      <c r="D618" s="93"/>
      <c r="E618" s="93"/>
      <c r="F618" s="93"/>
      <c r="G618" s="93"/>
      <c r="H618" s="93"/>
      <c r="I618" s="94"/>
      <c r="J618" s="94"/>
      <c r="K618" s="93"/>
      <c r="L618" s="93"/>
      <c r="M618" s="93"/>
      <c r="N618" s="93"/>
      <c r="O618" s="93"/>
      <c r="P618" s="93"/>
      <c r="Q618" s="93"/>
      <c r="R618" s="93"/>
      <c r="S618" s="93"/>
      <c r="T618" s="93"/>
      <c r="U618" s="93"/>
      <c r="V618" s="93"/>
      <c r="W618" s="93"/>
      <c r="X618" s="93"/>
    </row>
    <row r="619" spans="1:24" ht="16">
      <c r="A619" s="93"/>
      <c r="B619" s="94"/>
      <c r="C619" s="93"/>
      <c r="D619" s="93"/>
      <c r="E619" s="93"/>
      <c r="F619" s="93"/>
      <c r="G619" s="93"/>
      <c r="H619" s="93"/>
      <c r="I619" s="94"/>
      <c r="J619" s="94"/>
      <c r="K619" s="93"/>
      <c r="L619" s="93"/>
      <c r="M619" s="93"/>
      <c r="N619" s="93"/>
      <c r="O619" s="93"/>
      <c r="P619" s="93"/>
      <c r="Q619" s="93"/>
      <c r="R619" s="93"/>
      <c r="S619" s="93"/>
      <c r="T619" s="93"/>
      <c r="U619" s="93"/>
      <c r="V619" s="93"/>
      <c r="W619" s="93"/>
      <c r="X619" s="93"/>
    </row>
    <row r="620" spans="1:24" ht="16">
      <c r="A620" s="93"/>
      <c r="B620" s="94"/>
      <c r="C620" s="93"/>
      <c r="D620" s="93"/>
      <c r="E620" s="93"/>
      <c r="F620" s="93"/>
      <c r="G620" s="93"/>
      <c r="H620" s="93"/>
      <c r="I620" s="94"/>
      <c r="J620" s="94"/>
      <c r="K620" s="93"/>
      <c r="L620" s="93"/>
      <c r="M620" s="93"/>
      <c r="N620" s="93"/>
      <c r="O620" s="93"/>
      <c r="P620" s="93"/>
      <c r="Q620" s="93"/>
      <c r="R620" s="93"/>
      <c r="S620" s="93"/>
      <c r="T620" s="93"/>
      <c r="U620" s="93"/>
      <c r="V620" s="93"/>
      <c r="W620" s="93"/>
      <c r="X620" s="93"/>
    </row>
    <row r="621" spans="1:24" ht="16">
      <c r="A621" s="93"/>
      <c r="B621" s="94"/>
      <c r="C621" s="93"/>
      <c r="D621" s="93"/>
      <c r="E621" s="93"/>
      <c r="F621" s="93"/>
      <c r="G621" s="93"/>
      <c r="H621" s="93"/>
      <c r="I621" s="94"/>
      <c r="J621" s="94"/>
      <c r="K621" s="93"/>
      <c r="L621" s="93"/>
      <c r="M621" s="93"/>
      <c r="N621" s="93"/>
      <c r="O621" s="93"/>
      <c r="P621" s="93"/>
      <c r="Q621" s="93"/>
      <c r="R621" s="93"/>
      <c r="S621" s="93"/>
      <c r="T621" s="93"/>
      <c r="U621" s="93"/>
      <c r="V621" s="93"/>
      <c r="W621" s="93"/>
      <c r="X621" s="93"/>
    </row>
    <row r="622" spans="1:24" ht="16">
      <c r="A622" s="93"/>
      <c r="B622" s="94"/>
      <c r="C622" s="93"/>
      <c r="D622" s="93"/>
      <c r="E622" s="93"/>
      <c r="F622" s="93"/>
      <c r="G622" s="93"/>
      <c r="H622" s="93"/>
      <c r="I622" s="94"/>
      <c r="J622" s="94"/>
      <c r="K622" s="93"/>
      <c r="L622" s="93"/>
      <c r="M622" s="93"/>
      <c r="N622" s="93"/>
      <c r="O622" s="93"/>
      <c r="P622" s="93"/>
      <c r="Q622" s="93"/>
      <c r="R622" s="93"/>
      <c r="S622" s="93"/>
      <c r="T622" s="93"/>
      <c r="U622" s="93"/>
      <c r="V622" s="93"/>
      <c r="W622" s="93"/>
      <c r="X622" s="93"/>
    </row>
    <row r="623" spans="1:24" ht="16">
      <c r="A623" s="93"/>
      <c r="B623" s="94"/>
      <c r="C623" s="93"/>
      <c r="D623" s="93"/>
      <c r="E623" s="93"/>
      <c r="F623" s="93"/>
      <c r="G623" s="93"/>
      <c r="H623" s="93"/>
      <c r="I623" s="94"/>
      <c r="J623" s="94"/>
      <c r="K623" s="93"/>
      <c r="L623" s="93"/>
      <c r="M623" s="93"/>
      <c r="N623" s="93"/>
      <c r="O623" s="93"/>
      <c r="P623" s="93"/>
      <c r="Q623" s="93"/>
      <c r="R623" s="93"/>
      <c r="S623" s="93"/>
      <c r="T623" s="93"/>
      <c r="U623" s="93"/>
      <c r="V623" s="93"/>
      <c r="W623" s="93"/>
      <c r="X623" s="93"/>
    </row>
    <row r="624" spans="1:24" ht="16">
      <c r="A624" s="93"/>
      <c r="B624" s="94"/>
      <c r="C624" s="93"/>
      <c r="D624" s="93"/>
      <c r="E624" s="93"/>
      <c r="F624" s="93"/>
      <c r="G624" s="93"/>
      <c r="H624" s="93"/>
      <c r="I624" s="94"/>
      <c r="J624" s="94"/>
      <c r="K624" s="93"/>
      <c r="L624" s="93"/>
      <c r="M624" s="93"/>
      <c r="N624" s="93"/>
      <c r="O624" s="93"/>
      <c r="P624" s="93"/>
      <c r="Q624" s="93"/>
      <c r="R624" s="93"/>
      <c r="S624" s="93"/>
      <c r="T624" s="93"/>
      <c r="U624" s="93"/>
      <c r="V624" s="93"/>
      <c r="W624" s="93"/>
      <c r="X624" s="93"/>
    </row>
    <row r="625" spans="1:24" ht="16">
      <c r="A625" s="93"/>
      <c r="B625" s="94"/>
      <c r="C625" s="93"/>
      <c r="D625" s="93"/>
      <c r="E625" s="93"/>
      <c r="F625" s="93"/>
      <c r="G625" s="93"/>
      <c r="H625" s="93"/>
      <c r="I625" s="94"/>
      <c r="J625" s="94"/>
      <c r="K625" s="93"/>
      <c r="L625" s="93"/>
      <c r="M625" s="93"/>
      <c r="N625" s="93"/>
      <c r="O625" s="93"/>
      <c r="P625" s="93"/>
      <c r="Q625" s="93"/>
      <c r="R625" s="93"/>
      <c r="S625" s="93"/>
      <c r="T625" s="93"/>
      <c r="U625" s="93"/>
      <c r="V625" s="93"/>
      <c r="W625" s="93"/>
      <c r="X625" s="93"/>
    </row>
    <row r="626" spans="1:24" ht="16">
      <c r="A626" s="93"/>
      <c r="B626" s="94"/>
      <c r="C626" s="93"/>
      <c r="D626" s="93"/>
      <c r="E626" s="93"/>
      <c r="F626" s="93"/>
      <c r="G626" s="93"/>
      <c r="H626" s="93"/>
      <c r="I626" s="94"/>
      <c r="J626" s="94"/>
      <c r="K626" s="93"/>
      <c r="L626" s="93"/>
      <c r="M626" s="93"/>
      <c r="N626" s="93"/>
      <c r="O626" s="93"/>
      <c r="P626" s="93"/>
      <c r="Q626" s="93"/>
      <c r="R626" s="93"/>
      <c r="S626" s="93"/>
      <c r="T626" s="93"/>
      <c r="U626" s="93"/>
      <c r="V626" s="93"/>
      <c r="W626" s="93"/>
      <c r="X626" s="93"/>
    </row>
    <row r="627" spans="1:24" ht="16">
      <c r="A627" s="93"/>
      <c r="B627" s="94"/>
      <c r="C627" s="93"/>
      <c r="D627" s="93"/>
      <c r="E627" s="93"/>
      <c r="F627" s="93"/>
      <c r="G627" s="93"/>
      <c r="H627" s="93"/>
      <c r="I627" s="94"/>
      <c r="J627" s="94"/>
      <c r="K627" s="93"/>
      <c r="L627" s="93"/>
      <c r="M627" s="93"/>
      <c r="N627" s="93"/>
      <c r="O627" s="93"/>
      <c r="P627" s="93"/>
      <c r="Q627" s="93"/>
      <c r="R627" s="93"/>
      <c r="S627" s="93"/>
      <c r="T627" s="93"/>
      <c r="U627" s="93"/>
      <c r="V627" s="93"/>
      <c r="W627" s="93"/>
      <c r="X627" s="93"/>
    </row>
    <row r="628" spans="1:24" ht="16">
      <c r="A628" s="93"/>
      <c r="B628" s="94"/>
      <c r="C628" s="93"/>
      <c r="D628" s="93"/>
      <c r="E628" s="93"/>
      <c r="F628" s="93"/>
      <c r="G628" s="93"/>
      <c r="H628" s="93"/>
      <c r="I628" s="94"/>
      <c r="J628" s="94"/>
      <c r="K628" s="93"/>
      <c r="L628" s="93"/>
      <c r="M628" s="93"/>
      <c r="N628" s="93"/>
      <c r="O628" s="93"/>
      <c r="P628" s="93"/>
      <c r="Q628" s="93"/>
      <c r="R628" s="93"/>
      <c r="S628" s="93"/>
      <c r="T628" s="93"/>
      <c r="U628" s="93"/>
      <c r="V628" s="93"/>
      <c r="W628" s="93"/>
      <c r="X628" s="93"/>
    </row>
    <row r="629" spans="1:24" ht="16">
      <c r="A629" s="93"/>
      <c r="B629" s="94"/>
      <c r="C629" s="93"/>
      <c r="D629" s="93"/>
      <c r="E629" s="93"/>
      <c r="F629" s="93"/>
      <c r="G629" s="93"/>
      <c r="H629" s="93"/>
      <c r="I629" s="94"/>
      <c r="J629" s="94"/>
      <c r="K629" s="93"/>
      <c r="L629" s="93"/>
      <c r="M629" s="93"/>
      <c r="N629" s="93"/>
      <c r="O629" s="93"/>
      <c r="P629" s="93"/>
      <c r="Q629" s="93"/>
      <c r="R629" s="93"/>
      <c r="S629" s="93"/>
      <c r="T629" s="93"/>
      <c r="U629" s="93"/>
      <c r="V629" s="93"/>
      <c r="W629" s="93"/>
      <c r="X629" s="93"/>
    </row>
    <row r="630" spans="1:24" ht="16">
      <c r="A630" s="93"/>
      <c r="B630" s="94"/>
      <c r="C630" s="93"/>
      <c r="D630" s="93"/>
      <c r="E630" s="93"/>
      <c r="F630" s="93"/>
      <c r="G630" s="93"/>
      <c r="H630" s="93"/>
      <c r="I630" s="94"/>
      <c r="J630" s="94"/>
      <c r="K630" s="93"/>
      <c r="L630" s="93"/>
      <c r="M630" s="93"/>
      <c r="N630" s="93"/>
      <c r="O630" s="93"/>
      <c r="P630" s="93"/>
      <c r="Q630" s="93"/>
      <c r="R630" s="93"/>
      <c r="S630" s="93"/>
      <c r="T630" s="93"/>
      <c r="U630" s="93"/>
      <c r="V630" s="93"/>
      <c r="W630" s="93"/>
      <c r="X630" s="93"/>
    </row>
    <row r="631" spans="1:24" ht="16">
      <c r="A631" s="93"/>
      <c r="B631" s="94"/>
      <c r="C631" s="93"/>
      <c r="D631" s="93"/>
      <c r="E631" s="93"/>
      <c r="F631" s="93"/>
      <c r="G631" s="93"/>
      <c r="H631" s="93"/>
      <c r="I631" s="94"/>
      <c r="J631" s="94"/>
      <c r="K631" s="93"/>
      <c r="L631" s="93"/>
      <c r="M631" s="93"/>
      <c r="N631" s="93"/>
      <c r="O631" s="93"/>
      <c r="P631" s="93"/>
      <c r="Q631" s="93"/>
      <c r="R631" s="93"/>
      <c r="S631" s="93"/>
      <c r="T631" s="93"/>
      <c r="U631" s="93"/>
      <c r="V631" s="93"/>
      <c r="W631" s="93"/>
      <c r="X631" s="93"/>
    </row>
    <row r="632" spans="1:24" ht="16">
      <c r="A632" s="93"/>
      <c r="B632" s="94"/>
      <c r="C632" s="93"/>
      <c r="D632" s="93"/>
      <c r="E632" s="93"/>
      <c r="F632" s="93"/>
      <c r="G632" s="93"/>
      <c r="H632" s="93"/>
      <c r="I632" s="94"/>
      <c r="J632" s="94"/>
      <c r="K632" s="93"/>
      <c r="L632" s="93"/>
      <c r="M632" s="93"/>
      <c r="N632" s="93"/>
      <c r="O632" s="93"/>
      <c r="P632" s="93"/>
      <c r="Q632" s="93"/>
      <c r="R632" s="93"/>
      <c r="S632" s="93"/>
      <c r="T632" s="93"/>
      <c r="U632" s="93"/>
      <c r="V632" s="93"/>
      <c r="W632" s="93"/>
      <c r="X632" s="93"/>
    </row>
    <row r="633" spans="1:24" ht="16">
      <c r="A633" s="93"/>
      <c r="B633" s="94"/>
      <c r="C633" s="93"/>
      <c r="D633" s="93"/>
      <c r="E633" s="93"/>
      <c r="F633" s="93"/>
      <c r="G633" s="93"/>
      <c r="H633" s="93"/>
      <c r="I633" s="94"/>
      <c r="J633" s="94"/>
      <c r="K633" s="93"/>
      <c r="L633" s="93"/>
      <c r="M633" s="93"/>
      <c r="N633" s="93"/>
      <c r="O633" s="93"/>
      <c r="P633" s="93"/>
      <c r="Q633" s="93"/>
      <c r="R633" s="93"/>
      <c r="S633" s="93"/>
      <c r="T633" s="93"/>
      <c r="U633" s="93"/>
      <c r="V633" s="93"/>
      <c r="W633" s="93"/>
      <c r="X633" s="93"/>
    </row>
    <row r="634" spans="1:24" ht="16">
      <c r="A634" s="93"/>
      <c r="B634" s="94"/>
      <c r="C634" s="93"/>
      <c r="D634" s="93"/>
      <c r="E634" s="93"/>
      <c r="F634" s="93"/>
      <c r="G634" s="93"/>
      <c r="H634" s="93"/>
      <c r="I634" s="94"/>
      <c r="J634" s="94"/>
      <c r="K634" s="93"/>
      <c r="L634" s="93"/>
      <c r="M634" s="93"/>
      <c r="N634" s="93"/>
      <c r="O634" s="93"/>
      <c r="P634" s="93"/>
      <c r="Q634" s="93"/>
      <c r="R634" s="93"/>
      <c r="S634" s="93"/>
      <c r="T634" s="93"/>
      <c r="U634" s="93"/>
      <c r="V634" s="93"/>
      <c r="W634" s="93"/>
      <c r="X634" s="93"/>
    </row>
    <row r="635" spans="1:24" ht="16">
      <c r="A635" s="93"/>
      <c r="B635" s="94"/>
      <c r="C635" s="93"/>
      <c r="D635" s="93"/>
      <c r="E635" s="93"/>
      <c r="F635" s="93"/>
      <c r="G635" s="93"/>
      <c r="H635" s="93"/>
      <c r="I635" s="94"/>
      <c r="J635" s="94"/>
      <c r="K635" s="93"/>
      <c r="L635" s="93"/>
      <c r="M635" s="93"/>
      <c r="N635" s="93"/>
      <c r="O635" s="93"/>
      <c r="P635" s="93"/>
      <c r="Q635" s="93"/>
      <c r="R635" s="93"/>
      <c r="S635" s="93"/>
      <c r="T635" s="93"/>
      <c r="U635" s="93"/>
      <c r="V635" s="93"/>
      <c r="W635" s="93"/>
      <c r="X635" s="93"/>
    </row>
    <row r="636" spans="1:24" ht="16">
      <c r="A636" s="93"/>
      <c r="B636" s="94"/>
      <c r="C636" s="93"/>
      <c r="D636" s="93"/>
      <c r="E636" s="93"/>
      <c r="F636" s="93"/>
      <c r="G636" s="93"/>
      <c r="H636" s="93"/>
      <c r="I636" s="94"/>
      <c r="J636" s="94"/>
      <c r="K636" s="93"/>
      <c r="L636" s="93"/>
      <c r="M636" s="93"/>
      <c r="N636" s="93"/>
      <c r="O636" s="93"/>
      <c r="P636" s="93"/>
      <c r="Q636" s="93"/>
      <c r="R636" s="93"/>
      <c r="S636" s="93"/>
      <c r="T636" s="93"/>
      <c r="U636" s="93"/>
      <c r="V636" s="93"/>
      <c r="W636" s="93"/>
      <c r="X636" s="93"/>
    </row>
    <row r="637" spans="1:24" ht="16">
      <c r="A637" s="93"/>
      <c r="B637" s="94"/>
      <c r="C637" s="93"/>
      <c r="D637" s="93"/>
      <c r="E637" s="93"/>
      <c r="F637" s="93"/>
      <c r="G637" s="93"/>
      <c r="H637" s="93"/>
      <c r="I637" s="94"/>
      <c r="J637" s="94"/>
      <c r="K637" s="93"/>
      <c r="L637" s="93"/>
      <c r="M637" s="93"/>
      <c r="N637" s="93"/>
      <c r="O637" s="93"/>
      <c r="P637" s="93"/>
      <c r="Q637" s="93"/>
      <c r="R637" s="93"/>
      <c r="S637" s="93"/>
      <c r="T637" s="93"/>
      <c r="U637" s="93"/>
      <c r="V637" s="93"/>
      <c r="W637" s="93"/>
      <c r="X637" s="93"/>
    </row>
    <row r="638" spans="1:24" ht="16">
      <c r="A638" s="93"/>
      <c r="B638" s="94"/>
      <c r="C638" s="93"/>
      <c r="D638" s="93"/>
      <c r="E638" s="93"/>
      <c r="F638" s="93"/>
      <c r="G638" s="93"/>
      <c r="H638" s="93"/>
      <c r="I638" s="94"/>
      <c r="J638" s="94"/>
      <c r="K638" s="93"/>
      <c r="L638" s="93"/>
      <c r="M638" s="93"/>
      <c r="N638" s="93"/>
      <c r="O638" s="93"/>
      <c r="P638" s="93"/>
      <c r="Q638" s="93"/>
      <c r="R638" s="93"/>
      <c r="S638" s="93"/>
      <c r="T638" s="93"/>
      <c r="U638" s="93"/>
      <c r="V638" s="93"/>
      <c r="W638" s="93"/>
      <c r="X638" s="93"/>
    </row>
    <row r="639" spans="1:24" ht="16">
      <c r="A639" s="93"/>
      <c r="B639" s="94"/>
      <c r="C639" s="93"/>
      <c r="D639" s="93"/>
      <c r="E639" s="93"/>
      <c r="F639" s="93"/>
      <c r="G639" s="93"/>
      <c r="H639" s="93"/>
      <c r="I639" s="94"/>
      <c r="J639" s="94"/>
      <c r="K639" s="93"/>
      <c r="L639" s="93"/>
      <c r="M639" s="93"/>
      <c r="N639" s="93"/>
      <c r="O639" s="93"/>
      <c r="P639" s="93"/>
      <c r="Q639" s="93"/>
      <c r="R639" s="93"/>
      <c r="S639" s="93"/>
      <c r="T639" s="93"/>
      <c r="U639" s="93"/>
      <c r="V639" s="93"/>
      <c r="W639" s="93"/>
      <c r="X639" s="93"/>
    </row>
    <row r="640" spans="1:24" ht="16">
      <c r="A640" s="93"/>
      <c r="B640" s="94"/>
      <c r="C640" s="93"/>
      <c r="D640" s="93"/>
      <c r="E640" s="93"/>
      <c r="F640" s="93"/>
      <c r="G640" s="93"/>
      <c r="H640" s="93"/>
      <c r="I640" s="94"/>
      <c r="J640" s="94"/>
      <c r="K640" s="93"/>
      <c r="L640" s="93"/>
      <c r="M640" s="93"/>
      <c r="N640" s="93"/>
      <c r="O640" s="93"/>
      <c r="P640" s="93"/>
      <c r="Q640" s="93"/>
      <c r="R640" s="93"/>
      <c r="S640" s="93"/>
      <c r="T640" s="93"/>
      <c r="U640" s="93"/>
      <c r="V640" s="93"/>
      <c r="W640" s="93"/>
      <c r="X640" s="93"/>
    </row>
    <row r="641" spans="1:24" ht="16">
      <c r="A641" s="93"/>
      <c r="B641" s="94"/>
      <c r="C641" s="93"/>
      <c r="D641" s="93"/>
      <c r="E641" s="93"/>
      <c r="F641" s="93"/>
      <c r="G641" s="93"/>
      <c r="H641" s="93"/>
      <c r="I641" s="94"/>
      <c r="J641" s="94"/>
      <c r="K641" s="93"/>
      <c r="L641" s="93"/>
      <c r="M641" s="93"/>
      <c r="N641" s="93"/>
      <c r="O641" s="93"/>
      <c r="P641" s="93"/>
      <c r="Q641" s="93"/>
      <c r="R641" s="93"/>
      <c r="S641" s="93"/>
      <c r="T641" s="93"/>
      <c r="U641" s="93"/>
      <c r="V641" s="93"/>
      <c r="W641" s="93"/>
      <c r="X641" s="93"/>
    </row>
    <row r="642" spans="1:24" ht="16">
      <c r="A642" s="93"/>
      <c r="B642" s="94"/>
      <c r="C642" s="93"/>
      <c r="D642" s="93"/>
      <c r="E642" s="93"/>
      <c r="F642" s="93"/>
      <c r="G642" s="93"/>
      <c r="H642" s="93"/>
      <c r="I642" s="94"/>
      <c r="J642" s="94"/>
      <c r="K642" s="93"/>
      <c r="L642" s="93"/>
      <c r="M642" s="93"/>
      <c r="N642" s="93"/>
      <c r="O642" s="93"/>
      <c r="P642" s="93"/>
      <c r="Q642" s="93"/>
      <c r="R642" s="93"/>
      <c r="S642" s="93"/>
      <c r="T642" s="93"/>
      <c r="U642" s="93"/>
      <c r="V642" s="93"/>
      <c r="W642" s="93"/>
      <c r="X642" s="93"/>
    </row>
    <row r="643" spans="1:24" ht="16">
      <c r="A643" s="93"/>
      <c r="B643" s="94"/>
      <c r="C643" s="93"/>
      <c r="D643" s="93"/>
      <c r="E643" s="93"/>
      <c r="F643" s="93"/>
      <c r="G643" s="93"/>
      <c r="H643" s="93"/>
      <c r="I643" s="94"/>
      <c r="J643" s="94"/>
      <c r="K643" s="93"/>
      <c r="L643" s="93"/>
      <c r="M643" s="93"/>
      <c r="N643" s="93"/>
      <c r="O643" s="93"/>
      <c r="P643" s="93"/>
      <c r="Q643" s="93"/>
      <c r="R643" s="93"/>
      <c r="S643" s="93"/>
      <c r="T643" s="93"/>
      <c r="U643" s="93"/>
      <c r="V643" s="93"/>
      <c r="W643" s="93"/>
      <c r="X643" s="93"/>
    </row>
    <row r="644" spans="1:24" ht="16">
      <c r="A644" s="93"/>
      <c r="B644" s="94"/>
      <c r="C644" s="93"/>
      <c r="D644" s="93"/>
      <c r="E644" s="93"/>
      <c r="F644" s="93"/>
      <c r="G644" s="93"/>
      <c r="H644" s="93"/>
      <c r="I644" s="94"/>
      <c r="J644" s="94"/>
      <c r="K644" s="93"/>
      <c r="L644" s="93"/>
      <c r="M644" s="93"/>
      <c r="N644" s="93"/>
      <c r="O644" s="93"/>
      <c r="P644" s="93"/>
      <c r="Q644" s="93"/>
      <c r="R644" s="93"/>
      <c r="S644" s="93"/>
      <c r="T644" s="93"/>
      <c r="U644" s="93"/>
      <c r="V644" s="93"/>
      <c r="W644" s="93"/>
      <c r="X644" s="93"/>
    </row>
    <row r="645" spans="1:24" ht="16">
      <c r="A645" s="93"/>
      <c r="B645" s="94"/>
      <c r="C645" s="93"/>
      <c r="D645" s="93"/>
      <c r="E645" s="93"/>
      <c r="F645" s="93"/>
      <c r="G645" s="93"/>
      <c r="H645" s="93"/>
      <c r="I645" s="94"/>
      <c r="J645" s="94"/>
      <c r="K645" s="93"/>
      <c r="L645" s="93"/>
      <c r="M645" s="93"/>
      <c r="N645" s="93"/>
      <c r="O645" s="93"/>
      <c r="P645" s="93"/>
      <c r="Q645" s="93"/>
      <c r="R645" s="93"/>
      <c r="S645" s="93"/>
      <c r="T645" s="93"/>
      <c r="U645" s="93"/>
      <c r="V645" s="93"/>
      <c r="W645" s="93"/>
      <c r="X645" s="93"/>
    </row>
    <row r="646" spans="1:24" ht="16">
      <c r="A646" s="93"/>
      <c r="B646" s="94"/>
      <c r="C646" s="93"/>
      <c r="D646" s="93"/>
      <c r="E646" s="93"/>
      <c r="F646" s="93"/>
      <c r="G646" s="93"/>
      <c r="H646" s="93"/>
      <c r="I646" s="94"/>
      <c r="J646" s="94"/>
      <c r="K646" s="93"/>
      <c r="L646" s="93"/>
      <c r="M646" s="93"/>
      <c r="N646" s="93"/>
      <c r="O646" s="93"/>
      <c r="P646" s="93"/>
      <c r="Q646" s="93"/>
      <c r="R646" s="93"/>
      <c r="S646" s="93"/>
      <c r="T646" s="93"/>
      <c r="U646" s="93"/>
      <c r="V646" s="93"/>
      <c r="W646" s="93"/>
      <c r="X646" s="93"/>
    </row>
    <row r="647" spans="1:24" ht="16">
      <c r="A647" s="93"/>
      <c r="B647" s="94"/>
      <c r="C647" s="93"/>
      <c r="D647" s="93"/>
      <c r="E647" s="93"/>
      <c r="F647" s="93"/>
      <c r="G647" s="93"/>
      <c r="H647" s="93"/>
      <c r="I647" s="94"/>
      <c r="J647" s="94"/>
      <c r="K647" s="93"/>
      <c r="L647" s="93"/>
      <c r="M647" s="93"/>
      <c r="N647" s="93"/>
      <c r="O647" s="93"/>
      <c r="P647" s="93"/>
      <c r="Q647" s="93"/>
      <c r="R647" s="93"/>
      <c r="S647" s="93"/>
      <c r="T647" s="93"/>
      <c r="U647" s="93"/>
      <c r="V647" s="93"/>
      <c r="W647" s="93"/>
      <c r="X647" s="93"/>
    </row>
    <row r="648" spans="1:24" ht="16">
      <c r="A648" s="93"/>
      <c r="B648" s="94"/>
      <c r="C648" s="93"/>
      <c r="D648" s="93"/>
      <c r="E648" s="93"/>
      <c r="F648" s="93"/>
      <c r="G648" s="93"/>
      <c r="H648" s="93"/>
      <c r="I648" s="94"/>
      <c r="J648" s="94"/>
      <c r="K648" s="93"/>
      <c r="L648" s="93"/>
      <c r="M648" s="93"/>
      <c r="N648" s="93"/>
      <c r="O648" s="93"/>
      <c r="P648" s="93"/>
      <c r="Q648" s="93"/>
      <c r="R648" s="93"/>
      <c r="S648" s="93"/>
      <c r="T648" s="93"/>
      <c r="U648" s="93"/>
      <c r="V648" s="93"/>
      <c r="W648" s="93"/>
      <c r="X648" s="93"/>
    </row>
    <row r="649" spans="1:24" ht="16">
      <c r="A649" s="93"/>
      <c r="B649" s="94"/>
      <c r="C649" s="93"/>
      <c r="D649" s="93"/>
      <c r="E649" s="93"/>
      <c r="F649" s="93"/>
      <c r="G649" s="93"/>
      <c r="H649" s="93"/>
      <c r="I649" s="94"/>
      <c r="J649" s="94"/>
      <c r="K649" s="93"/>
      <c r="L649" s="93"/>
      <c r="M649" s="93"/>
      <c r="N649" s="93"/>
      <c r="O649" s="93"/>
      <c r="P649" s="93"/>
      <c r="Q649" s="93"/>
      <c r="R649" s="93"/>
      <c r="S649" s="93"/>
      <c r="T649" s="93"/>
      <c r="U649" s="93"/>
      <c r="V649" s="93"/>
      <c r="W649" s="93"/>
      <c r="X649" s="93"/>
    </row>
    <row r="650" spans="1:24" ht="16">
      <c r="A650" s="93"/>
      <c r="B650" s="94"/>
      <c r="C650" s="93"/>
      <c r="D650" s="93"/>
      <c r="E650" s="93"/>
      <c r="F650" s="93"/>
      <c r="G650" s="93"/>
      <c r="H650" s="93"/>
      <c r="I650" s="94"/>
      <c r="J650" s="94"/>
      <c r="K650" s="93"/>
      <c r="L650" s="93"/>
      <c r="M650" s="93"/>
      <c r="N650" s="93"/>
      <c r="O650" s="93"/>
      <c r="P650" s="93"/>
      <c r="Q650" s="93"/>
      <c r="R650" s="93"/>
      <c r="S650" s="93"/>
      <c r="T650" s="93"/>
      <c r="U650" s="93"/>
      <c r="V650" s="93"/>
      <c r="W650" s="93"/>
      <c r="X650" s="93"/>
    </row>
    <row r="651" spans="1:24" ht="16">
      <c r="A651" s="93"/>
      <c r="B651" s="94"/>
      <c r="C651" s="93"/>
      <c r="D651" s="93"/>
      <c r="E651" s="93"/>
      <c r="F651" s="93"/>
      <c r="G651" s="93"/>
      <c r="H651" s="93"/>
      <c r="I651" s="94"/>
      <c r="J651" s="94"/>
      <c r="K651" s="93"/>
      <c r="L651" s="93"/>
      <c r="M651" s="93"/>
      <c r="N651" s="93"/>
      <c r="O651" s="93"/>
      <c r="P651" s="93"/>
      <c r="Q651" s="93"/>
      <c r="R651" s="93"/>
      <c r="S651" s="93"/>
      <c r="T651" s="93"/>
      <c r="U651" s="93"/>
      <c r="V651" s="93"/>
      <c r="W651" s="93"/>
      <c r="X651" s="93"/>
    </row>
    <row r="652" spans="1:24" ht="16">
      <c r="A652" s="93"/>
      <c r="B652" s="94"/>
      <c r="C652" s="93"/>
      <c r="D652" s="93"/>
      <c r="E652" s="93"/>
      <c r="F652" s="93"/>
      <c r="G652" s="93"/>
      <c r="H652" s="93"/>
      <c r="I652" s="94"/>
      <c r="J652" s="94"/>
      <c r="K652" s="93"/>
      <c r="L652" s="93"/>
      <c r="M652" s="93"/>
      <c r="N652" s="93"/>
      <c r="O652" s="93"/>
      <c r="P652" s="93"/>
      <c r="Q652" s="93"/>
      <c r="R652" s="93"/>
      <c r="S652" s="93"/>
      <c r="T652" s="93"/>
      <c r="U652" s="93"/>
      <c r="V652" s="93"/>
      <c r="W652" s="93"/>
      <c r="X652" s="93"/>
    </row>
    <row r="653" spans="1:24" ht="16">
      <c r="A653" s="93"/>
      <c r="B653" s="94"/>
      <c r="C653" s="93"/>
      <c r="D653" s="93"/>
      <c r="E653" s="93"/>
      <c r="F653" s="93"/>
      <c r="G653" s="93"/>
      <c r="H653" s="93"/>
      <c r="I653" s="94"/>
      <c r="J653" s="94"/>
      <c r="K653" s="93"/>
      <c r="L653" s="93"/>
      <c r="M653" s="93"/>
      <c r="N653" s="93"/>
      <c r="O653" s="93"/>
      <c r="P653" s="93"/>
      <c r="Q653" s="93"/>
      <c r="R653" s="93"/>
      <c r="S653" s="93"/>
      <c r="T653" s="93"/>
      <c r="U653" s="93"/>
      <c r="V653" s="93"/>
      <c r="W653" s="93"/>
      <c r="X653" s="93"/>
    </row>
    <row r="654" spans="1:24" ht="16">
      <c r="A654" s="93"/>
      <c r="B654" s="94"/>
      <c r="C654" s="93"/>
      <c r="D654" s="93"/>
      <c r="E654" s="93"/>
      <c r="F654" s="93"/>
      <c r="G654" s="93"/>
      <c r="H654" s="93"/>
      <c r="I654" s="94"/>
      <c r="J654" s="94"/>
      <c r="K654" s="93"/>
      <c r="L654" s="93"/>
      <c r="M654" s="93"/>
      <c r="N654" s="93"/>
      <c r="O654" s="93"/>
      <c r="P654" s="93"/>
      <c r="Q654" s="93"/>
      <c r="R654" s="93"/>
      <c r="S654" s="93"/>
      <c r="T654" s="93"/>
      <c r="U654" s="93"/>
      <c r="V654" s="93"/>
      <c r="W654" s="93"/>
      <c r="X654" s="93"/>
    </row>
    <row r="655" spans="1:24" ht="16">
      <c r="A655" s="93"/>
      <c r="B655" s="94"/>
      <c r="C655" s="93"/>
      <c r="D655" s="93"/>
      <c r="E655" s="93"/>
      <c r="F655" s="93"/>
      <c r="G655" s="93"/>
      <c r="H655" s="93"/>
      <c r="I655" s="94"/>
      <c r="J655" s="94"/>
      <c r="K655" s="93"/>
      <c r="L655" s="93"/>
      <c r="M655" s="93"/>
      <c r="N655" s="93"/>
      <c r="O655" s="93"/>
      <c r="P655" s="93"/>
      <c r="Q655" s="93"/>
      <c r="R655" s="93"/>
      <c r="S655" s="93"/>
      <c r="T655" s="93"/>
      <c r="U655" s="93"/>
      <c r="V655" s="93"/>
      <c r="W655" s="93"/>
      <c r="X655" s="93"/>
    </row>
    <row r="656" spans="1:24" ht="16">
      <c r="A656" s="93"/>
      <c r="B656" s="94"/>
      <c r="C656" s="93"/>
      <c r="D656" s="93"/>
      <c r="E656" s="93"/>
      <c r="F656" s="93"/>
      <c r="G656" s="93"/>
      <c r="H656" s="93"/>
      <c r="I656" s="94"/>
      <c r="J656" s="94"/>
      <c r="K656" s="93"/>
      <c r="L656" s="93"/>
      <c r="M656" s="93"/>
      <c r="N656" s="93"/>
      <c r="O656" s="93"/>
      <c r="P656" s="93"/>
      <c r="Q656" s="93"/>
      <c r="R656" s="93"/>
      <c r="S656" s="93"/>
      <c r="T656" s="93"/>
      <c r="U656" s="93"/>
      <c r="V656" s="93"/>
      <c r="W656" s="93"/>
      <c r="X656" s="93"/>
    </row>
    <row r="657" spans="1:24" ht="16">
      <c r="A657" s="93"/>
      <c r="B657" s="94"/>
      <c r="C657" s="93"/>
      <c r="D657" s="93"/>
      <c r="E657" s="93"/>
      <c r="F657" s="93"/>
      <c r="G657" s="93"/>
      <c r="H657" s="93"/>
      <c r="I657" s="94"/>
      <c r="J657" s="94"/>
      <c r="K657" s="93"/>
      <c r="L657" s="93"/>
      <c r="M657" s="93"/>
      <c r="N657" s="93"/>
      <c r="O657" s="93"/>
      <c r="P657" s="93"/>
      <c r="Q657" s="93"/>
      <c r="R657" s="93"/>
      <c r="S657" s="93"/>
      <c r="T657" s="93"/>
      <c r="U657" s="93"/>
      <c r="V657" s="93"/>
      <c r="W657" s="93"/>
      <c r="X657" s="93"/>
    </row>
    <row r="658" spans="1:24" ht="16">
      <c r="A658" s="93"/>
      <c r="B658" s="94"/>
      <c r="C658" s="93"/>
      <c r="D658" s="93"/>
      <c r="E658" s="93"/>
      <c r="F658" s="93"/>
      <c r="G658" s="93"/>
      <c r="H658" s="93"/>
      <c r="I658" s="94"/>
      <c r="J658" s="94"/>
      <c r="K658" s="93"/>
      <c r="L658" s="93"/>
      <c r="M658" s="93"/>
      <c r="N658" s="93"/>
      <c r="O658" s="93"/>
      <c r="P658" s="93"/>
      <c r="Q658" s="93"/>
      <c r="R658" s="93"/>
      <c r="S658" s="93"/>
      <c r="T658" s="93"/>
      <c r="U658" s="93"/>
      <c r="V658" s="93"/>
      <c r="W658" s="93"/>
      <c r="X658" s="93"/>
    </row>
    <row r="659" spans="1:24" ht="16">
      <c r="A659" s="93"/>
      <c r="B659" s="94"/>
      <c r="C659" s="93"/>
      <c r="D659" s="93"/>
      <c r="E659" s="93"/>
      <c r="F659" s="93"/>
      <c r="G659" s="93"/>
      <c r="H659" s="93"/>
      <c r="I659" s="94"/>
      <c r="J659" s="94"/>
      <c r="K659" s="93"/>
      <c r="L659" s="93"/>
      <c r="M659" s="93"/>
      <c r="N659" s="93"/>
      <c r="O659" s="93"/>
      <c r="P659" s="93"/>
      <c r="Q659" s="93"/>
      <c r="R659" s="93"/>
      <c r="S659" s="93"/>
      <c r="T659" s="93"/>
      <c r="U659" s="93"/>
      <c r="V659" s="93"/>
      <c r="W659" s="93"/>
      <c r="X659" s="93"/>
    </row>
    <row r="660" spans="1:24" ht="16">
      <c r="A660" s="93"/>
      <c r="B660" s="94"/>
      <c r="C660" s="93"/>
      <c r="D660" s="93"/>
      <c r="E660" s="93"/>
      <c r="F660" s="93"/>
      <c r="G660" s="93"/>
      <c r="H660" s="93"/>
      <c r="I660" s="94"/>
      <c r="J660" s="94"/>
      <c r="K660" s="93"/>
      <c r="L660" s="93"/>
      <c r="M660" s="93"/>
      <c r="N660" s="93"/>
      <c r="O660" s="93"/>
      <c r="P660" s="93"/>
      <c r="Q660" s="93"/>
      <c r="R660" s="93"/>
      <c r="S660" s="93"/>
      <c r="T660" s="93"/>
      <c r="U660" s="93"/>
      <c r="V660" s="93"/>
      <c r="W660" s="93"/>
      <c r="X660" s="93"/>
    </row>
    <row r="661" spans="1:24" ht="16">
      <c r="A661" s="93"/>
      <c r="B661" s="94"/>
      <c r="C661" s="93"/>
      <c r="D661" s="93"/>
      <c r="E661" s="93"/>
      <c r="F661" s="93"/>
      <c r="G661" s="93"/>
      <c r="H661" s="93"/>
      <c r="I661" s="94"/>
      <c r="J661" s="94"/>
      <c r="K661" s="93"/>
      <c r="L661" s="93"/>
      <c r="M661" s="93"/>
      <c r="N661" s="93"/>
      <c r="O661" s="93"/>
      <c r="P661" s="93"/>
      <c r="Q661" s="93"/>
      <c r="R661" s="93"/>
      <c r="S661" s="93"/>
      <c r="T661" s="93"/>
      <c r="U661" s="93"/>
      <c r="V661" s="93"/>
      <c r="W661" s="93"/>
      <c r="X661" s="93"/>
    </row>
    <row r="662" spans="1:24" ht="16">
      <c r="A662" s="93"/>
      <c r="B662" s="94"/>
      <c r="C662" s="93"/>
      <c r="D662" s="93"/>
      <c r="E662" s="93"/>
      <c r="F662" s="93"/>
      <c r="G662" s="93"/>
      <c r="H662" s="93"/>
      <c r="I662" s="94"/>
      <c r="J662" s="94"/>
      <c r="K662" s="93"/>
      <c r="L662" s="93"/>
      <c r="M662" s="93"/>
      <c r="N662" s="93"/>
      <c r="O662" s="93"/>
      <c r="P662" s="93"/>
      <c r="Q662" s="93"/>
      <c r="R662" s="93"/>
      <c r="S662" s="93"/>
      <c r="T662" s="93"/>
      <c r="U662" s="93"/>
      <c r="V662" s="93"/>
      <c r="W662" s="93"/>
      <c r="X662" s="93"/>
    </row>
    <row r="663" spans="1:24" ht="16">
      <c r="A663" s="93"/>
      <c r="B663" s="94"/>
      <c r="C663" s="93"/>
      <c r="D663" s="93"/>
      <c r="E663" s="93"/>
      <c r="F663" s="93"/>
      <c r="G663" s="93"/>
      <c r="H663" s="93"/>
      <c r="I663" s="94"/>
      <c r="J663" s="94"/>
      <c r="K663" s="93"/>
      <c r="L663" s="93"/>
      <c r="M663" s="93"/>
      <c r="N663" s="93"/>
      <c r="O663" s="93"/>
      <c r="P663" s="93"/>
      <c r="Q663" s="93"/>
      <c r="R663" s="93"/>
      <c r="S663" s="93"/>
      <c r="T663" s="93"/>
      <c r="U663" s="93"/>
      <c r="V663" s="93"/>
      <c r="W663" s="93"/>
      <c r="X663" s="93"/>
    </row>
    <row r="664" spans="1:24" ht="16">
      <c r="A664" s="93"/>
      <c r="B664" s="94"/>
      <c r="C664" s="93"/>
      <c r="D664" s="93"/>
      <c r="E664" s="93"/>
      <c r="F664" s="93"/>
      <c r="G664" s="93"/>
      <c r="H664" s="93"/>
      <c r="I664" s="94"/>
      <c r="J664" s="94"/>
      <c r="K664" s="93"/>
      <c r="L664" s="93"/>
      <c r="M664" s="93"/>
      <c r="N664" s="93"/>
      <c r="O664" s="93"/>
      <c r="P664" s="93"/>
      <c r="Q664" s="93"/>
      <c r="R664" s="93"/>
      <c r="S664" s="93"/>
      <c r="T664" s="93"/>
      <c r="U664" s="93"/>
      <c r="V664" s="93"/>
      <c r="W664" s="93"/>
      <c r="X664" s="93"/>
    </row>
    <row r="665" spans="1:24" ht="16">
      <c r="A665" s="93"/>
      <c r="B665" s="94"/>
      <c r="C665" s="93"/>
      <c r="D665" s="93"/>
      <c r="E665" s="93"/>
      <c r="F665" s="93"/>
      <c r="G665" s="93"/>
      <c r="H665" s="93"/>
      <c r="I665" s="94"/>
      <c r="J665" s="94"/>
      <c r="K665" s="93"/>
      <c r="L665" s="93"/>
      <c r="M665" s="93"/>
      <c r="N665" s="93"/>
      <c r="O665" s="93"/>
      <c r="P665" s="93"/>
      <c r="Q665" s="93"/>
      <c r="R665" s="93"/>
      <c r="S665" s="93"/>
      <c r="T665" s="93"/>
      <c r="U665" s="93"/>
      <c r="V665" s="93"/>
      <c r="W665" s="93"/>
      <c r="X665" s="93"/>
    </row>
    <row r="666" spans="1:24" ht="16">
      <c r="A666" s="93"/>
      <c r="B666" s="94"/>
      <c r="C666" s="93"/>
      <c r="D666" s="93"/>
      <c r="E666" s="93"/>
      <c r="F666" s="93"/>
      <c r="G666" s="93"/>
      <c r="H666" s="93"/>
      <c r="I666" s="94"/>
      <c r="J666" s="94"/>
      <c r="K666" s="93"/>
      <c r="L666" s="93"/>
      <c r="M666" s="93"/>
      <c r="N666" s="93"/>
      <c r="O666" s="93"/>
      <c r="P666" s="93"/>
      <c r="Q666" s="93"/>
      <c r="R666" s="93"/>
      <c r="S666" s="93"/>
      <c r="T666" s="93"/>
      <c r="U666" s="93"/>
      <c r="V666" s="93"/>
      <c r="W666" s="93"/>
      <c r="X666" s="93"/>
    </row>
    <row r="667" spans="1:24" ht="16">
      <c r="A667" s="93"/>
      <c r="B667" s="94"/>
      <c r="C667" s="93"/>
      <c r="D667" s="93"/>
      <c r="E667" s="93"/>
      <c r="F667" s="93"/>
      <c r="G667" s="93"/>
      <c r="H667" s="93"/>
      <c r="I667" s="94"/>
      <c r="J667" s="94"/>
      <c r="K667" s="93"/>
      <c r="L667" s="93"/>
      <c r="M667" s="93"/>
      <c r="N667" s="93"/>
      <c r="O667" s="93"/>
      <c r="P667" s="93"/>
      <c r="Q667" s="93"/>
      <c r="R667" s="93"/>
      <c r="S667" s="93"/>
      <c r="T667" s="93"/>
      <c r="U667" s="93"/>
      <c r="V667" s="93"/>
      <c r="W667" s="93"/>
      <c r="X667" s="93"/>
    </row>
    <row r="668" spans="1:24" ht="16">
      <c r="A668" s="93"/>
      <c r="B668" s="94"/>
      <c r="C668" s="93"/>
      <c r="D668" s="93"/>
      <c r="E668" s="93"/>
      <c r="F668" s="93"/>
      <c r="G668" s="93"/>
      <c r="H668" s="93"/>
      <c r="I668" s="94"/>
      <c r="J668" s="94"/>
      <c r="K668" s="93"/>
      <c r="L668" s="93"/>
      <c r="M668" s="93"/>
      <c r="N668" s="93"/>
      <c r="O668" s="93"/>
      <c r="P668" s="93"/>
      <c r="Q668" s="93"/>
      <c r="R668" s="93"/>
      <c r="S668" s="93"/>
      <c r="T668" s="93"/>
      <c r="U668" s="93"/>
      <c r="V668" s="93"/>
      <c r="W668" s="93"/>
      <c r="X668" s="93"/>
    </row>
    <row r="669" spans="1:24" ht="16">
      <c r="A669" s="93"/>
      <c r="B669" s="94"/>
      <c r="C669" s="93"/>
      <c r="D669" s="93"/>
      <c r="E669" s="93"/>
      <c r="F669" s="93"/>
      <c r="G669" s="93"/>
      <c r="H669" s="93"/>
      <c r="I669" s="94"/>
      <c r="J669" s="94"/>
      <c r="K669" s="93"/>
      <c r="L669" s="93"/>
      <c r="M669" s="93"/>
      <c r="N669" s="93"/>
      <c r="O669" s="93"/>
      <c r="P669" s="93"/>
      <c r="Q669" s="93"/>
      <c r="R669" s="93"/>
      <c r="S669" s="93"/>
      <c r="T669" s="93"/>
      <c r="U669" s="93"/>
      <c r="V669" s="93"/>
      <c r="W669" s="93"/>
      <c r="X669" s="93"/>
    </row>
    <row r="670" spans="1:24" ht="16">
      <c r="A670" s="93"/>
      <c r="B670" s="94"/>
      <c r="C670" s="93"/>
      <c r="D670" s="93"/>
      <c r="E670" s="93"/>
      <c r="F670" s="93"/>
      <c r="G670" s="93"/>
      <c r="H670" s="93"/>
      <c r="I670" s="94"/>
      <c r="J670" s="94"/>
      <c r="K670" s="93"/>
      <c r="L670" s="93"/>
      <c r="M670" s="93"/>
      <c r="N670" s="93"/>
      <c r="O670" s="93"/>
      <c r="P670" s="93"/>
      <c r="Q670" s="93"/>
      <c r="R670" s="93"/>
      <c r="S670" s="93"/>
      <c r="T670" s="93"/>
      <c r="U670" s="93"/>
      <c r="V670" s="93"/>
      <c r="W670" s="93"/>
      <c r="X670" s="93"/>
    </row>
    <row r="671" spans="1:24" ht="16">
      <c r="A671" s="93"/>
      <c r="B671" s="94"/>
      <c r="C671" s="93"/>
      <c r="D671" s="93"/>
      <c r="E671" s="93"/>
      <c r="F671" s="93"/>
      <c r="G671" s="93"/>
      <c r="H671" s="93"/>
      <c r="I671" s="94"/>
      <c r="J671" s="94"/>
      <c r="K671" s="93"/>
      <c r="L671" s="93"/>
      <c r="M671" s="93"/>
      <c r="N671" s="93"/>
      <c r="O671" s="93"/>
      <c r="P671" s="93"/>
      <c r="Q671" s="93"/>
      <c r="R671" s="93"/>
      <c r="S671" s="93"/>
      <c r="T671" s="93"/>
      <c r="U671" s="93"/>
      <c r="V671" s="93"/>
      <c r="W671" s="93"/>
      <c r="X671" s="93"/>
    </row>
    <row r="672" spans="1:24" ht="16">
      <c r="A672" s="93"/>
      <c r="B672" s="94"/>
      <c r="C672" s="93"/>
      <c r="D672" s="93"/>
      <c r="E672" s="93"/>
      <c r="F672" s="93"/>
      <c r="G672" s="93"/>
      <c r="H672" s="93"/>
      <c r="I672" s="94"/>
      <c r="J672" s="94"/>
      <c r="K672" s="93"/>
      <c r="L672" s="93"/>
      <c r="M672" s="93"/>
      <c r="N672" s="93"/>
      <c r="O672" s="93"/>
      <c r="P672" s="93"/>
      <c r="Q672" s="93"/>
      <c r="R672" s="93"/>
      <c r="S672" s="93"/>
      <c r="T672" s="93"/>
      <c r="U672" s="93"/>
      <c r="V672" s="93"/>
      <c r="W672" s="93"/>
      <c r="X672" s="93"/>
    </row>
    <row r="673" spans="1:24" ht="16">
      <c r="A673" s="93"/>
      <c r="B673" s="94"/>
      <c r="C673" s="93"/>
      <c r="D673" s="93"/>
      <c r="E673" s="93"/>
      <c r="F673" s="93"/>
      <c r="G673" s="93"/>
      <c r="H673" s="93"/>
      <c r="I673" s="94"/>
      <c r="J673" s="94"/>
      <c r="K673" s="93"/>
      <c r="L673" s="93"/>
      <c r="M673" s="93"/>
      <c r="N673" s="93"/>
      <c r="O673" s="93"/>
      <c r="P673" s="93"/>
      <c r="Q673" s="93"/>
      <c r="R673" s="93"/>
      <c r="S673" s="93"/>
      <c r="T673" s="93"/>
      <c r="U673" s="93"/>
      <c r="V673" s="93"/>
      <c r="W673" s="93"/>
      <c r="X673" s="93"/>
    </row>
    <row r="674" spans="1:24" ht="16">
      <c r="A674" s="93"/>
      <c r="B674" s="94"/>
      <c r="C674" s="93"/>
      <c r="D674" s="93"/>
      <c r="E674" s="93"/>
      <c r="F674" s="93"/>
      <c r="G674" s="93"/>
      <c r="H674" s="93"/>
      <c r="I674" s="94"/>
      <c r="J674" s="94"/>
      <c r="K674" s="93"/>
      <c r="L674" s="93"/>
      <c r="M674" s="93"/>
      <c r="N674" s="93"/>
      <c r="O674" s="93"/>
      <c r="P674" s="93"/>
      <c r="Q674" s="93"/>
      <c r="R674" s="93"/>
      <c r="S674" s="93"/>
      <c r="T674" s="93"/>
      <c r="U674" s="93"/>
      <c r="V674" s="93"/>
      <c r="W674" s="93"/>
      <c r="X674" s="93"/>
    </row>
    <row r="675" spans="1:24" ht="16">
      <c r="A675" s="93"/>
      <c r="B675" s="94"/>
      <c r="C675" s="93"/>
      <c r="D675" s="93"/>
      <c r="E675" s="93"/>
      <c r="F675" s="93"/>
      <c r="G675" s="93"/>
      <c r="H675" s="93"/>
      <c r="I675" s="94"/>
      <c r="J675" s="94"/>
      <c r="K675" s="93"/>
      <c r="L675" s="93"/>
      <c r="M675" s="93"/>
      <c r="N675" s="93"/>
      <c r="O675" s="93"/>
      <c r="P675" s="93"/>
      <c r="Q675" s="93"/>
      <c r="R675" s="93"/>
      <c r="S675" s="93"/>
      <c r="T675" s="93"/>
      <c r="U675" s="93"/>
      <c r="V675" s="93"/>
      <c r="W675" s="93"/>
      <c r="X675" s="93"/>
    </row>
    <row r="676" spans="1:24" ht="16">
      <c r="A676" s="93"/>
      <c r="B676" s="94"/>
      <c r="C676" s="93"/>
      <c r="D676" s="93"/>
      <c r="E676" s="93"/>
      <c r="F676" s="93"/>
      <c r="G676" s="93"/>
      <c r="H676" s="93"/>
      <c r="I676" s="94"/>
      <c r="J676" s="94"/>
      <c r="K676" s="93"/>
      <c r="L676" s="93"/>
      <c r="M676" s="93"/>
      <c r="N676" s="93"/>
      <c r="O676" s="93"/>
      <c r="P676" s="93"/>
      <c r="Q676" s="93"/>
      <c r="R676" s="93"/>
      <c r="S676" s="93"/>
      <c r="T676" s="93"/>
      <c r="U676" s="93"/>
      <c r="V676" s="93"/>
      <c r="W676" s="93"/>
      <c r="X676" s="93"/>
    </row>
    <row r="677" spans="1:24" ht="16">
      <c r="A677" s="93"/>
      <c r="B677" s="94"/>
      <c r="C677" s="93"/>
      <c r="D677" s="93"/>
      <c r="E677" s="93"/>
      <c r="F677" s="93"/>
      <c r="G677" s="93"/>
      <c r="H677" s="93"/>
      <c r="I677" s="94"/>
      <c r="J677" s="94"/>
      <c r="K677" s="93"/>
      <c r="L677" s="93"/>
      <c r="M677" s="93"/>
      <c r="N677" s="93"/>
      <c r="O677" s="93"/>
      <c r="P677" s="93"/>
      <c r="Q677" s="93"/>
      <c r="R677" s="93"/>
      <c r="S677" s="93"/>
      <c r="T677" s="93"/>
      <c r="U677" s="93"/>
      <c r="V677" s="93"/>
      <c r="W677" s="93"/>
      <c r="X677" s="93"/>
    </row>
    <row r="678" spans="1:24" ht="16">
      <c r="A678" s="93"/>
      <c r="B678" s="94"/>
      <c r="C678" s="93"/>
      <c r="D678" s="93"/>
      <c r="E678" s="93"/>
      <c r="F678" s="93"/>
      <c r="G678" s="93"/>
      <c r="H678" s="93"/>
      <c r="I678" s="94"/>
      <c r="J678" s="94"/>
      <c r="K678" s="93"/>
      <c r="L678" s="93"/>
      <c r="M678" s="93"/>
      <c r="N678" s="93"/>
      <c r="O678" s="93"/>
      <c r="P678" s="93"/>
      <c r="Q678" s="93"/>
      <c r="R678" s="93"/>
      <c r="S678" s="93"/>
      <c r="T678" s="93"/>
      <c r="U678" s="93"/>
      <c r="V678" s="93"/>
      <c r="W678" s="93"/>
      <c r="X678" s="93"/>
    </row>
    <row r="679" spans="1:24" ht="16">
      <c r="A679" s="93"/>
      <c r="B679" s="94"/>
      <c r="C679" s="93"/>
      <c r="D679" s="93"/>
      <c r="E679" s="93"/>
      <c r="F679" s="93"/>
      <c r="G679" s="93"/>
      <c r="H679" s="93"/>
      <c r="I679" s="94"/>
      <c r="J679" s="94"/>
      <c r="K679" s="93"/>
      <c r="L679" s="93"/>
      <c r="M679" s="93"/>
      <c r="N679" s="93"/>
      <c r="O679" s="93"/>
      <c r="P679" s="93"/>
      <c r="Q679" s="93"/>
      <c r="R679" s="93"/>
      <c r="S679" s="93"/>
      <c r="T679" s="93"/>
      <c r="U679" s="93"/>
      <c r="V679" s="93"/>
      <c r="W679" s="93"/>
      <c r="X679" s="93"/>
    </row>
    <row r="680" spans="1:24" ht="16">
      <c r="A680" s="93"/>
      <c r="B680" s="94"/>
      <c r="C680" s="93"/>
      <c r="D680" s="93"/>
      <c r="E680" s="93"/>
      <c r="F680" s="93"/>
      <c r="G680" s="93"/>
      <c r="H680" s="93"/>
      <c r="I680" s="94"/>
      <c r="J680" s="94"/>
      <c r="K680" s="93"/>
      <c r="L680" s="93"/>
      <c r="M680" s="93"/>
      <c r="N680" s="93"/>
      <c r="O680" s="93"/>
      <c r="P680" s="93"/>
      <c r="Q680" s="93"/>
      <c r="R680" s="93"/>
      <c r="S680" s="93"/>
      <c r="T680" s="93"/>
      <c r="U680" s="93"/>
      <c r="V680" s="93"/>
      <c r="W680" s="93"/>
      <c r="X680" s="93"/>
    </row>
    <row r="681" spans="1:24" ht="16">
      <c r="A681" s="93"/>
      <c r="B681" s="94"/>
      <c r="C681" s="93"/>
      <c r="D681" s="93"/>
      <c r="E681" s="93"/>
      <c r="F681" s="93"/>
      <c r="G681" s="93"/>
      <c r="H681" s="93"/>
      <c r="I681" s="94"/>
      <c r="J681" s="94"/>
      <c r="K681" s="93"/>
      <c r="L681" s="93"/>
      <c r="M681" s="93"/>
      <c r="N681" s="93"/>
      <c r="O681" s="93"/>
      <c r="P681" s="93"/>
      <c r="Q681" s="93"/>
      <c r="R681" s="93"/>
      <c r="S681" s="93"/>
      <c r="T681" s="93"/>
      <c r="U681" s="93"/>
      <c r="V681" s="93"/>
      <c r="W681" s="93"/>
      <c r="X681" s="93"/>
    </row>
    <row r="682" spans="1:24" ht="16">
      <c r="A682" s="93"/>
      <c r="B682" s="94"/>
      <c r="C682" s="93"/>
      <c r="D682" s="93"/>
      <c r="E682" s="93"/>
      <c r="F682" s="93"/>
      <c r="G682" s="93"/>
      <c r="H682" s="93"/>
      <c r="I682" s="94"/>
      <c r="J682" s="94"/>
      <c r="K682" s="93"/>
      <c r="L682" s="93"/>
      <c r="M682" s="93"/>
      <c r="N682" s="93"/>
      <c r="O682" s="93"/>
      <c r="P682" s="93"/>
      <c r="Q682" s="93"/>
      <c r="R682" s="93"/>
      <c r="S682" s="93"/>
      <c r="T682" s="93"/>
      <c r="U682" s="93"/>
      <c r="V682" s="93"/>
      <c r="W682" s="93"/>
      <c r="X682" s="93"/>
    </row>
    <row r="683" spans="1:24" ht="16">
      <c r="A683" s="93"/>
      <c r="B683" s="94"/>
      <c r="C683" s="93"/>
      <c r="D683" s="93"/>
      <c r="E683" s="93"/>
      <c r="F683" s="93"/>
      <c r="G683" s="93"/>
      <c r="H683" s="93"/>
      <c r="I683" s="94"/>
      <c r="J683" s="94"/>
      <c r="K683" s="93"/>
      <c r="L683" s="93"/>
      <c r="M683" s="93"/>
      <c r="N683" s="93"/>
      <c r="O683" s="93"/>
      <c r="P683" s="93"/>
      <c r="Q683" s="93"/>
      <c r="R683" s="93"/>
      <c r="S683" s="93"/>
      <c r="T683" s="93"/>
      <c r="U683" s="93"/>
      <c r="V683" s="93"/>
      <c r="W683" s="93"/>
      <c r="X683" s="93"/>
    </row>
    <row r="684" spans="1:24" ht="16">
      <c r="A684" s="93"/>
      <c r="B684" s="94"/>
      <c r="C684" s="93"/>
      <c r="D684" s="93"/>
      <c r="E684" s="93"/>
      <c r="F684" s="93"/>
      <c r="G684" s="93"/>
      <c r="H684" s="93"/>
      <c r="I684" s="94"/>
      <c r="J684" s="94"/>
      <c r="K684" s="93"/>
      <c r="L684" s="93"/>
      <c r="M684" s="93"/>
      <c r="N684" s="93"/>
      <c r="O684" s="93"/>
      <c r="P684" s="93"/>
      <c r="Q684" s="93"/>
      <c r="R684" s="93"/>
      <c r="S684" s="93"/>
      <c r="T684" s="93"/>
      <c r="U684" s="93"/>
      <c r="V684" s="93"/>
      <c r="W684" s="93"/>
      <c r="X684" s="93"/>
    </row>
    <row r="685" spans="1:24" ht="16">
      <c r="A685" s="93"/>
      <c r="B685" s="94"/>
      <c r="C685" s="93"/>
      <c r="D685" s="93"/>
      <c r="E685" s="93"/>
      <c r="F685" s="93"/>
      <c r="G685" s="93"/>
      <c r="H685" s="93"/>
      <c r="I685" s="94"/>
      <c r="J685" s="94"/>
      <c r="K685" s="93"/>
      <c r="L685" s="93"/>
      <c r="M685" s="93"/>
      <c r="N685" s="93"/>
      <c r="O685" s="93"/>
      <c r="P685" s="93"/>
      <c r="Q685" s="93"/>
      <c r="R685" s="93"/>
      <c r="S685" s="93"/>
      <c r="T685" s="93"/>
      <c r="U685" s="93"/>
      <c r="V685" s="93"/>
      <c r="W685" s="93"/>
      <c r="X685" s="93"/>
    </row>
    <row r="686" spans="1:24" ht="16">
      <c r="A686" s="93"/>
      <c r="B686" s="94"/>
      <c r="C686" s="93"/>
      <c r="D686" s="93"/>
      <c r="E686" s="93"/>
      <c r="F686" s="93"/>
      <c r="G686" s="93"/>
      <c r="H686" s="93"/>
      <c r="I686" s="94"/>
      <c r="J686" s="94"/>
      <c r="K686" s="93"/>
      <c r="L686" s="93"/>
      <c r="M686" s="93"/>
      <c r="N686" s="93"/>
      <c r="O686" s="93"/>
      <c r="P686" s="93"/>
      <c r="Q686" s="93"/>
      <c r="R686" s="93"/>
      <c r="S686" s="93"/>
      <c r="T686" s="93"/>
      <c r="U686" s="93"/>
      <c r="V686" s="93"/>
      <c r="W686" s="93"/>
      <c r="X686" s="93"/>
    </row>
    <row r="687" spans="1:24" ht="16">
      <c r="A687" s="93"/>
      <c r="B687" s="94"/>
      <c r="C687" s="93"/>
      <c r="D687" s="93"/>
      <c r="E687" s="93"/>
      <c r="F687" s="93"/>
      <c r="G687" s="93"/>
      <c r="H687" s="93"/>
      <c r="I687" s="94"/>
      <c r="J687" s="94"/>
      <c r="K687" s="93"/>
      <c r="L687" s="93"/>
      <c r="M687" s="93"/>
      <c r="N687" s="93"/>
      <c r="O687" s="93"/>
      <c r="P687" s="93"/>
      <c r="Q687" s="93"/>
      <c r="R687" s="93"/>
      <c r="S687" s="93"/>
      <c r="T687" s="93"/>
      <c r="U687" s="93"/>
      <c r="V687" s="93"/>
      <c r="W687" s="93"/>
      <c r="X687" s="93"/>
    </row>
    <row r="688" spans="1:24" ht="16">
      <c r="A688" s="93"/>
      <c r="B688" s="94"/>
      <c r="C688" s="93"/>
      <c r="D688" s="93"/>
      <c r="E688" s="93"/>
      <c r="F688" s="93"/>
      <c r="G688" s="93"/>
      <c r="H688" s="93"/>
      <c r="I688" s="94"/>
      <c r="J688" s="94"/>
      <c r="K688" s="93"/>
      <c r="L688" s="93"/>
      <c r="M688" s="93"/>
      <c r="N688" s="93"/>
      <c r="O688" s="93"/>
      <c r="P688" s="93"/>
      <c r="Q688" s="93"/>
      <c r="R688" s="93"/>
      <c r="S688" s="93"/>
      <c r="T688" s="93"/>
      <c r="U688" s="93"/>
      <c r="V688" s="93"/>
      <c r="W688" s="93"/>
      <c r="X688" s="93"/>
    </row>
    <row r="689" spans="1:24" ht="16">
      <c r="A689" s="93"/>
      <c r="B689" s="94"/>
      <c r="C689" s="93"/>
      <c r="D689" s="93"/>
      <c r="E689" s="93"/>
      <c r="F689" s="93"/>
      <c r="G689" s="93"/>
      <c r="H689" s="93"/>
      <c r="I689" s="94"/>
      <c r="J689" s="94"/>
      <c r="K689" s="93"/>
      <c r="L689" s="93"/>
      <c r="M689" s="93"/>
      <c r="N689" s="93"/>
      <c r="O689" s="93"/>
      <c r="P689" s="93"/>
      <c r="Q689" s="93"/>
      <c r="R689" s="93"/>
      <c r="S689" s="93"/>
      <c r="T689" s="93"/>
      <c r="U689" s="93"/>
      <c r="V689" s="93"/>
      <c r="W689" s="93"/>
      <c r="X689" s="93"/>
    </row>
    <row r="690" spans="1:24" ht="16">
      <c r="A690" s="93"/>
      <c r="B690" s="94"/>
      <c r="C690" s="93"/>
      <c r="D690" s="93"/>
      <c r="E690" s="93"/>
      <c r="F690" s="93"/>
      <c r="G690" s="93"/>
      <c r="H690" s="93"/>
      <c r="I690" s="94"/>
      <c r="J690" s="94"/>
      <c r="K690" s="93"/>
      <c r="L690" s="93"/>
      <c r="M690" s="93"/>
      <c r="N690" s="93"/>
      <c r="O690" s="93"/>
      <c r="P690" s="93"/>
      <c r="Q690" s="93"/>
      <c r="R690" s="93"/>
      <c r="S690" s="93"/>
      <c r="T690" s="93"/>
      <c r="U690" s="93"/>
      <c r="V690" s="93"/>
      <c r="W690" s="93"/>
      <c r="X690" s="93"/>
    </row>
    <row r="691" spans="1:24" ht="16">
      <c r="A691" s="93"/>
      <c r="B691" s="94"/>
      <c r="C691" s="93"/>
      <c r="D691" s="93"/>
      <c r="E691" s="93"/>
      <c r="F691" s="93"/>
      <c r="G691" s="93"/>
      <c r="H691" s="93"/>
      <c r="I691" s="94"/>
      <c r="J691" s="94"/>
      <c r="K691" s="93"/>
      <c r="L691" s="93"/>
      <c r="M691" s="93"/>
      <c r="N691" s="93"/>
      <c r="O691" s="93"/>
      <c r="P691" s="93"/>
      <c r="Q691" s="93"/>
      <c r="R691" s="93"/>
      <c r="S691" s="93"/>
      <c r="T691" s="93"/>
      <c r="U691" s="93"/>
      <c r="V691" s="93"/>
      <c r="W691" s="93"/>
      <c r="X691" s="93"/>
    </row>
    <row r="692" spans="1:24" ht="16">
      <c r="A692" s="93"/>
      <c r="B692" s="94"/>
      <c r="C692" s="93"/>
      <c r="D692" s="93"/>
      <c r="E692" s="93"/>
      <c r="F692" s="93"/>
      <c r="G692" s="93"/>
      <c r="H692" s="93"/>
      <c r="I692" s="94"/>
      <c r="J692" s="94"/>
      <c r="K692" s="93"/>
      <c r="L692" s="93"/>
      <c r="M692" s="93"/>
      <c r="N692" s="93"/>
      <c r="O692" s="93"/>
      <c r="P692" s="93"/>
      <c r="Q692" s="93"/>
      <c r="R692" s="93"/>
      <c r="S692" s="93"/>
      <c r="T692" s="93"/>
      <c r="U692" s="93"/>
      <c r="V692" s="93"/>
      <c r="W692" s="93"/>
      <c r="X692" s="93"/>
    </row>
    <row r="693" spans="1:24" ht="16">
      <c r="A693" s="93"/>
      <c r="B693" s="94"/>
      <c r="C693" s="93"/>
      <c r="D693" s="93"/>
      <c r="E693" s="93"/>
      <c r="F693" s="93"/>
      <c r="G693" s="93"/>
      <c r="H693" s="93"/>
      <c r="I693" s="94"/>
      <c r="J693" s="94"/>
      <c r="K693" s="93"/>
      <c r="L693" s="93"/>
      <c r="M693" s="93"/>
      <c r="N693" s="93"/>
      <c r="O693" s="93"/>
      <c r="P693" s="93"/>
      <c r="Q693" s="93"/>
      <c r="R693" s="93"/>
      <c r="S693" s="93"/>
      <c r="T693" s="93"/>
      <c r="U693" s="93"/>
      <c r="V693" s="93"/>
      <c r="W693" s="93"/>
      <c r="X693" s="93"/>
    </row>
    <row r="694" spans="1:24" ht="16">
      <c r="A694" s="93"/>
      <c r="B694" s="94"/>
      <c r="C694" s="93"/>
      <c r="D694" s="93"/>
      <c r="E694" s="93"/>
      <c r="F694" s="93"/>
      <c r="G694" s="93"/>
      <c r="H694" s="93"/>
      <c r="I694" s="94"/>
      <c r="J694" s="94"/>
      <c r="K694" s="93"/>
      <c r="L694" s="93"/>
      <c r="M694" s="93"/>
      <c r="N694" s="93"/>
      <c r="O694" s="93"/>
      <c r="P694" s="93"/>
      <c r="Q694" s="93"/>
      <c r="R694" s="93"/>
      <c r="S694" s="93"/>
      <c r="T694" s="93"/>
      <c r="U694" s="93"/>
      <c r="V694" s="93"/>
      <c r="W694" s="93"/>
      <c r="X694" s="93"/>
    </row>
    <row r="695" spans="1:24" ht="16">
      <c r="A695" s="93"/>
      <c r="B695" s="94"/>
      <c r="C695" s="93"/>
      <c r="D695" s="93"/>
      <c r="E695" s="93"/>
      <c r="F695" s="93"/>
      <c r="G695" s="93"/>
      <c r="H695" s="93"/>
      <c r="I695" s="94"/>
      <c r="J695" s="94"/>
      <c r="K695" s="93"/>
      <c r="L695" s="93"/>
      <c r="M695" s="93"/>
      <c r="N695" s="93"/>
      <c r="O695" s="93"/>
      <c r="P695" s="93"/>
      <c r="Q695" s="93"/>
      <c r="R695" s="93"/>
      <c r="S695" s="93"/>
      <c r="T695" s="93"/>
      <c r="U695" s="93"/>
      <c r="V695" s="93"/>
      <c r="W695" s="93"/>
      <c r="X695" s="93"/>
    </row>
    <row r="696" spans="1:24" ht="16">
      <c r="A696" s="93"/>
      <c r="B696" s="94"/>
      <c r="C696" s="93"/>
      <c r="D696" s="93"/>
      <c r="E696" s="93"/>
      <c r="F696" s="93"/>
      <c r="G696" s="93"/>
      <c r="H696" s="93"/>
      <c r="I696" s="94"/>
      <c r="J696" s="94"/>
      <c r="K696" s="93"/>
      <c r="L696" s="93"/>
      <c r="M696" s="93"/>
      <c r="N696" s="93"/>
      <c r="O696" s="93"/>
      <c r="P696" s="93"/>
      <c r="Q696" s="93"/>
      <c r="R696" s="93"/>
      <c r="S696" s="93"/>
      <c r="T696" s="93"/>
      <c r="U696" s="93"/>
      <c r="V696" s="93"/>
      <c r="W696" s="93"/>
      <c r="X696" s="93"/>
    </row>
    <row r="697" spans="1:24" ht="16">
      <c r="A697" s="93"/>
      <c r="B697" s="94"/>
      <c r="C697" s="93"/>
      <c r="D697" s="93"/>
      <c r="E697" s="93"/>
      <c r="F697" s="93"/>
      <c r="G697" s="93"/>
      <c r="H697" s="93"/>
      <c r="I697" s="94"/>
      <c r="J697" s="94"/>
      <c r="K697" s="93"/>
      <c r="L697" s="93"/>
      <c r="M697" s="93"/>
      <c r="N697" s="93"/>
      <c r="O697" s="93"/>
      <c r="P697" s="93"/>
      <c r="Q697" s="93"/>
      <c r="R697" s="93"/>
      <c r="S697" s="93"/>
      <c r="T697" s="93"/>
      <c r="U697" s="93"/>
      <c r="V697" s="93"/>
      <c r="W697" s="93"/>
      <c r="X697" s="93"/>
    </row>
    <row r="698" spans="1:24" ht="16">
      <c r="A698" s="93"/>
      <c r="B698" s="94"/>
      <c r="C698" s="93"/>
      <c r="D698" s="93"/>
      <c r="E698" s="93"/>
      <c r="F698" s="93"/>
      <c r="G698" s="93"/>
      <c r="H698" s="93"/>
      <c r="I698" s="94"/>
      <c r="J698" s="94"/>
      <c r="K698" s="93"/>
      <c r="L698" s="93"/>
      <c r="M698" s="93"/>
      <c r="N698" s="93"/>
      <c r="O698" s="93"/>
      <c r="P698" s="93"/>
      <c r="Q698" s="93"/>
      <c r="R698" s="93"/>
      <c r="S698" s="93"/>
      <c r="T698" s="93"/>
      <c r="U698" s="93"/>
      <c r="V698" s="93"/>
      <c r="W698" s="93"/>
      <c r="X698" s="93"/>
    </row>
    <row r="699" spans="1:24" ht="16">
      <c r="A699" s="93"/>
      <c r="B699" s="94"/>
      <c r="C699" s="93"/>
      <c r="D699" s="93"/>
      <c r="E699" s="93"/>
      <c r="F699" s="93"/>
      <c r="G699" s="93"/>
      <c r="H699" s="93"/>
      <c r="I699" s="94"/>
      <c r="J699" s="94"/>
      <c r="K699" s="93"/>
      <c r="L699" s="93"/>
      <c r="M699" s="93"/>
      <c r="N699" s="93"/>
      <c r="O699" s="93"/>
      <c r="P699" s="93"/>
      <c r="Q699" s="93"/>
      <c r="R699" s="93"/>
      <c r="S699" s="93"/>
      <c r="T699" s="93"/>
      <c r="U699" s="93"/>
      <c r="V699" s="93"/>
      <c r="W699" s="93"/>
      <c r="X699" s="93"/>
    </row>
    <row r="700" spans="1:24" ht="16">
      <c r="A700" s="93"/>
      <c r="B700" s="94"/>
      <c r="C700" s="93"/>
      <c r="D700" s="93"/>
      <c r="E700" s="93"/>
      <c r="F700" s="93"/>
      <c r="G700" s="93"/>
      <c r="H700" s="93"/>
      <c r="I700" s="94"/>
      <c r="J700" s="94"/>
      <c r="K700" s="93"/>
      <c r="L700" s="93"/>
      <c r="M700" s="93"/>
      <c r="N700" s="93"/>
      <c r="O700" s="93"/>
      <c r="P700" s="93"/>
      <c r="Q700" s="93"/>
      <c r="R700" s="93"/>
      <c r="S700" s="93"/>
      <c r="T700" s="93"/>
      <c r="U700" s="93"/>
      <c r="V700" s="93"/>
      <c r="W700" s="93"/>
      <c r="X700" s="93"/>
    </row>
    <row r="701" spans="1:24" ht="16">
      <c r="A701" s="93"/>
      <c r="B701" s="94"/>
      <c r="C701" s="93"/>
      <c r="D701" s="93"/>
      <c r="E701" s="93"/>
      <c r="F701" s="93"/>
      <c r="G701" s="93"/>
      <c r="H701" s="93"/>
      <c r="I701" s="94"/>
      <c r="J701" s="94"/>
      <c r="K701" s="93"/>
      <c r="L701" s="93"/>
      <c r="M701" s="93"/>
      <c r="N701" s="93"/>
      <c r="O701" s="93"/>
      <c r="P701" s="93"/>
      <c r="Q701" s="93"/>
      <c r="R701" s="93"/>
      <c r="S701" s="93"/>
      <c r="T701" s="93"/>
      <c r="U701" s="93"/>
      <c r="V701" s="93"/>
      <c r="W701" s="93"/>
      <c r="X701" s="93"/>
    </row>
    <row r="702" spans="1:24" ht="16">
      <c r="A702" s="93"/>
      <c r="B702" s="94"/>
      <c r="C702" s="93"/>
      <c r="D702" s="93"/>
      <c r="E702" s="93"/>
      <c r="F702" s="93"/>
      <c r="G702" s="93"/>
      <c r="H702" s="93"/>
      <c r="I702" s="94"/>
      <c r="J702" s="94"/>
      <c r="K702" s="93"/>
      <c r="L702" s="93"/>
      <c r="M702" s="93"/>
      <c r="N702" s="93"/>
      <c r="O702" s="93"/>
      <c r="P702" s="93"/>
      <c r="Q702" s="93"/>
      <c r="R702" s="93"/>
      <c r="S702" s="93"/>
      <c r="T702" s="93"/>
      <c r="U702" s="93"/>
      <c r="V702" s="93"/>
      <c r="W702" s="93"/>
      <c r="X702" s="93"/>
    </row>
    <row r="703" spans="1:24" ht="16">
      <c r="A703" s="93"/>
      <c r="B703" s="94"/>
      <c r="C703" s="93"/>
      <c r="D703" s="93"/>
      <c r="E703" s="93"/>
      <c r="F703" s="93"/>
      <c r="G703" s="93"/>
      <c r="H703" s="93"/>
      <c r="I703" s="94"/>
      <c r="J703" s="94"/>
      <c r="K703" s="93"/>
      <c r="L703" s="93"/>
      <c r="M703" s="93"/>
      <c r="N703" s="93"/>
      <c r="O703" s="93"/>
      <c r="P703" s="93"/>
      <c r="Q703" s="93"/>
      <c r="R703" s="93"/>
      <c r="S703" s="93"/>
      <c r="T703" s="93"/>
      <c r="U703" s="93"/>
      <c r="V703" s="93"/>
      <c r="W703" s="93"/>
      <c r="X703" s="93"/>
    </row>
    <row r="704" spans="1:24" ht="16">
      <c r="A704" s="93"/>
      <c r="B704" s="94"/>
      <c r="C704" s="93"/>
      <c r="D704" s="93"/>
      <c r="E704" s="93"/>
      <c r="F704" s="93"/>
      <c r="G704" s="93"/>
      <c r="H704" s="93"/>
      <c r="I704" s="94"/>
      <c r="J704" s="94"/>
      <c r="K704" s="93"/>
      <c r="L704" s="93"/>
      <c r="M704" s="93"/>
      <c r="N704" s="93"/>
      <c r="O704" s="93"/>
      <c r="P704" s="93"/>
      <c r="Q704" s="93"/>
      <c r="R704" s="93"/>
      <c r="S704" s="93"/>
      <c r="T704" s="93"/>
      <c r="U704" s="93"/>
      <c r="V704" s="93"/>
      <c r="W704" s="93"/>
      <c r="X704" s="93"/>
    </row>
    <row r="705" spans="1:24" ht="16">
      <c r="A705" s="93"/>
      <c r="B705" s="94"/>
      <c r="C705" s="93"/>
      <c r="D705" s="93"/>
      <c r="E705" s="93"/>
      <c r="F705" s="93"/>
      <c r="G705" s="93"/>
      <c r="H705" s="93"/>
      <c r="I705" s="94"/>
      <c r="J705" s="94"/>
      <c r="K705" s="93"/>
      <c r="L705" s="93"/>
      <c r="M705" s="93"/>
      <c r="N705" s="93"/>
      <c r="O705" s="93"/>
      <c r="P705" s="93"/>
      <c r="Q705" s="93"/>
      <c r="R705" s="93"/>
      <c r="S705" s="93"/>
      <c r="T705" s="93"/>
      <c r="U705" s="93"/>
      <c r="V705" s="93"/>
      <c r="W705" s="93"/>
      <c r="X705" s="93"/>
    </row>
    <row r="706" spans="1:24" ht="16">
      <c r="A706" s="93"/>
      <c r="B706" s="94"/>
      <c r="C706" s="93"/>
      <c r="D706" s="93"/>
      <c r="E706" s="93"/>
      <c r="F706" s="93"/>
      <c r="G706" s="93"/>
      <c r="H706" s="93"/>
      <c r="I706" s="94"/>
      <c r="J706" s="94"/>
      <c r="K706" s="93"/>
      <c r="L706" s="93"/>
      <c r="M706" s="93"/>
      <c r="N706" s="93"/>
      <c r="O706" s="93"/>
      <c r="P706" s="93"/>
      <c r="Q706" s="93"/>
      <c r="R706" s="93"/>
      <c r="S706" s="93"/>
      <c r="T706" s="93"/>
      <c r="U706" s="93"/>
      <c r="V706" s="93"/>
      <c r="W706" s="93"/>
      <c r="X706" s="93"/>
    </row>
    <row r="707" spans="1:24" ht="16">
      <c r="A707" s="93"/>
      <c r="B707" s="94"/>
      <c r="C707" s="93"/>
      <c r="D707" s="93"/>
      <c r="E707" s="93"/>
      <c r="F707" s="93"/>
      <c r="G707" s="93"/>
      <c r="H707" s="93"/>
      <c r="I707" s="94"/>
      <c r="J707" s="94"/>
      <c r="K707" s="93"/>
      <c r="L707" s="93"/>
      <c r="M707" s="93"/>
      <c r="N707" s="93"/>
      <c r="O707" s="93"/>
      <c r="P707" s="93"/>
      <c r="Q707" s="93"/>
      <c r="R707" s="93"/>
      <c r="S707" s="93"/>
      <c r="T707" s="93"/>
      <c r="U707" s="93"/>
      <c r="V707" s="93"/>
      <c r="W707" s="93"/>
      <c r="X707" s="93"/>
    </row>
    <row r="708" spans="1:24" ht="16">
      <c r="A708" s="93"/>
      <c r="B708" s="94"/>
      <c r="C708" s="93"/>
      <c r="D708" s="93"/>
      <c r="E708" s="93"/>
      <c r="F708" s="93"/>
      <c r="G708" s="93"/>
      <c r="H708" s="93"/>
      <c r="I708" s="94"/>
      <c r="J708" s="94"/>
      <c r="K708" s="93"/>
      <c r="L708" s="93"/>
      <c r="M708" s="93"/>
      <c r="N708" s="93"/>
      <c r="O708" s="93"/>
      <c r="P708" s="93"/>
      <c r="Q708" s="93"/>
      <c r="R708" s="93"/>
      <c r="S708" s="93"/>
      <c r="T708" s="93"/>
      <c r="U708" s="93"/>
      <c r="V708" s="93"/>
      <c r="W708" s="93"/>
      <c r="X708" s="93"/>
    </row>
    <row r="709" spans="1:24" ht="16">
      <c r="A709" s="93"/>
      <c r="B709" s="94"/>
      <c r="C709" s="93"/>
      <c r="D709" s="93"/>
      <c r="E709" s="93"/>
      <c r="F709" s="93"/>
      <c r="G709" s="93"/>
      <c r="H709" s="93"/>
      <c r="I709" s="94"/>
      <c r="J709" s="94"/>
      <c r="K709" s="93"/>
      <c r="L709" s="93"/>
      <c r="M709" s="93"/>
      <c r="N709" s="93"/>
      <c r="O709" s="93"/>
      <c r="P709" s="93"/>
      <c r="Q709" s="93"/>
      <c r="R709" s="93"/>
      <c r="S709" s="93"/>
      <c r="T709" s="93"/>
      <c r="U709" s="93"/>
      <c r="V709" s="93"/>
      <c r="W709" s="93"/>
      <c r="X709" s="93"/>
    </row>
    <row r="710" spans="1:24" ht="16">
      <c r="A710" s="93"/>
      <c r="B710" s="94"/>
      <c r="C710" s="93"/>
      <c r="D710" s="93"/>
      <c r="E710" s="93"/>
      <c r="F710" s="93"/>
      <c r="G710" s="93"/>
      <c r="H710" s="93"/>
      <c r="I710" s="94"/>
      <c r="J710" s="94"/>
      <c r="K710" s="93"/>
      <c r="L710" s="93"/>
      <c r="M710" s="93"/>
      <c r="N710" s="93"/>
      <c r="O710" s="93"/>
      <c r="P710" s="93"/>
      <c r="Q710" s="93"/>
      <c r="R710" s="93"/>
      <c r="S710" s="93"/>
      <c r="T710" s="93"/>
      <c r="U710" s="93"/>
      <c r="V710" s="93"/>
      <c r="W710" s="93"/>
      <c r="X710" s="93"/>
    </row>
    <row r="711" spans="1:24" ht="16">
      <c r="A711" s="93"/>
      <c r="B711" s="94"/>
      <c r="C711" s="93"/>
      <c r="D711" s="93"/>
      <c r="E711" s="93"/>
      <c r="F711" s="93"/>
      <c r="G711" s="93"/>
      <c r="H711" s="93"/>
      <c r="I711" s="94"/>
      <c r="J711" s="94"/>
      <c r="K711" s="93"/>
      <c r="L711" s="93"/>
      <c r="M711" s="93"/>
      <c r="N711" s="93"/>
      <c r="O711" s="93"/>
      <c r="P711" s="93"/>
      <c r="Q711" s="93"/>
      <c r="R711" s="93"/>
      <c r="S711" s="93"/>
      <c r="T711" s="93"/>
      <c r="U711" s="93"/>
      <c r="V711" s="93"/>
      <c r="W711" s="93"/>
      <c r="X711" s="93"/>
    </row>
    <row r="712" spans="1:24" ht="16">
      <c r="A712" s="93"/>
      <c r="B712" s="94"/>
      <c r="C712" s="93"/>
      <c r="D712" s="93"/>
      <c r="E712" s="93"/>
      <c r="F712" s="93"/>
      <c r="G712" s="93"/>
      <c r="H712" s="93"/>
      <c r="I712" s="94"/>
      <c r="J712" s="94"/>
      <c r="K712" s="93"/>
      <c r="L712" s="93"/>
      <c r="M712" s="93"/>
      <c r="N712" s="93"/>
      <c r="O712" s="93"/>
      <c r="P712" s="93"/>
      <c r="Q712" s="93"/>
      <c r="R712" s="93"/>
      <c r="S712" s="93"/>
      <c r="T712" s="93"/>
      <c r="U712" s="93"/>
      <c r="V712" s="93"/>
      <c r="W712" s="93"/>
      <c r="X712" s="93"/>
    </row>
    <row r="713" spans="1:24" ht="16">
      <c r="A713" s="93"/>
      <c r="B713" s="94"/>
      <c r="C713" s="93"/>
      <c r="D713" s="93"/>
      <c r="E713" s="93"/>
      <c r="F713" s="93"/>
      <c r="G713" s="93"/>
      <c r="H713" s="93"/>
      <c r="I713" s="94"/>
      <c r="J713" s="94"/>
      <c r="K713" s="93"/>
      <c r="L713" s="93"/>
      <c r="M713" s="93"/>
      <c r="N713" s="93"/>
      <c r="O713" s="93"/>
      <c r="P713" s="93"/>
      <c r="Q713" s="93"/>
      <c r="R713" s="93"/>
      <c r="S713" s="93"/>
      <c r="T713" s="93"/>
      <c r="U713" s="93"/>
      <c r="V713" s="93"/>
      <c r="W713" s="93"/>
      <c r="X713" s="93"/>
    </row>
    <row r="714" spans="1:24" ht="16">
      <c r="A714" s="93"/>
      <c r="B714" s="94"/>
      <c r="C714" s="93"/>
      <c r="D714" s="93"/>
      <c r="E714" s="93"/>
      <c r="F714" s="93"/>
      <c r="G714" s="93"/>
      <c r="H714" s="93"/>
      <c r="I714" s="94"/>
      <c r="J714" s="94"/>
      <c r="K714" s="93"/>
      <c r="L714" s="93"/>
      <c r="M714" s="93"/>
      <c r="N714" s="93"/>
      <c r="O714" s="93"/>
      <c r="P714" s="93"/>
      <c r="Q714" s="93"/>
      <c r="R714" s="93"/>
      <c r="S714" s="93"/>
      <c r="T714" s="93"/>
      <c r="U714" s="93"/>
      <c r="V714" s="93"/>
      <c r="W714" s="93"/>
      <c r="X714" s="93"/>
    </row>
    <row r="715" spans="1:24" ht="16">
      <c r="A715" s="93"/>
      <c r="B715" s="94"/>
      <c r="C715" s="93"/>
      <c r="D715" s="93"/>
      <c r="E715" s="93"/>
      <c r="F715" s="93"/>
      <c r="G715" s="93"/>
      <c r="H715" s="93"/>
      <c r="I715" s="94"/>
      <c r="J715" s="94"/>
      <c r="K715" s="93"/>
      <c r="L715" s="93"/>
      <c r="M715" s="93"/>
      <c r="N715" s="93"/>
      <c r="O715" s="93"/>
      <c r="P715" s="93"/>
      <c r="Q715" s="93"/>
      <c r="R715" s="93"/>
      <c r="S715" s="93"/>
      <c r="T715" s="93"/>
      <c r="U715" s="93"/>
      <c r="V715" s="93"/>
      <c r="W715" s="93"/>
      <c r="X715" s="93"/>
    </row>
    <row r="716" spans="1:24" ht="16">
      <c r="A716" s="93"/>
      <c r="B716" s="94"/>
      <c r="C716" s="93"/>
      <c r="D716" s="93"/>
      <c r="E716" s="93"/>
      <c r="F716" s="93"/>
      <c r="G716" s="93"/>
      <c r="H716" s="93"/>
      <c r="I716" s="94"/>
      <c r="J716" s="94"/>
      <c r="K716" s="93"/>
      <c r="L716" s="93"/>
      <c r="M716" s="93"/>
      <c r="N716" s="93"/>
      <c r="O716" s="93"/>
      <c r="P716" s="93"/>
      <c r="Q716" s="93"/>
      <c r="R716" s="93"/>
      <c r="S716" s="93"/>
      <c r="T716" s="93"/>
      <c r="U716" s="93"/>
      <c r="V716" s="93"/>
      <c r="W716" s="93"/>
      <c r="X716" s="93"/>
    </row>
    <row r="717" spans="1:24" ht="16">
      <c r="A717" s="93"/>
      <c r="B717" s="94"/>
      <c r="C717" s="93"/>
      <c r="D717" s="93"/>
      <c r="E717" s="93"/>
      <c r="F717" s="93"/>
      <c r="G717" s="93"/>
      <c r="H717" s="93"/>
      <c r="I717" s="94"/>
      <c r="J717" s="94"/>
      <c r="K717" s="93"/>
      <c r="L717" s="93"/>
      <c r="M717" s="93"/>
      <c r="N717" s="93"/>
      <c r="O717" s="93"/>
      <c r="P717" s="93"/>
      <c r="Q717" s="93"/>
      <c r="R717" s="93"/>
      <c r="S717" s="93"/>
      <c r="T717" s="93"/>
      <c r="U717" s="93"/>
      <c r="V717" s="93"/>
      <c r="W717" s="93"/>
      <c r="X717" s="93"/>
    </row>
    <row r="718" spans="1:24" ht="16">
      <c r="A718" s="93"/>
      <c r="B718" s="94"/>
      <c r="C718" s="93"/>
      <c r="D718" s="93"/>
      <c r="E718" s="93"/>
      <c r="F718" s="93"/>
      <c r="G718" s="93"/>
      <c r="H718" s="93"/>
      <c r="I718" s="94"/>
      <c r="J718" s="94"/>
      <c r="K718" s="93"/>
      <c r="L718" s="93"/>
      <c r="M718" s="93"/>
      <c r="N718" s="93"/>
      <c r="O718" s="93"/>
      <c r="P718" s="93"/>
      <c r="Q718" s="93"/>
      <c r="R718" s="93"/>
      <c r="S718" s="93"/>
      <c r="T718" s="93"/>
      <c r="U718" s="93"/>
      <c r="V718" s="93"/>
      <c r="W718" s="93"/>
      <c r="X718" s="93"/>
    </row>
    <row r="719" spans="1:24" ht="16">
      <c r="A719" s="93"/>
      <c r="B719" s="94"/>
      <c r="C719" s="93"/>
      <c r="D719" s="93"/>
      <c r="E719" s="93"/>
      <c r="F719" s="93"/>
      <c r="G719" s="93"/>
      <c r="H719" s="93"/>
      <c r="I719" s="94"/>
      <c r="J719" s="94"/>
      <c r="K719" s="93"/>
      <c r="L719" s="93"/>
      <c r="M719" s="93"/>
      <c r="N719" s="93"/>
      <c r="O719" s="93"/>
      <c r="P719" s="93"/>
      <c r="Q719" s="93"/>
      <c r="R719" s="93"/>
      <c r="S719" s="93"/>
      <c r="T719" s="93"/>
      <c r="U719" s="93"/>
      <c r="V719" s="93"/>
      <c r="W719" s="93"/>
      <c r="X719" s="93"/>
    </row>
    <row r="720" spans="1:24" ht="16">
      <c r="A720" s="93"/>
      <c r="B720" s="94"/>
      <c r="C720" s="93"/>
      <c r="D720" s="93"/>
      <c r="E720" s="93"/>
      <c r="F720" s="93"/>
      <c r="G720" s="93"/>
      <c r="H720" s="93"/>
      <c r="I720" s="94"/>
      <c r="J720" s="94"/>
      <c r="K720" s="93"/>
      <c r="L720" s="93"/>
      <c r="M720" s="93"/>
      <c r="N720" s="93"/>
      <c r="O720" s="93"/>
      <c r="P720" s="93"/>
      <c r="Q720" s="93"/>
      <c r="R720" s="93"/>
      <c r="S720" s="93"/>
      <c r="T720" s="93"/>
      <c r="U720" s="93"/>
      <c r="V720" s="93"/>
      <c r="W720" s="93"/>
      <c r="X720" s="93"/>
    </row>
    <row r="721" spans="1:24" ht="16">
      <c r="A721" s="93"/>
      <c r="B721" s="94"/>
      <c r="C721" s="93"/>
      <c r="D721" s="93"/>
      <c r="E721" s="93"/>
      <c r="F721" s="93"/>
      <c r="G721" s="93"/>
      <c r="H721" s="93"/>
      <c r="I721" s="94"/>
      <c r="J721" s="94"/>
      <c r="K721" s="93"/>
      <c r="L721" s="93"/>
      <c r="M721" s="93"/>
      <c r="N721" s="93"/>
      <c r="O721" s="93"/>
      <c r="P721" s="93"/>
      <c r="Q721" s="93"/>
      <c r="R721" s="93"/>
      <c r="S721" s="93"/>
      <c r="T721" s="93"/>
      <c r="U721" s="93"/>
      <c r="V721" s="93"/>
      <c r="W721" s="93"/>
      <c r="X721" s="93"/>
    </row>
    <row r="722" spans="1:24" ht="16">
      <c r="A722" s="93"/>
      <c r="B722" s="94"/>
      <c r="C722" s="93"/>
      <c r="D722" s="93"/>
      <c r="E722" s="93"/>
      <c r="F722" s="93"/>
      <c r="G722" s="93"/>
      <c r="H722" s="93"/>
      <c r="I722" s="94"/>
      <c r="J722" s="94"/>
      <c r="K722" s="93"/>
      <c r="L722" s="93"/>
      <c r="M722" s="93"/>
      <c r="N722" s="93"/>
      <c r="O722" s="93"/>
      <c r="P722" s="93"/>
      <c r="Q722" s="93"/>
      <c r="R722" s="93"/>
      <c r="S722" s="93"/>
      <c r="T722" s="93"/>
      <c r="U722" s="93"/>
      <c r="V722" s="93"/>
      <c r="W722" s="93"/>
      <c r="X722" s="93"/>
    </row>
    <row r="723" spans="1:24" ht="16">
      <c r="A723" s="93"/>
      <c r="B723" s="94"/>
      <c r="C723" s="93"/>
      <c r="D723" s="93"/>
      <c r="E723" s="93"/>
      <c r="F723" s="93"/>
      <c r="G723" s="93"/>
      <c r="H723" s="93"/>
      <c r="I723" s="94"/>
      <c r="J723" s="94"/>
      <c r="K723" s="93"/>
      <c r="L723" s="93"/>
      <c r="M723" s="93"/>
      <c r="N723" s="93"/>
      <c r="O723" s="93"/>
      <c r="P723" s="93"/>
      <c r="Q723" s="93"/>
      <c r="R723" s="93"/>
      <c r="S723" s="93"/>
      <c r="T723" s="93"/>
      <c r="U723" s="93"/>
      <c r="V723" s="93"/>
      <c r="W723" s="93"/>
      <c r="X723" s="93"/>
    </row>
    <row r="724" spans="1:24" ht="16">
      <c r="A724" s="93"/>
      <c r="B724" s="94"/>
      <c r="C724" s="93"/>
      <c r="D724" s="93"/>
      <c r="E724" s="93"/>
      <c r="F724" s="93"/>
      <c r="G724" s="93"/>
      <c r="H724" s="93"/>
      <c r="I724" s="94"/>
      <c r="J724" s="94"/>
      <c r="K724" s="93"/>
      <c r="L724" s="93"/>
      <c r="M724" s="93"/>
      <c r="N724" s="93"/>
      <c r="O724" s="93"/>
      <c r="P724" s="93"/>
      <c r="Q724" s="93"/>
      <c r="R724" s="93"/>
      <c r="S724" s="93"/>
      <c r="T724" s="93"/>
      <c r="U724" s="93"/>
      <c r="V724" s="93"/>
      <c r="W724" s="93"/>
      <c r="X724" s="93"/>
    </row>
    <row r="725" spans="1:24" ht="16">
      <c r="A725" s="93"/>
      <c r="B725" s="94"/>
      <c r="C725" s="93"/>
      <c r="D725" s="93"/>
      <c r="E725" s="93"/>
      <c r="F725" s="93"/>
      <c r="G725" s="93"/>
      <c r="H725" s="93"/>
      <c r="I725" s="94"/>
      <c r="J725" s="94"/>
      <c r="K725" s="93"/>
      <c r="L725" s="93"/>
      <c r="M725" s="93"/>
      <c r="N725" s="93"/>
      <c r="O725" s="93"/>
      <c r="P725" s="93"/>
      <c r="Q725" s="93"/>
      <c r="R725" s="93"/>
      <c r="S725" s="93"/>
      <c r="T725" s="93"/>
      <c r="U725" s="93"/>
      <c r="V725" s="93"/>
      <c r="W725" s="93"/>
      <c r="X725" s="93"/>
    </row>
    <row r="726" spans="1:24" ht="16">
      <c r="A726" s="93"/>
      <c r="B726" s="94"/>
      <c r="C726" s="93"/>
      <c r="D726" s="93"/>
      <c r="E726" s="93"/>
      <c r="F726" s="93"/>
      <c r="G726" s="93"/>
      <c r="H726" s="93"/>
      <c r="I726" s="94"/>
      <c r="J726" s="94"/>
      <c r="K726" s="93"/>
      <c r="L726" s="93"/>
      <c r="M726" s="93"/>
      <c r="N726" s="93"/>
      <c r="O726" s="93"/>
      <c r="P726" s="93"/>
      <c r="Q726" s="93"/>
      <c r="R726" s="93"/>
      <c r="S726" s="93"/>
      <c r="T726" s="93"/>
      <c r="U726" s="93"/>
      <c r="V726" s="93"/>
      <c r="W726" s="93"/>
      <c r="X726" s="93"/>
    </row>
    <row r="727" spans="1:24" ht="16">
      <c r="A727" s="93"/>
      <c r="B727" s="94"/>
      <c r="C727" s="93"/>
      <c r="D727" s="93"/>
      <c r="E727" s="93"/>
      <c r="F727" s="93"/>
      <c r="G727" s="93"/>
      <c r="H727" s="93"/>
      <c r="I727" s="94"/>
      <c r="J727" s="94"/>
      <c r="K727" s="93"/>
      <c r="L727" s="93"/>
      <c r="M727" s="93"/>
      <c r="N727" s="93"/>
      <c r="O727" s="93"/>
      <c r="P727" s="93"/>
      <c r="Q727" s="93"/>
      <c r="R727" s="93"/>
      <c r="S727" s="93"/>
      <c r="T727" s="93"/>
      <c r="U727" s="93"/>
      <c r="V727" s="93"/>
      <c r="W727" s="93"/>
      <c r="X727" s="93"/>
    </row>
    <row r="728" spans="1:24" ht="16">
      <c r="A728" s="93"/>
      <c r="B728" s="94"/>
      <c r="C728" s="93"/>
      <c r="D728" s="93"/>
      <c r="E728" s="93"/>
      <c r="F728" s="93"/>
      <c r="G728" s="93"/>
      <c r="H728" s="93"/>
      <c r="I728" s="94"/>
      <c r="J728" s="94"/>
      <c r="K728" s="93"/>
      <c r="L728" s="93"/>
      <c r="M728" s="93"/>
      <c r="N728" s="93"/>
      <c r="O728" s="93"/>
      <c r="P728" s="93"/>
      <c r="Q728" s="93"/>
      <c r="R728" s="93"/>
      <c r="S728" s="93"/>
      <c r="T728" s="93"/>
      <c r="U728" s="93"/>
      <c r="V728" s="93"/>
      <c r="W728" s="93"/>
      <c r="X728" s="93"/>
    </row>
    <row r="729" spans="1:24" ht="16">
      <c r="A729" s="93"/>
      <c r="B729" s="94"/>
      <c r="C729" s="93"/>
      <c r="D729" s="93"/>
      <c r="E729" s="93"/>
      <c r="F729" s="93"/>
      <c r="G729" s="93"/>
      <c r="H729" s="93"/>
      <c r="I729" s="94"/>
      <c r="J729" s="94"/>
      <c r="K729" s="93"/>
      <c r="L729" s="93"/>
      <c r="M729" s="93"/>
      <c r="N729" s="93"/>
      <c r="O729" s="93"/>
      <c r="P729" s="93"/>
      <c r="Q729" s="93"/>
      <c r="R729" s="93"/>
      <c r="S729" s="93"/>
      <c r="T729" s="93"/>
      <c r="U729" s="93"/>
      <c r="V729" s="93"/>
      <c r="W729" s="93"/>
      <c r="X729" s="93"/>
    </row>
    <row r="730" spans="1:24" ht="16">
      <c r="A730" s="93"/>
      <c r="B730" s="94"/>
      <c r="C730" s="93"/>
      <c r="D730" s="93"/>
      <c r="E730" s="93"/>
      <c r="F730" s="93"/>
      <c r="G730" s="93"/>
      <c r="H730" s="93"/>
      <c r="I730" s="94"/>
      <c r="J730" s="94"/>
      <c r="K730" s="93"/>
      <c r="L730" s="93"/>
      <c r="M730" s="93"/>
      <c r="N730" s="93"/>
      <c r="O730" s="93"/>
      <c r="P730" s="93"/>
      <c r="Q730" s="93"/>
      <c r="R730" s="93"/>
      <c r="S730" s="93"/>
      <c r="T730" s="93"/>
      <c r="U730" s="93"/>
      <c r="V730" s="93"/>
      <c r="W730" s="93"/>
      <c r="X730" s="93"/>
    </row>
    <row r="731" spans="1:24" ht="16">
      <c r="A731" s="93"/>
      <c r="B731" s="94"/>
      <c r="C731" s="93"/>
      <c r="D731" s="93"/>
      <c r="E731" s="93"/>
      <c r="F731" s="93"/>
      <c r="G731" s="93"/>
      <c r="H731" s="93"/>
      <c r="I731" s="94"/>
      <c r="J731" s="94"/>
      <c r="K731" s="93"/>
      <c r="L731" s="93"/>
      <c r="M731" s="93"/>
      <c r="N731" s="93"/>
      <c r="O731" s="93"/>
      <c r="P731" s="93"/>
      <c r="Q731" s="93"/>
      <c r="R731" s="93"/>
      <c r="S731" s="93"/>
      <c r="T731" s="93"/>
      <c r="U731" s="93"/>
      <c r="V731" s="93"/>
      <c r="W731" s="93"/>
      <c r="X731" s="93"/>
    </row>
    <row r="732" spans="1:24" ht="16">
      <c r="A732" s="93"/>
      <c r="B732" s="94"/>
      <c r="C732" s="93"/>
      <c r="D732" s="93"/>
      <c r="E732" s="93"/>
      <c r="F732" s="93"/>
      <c r="G732" s="93"/>
      <c r="H732" s="93"/>
      <c r="I732" s="94"/>
      <c r="J732" s="94"/>
      <c r="K732" s="93"/>
      <c r="L732" s="93"/>
      <c r="M732" s="93"/>
      <c r="N732" s="93"/>
      <c r="O732" s="93"/>
      <c r="P732" s="93"/>
      <c r="Q732" s="93"/>
      <c r="R732" s="93"/>
      <c r="S732" s="93"/>
      <c r="T732" s="93"/>
      <c r="U732" s="93"/>
      <c r="V732" s="93"/>
      <c r="W732" s="93"/>
      <c r="X732" s="93"/>
    </row>
    <row r="733" spans="1:24" ht="16">
      <c r="A733" s="93"/>
      <c r="B733" s="94"/>
      <c r="C733" s="93"/>
      <c r="D733" s="93"/>
      <c r="E733" s="93"/>
      <c r="F733" s="93"/>
      <c r="G733" s="93"/>
      <c r="H733" s="93"/>
      <c r="I733" s="94"/>
      <c r="J733" s="94"/>
      <c r="K733" s="93"/>
      <c r="L733" s="93"/>
      <c r="M733" s="93"/>
      <c r="N733" s="93"/>
      <c r="O733" s="93"/>
      <c r="P733" s="93"/>
      <c r="Q733" s="93"/>
      <c r="R733" s="93"/>
      <c r="S733" s="93"/>
      <c r="T733" s="93"/>
      <c r="U733" s="93"/>
      <c r="V733" s="93"/>
      <c r="W733" s="93"/>
      <c r="X733" s="93"/>
    </row>
    <row r="734" spans="1:24" ht="16">
      <c r="A734" s="93"/>
      <c r="B734" s="94"/>
      <c r="C734" s="93"/>
      <c r="D734" s="93"/>
      <c r="E734" s="93"/>
      <c r="F734" s="93"/>
      <c r="G734" s="93"/>
      <c r="H734" s="93"/>
      <c r="I734" s="94"/>
      <c r="J734" s="94"/>
      <c r="K734" s="93"/>
      <c r="L734" s="93"/>
      <c r="M734" s="93"/>
      <c r="N734" s="93"/>
      <c r="O734" s="93"/>
      <c r="P734" s="93"/>
      <c r="Q734" s="93"/>
      <c r="R734" s="93"/>
      <c r="S734" s="93"/>
      <c r="T734" s="93"/>
      <c r="U734" s="93"/>
      <c r="V734" s="93"/>
      <c r="W734" s="93"/>
      <c r="X734" s="93"/>
    </row>
    <row r="735" spans="1:24" ht="16">
      <c r="A735" s="93"/>
      <c r="B735" s="94"/>
      <c r="C735" s="93"/>
      <c r="D735" s="93"/>
      <c r="E735" s="93"/>
      <c r="F735" s="93"/>
      <c r="G735" s="93"/>
      <c r="H735" s="93"/>
      <c r="I735" s="94"/>
      <c r="J735" s="94"/>
      <c r="K735" s="93"/>
      <c r="L735" s="93"/>
      <c r="M735" s="93"/>
      <c r="N735" s="93"/>
      <c r="O735" s="93"/>
      <c r="P735" s="93"/>
      <c r="Q735" s="93"/>
      <c r="R735" s="93"/>
      <c r="S735" s="93"/>
      <c r="T735" s="93"/>
      <c r="U735" s="93"/>
      <c r="V735" s="93"/>
      <c r="W735" s="93"/>
      <c r="X735" s="93"/>
    </row>
    <row r="736" spans="1:24" ht="16">
      <c r="A736" s="93"/>
      <c r="B736" s="94"/>
      <c r="C736" s="93"/>
      <c r="D736" s="93"/>
      <c r="E736" s="93"/>
      <c r="F736" s="93"/>
      <c r="G736" s="93"/>
      <c r="H736" s="93"/>
      <c r="I736" s="94"/>
      <c r="J736" s="94"/>
      <c r="K736" s="93"/>
      <c r="L736" s="93"/>
      <c r="M736" s="93"/>
      <c r="N736" s="93"/>
      <c r="O736" s="93"/>
      <c r="P736" s="93"/>
      <c r="Q736" s="93"/>
      <c r="R736" s="93"/>
      <c r="S736" s="93"/>
      <c r="T736" s="93"/>
      <c r="U736" s="93"/>
      <c r="V736" s="93"/>
      <c r="W736" s="93"/>
      <c r="X736" s="93"/>
    </row>
    <row r="737" spans="1:24" ht="16">
      <c r="A737" s="93"/>
      <c r="B737" s="94"/>
      <c r="C737" s="93"/>
      <c r="D737" s="93"/>
      <c r="E737" s="93"/>
      <c r="F737" s="93"/>
      <c r="G737" s="93"/>
      <c r="H737" s="93"/>
      <c r="I737" s="94"/>
      <c r="J737" s="94"/>
      <c r="K737" s="93"/>
      <c r="L737" s="93"/>
      <c r="M737" s="93"/>
      <c r="N737" s="93"/>
      <c r="O737" s="93"/>
      <c r="P737" s="93"/>
      <c r="Q737" s="93"/>
      <c r="R737" s="93"/>
      <c r="S737" s="93"/>
      <c r="T737" s="93"/>
      <c r="U737" s="93"/>
      <c r="V737" s="93"/>
      <c r="W737" s="93"/>
      <c r="X737" s="93"/>
    </row>
    <row r="738" spans="1:24" ht="16">
      <c r="A738" s="93"/>
      <c r="B738" s="94"/>
      <c r="C738" s="93"/>
      <c r="D738" s="93"/>
      <c r="E738" s="93"/>
      <c r="F738" s="93"/>
      <c r="G738" s="93"/>
      <c r="H738" s="93"/>
      <c r="I738" s="94"/>
      <c r="J738" s="94"/>
      <c r="K738" s="93"/>
      <c r="L738" s="93"/>
      <c r="M738" s="93"/>
      <c r="N738" s="93"/>
      <c r="O738" s="93"/>
      <c r="P738" s="93"/>
      <c r="Q738" s="93"/>
      <c r="R738" s="93"/>
      <c r="S738" s="93"/>
      <c r="T738" s="93"/>
      <c r="U738" s="93"/>
      <c r="V738" s="93"/>
      <c r="W738" s="93"/>
      <c r="X738" s="93"/>
    </row>
    <row r="739" spans="1:24" ht="16">
      <c r="A739" s="93"/>
      <c r="B739" s="94"/>
      <c r="C739" s="93"/>
      <c r="D739" s="93"/>
      <c r="E739" s="93"/>
      <c r="F739" s="93"/>
      <c r="G739" s="93"/>
      <c r="H739" s="93"/>
      <c r="I739" s="94"/>
      <c r="J739" s="94"/>
      <c r="K739" s="93"/>
      <c r="L739" s="93"/>
      <c r="M739" s="93"/>
      <c r="N739" s="93"/>
      <c r="O739" s="93"/>
      <c r="P739" s="93"/>
      <c r="Q739" s="93"/>
      <c r="R739" s="93"/>
      <c r="S739" s="93"/>
      <c r="T739" s="93"/>
      <c r="U739" s="93"/>
      <c r="V739" s="93"/>
      <c r="W739" s="93"/>
      <c r="X739" s="93"/>
    </row>
    <row r="740" spans="1:24" ht="16">
      <c r="A740" s="93"/>
      <c r="B740" s="94"/>
      <c r="C740" s="93"/>
      <c r="D740" s="93"/>
      <c r="E740" s="93"/>
      <c r="F740" s="93"/>
      <c r="G740" s="93"/>
      <c r="H740" s="93"/>
      <c r="I740" s="94"/>
      <c r="J740" s="94"/>
      <c r="K740" s="93"/>
      <c r="L740" s="93"/>
      <c r="M740" s="93"/>
      <c r="N740" s="93"/>
      <c r="O740" s="93"/>
      <c r="P740" s="93"/>
      <c r="Q740" s="93"/>
      <c r="R740" s="93"/>
      <c r="S740" s="93"/>
      <c r="T740" s="93"/>
      <c r="U740" s="93"/>
      <c r="V740" s="93"/>
      <c r="W740" s="93"/>
      <c r="X740" s="93"/>
    </row>
    <row r="741" spans="1:24" ht="16">
      <c r="A741" s="93"/>
      <c r="B741" s="94"/>
      <c r="C741" s="93"/>
      <c r="D741" s="93"/>
      <c r="E741" s="93"/>
      <c r="F741" s="93"/>
      <c r="G741" s="93"/>
      <c r="H741" s="93"/>
      <c r="I741" s="94"/>
      <c r="J741" s="94"/>
      <c r="K741" s="93"/>
      <c r="L741" s="93"/>
      <c r="M741" s="93"/>
      <c r="N741" s="93"/>
      <c r="O741" s="93"/>
      <c r="P741" s="93"/>
      <c r="Q741" s="93"/>
      <c r="R741" s="93"/>
      <c r="S741" s="93"/>
      <c r="T741" s="93"/>
      <c r="U741" s="93"/>
      <c r="V741" s="93"/>
      <c r="W741" s="93"/>
      <c r="X741" s="93"/>
    </row>
    <row r="742" spans="1:24" ht="16">
      <c r="A742" s="93"/>
      <c r="B742" s="94"/>
      <c r="C742" s="93"/>
      <c r="D742" s="93"/>
      <c r="E742" s="93"/>
      <c r="F742" s="93"/>
      <c r="G742" s="93"/>
      <c r="H742" s="93"/>
      <c r="I742" s="94"/>
      <c r="J742" s="94"/>
      <c r="K742" s="93"/>
      <c r="L742" s="93"/>
      <c r="M742" s="93"/>
      <c r="N742" s="93"/>
      <c r="O742" s="93"/>
      <c r="P742" s="93"/>
      <c r="Q742" s="93"/>
      <c r="R742" s="93"/>
      <c r="S742" s="93"/>
      <c r="T742" s="93"/>
      <c r="U742" s="93"/>
      <c r="V742" s="93"/>
      <c r="W742" s="93"/>
      <c r="X742" s="93"/>
    </row>
    <row r="743" spans="1:24" ht="16">
      <c r="A743" s="93"/>
      <c r="B743" s="94"/>
      <c r="C743" s="93"/>
      <c r="D743" s="93"/>
      <c r="E743" s="93"/>
      <c r="F743" s="93"/>
      <c r="G743" s="93"/>
      <c r="H743" s="93"/>
      <c r="I743" s="94"/>
      <c r="J743" s="94"/>
      <c r="K743" s="93"/>
      <c r="L743" s="93"/>
      <c r="M743" s="93"/>
      <c r="N743" s="93"/>
      <c r="O743" s="93"/>
      <c r="P743" s="93"/>
      <c r="Q743" s="93"/>
      <c r="R743" s="93"/>
      <c r="S743" s="93"/>
      <c r="T743" s="93"/>
      <c r="U743" s="93"/>
      <c r="V743" s="93"/>
      <c r="W743" s="93"/>
      <c r="X743" s="93"/>
    </row>
    <row r="744" spans="1:24" ht="16">
      <c r="A744" s="93"/>
      <c r="B744" s="94"/>
      <c r="C744" s="93"/>
      <c r="D744" s="93"/>
      <c r="E744" s="93"/>
      <c r="F744" s="93"/>
      <c r="G744" s="93"/>
      <c r="H744" s="93"/>
      <c r="I744" s="94"/>
      <c r="J744" s="94"/>
      <c r="K744" s="93"/>
      <c r="L744" s="93"/>
      <c r="M744" s="93"/>
      <c r="N744" s="93"/>
      <c r="O744" s="93"/>
      <c r="P744" s="93"/>
      <c r="Q744" s="93"/>
      <c r="R744" s="93"/>
      <c r="S744" s="93"/>
      <c r="T744" s="93"/>
      <c r="U744" s="93"/>
      <c r="V744" s="93"/>
      <c r="W744" s="93"/>
      <c r="X744" s="93"/>
    </row>
    <row r="745" spans="1:24" ht="16">
      <c r="A745" s="93"/>
      <c r="B745" s="94"/>
      <c r="C745" s="93"/>
      <c r="D745" s="93"/>
      <c r="E745" s="93"/>
      <c r="F745" s="93"/>
      <c r="G745" s="93"/>
      <c r="H745" s="93"/>
      <c r="I745" s="94"/>
      <c r="J745" s="94"/>
      <c r="K745" s="93"/>
      <c r="L745" s="93"/>
      <c r="M745" s="93"/>
      <c r="N745" s="93"/>
      <c r="O745" s="93"/>
      <c r="P745" s="93"/>
      <c r="Q745" s="93"/>
      <c r="R745" s="93"/>
      <c r="S745" s="93"/>
      <c r="T745" s="93"/>
      <c r="U745" s="93"/>
      <c r="V745" s="93"/>
      <c r="W745" s="93"/>
      <c r="X745" s="93"/>
    </row>
    <row r="746" spans="1:24" ht="16">
      <c r="A746" s="93"/>
      <c r="B746" s="94"/>
      <c r="C746" s="93"/>
      <c r="D746" s="93"/>
      <c r="E746" s="93"/>
      <c r="F746" s="93"/>
      <c r="G746" s="93"/>
      <c r="H746" s="93"/>
      <c r="I746" s="94"/>
      <c r="J746" s="94"/>
      <c r="K746" s="93"/>
      <c r="L746" s="93"/>
      <c r="M746" s="93"/>
      <c r="N746" s="93"/>
      <c r="O746" s="93"/>
      <c r="P746" s="93"/>
      <c r="Q746" s="93"/>
      <c r="R746" s="93"/>
      <c r="S746" s="93"/>
      <c r="T746" s="93"/>
      <c r="U746" s="93"/>
      <c r="V746" s="93"/>
      <c r="W746" s="93"/>
      <c r="X746" s="93"/>
    </row>
    <row r="747" spans="1:24" ht="16">
      <c r="A747" s="93"/>
      <c r="B747" s="94"/>
      <c r="C747" s="93"/>
      <c r="D747" s="93"/>
      <c r="E747" s="93"/>
      <c r="F747" s="93"/>
      <c r="G747" s="93"/>
      <c r="H747" s="93"/>
      <c r="I747" s="94"/>
      <c r="J747" s="94"/>
      <c r="K747" s="93"/>
      <c r="L747" s="93"/>
      <c r="M747" s="93"/>
      <c r="N747" s="93"/>
      <c r="O747" s="93"/>
      <c r="P747" s="93"/>
      <c r="Q747" s="93"/>
      <c r="R747" s="93"/>
      <c r="S747" s="93"/>
      <c r="T747" s="93"/>
      <c r="U747" s="93"/>
      <c r="V747" s="93"/>
      <c r="W747" s="93"/>
      <c r="X747" s="93"/>
    </row>
    <row r="748" spans="1:24" ht="16">
      <c r="A748" s="93"/>
      <c r="B748" s="94"/>
      <c r="C748" s="93"/>
      <c r="D748" s="93"/>
      <c r="E748" s="93"/>
      <c r="F748" s="93"/>
      <c r="G748" s="93"/>
      <c r="H748" s="93"/>
      <c r="I748" s="94"/>
      <c r="J748" s="94"/>
      <c r="K748" s="93"/>
      <c r="L748" s="93"/>
      <c r="M748" s="93"/>
      <c r="N748" s="93"/>
      <c r="O748" s="93"/>
      <c r="P748" s="93"/>
      <c r="Q748" s="93"/>
      <c r="R748" s="93"/>
      <c r="S748" s="93"/>
      <c r="T748" s="93"/>
      <c r="U748" s="93"/>
      <c r="V748" s="93"/>
      <c r="W748" s="93"/>
      <c r="X748" s="93"/>
    </row>
    <row r="749" spans="1:24" ht="16">
      <c r="A749" s="93"/>
      <c r="B749" s="94"/>
      <c r="C749" s="93"/>
      <c r="D749" s="93"/>
      <c r="E749" s="93"/>
      <c r="F749" s="93"/>
      <c r="G749" s="93"/>
      <c r="H749" s="93"/>
      <c r="I749" s="94"/>
      <c r="J749" s="94"/>
      <c r="K749" s="93"/>
      <c r="L749" s="93"/>
      <c r="M749" s="93"/>
      <c r="N749" s="93"/>
      <c r="O749" s="93"/>
      <c r="P749" s="93"/>
      <c r="Q749" s="93"/>
      <c r="R749" s="93"/>
      <c r="S749" s="93"/>
      <c r="T749" s="93"/>
      <c r="U749" s="93"/>
      <c r="V749" s="93"/>
      <c r="W749" s="93"/>
      <c r="X749" s="93"/>
    </row>
    <row r="750" spans="1:24" ht="16">
      <c r="A750" s="93"/>
      <c r="B750" s="94"/>
      <c r="C750" s="93"/>
      <c r="D750" s="93"/>
      <c r="E750" s="93"/>
      <c r="F750" s="93"/>
      <c r="G750" s="93"/>
      <c r="H750" s="93"/>
      <c r="I750" s="94"/>
      <c r="J750" s="94"/>
      <c r="K750" s="93"/>
      <c r="L750" s="93"/>
      <c r="M750" s="93"/>
      <c r="N750" s="93"/>
      <c r="O750" s="93"/>
      <c r="P750" s="93"/>
      <c r="Q750" s="93"/>
      <c r="R750" s="93"/>
      <c r="S750" s="93"/>
      <c r="T750" s="93"/>
      <c r="U750" s="93"/>
      <c r="V750" s="93"/>
      <c r="W750" s="93"/>
      <c r="X750" s="93"/>
    </row>
    <row r="751" spans="1:24" ht="16">
      <c r="A751" s="93"/>
      <c r="B751" s="94"/>
      <c r="C751" s="93"/>
      <c r="D751" s="93"/>
      <c r="E751" s="93"/>
      <c r="F751" s="93"/>
      <c r="G751" s="93"/>
      <c r="H751" s="93"/>
      <c r="I751" s="94"/>
      <c r="J751" s="94"/>
      <c r="K751" s="93"/>
      <c r="L751" s="93"/>
      <c r="M751" s="93"/>
      <c r="N751" s="93"/>
      <c r="O751" s="93"/>
      <c r="P751" s="93"/>
      <c r="Q751" s="93"/>
      <c r="R751" s="93"/>
      <c r="S751" s="93"/>
      <c r="T751" s="93"/>
      <c r="U751" s="93"/>
      <c r="V751" s="93"/>
      <c r="W751" s="93"/>
      <c r="X751" s="93"/>
    </row>
    <row r="752" spans="1:24" ht="16">
      <c r="A752" s="93"/>
      <c r="B752" s="94"/>
      <c r="C752" s="93"/>
      <c r="D752" s="93"/>
      <c r="E752" s="93"/>
      <c r="F752" s="93"/>
      <c r="G752" s="93"/>
      <c r="H752" s="93"/>
      <c r="I752" s="94"/>
      <c r="J752" s="94"/>
      <c r="K752" s="93"/>
      <c r="L752" s="93"/>
      <c r="M752" s="93"/>
      <c r="N752" s="93"/>
      <c r="O752" s="93"/>
      <c r="P752" s="93"/>
      <c r="Q752" s="93"/>
      <c r="R752" s="93"/>
      <c r="S752" s="93"/>
      <c r="T752" s="93"/>
      <c r="U752" s="93"/>
      <c r="V752" s="93"/>
      <c r="W752" s="93"/>
      <c r="X752" s="93"/>
    </row>
    <row r="753" spans="1:24" ht="16">
      <c r="A753" s="93"/>
      <c r="B753" s="94"/>
      <c r="C753" s="93"/>
      <c r="D753" s="93"/>
      <c r="E753" s="93"/>
      <c r="F753" s="93"/>
      <c r="G753" s="93"/>
      <c r="H753" s="93"/>
      <c r="I753" s="94"/>
      <c r="J753" s="94"/>
      <c r="K753" s="93"/>
      <c r="L753" s="93"/>
      <c r="M753" s="93"/>
      <c r="N753" s="93"/>
      <c r="O753" s="93"/>
      <c r="P753" s="93"/>
      <c r="Q753" s="93"/>
      <c r="R753" s="93"/>
      <c r="S753" s="93"/>
      <c r="T753" s="93"/>
      <c r="U753" s="93"/>
      <c r="V753" s="93"/>
      <c r="W753" s="93"/>
      <c r="X753" s="93"/>
    </row>
    <row r="754" spans="1:24" ht="16">
      <c r="A754" s="93"/>
      <c r="B754" s="94"/>
      <c r="C754" s="93"/>
      <c r="D754" s="93"/>
      <c r="E754" s="93"/>
      <c r="F754" s="93"/>
      <c r="G754" s="93"/>
      <c r="H754" s="93"/>
      <c r="I754" s="94"/>
      <c r="J754" s="94"/>
      <c r="K754" s="93"/>
      <c r="L754" s="93"/>
      <c r="M754" s="93"/>
      <c r="N754" s="93"/>
      <c r="O754" s="93"/>
      <c r="P754" s="93"/>
      <c r="Q754" s="93"/>
      <c r="R754" s="93"/>
      <c r="S754" s="93"/>
      <c r="T754" s="93"/>
      <c r="U754" s="93"/>
      <c r="V754" s="93"/>
      <c r="W754" s="93"/>
      <c r="X754" s="93"/>
    </row>
    <row r="755" spans="1:24" ht="16">
      <c r="A755" s="93"/>
      <c r="B755" s="94"/>
      <c r="C755" s="93"/>
      <c r="D755" s="93"/>
      <c r="E755" s="93"/>
      <c r="F755" s="93"/>
      <c r="G755" s="93"/>
      <c r="H755" s="93"/>
      <c r="I755" s="94"/>
      <c r="J755" s="94"/>
      <c r="K755" s="93"/>
      <c r="L755" s="93"/>
      <c r="M755" s="93"/>
      <c r="N755" s="93"/>
      <c r="O755" s="93"/>
      <c r="P755" s="93"/>
      <c r="Q755" s="93"/>
      <c r="R755" s="93"/>
      <c r="S755" s="93"/>
      <c r="T755" s="93"/>
      <c r="U755" s="93"/>
      <c r="V755" s="93"/>
      <c r="W755" s="93"/>
      <c r="X755" s="93"/>
    </row>
    <row r="756" spans="1:24" ht="16">
      <c r="A756" s="93"/>
      <c r="B756" s="94"/>
      <c r="C756" s="93"/>
      <c r="D756" s="93"/>
      <c r="E756" s="93"/>
      <c r="F756" s="93"/>
      <c r="G756" s="93"/>
      <c r="H756" s="93"/>
      <c r="I756" s="94"/>
      <c r="J756" s="94"/>
      <c r="K756" s="93"/>
      <c r="L756" s="93"/>
      <c r="M756" s="93"/>
      <c r="N756" s="93"/>
      <c r="O756" s="93"/>
      <c r="P756" s="93"/>
      <c r="Q756" s="93"/>
      <c r="R756" s="93"/>
      <c r="S756" s="93"/>
      <c r="T756" s="93"/>
      <c r="U756" s="93"/>
      <c r="V756" s="93"/>
      <c r="W756" s="93"/>
      <c r="X756" s="93"/>
    </row>
    <row r="757" spans="1:24" ht="16">
      <c r="A757" s="93"/>
      <c r="B757" s="94"/>
      <c r="C757" s="93"/>
      <c r="D757" s="93"/>
      <c r="E757" s="93"/>
      <c r="F757" s="93"/>
      <c r="G757" s="93"/>
      <c r="H757" s="93"/>
      <c r="I757" s="94"/>
      <c r="J757" s="94"/>
      <c r="K757" s="93"/>
      <c r="L757" s="93"/>
      <c r="M757" s="93"/>
      <c r="N757" s="93"/>
      <c r="O757" s="93"/>
      <c r="P757" s="93"/>
      <c r="Q757" s="93"/>
      <c r="R757" s="93"/>
      <c r="S757" s="93"/>
      <c r="T757" s="93"/>
      <c r="U757" s="93"/>
      <c r="V757" s="93"/>
      <c r="W757" s="93"/>
      <c r="X757" s="93"/>
    </row>
    <row r="758" spans="1:24" ht="16">
      <c r="A758" s="93"/>
      <c r="B758" s="94"/>
      <c r="C758" s="93"/>
      <c r="D758" s="93"/>
      <c r="E758" s="93"/>
      <c r="F758" s="93"/>
      <c r="G758" s="93"/>
      <c r="H758" s="93"/>
      <c r="I758" s="94"/>
      <c r="J758" s="94"/>
      <c r="K758" s="93"/>
      <c r="L758" s="93"/>
      <c r="M758" s="93"/>
      <c r="N758" s="93"/>
      <c r="O758" s="93"/>
      <c r="P758" s="93"/>
      <c r="Q758" s="93"/>
      <c r="R758" s="93"/>
      <c r="S758" s="93"/>
      <c r="T758" s="93"/>
      <c r="U758" s="93"/>
      <c r="V758" s="93"/>
      <c r="W758" s="93"/>
      <c r="X758" s="93"/>
    </row>
    <row r="759" spans="1:24" ht="16">
      <c r="A759" s="93"/>
      <c r="B759" s="94"/>
      <c r="C759" s="93"/>
      <c r="D759" s="93"/>
      <c r="E759" s="93"/>
      <c r="F759" s="93"/>
      <c r="G759" s="93"/>
      <c r="H759" s="93"/>
      <c r="I759" s="94"/>
      <c r="J759" s="94"/>
      <c r="K759" s="93"/>
      <c r="L759" s="93"/>
      <c r="M759" s="93"/>
      <c r="N759" s="93"/>
      <c r="O759" s="93"/>
      <c r="P759" s="93"/>
      <c r="Q759" s="93"/>
      <c r="R759" s="93"/>
      <c r="S759" s="93"/>
      <c r="T759" s="93"/>
      <c r="U759" s="93"/>
      <c r="V759" s="93"/>
      <c r="W759" s="93"/>
      <c r="X759" s="93"/>
    </row>
    <row r="760" spans="1:24" ht="16">
      <c r="A760" s="93"/>
      <c r="B760" s="94"/>
      <c r="C760" s="93"/>
      <c r="D760" s="93"/>
      <c r="E760" s="93"/>
      <c r="F760" s="93"/>
      <c r="G760" s="93"/>
      <c r="H760" s="93"/>
      <c r="I760" s="94"/>
      <c r="J760" s="94"/>
      <c r="K760" s="93"/>
      <c r="L760" s="93"/>
      <c r="M760" s="93"/>
      <c r="N760" s="93"/>
      <c r="O760" s="93"/>
      <c r="P760" s="93"/>
      <c r="Q760" s="93"/>
      <c r="R760" s="93"/>
      <c r="S760" s="93"/>
      <c r="T760" s="93"/>
      <c r="U760" s="93"/>
      <c r="V760" s="93"/>
      <c r="W760" s="93"/>
      <c r="X760" s="93"/>
    </row>
    <row r="761" spans="1:24" ht="16">
      <c r="A761" s="93"/>
      <c r="B761" s="94"/>
      <c r="C761" s="93"/>
      <c r="D761" s="93"/>
      <c r="E761" s="93"/>
      <c r="F761" s="93"/>
      <c r="G761" s="93"/>
      <c r="H761" s="93"/>
      <c r="I761" s="94"/>
      <c r="J761" s="94"/>
      <c r="K761" s="93"/>
      <c r="L761" s="93"/>
      <c r="M761" s="93"/>
      <c r="N761" s="93"/>
      <c r="O761" s="93"/>
      <c r="P761" s="93"/>
      <c r="Q761" s="93"/>
      <c r="R761" s="93"/>
      <c r="S761" s="93"/>
      <c r="T761" s="93"/>
      <c r="U761" s="93"/>
      <c r="V761" s="93"/>
      <c r="W761" s="93"/>
      <c r="X761" s="93"/>
    </row>
    <row r="762" spans="1:24" ht="16">
      <c r="A762" s="93"/>
      <c r="B762" s="94"/>
      <c r="C762" s="93"/>
      <c r="D762" s="93"/>
      <c r="E762" s="93"/>
      <c r="F762" s="93"/>
      <c r="G762" s="93"/>
      <c r="H762" s="93"/>
      <c r="I762" s="94"/>
      <c r="J762" s="94"/>
      <c r="K762" s="93"/>
      <c r="L762" s="93"/>
      <c r="M762" s="93"/>
      <c r="N762" s="93"/>
      <c r="O762" s="93"/>
      <c r="P762" s="93"/>
      <c r="Q762" s="93"/>
      <c r="R762" s="93"/>
      <c r="S762" s="93"/>
      <c r="T762" s="93"/>
      <c r="U762" s="93"/>
      <c r="V762" s="93"/>
      <c r="W762" s="93"/>
      <c r="X762" s="93"/>
    </row>
    <row r="763" spans="1:24" ht="16">
      <c r="A763" s="93"/>
      <c r="B763" s="94"/>
      <c r="C763" s="93"/>
      <c r="D763" s="93"/>
      <c r="E763" s="93"/>
      <c r="F763" s="93"/>
      <c r="G763" s="93"/>
      <c r="H763" s="93"/>
      <c r="I763" s="94"/>
      <c r="J763" s="94"/>
      <c r="K763" s="93"/>
      <c r="L763" s="93"/>
      <c r="M763" s="93"/>
      <c r="N763" s="93"/>
      <c r="O763" s="93"/>
      <c r="P763" s="93"/>
      <c r="Q763" s="93"/>
      <c r="R763" s="93"/>
      <c r="S763" s="93"/>
      <c r="T763" s="93"/>
      <c r="U763" s="93"/>
      <c r="V763" s="93"/>
      <c r="W763" s="93"/>
      <c r="X763" s="93"/>
    </row>
    <row r="764" spans="1:24" ht="16">
      <c r="A764" s="93"/>
      <c r="B764" s="94"/>
      <c r="C764" s="93"/>
      <c r="D764" s="93"/>
      <c r="E764" s="93"/>
      <c r="F764" s="93"/>
      <c r="G764" s="93"/>
      <c r="H764" s="93"/>
      <c r="I764" s="94"/>
      <c r="J764" s="94"/>
      <c r="K764" s="93"/>
      <c r="L764" s="93"/>
      <c r="M764" s="93"/>
      <c r="N764" s="93"/>
      <c r="O764" s="93"/>
      <c r="P764" s="93"/>
      <c r="Q764" s="93"/>
      <c r="R764" s="93"/>
      <c r="S764" s="93"/>
      <c r="T764" s="93"/>
      <c r="U764" s="93"/>
      <c r="V764" s="93"/>
      <c r="W764" s="93"/>
      <c r="X764" s="93"/>
    </row>
    <row r="765" spans="1:24" ht="16">
      <c r="A765" s="93"/>
      <c r="B765" s="94"/>
      <c r="C765" s="93"/>
      <c r="D765" s="93"/>
      <c r="E765" s="93"/>
      <c r="F765" s="93"/>
      <c r="G765" s="93"/>
      <c r="H765" s="93"/>
      <c r="I765" s="94"/>
      <c r="J765" s="94"/>
      <c r="K765" s="93"/>
      <c r="L765" s="93"/>
      <c r="M765" s="93"/>
      <c r="N765" s="93"/>
      <c r="O765" s="93"/>
      <c r="P765" s="93"/>
      <c r="Q765" s="93"/>
      <c r="R765" s="93"/>
      <c r="S765" s="93"/>
      <c r="T765" s="93"/>
      <c r="U765" s="93"/>
      <c r="V765" s="93"/>
      <c r="W765" s="93"/>
      <c r="X765" s="93"/>
    </row>
    <row r="766" spans="1:24" ht="16">
      <c r="A766" s="93"/>
      <c r="B766" s="94"/>
      <c r="C766" s="93"/>
      <c r="D766" s="93"/>
      <c r="E766" s="93"/>
      <c r="F766" s="93"/>
      <c r="G766" s="93"/>
      <c r="H766" s="93"/>
      <c r="I766" s="94"/>
      <c r="J766" s="94"/>
      <c r="K766" s="93"/>
      <c r="L766" s="93"/>
      <c r="M766" s="93"/>
      <c r="N766" s="93"/>
      <c r="O766" s="93"/>
      <c r="P766" s="93"/>
      <c r="Q766" s="93"/>
      <c r="R766" s="93"/>
      <c r="S766" s="93"/>
      <c r="T766" s="93"/>
      <c r="U766" s="93"/>
      <c r="V766" s="93"/>
      <c r="W766" s="93"/>
      <c r="X766" s="93"/>
    </row>
    <row r="767" spans="1:24" ht="16">
      <c r="A767" s="93"/>
      <c r="B767" s="94"/>
      <c r="C767" s="93"/>
      <c r="D767" s="93"/>
      <c r="E767" s="93"/>
      <c r="F767" s="93"/>
      <c r="G767" s="93"/>
      <c r="H767" s="93"/>
      <c r="I767" s="94"/>
      <c r="J767" s="94"/>
      <c r="K767" s="93"/>
      <c r="L767" s="93"/>
      <c r="M767" s="93"/>
      <c r="N767" s="93"/>
      <c r="O767" s="93"/>
      <c r="P767" s="93"/>
      <c r="Q767" s="93"/>
      <c r="R767" s="93"/>
      <c r="S767" s="93"/>
      <c r="T767" s="93"/>
      <c r="U767" s="93"/>
      <c r="V767" s="93"/>
      <c r="W767" s="93"/>
      <c r="X767" s="93"/>
    </row>
    <row r="768" spans="1:24" ht="16">
      <c r="A768" s="93"/>
      <c r="B768" s="94"/>
      <c r="C768" s="93"/>
      <c r="D768" s="93"/>
      <c r="E768" s="93"/>
      <c r="F768" s="93"/>
      <c r="G768" s="93"/>
      <c r="H768" s="93"/>
      <c r="I768" s="94"/>
      <c r="J768" s="94"/>
      <c r="K768" s="93"/>
      <c r="L768" s="93"/>
      <c r="M768" s="93"/>
      <c r="N768" s="93"/>
      <c r="O768" s="93"/>
      <c r="P768" s="93"/>
      <c r="Q768" s="93"/>
      <c r="R768" s="93"/>
      <c r="S768" s="93"/>
      <c r="T768" s="93"/>
      <c r="U768" s="93"/>
      <c r="V768" s="93"/>
      <c r="W768" s="93"/>
      <c r="X768" s="93"/>
    </row>
    <row r="769" spans="1:24" ht="16">
      <c r="A769" s="93"/>
      <c r="B769" s="94"/>
      <c r="C769" s="93"/>
      <c r="D769" s="93"/>
      <c r="E769" s="93"/>
      <c r="F769" s="93"/>
      <c r="G769" s="93"/>
      <c r="H769" s="93"/>
      <c r="I769" s="94"/>
      <c r="J769" s="94"/>
      <c r="K769" s="93"/>
      <c r="L769" s="93"/>
      <c r="M769" s="93"/>
      <c r="N769" s="93"/>
      <c r="O769" s="93"/>
      <c r="P769" s="93"/>
      <c r="Q769" s="93"/>
      <c r="R769" s="93"/>
      <c r="S769" s="93"/>
      <c r="T769" s="93"/>
      <c r="U769" s="93"/>
      <c r="V769" s="93"/>
      <c r="W769" s="93"/>
      <c r="X769" s="93"/>
    </row>
    <row r="770" spans="1:24" ht="16">
      <c r="A770" s="93"/>
      <c r="B770" s="94"/>
      <c r="C770" s="93"/>
      <c r="D770" s="93"/>
      <c r="E770" s="93"/>
      <c r="F770" s="93"/>
      <c r="G770" s="93"/>
      <c r="H770" s="93"/>
      <c r="I770" s="94"/>
      <c r="J770" s="94"/>
      <c r="K770" s="93"/>
      <c r="L770" s="93"/>
      <c r="M770" s="93"/>
      <c r="N770" s="93"/>
      <c r="O770" s="93"/>
      <c r="P770" s="93"/>
      <c r="Q770" s="93"/>
      <c r="R770" s="93"/>
      <c r="S770" s="93"/>
      <c r="T770" s="93"/>
      <c r="U770" s="93"/>
      <c r="V770" s="93"/>
      <c r="W770" s="93"/>
      <c r="X770" s="93"/>
    </row>
    <row r="771" spans="1:24" ht="16">
      <c r="A771" s="93"/>
      <c r="B771" s="94"/>
      <c r="C771" s="93"/>
      <c r="D771" s="93"/>
      <c r="E771" s="93"/>
      <c r="F771" s="93"/>
      <c r="G771" s="93"/>
      <c r="H771" s="93"/>
      <c r="I771" s="94"/>
      <c r="J771" s="94"/>
      <c r="K771" s="93"/>
      <c r="L771" s="93"/>
      <c r="M771" s="93"/>
      <c r="N771" s="93"/>
      <c r="O771" s="93"/>
      <c r="P771" s="93"/>
      <c r="Q771" s="93"/>
      <c r="R771" s="93"/>
      <c r="S771" s="93"/>
      <c r="T771" s="93"/>
      <c r="U771" s="93"/>
      <c r="V771" s="93"/>
      <c r="W771" s="93"/>
      <c r="X771" s="93"/>
    </row>
    <row r="772" spans="1:24" ht="16">
      <c r="A772" s="93"/>
      <c r="B772" s="94"/>
      <c r="C772" s="93"/>
      <c r="D772" s="93"/>
      <c r="E772" s="93"/>
      <c r="F772" s="93"/>
      <c r="G772" s="93"/>
      <c r="H772" s="93"/>
      <c r="I772" s="94"/>
      <c r="J772" s="94"/>
      <c r="K772" s="93"/>
      <c r="L772" s="93"/>
      <c r="M772" s="93"/>
      <c r="N772" s="93"/>
      <c r="O772" s="93"/>
      <c r="P772" s="93"/>
      <c r="Q772" s="93"/>
      <c r="R772" s="93"/>
      <c r="S772" s="93"/>
      <c r="T772" s="93"/>
      <c r="U772" s="93"/>
      <c r="V772" s="93"/>
      <c r="W772" s="93"/>
      <c r="X772" s="93"/>
    </row>
    <row r="773" spans="1:24" ht="16">
      <c r="A773" s="93"/>
      <c r="B773" s="94"/>
      <c r="C773" s="93"/>
      <c r="D773" s="93"/>
      <c r="E773" s="93"/>
      <c r="F773" s="93"/>
      <c r="G773" s="93"/>
      <c r="H773" s="93"/>
      <c r="I773" s="94"/>
      <c r="J773" s="94"/>
      <c r="K773" s="93"/>
      <c r="L773" s="93"/>
      <c r="M773" s="93"/>
      <c r="N773" s="93"/>
      <c r="O773" s="93"/>
      <c r="P773" s="93"/>
      <c r="Q773" s="93"/>
      <c r="R773" s="93"/>
      <c r="S773" s="93"/>
      <c r="T773" s="93"/>
      <c r="U773" s="93"/>
      <c r="V773" s="93"/>
      <c r="W773" s="93"/>
      <c r="X773" s="93"/>
    </row>
    <row r="774" spans="1:24" ht="16">
      <c r="A774" s="93"/>
      <c r="B774" s="94"/>
      <c r="C774" s="93"/>
      <c r="D774" s="93"/>
      <c r="E774" s="93"/>
      <c r="F774" s="93"/>
      <c r="G774" s="93"/>
      <c r="H774" s="93"/>
      <c r="I774" s="94"/>
      <c r="J774" s="94"/>
      <c r="K774" s="93"/>
      <c r="L774" s="93"/>
      <c r="M774" s="93"/>
      <c r="N774" s="93"/>
      <c r="O774" s="93"/>
      <c r="P774" s="93"/>
      <c r="Q774" s="93"/>
      <c r="R774" s="93"/>
      <c r="S774" s="93"/>
      <c r="T774" s="93"/>
      <c r="U774" s="93"/>
      <c r="V774" s="93"/>
      <c r="W774" s="93"/>
      <c r="X774" s="93"/>
    </row>
    <row r="775" spans="1:24" ht="16">
      <c r="A775" s="93"/>
      <c r="B775" s="94"/>
      <c r="C775" s="93"/>
      <c r="D775" s="93"/>
      <c r="E775" s="93"/>
      <c r="F775" s="93"/>
      <c r="G775" s="93"/>
      <c r="H775" s="93"/>
      <c r="I775" s="94"/>
      <c r="J775" s="94"/>
      <c r="K775" s="93"/>
      <c r="L775" s="93"/>
      <c r="M775" s="93"/>
      <c r="N775" s="93"/>
      <c r="O775" s="93"/>
      <c r="P775" s="93"/>
      <c r="Q775" s="93"/>
      <c r="R775" s="93"/>
      <c r="S775" s="93"/>
      <c r="T775" s="93"/>
      <c r="U775" s="93"/>
      <c r="V775" s="93"/>
      <c r="W775" s="93"/>
      <c r="X775" s="93"/>
    </row>
    <row r="776" spans="1:24" ht="16">
      <c r="A776" s="93"/>
      <c r="B776" s="94"/>
      <c r="C776" s="93"/>
      <c r="D776" s="93"/>
      <c r="E776" s="93"/>
      <c r="F776" s="93"/>
      <c r="G776" s="93"/>
      <c r="H776" s="93"/>
      <c r="I776" s="94"/>
      <c r="J776" s="94"/>
      <c r="K776" s="93"/>
      <c r="L776" s="93"/>
      <c r="M776" s="93"/>
      <c r="N776" s="93"/>
      <c r="O776" s="93"/>
      <c r="P776" s="93"/>
      <c r="Q776" s="93"/>
      <c r="R776" s="93"/>
      <c r="S776" s="93"/>
      <c r="T776" s="93"/>
      <c r="U776" s="93"/>
      <c r="V776" s="93"/>
      <c r="W776" s="93"/>
      <c r="X776" s="93"/>
    </row>
    <row r="777" spans="1:24" ht="16">
      <c r="A777" s="93"/>
      <c r="B777" s="94"/>
      <c r="C777" s="93"/>
      <c r="D777" s="93"/>
      <c r="E777" s="93"/>
      <c r="F777" s="93"/>
      <c r="G777" s="93"/>
      <c r="H777" s="93"/>
      <c r="I777" s="94"/>
      <c r="J777" s="94"/>
      <c r="K777" s="93"/>
      <c r="L777" s="93"/>
      <c r="M777" s="93"/>
      <c r="N777" s="93"/>
      <c r="O777" s="93"/>
      <c r="P777" s="93"/>
      <c r="Q777" s="93"/>
      <c r="R777" s="93"/>
      <c r="S777" s="93"/>
      <c r="T777" s="93"/>
      <c r="U777" s="93"/>
      <c r="V777" s="93"/>
      <c r="W777" s="93"/>
      <c r="X777" s="93"/>
    </row>
    <row r="778" spans="1:24" ht="16">
      <c r="A778" s="93"/>
      <c r="B778" s="94"/>
      <c r="C778" s="93"/>
      <c r="D778" s="93"/>
      <c r="E778" s="93"/>
      <c r="F778" s="93"/>
      <c r="G778" s="93"/>
      <c r="H778" s="93"/>
      <c r="I778" s="94"/>
      <c r="J778" s="94"/>
      <c r="K778" s="93"/>
      <c r="L778" s="93"/>
      <c r="M778" s="93"/>
      <c r="N778" s="93"/>
      <c r="O778" s="93"/>
      <c r="P778" s="93"/>
      <c r="Q778" s="93"/>
      <c r="R778" s="93"/>
      <c r="S778" s="93"/>
      <c r="T778" s="93"/>
      <c r="U778" s="93"/>
      <c r="V778" s="93"/>
      <c r="W778" s="93"/>
      <c r="X778" s="93"/>
    </row>
    <row r="779" spans="1:24" ht="16">
      <c r="A779" s="93"/>
      <c r="B779" s="94"/>
      <c r="C779" s="93"/>
      <c r="D779" s="93"/>
      <c r="E779" s="93"/>
      <c r="F779" s="93"/>
      <c r="G779" s="93"/>
      <c r="H779" s="93"/>
      <c r="I779" s="94"/>
      <c r="J779" s="94"/>
      <c r="K779" s="93"/>
      <c r="L779" s="93"/>
      <c r="M779" s="93"/>
      <c r="N779" s="93"/>
      <c r="O779" s="93"/>
      <c r="P779" s="93"/>
      <c r="Q779" s="93"/>
      <c r="R779" s="93"/>
      <c r="S779" s="93"/>
      <c r="T779" s="93"/>
      <c r="U779" s="93"/>
      <c r="V779" s="93"/>
      <c r="W779" s="93"/>
      <c r="X779" s="93"/>
    </row>
    <row r="780" spans="1:24" ht="16">
      <c r="A780" s="93"/>
      <c r="B780" s="94"/>
      <c r="C780" s="93"/>
      <c r="D780" s="93"/>
      <c r="E780" s="93"/>
      <c r="F780" s="93"/>
      <c r="G780" s="93"/>
      <c r="H780" s="93"/>
      <c r="I780" s="94"/>
      <c r="J780" s="94"/>
      <c r="K780" s="93"/>
      <c r="L780" s="93"/>
      <c r="M780" s="93"/>
      <c r="N780" s="93"/>
      <c r="O780" s="93"/>
      <c r="P780" s="93"/>
      <c r="Q780" s="93"/>
      <c r="R780" s="93"/>
      <c r="S780" s="93"/>
      <c r="T780" s="93"/>
      <c r="U780" s="93"/>
      <c r="V780" s="93"/>
      <c r="W780" s="93"/>
      <c r="X780" s="93"/>
    </row>
    <row r="781" spans="1:24" ht="16">
      <c r="A781" s="93"/>
      <c r="B781" s="94"/>
      <c r="C781" s="93"/>
      <c r="D781" s="93"/>
      <c r="E781" s="93"/>
      <c r="F781" s="93"/>
      <c r="G781" s="93"/>
      <c r="H781" s="93"/>
      <c r="I781" s="94"/>
      <c r="J781" s="94"/>
      <c r="K781" s="93"/>
      <c r="L781" s="93"/>
      <c r="M781" s="93"/>
      <c r="N781" s="93"/>
      <c r="O781" s="93"/>
      <c r="P781" s="93"/>
      <c r="Q781" s="93"/>
      <c r="R781" s="93"/>
      <c r="S781" s="93"/>
      <c r="T781" s="93"/>
      <c r="U781" s="93"/>
      <c r="V781" s="93"/>
      <c r="W781" s="93"/>
      <c r="X781" s="93"/>
    </row>
    <row r="782" spans="1:24" ht="16">
      <c r="A782" s="93"/>
      <c r="B782" s="94"/>
      <c r="C782" s="93"/>
      <c r="D782" s="93"/>
      <c r="E782" s="93"/>
      <c r="F782" s="93"/>
      <c r="G782" s="93"/>
      <c r="H782" s="93"/>
      <c r="I782" s="94"/>
      <c r="J782" s="94"/>
      <c r="K782" s="93"/>
      <c r="L782" s="93"/>
      <c r="M782" s="93"/>
      <c r="N782" s="93"/>
      <c r="O782" s="93"/>
      <c r="P782" s="93"/>
      <c r="Q782" s="93"/>
      <c r="R782" s="93"/>
      <c r="S782" s="93"/>
      <c r="T782" s="93"/>
      <c r="U782" s="93"/>
      <c r="V782" s="93"/>
      <c r="W782" s="93"/>
      <c r="X782" s="93"/>
    </row>
    <row r="783" spans="1:24" ht="16">
      <c r="A783" s="93"/>
      <c r="B783" s="94"/>
      <c r="C783" s="93"/>
      <c r="D783" s="93"/>
      <c r="E783" s="93"/>
      <c r="F783" s="93"/>
      <c r="G783" s="93"/>
      <c r="H783" s="93"/>
      <c r="I783" s="94"/>
      <c r="J783" s="94"/>
      <c r="K783" s="93"/>
      <c r="L783" s="93"/>
      <c r="M783" s="93"/>
      <c r="N783" s="93"/>
      <c r="O783" s="93"/>
      <c r="P783" s="93"/>
      <c r="Q783" s="93"/>
      <c r="R783" s="93"/>
      <c r="S783" s="93"/>
      <c r="T783" s="93"/>
      <c r="U783" s="93"/>
      <c r="V783" s="93"/>
      <c r="W783" s="93"/>
      <c r="X783" s="93"/>
    </row>
    <row r="784" spans="1:24" ht="16">
      <c r="A784" s="93"/>
      <c r="B784" s="94"/>
      <c r="C784" s="93"/>
      <c r="D784" s="93"/>
      <c r="E784" s="93"/>
      <c r="F784" s="93"/>
      <c r="G784" s="93"/>
      <c r="H784" s="93"/>
      <c r="I784" s="94"/>
      <c r="J784" s="94"/>
      <c r="K784" s="93"/>
      <c r="L784" s="93"/>
      <c r="M784" s="93"/>
      <c r="N784" s="93"/>
      <c r="O784" s="93"/>
      <c r="P784" s="93"/>
      <c r="Q784" s="93"/>
      <c r="R784" s="93"/>
      <c r="S784" s="93"/>
      <c r="T784" s="93"/>
      <c r="U784" s="93"/>
      <c r="V784" s="93"/>
      <c r="W784" s="93"/>
      <c r="X784" s="93"/>
    </row>
    <row r="785" spans="1:24" ht="16">
      <c r="A785" s="93"/>
      <c r="B785" s="94"/>
      <c r="C785" s="93"/>
      <c r="D785" s="93"/>
      <c r="E785" s="93"/>
      <c r="F785" s="93"/>
      <c r="G785" s="93"/>
      <c r="H785" s="93"/>
      <c r="I785" s="94"/>
      <c r="J785" s="94"/>
      <c r="K785" s="93"/>
      <c r="L785" s="93"/>
      <c r="M785" s="93"/>
      <c r="N785" s="93"/>
      <c r="O785" s="93"/>
      <c r="P785" s="93"/>
      <c r="Q785" s="93"/>
      <c r="R785" s="93"/>
      <c r="S785" s="93"/>
      <c r="T785" s="93"/>
      <c r="U785" s="93"/>
      <c r="V785" s="93"/>
      <c r="W785" s="93"/>
      <c r="X785" s="93"/>
    </row>
    <row r="786" spans="1:24" ht="16">
      <c r="A786" s="93"/>
      <c r="B786" s="94"/>
      <c r="C786" s="93"/>
      <c r="D786" s="93"/>
      <c r="E786" s="93"/>
      <c r="F786" s="93"/>
      <c r="G786" s="93"/>
      <c r="H786" s="93"/>
      <c r="I786" s="94"/>
      <c r="J786" s="94"/>
      <c r="K786" s="93"/>
      <c r="L786" s="93"/>
      <c r="M786" s="93"/>
      <c r="N786" s="93"/>
      <c r="O786" s="93"/>
      <c r="P786" s="93"/>
      <c r="Q786" s="93"/>
      <c r="R786" s="93"/>
      <c r="S786" s="93"/>
      <c r="T786" s="93"/>
      <c r="U786" s="93"/>
      <c r="V786" s="93"/>
      <c r="W786" s="93"/>
      <c r="X786" s="93"/>
    </row>
    <row r="787" spans="1:24" ht="16">
      <c r="A787" s="93"/>
      <c r="B787" s="94"/>
      <c r="C787" s="93"/>
      <c r="D787" s="93"/>
      <c r="E787" s="93"/>
      <c r="F787" s="93"/>
      <c r="G787" s="93"/>
      <c r="H787" s="93"/>
      <c r="I787" s="94"/>
      <c r="J787" s="94"/>
      <c r="K787" s="93"/>
      <c r="L787" s="93"/>
      <c r="M787" s="93"/>
      <c r="N787" s="93"/>
      <c r="O787" s="93"/>
      <c r="P787" s="93"/>
      <c r="Q787" s="93"/>
      <c r="R787" s="93"/>
      <c r="S787" s="93"/>
      <c r="T787" s="93"/>
      <c r="U787" s="93"/>
      <c r="V787" s="93"/>
      <c r="W787" s="93"/>
      <c r="X787" s="93"/>
    </row>
    <row r="788" spans="1:24" ht="16">
      <c r="A788" s="93"/>
      <c r="B788" s="94"/>
      <c r="C788" s="93"/>
      <c r="D788" s="93"/>
      <c r="E788" s="93"/>
      <c r="F788" s="93"/>
      <c r="G788" s="93"/>
      <c r="H788" s="93"/>
      <c r="I788" s="94"/>
      <c r="J788" s="94"/>
      <c r="K788" s="93"/>
      <c r="L788" s="93"/>
      <c r="M788" s="93"/>
      <c r="N788" s="93"/>
      <c r="O788" s="93"/>
      <c r="P788" s="93"/>
      <c r="Q788" s="93"/>
      <c r="R788" s="93"/>
      <c r="S788" s="93"/>
      <c r="T788" s="93"/>
      <c r="U788" s="93"/>
      <c r="V788" s="93"/>
      <c r="W788" s="93"/>
      <c r="X788" s="93"/>
    </row>
    <row r="789" spans="1:24" ht="16">
      <c r="A789" s="93"/>
      <c r="B789" s="94"/>
      <c r="C789" s="93"/>
      <c r="D789" s="93"/>
      <c r="E789" s="93"/>
      <c r="F789" s="93"/>
      <c r="G789" s="93"/>
      <c r="H789" s="93"/>
      <c r="I789" s="94"/>
      <c r="J789" s="94"/>
      <c r="K789" s="93"/>
      <c r="L789" s="93"/>
      <c r="M789" s="93"/>
      <c r="N789" s="93"/>
      <c r="O789" s="93"/>
      <c r="P789" s="93"/>
      <c r="Q789" s="93"/>
      <c r="R789" s="93"/>
      <c r="S789" s="93"/>
      <c r="T789" s="93"/>
      <c r="U789" s="93"/>
      <c r="V789" s="93"/>
      <c r="W789" s="93"/>
      <c r="X789" s="93"/>
    </row>
    <row r="790" spans="1:24" ht="16">
      <c r="A790" s="93"/>
      <c r="B790" s="94"/>
      <c r="C790" s="93"/>
      <c r="D790" s="93"/>
      <c r="E790" s="93"/>
      <c r="F790" s="93"/>
      <c r="G790" s="93"/>
      <c r="H790" s="93"/>
      <c r="I790" s="94"/>
      <c r="J790" s="94"/>
      <c r="K790" s="93"/>
      <c r="L790" s="93"/>
      <c r="M790" s="93"/>
      <c r="N790" s="93"/>
      <c r="O790" s="93"/>
      <c r="P790" s="93"/>
      <c r="Q790" s="93"/>
      <c r="R790" s="93"/>
      <c r="S790" s="93"/>
      <c r="T790" s="93"/>
      <c r="U790" s="93"/>
      <c r="V790" s="93"/>
      <c r="W790" s="93"/>
      <c r="X790" s="93"/>
    </row>
    <row r="791" spans="1:24" ht="16">
      <c r="A791" s="93"/>
      <c r="B791" s="94"/>
      <c r="C791" s="93"/>
      <c r="D791" s="93"/>
      <c r="E791" s="93"/>
      <c r="F791" s="93"/>
      <c r="G791" s="93"/>
      <c r="H791" s="93"/>
      <c r="I791" s="94"/>
      <c r="J791" s="94"/>
      <c r="K791" s="93"/>
      <c r="L791" s="93"/>
      <c r="M791" s="93"/>
      <c r="N791" s="93"/>
      <c r="O791" s="93"/>
      <c r="P791" s="93"/>
      <c r="Q791" s="93"/>
      <c r="R791" s="93"/>
      <c r="S791" s="93"/>
      <c r="T791" s="93"/>
      <c r="U791" s="93"/>
      <c r="V791" s="93"/>
      <c r="W791" s="93"/>
      <c r="X791" s="93"/>
    </row>
    <row r="792" spans="1:24" ht="16">
      <c r="A792" s="93"/>
      <c r="B792" s="94"/>
      <c r="C792" s="93"/>
      <c r="D792" s="93"/>
      <c r="E792" s="93"/>
      <c r="F792" s="93"/>
      <c r="G792" s="93"/>
      <c r="H792" s="93"/>
      <c r="I792" s="94"/>
      <c r="J792" s="94"/>
      <c r="K792" s="93"/>
      <c r="L792" s="93"/>
      <c r="M792" s="93"/>
      <c r="N792" s="93"/>
      <c r="O792" s="93"/>
      <c r="P792" s="93"/>
      <c r="Q792" s="93"/>
      <c r="R792" s="93"/>
      <c r="S792" s="93"/>
      <c r="T792" s="93"/>
      <c r="U792" s="93"/>
      <c r="V792" s="93"/>
      <c r="W792" s="93"/>
      <c r="X792" s="93"/>
    </row>
    <row r="793" spans="1:24" ht="16">
      <c r="A793" s="93"/>
      <c r="B793" s="94"/>
      <c r="C793" s="93"/>
      <c r="D793" s="93"/>
      <c r="E793" s="93"/>
      <c r="F793" s="93"/>
      <c r="G793" s="93"/>
      <c r="H793" s="93"/>
      <c r="I793" s="94"/>
      <c r="J793" s="94"/>
      <c r="K793" s="93"/>
      <c r="L793" s="93"/>
      <c r="M793" s="93"/>
      <c r="N793" s="93"/>
      <c r="O793" s="93"/>
      <c r="P793" s="93"/>
      <c r="Q793" s="93"/>
      <c r="R793" s="93"/>
      <c r="S793" s="93"/>
      <c r="T793" s="93"/>
      <c r="U793" s="93"/>
      <c r="V793" s="93"/>
      <c r="W793" s="93"/>
      <c r="X793" s="93"/>
    </row>
    <row r="794" spans="1:24" ht="16">
      <c r="A794" s="93"/>
      <c r="B794" s="94"/>
      <c r="C794" s="93"/>
      <c r="D794" s="93"/>
      <c r="E794" s="93"/>
      <c r="F794" s="93"/>
      <c r="G794" s="93"/>
      <c r="H794" s="93"/>
      <c r="I794" s="94"/>
      <c r="J794" s="94"/>
      <c r="K794" s="93"/>
      <c r="L794" s="93"/>
      <c r="M794" s="93"/>
      <c r="N794" s="93"/>
      <c r="O794" s="93"/>
      <c r="P794" s="93"/>
      <c r="Q794" s="93"/>
      <c r="R794" s="93"/>
      <c r="S794" s="93"/>
      <c r="T794" s="93"/>
      <c r="U794" s="93"/>
      <c r="V794" s="93"/>
      <c r="W794" s="93"/>
      <c r="X794" s="93"/>
    </row>
    <row r="795" spans="1:24" ht="16">
      <c r="A795" s="93"/>
      <c r="B795" s="94"/>
      <c r="C795" s="93"/>
      <c r="D795" s="93"/>
      <c r="E795" s="93"/>
      <c r="F795" s="93"/>
      <c r="G795" s="93"/>
      <c r="H795" s="93"/>
      <c r="I795" s="94"/>
      <c r="J795" s="94"/>
      <c r="K795" s="93"/>
      <c r="L795" s="93"/>
      <c r="M795" s="93"/>
      <c r="N795" s="93"/>
      <c r="O795" s="93"/>
      <c r="P795" s="93"/>
      <c r="Q795" s="93"/>
      <c r="R795" s="93"/>
      <c r="S795" s="93"/>
      <c r="T795" s="93"/>
      <c r="U795" s="93"/>
      <c r="V795" s="93"/>
      <c r="W795" s="93"/>
      <c r="X795" s="93"/>
    </row>
    <row r="796" spans="1:24" ht="16">
      <c r="A796" s="93"/>
      <c r="B796" s="94"/>
      <c r="C796" s="93"/>
      <c r="D796" s="93"/>
      <c r="E796" s="93"/>
      <c r="F796" s="93"/>
      <c r="G796" s="93"/>
      <c r="H796" s="93"/>
      <c r="I796" s="94"/>
      <c r="J796" s="94"/>
      <c r="K796" s="93"/>
      <c r="L796" s="93"/>
      <c r="M796" s="93"/>
      <c r="N796" s="93"/>
      <c r="O796" s="93"/>
      <c r="P796" s="93"/>
      <c r="Q796" s="93"/>
      <c r="R796" s="93"/>
      <c r="S796" s="93"/>
      <c r="T796" s="93"/>
      <c r="U796" s="93"/>
      <c r="V796" s="93"/>
      <c r="W796" s="93"/>
      <c r="X796" s="93"/>
    </row>
    <row r="797" spans="1:24" ht="16">
      <c r="A797" s="93"/>
      <c r="B797" s="94"/>
      <c r="C797" s="93"/>
      <c r="D797" s="93"/>
      <c r="E797" s="93"/>
      <c r="F797" s="93"/>
      <c r="G797" s="93"/>
      <c r="H797" s="93"/>
      <c r="I797" s="94"/>
      <c r="J797" s="94"/>
      <c r="K797" s="93"/>
      <c r="L797" s="93"/>
      <c r="M797" s="93"/>
      <c r="N797" s="93"/>
      <c r="O797" s="93"/>
      <c r="P797" s="93"/>
      <c r="Q797" s="93"/>
      <c r="R797" s="93"/>
      <c r="S797" s="93"/>
      <c r="T797" s="93"/>
      <c r="U797" s="93"/>
      <c r="V797" s="93"/>
      <c r="W797" s="93"/>
      <c r="X797" s="93"/>
    </row>
    <row r="798" spans="1:24" ht="16">
      <c r="A798" s="93"/>
      <c r="B798" s="94"/>
      <c r="C798" s="93"/>
      <c r="D798" s="93"/>
      <c r="E798" s="93"/>
      <c r="F798" s="93"/>
      <c r="G798" s="93"/>
      <c r="H798" s="93"/>
      <c r="I798" s="94"/>
      <c r="J798" s="94"/>
      <c r="K798" s="93"/>
      <c r="L798" s="93"/>
      <c r="M798" s="93"/>
      <c r="N798" s="93"/>
      <c r="O798" s="93"/>
      <c r="P798" s="93"/>
      <c r="Q798" s="93"/>
      <c r="R798" s="93"/>
      <c r="S798" s="93"/>
      <c r="T798" s="93"/>
      <c r="U798" s="93"/>
      <c r="V798" s="93"/>
      <c r="W798" s="93"/>
      <c r="X798" s="93"/>
    </row>
    <row r="799" spans="1:24" ht="16">
      <c r="A799" s="93"/>
      <c r="B799" s="94"/>
      <c r="C799" s="93"/>
      <c r="D799" s="93"/>
      <c r="E799" s="93"/>
      <c r="F799" s="93"/>
      <c r="G799" s="93"/>
      <c r="H799" s="93"/>
      <c r="I799" s="94"/>
      <c r="J799" s="94"/>
      <c r="K799" s="93"/>
      <c r="L799" s="93"/>
      <c r="M799" s="93"/>
      <c r="N799" s="93"/>
      <c r="O799" s="93"/>
      <c r="P799" s="93"/>
      <c r="Q799" s="93"/>
      <c r="R799" s="93"/>
      <c r="S799" s="93"/>
      <c r="T799" s="93"/>
      <c r="U799" s="93"/>
      <c r="V799" s="93"/>
      <c r="W799" s="93"/>
      <c r="X799" s="93"/>
    </row>
    <row r="800" spans="1:24" ht="16">
      <c r="A800" s="93"/>
      <c r="B800" s="94"/>
      <c r="C800" s="93"/>
      <c r="D800" s="93"/>
      <c r="E800" s="93"/>
      <c r="F800" s="93"/>
      <c r="G800" s="93"/>
      <c r="H800" s="93"/>
      <c r="I800" s="94"/>
      <c r="J800" s="94"/>
      <c r="K800" s="93"/>
      <c r="L800" s="93"/>
      <c r="M800" s="93"/>
      <c r="N800" s="93"/>
      <c r="O800" s="93"/>
      <c r="P800" s="93"/>
      <c r="Q800" s="93"/>
      <c r="R800" s="93"/>
      <c r="S800" s="93"/>
      <c r="T800" s="93"/>
      <c r="U800" s="93"/>
      <c r="V800" s="93"/>
      <c r="W800" s="93"/>
      <c r="X800" s="93"/>
    </row>
    <row r="801" spans="1:24" ht="16">
      <c r="A801" s="93"/>
      <c r="B801" s="94"/>
      <c r="C801" s="93"/>
      <c r="D801" s="93"/>
      <c r="E801" s="93"/>
      <c r="F801" s="93"/>
      <c r="G801" s="93"/>
      <c r="H801" s="93"/>
      <c r="I801" s="94"/>
      <c r="J801" s="94"/>
      <c r="K801" s="93"/>
      <c r="L801" s="93"/>
      <c r="M801" s="93"/>
      <c r="N801" s="93"/>
      <c r="O801" s="93"/>
      <c r="P801" s="93"/>
      <c r="Q801" s="93"/>
      <c r="R801" s="93"/>
      <c r="S801" s="93"/>
      <c r="T801" s="93"/>
      <c r="U801" s="93"/>
      <c r="V801" s="93"/>
      <c r="W801" s="93"/>
      <c r="X801" s="93"/>
    </row>
    <row r="802" spans="1:24" ht="16">
      <c r="A802" s="93"/>
      <c r="B802" s="94"/>
      <c r="C802" s="93"/>
      <c r="D802" s="93"/>
      <c r="E802" s="93"/>
      <c r="F802" s="93"/>
      <c r="G802" s="93"/>
      <c r="H802" s="93"/>
      <c r="I802" s="94"/>
      <c r="J802" s="94"/>
      <c r="K802" s="93"/>
      <c r="L802" s="93"/>
      <c r="M802" s="93"/>
      <c r="N802" s="93"/>
      <c r="O802" s="93"/>
      <c r="P802" s="93"/>
      <c r="Q802" s="93"/>
      <c r="R802" s="93"/>
      <c r="S802" s="93"/>
      <c r="T802" s="93"/>
      <c r="U802" s="93"/>
      <c r="V802" s="93"/>
      <c r="W802" s="93"/>
      <c r="X802" s="93"/>
    </row>
    <row r="803" spans="1:24" ht="16">
      <c r="A803" s="93"/>
      <c r="B803" s="94"/>
      <c r="C803" s="93"/>
      <c r="D803" s="93"/>
      <c r="E803" s="93"/>
      <c r="F803" s="93"/>
      <c r="G803" s="93"/>
      <c r="H803" s="93"/>
      <c r="I803" s="94"/>
      <c r="J803" s="94"/>
      <c r="K803" s="93"/>
      <c r="L803" s="93"/>
      <c r="M803" s="93"/>
      <c r="N803" s="93"/>
      <c r="O803" s="93"/>
      <c r="P803" s="93"/>
      <c r="Q803" s="93"/>
      <c r="R803" s="93"/>
      <c r="S803" s="93"/>
      <c r="T803" s="93"/>
      <c r="U803" s="93"/>
      <c r="V803" s="93"/>
      <c r="W803" s="93"/>
      <c r="X803" s="93"/>
    </row>
    <row r="804" spans="1:24" ht="16">
      <c r="A804" s="93"/>
      <c r="B804" s="94"/>
      <c r="C804" s="93"/>
      <c r="D804" s="93"/>
      <c r="E804" s="93"/>
      <c r="F804" s="93"/>
      <c r="G804" s="93"/>
      <c r="H804" s="93"/>
      <c r="I804" s="94"/>
      <c r="J804" s="94"/>
      <c r="K804" s="93"/>
      <c r="L804" s="93"/>
      <c r="M804" s="93"/>
      <c r="N804" s="93"/>
      <c r="O804" s="93"/>
      <c r="P804" s="93"/>
      <c r="Q804" s="93"/>
      <c r="R804" s="93"/>
      <c r="S804" s="93"/>
      <c r="T804" s="93"/>
      <c r="U804" s="93"/>
      <c r="V804" s="93"/>
      <c r="W804" s="93"/>
      <c r="X804" s="93"/>
    </row>
    <row r="805" spans="1:24" ht="16">
      <c r="A805" s="93"/>
      <c r="B805" s="94"/>
      <c r="C805" s="93"/>
      <c r="D805" s="93"/>
      <c r="E805" s="93"/>
      <c r="F805" s="93"/>
      <c r="G805" s="93"/>
      <c r="H805" s="93"/>
      <c r="I805" s="94"/>
      <c r="J805" s="94"/>
      <c r="K805" s="93"/>
      <c r="L805" s="93"/>
      <c r="M805" s="93"/>
      <c r="N805" s="93"/>
      <c r="O805" s="93"/>
      <c r="P805" s="93"/>
      <c r="Q805" s="93"/>
      <c r="R805" s="93"/>
      <c r="S805" s="93"/>
      <c r="T805" s="93"/>
      <c r="U805" s="93"/>
      <c r="V805" s="93"/>
      <c r="W805" s="93"/>
      <c r="X805" s="93"/>
    </row>
    <row r="806" spans="1:24" ht="16">
      <c r="A806" s="93"/>
      <c r="B806" s="94"/>
      <c r="C806" s="93"/>
      <c r="D806" s="93"/>
      <c r="E806" s="93"/>
      <c r="F806" s="93"/>
      <c r="G806" s="93"/>
      <c r="H806" s="93"/>
      <c r="I806" s="94"/>
      <c r="J806" s="94"/>
      <c r="K806" s="93"/>
      <c r="L806" s="93"/>
      <c r="M806" s="93"/>
      <c r="N806" s="93"/>
      <c r="O806" s="93"/>
      <c r="P806" s="93"/>
      <c r="Q806" s="93"/>
      <c r="R806" s="93"/>
      <c r="S806" s="93"/>
      <c r="T806" s="93"/>
      <c r="U806" s="93"/>
      <c r="V806" s="93"/>
      <c r="W806" s="93"/>
      <c r="X806" s="93"/>
    </row>
    <row r="807" spans="1:24" ht="16">
      <c r="A807" s="93"/>
      <c r="B807" s="94"/>
      <c r="C807" s="93"/>
      <c r="D807" s="93"/>
      <c r="E807" s="93"/>
      <c r="F807" s="93"/>
      <c r="G807" s="93"/>
      <c r="H807" s="93"/>
      <c r="I807" s="94"/>
      <c r="J807" s="94"/>
      <c r="K807" s="93"/>
      <c r="L807" s="93"/>
      <c r="M807" s="93"/>
      <c r="N807" s="93"/>
      <c r="O807" s="93"/>
      <c r="P807" s="93"/>
      <c r="Q807" s="93"/>
      <c r="R807" s="93"/>
      <c r="S807" s="93"/>
      <c r="T807" s="93"/>
      <c r="U807" s="93"/>
      <c r="V807" s="93"/>
      <c r="W807" s="93"/>
      <c r="X807" s="93"/>
    </row>
    <row r="808" spans="1:24" ht="16">
      <c r="A808" s="93"/>
      <c r="B808" s="94"/>
      <c r="C808" s="93"/>
      <c r="D808" s="93"/>
      <c r="E808" s="93"/>
      <c r="F808" s="93"/>
      <c r="G808" s="93"/>
      <c r="H808" s="93"/>
      <c r="I808" s="94"/>
      <c r="J808" s="94"/>
      <c r="K808" s="93"/>
      <c r="L808" s="93"/>
      <c r="M808" s="93"/>
      <c r="N808" s="93"/>
      <c r="O808" s="93"/>
      <c r="P808" s="93"/>
      <c r="Q808" s="93"/>
      <c r="R808" s="93"/>
      <c r="S808" s="93"/>
      <c r="T808" s="93"/>
      <c r="U808" s="93"/>
      <c r="V808" s="93"/>
      <c r="W808" s="93"/>
      <c r="X808" s="93"/>
    </row>
    <row r="809" spans="1:24" ht="16">
      <c r="A809" s="93"/>
      <c r="B809" s="94"/>
      <c r="C809" s="93"/>
      <c r="D809" s="93"/>
      <c r="E809" s="93"/>
      <c r="F809" s="93"/>
      <c r="G809" s="93"/>
      <c r="H809" s="93"/>
      <c r="I809" s="94"/>
      <c r="J809" s="94"/>
      <c r="K809" s="93"/>
      <c r="L809" s="93"/>
      <c r="M809" s="93"/>
      <c r="N809" s="93"/>
      <c r="O809" s="93"/>
      <c r="P809" s="93"/>
      <c r="Q809" s="93"/>
      <c r="R809" s="93"/>
      <c r="S809" s="93"/>
      <c r="T809" s="93"/>
      <c r="U809" s="93"/>
      <c r="V809" s="93"/>
      <c r="W809" s="93"/>
      <c r="X809" s="93"/>
    </row>
    <row r="810" spans="1:24" ht="16">
      <c r="A810" s="93"/>
      <c r="B810" s="94"/>
      <c r="C810" s="93"/>
      <c r="D810" s="93"/>
      <c r="E810" s="93"/>
      <c r="F810" s="93"/>
      <c r="G810" s="93"/>
      <c r="H810" s="93"/>
      <c r="I810" s="94"/>
      <c r="J810" s="94"/>
      <c r="K810" s="93"/>
      <c r="L810" s="93"/>
      <c r="M810" s="93"/>
      <c r="N810" s="93"/>
      <c r="O810" s="93"/>
      <c r="P810" s="93"/>
      <c r="Q810" s="93"/>
      <c r="R810" s="93"/>
      <c r="S810" s="93"/>
      <c r="T810" s="93"/>
      <c r="U810" s="93"/>
      <c r="V810" s="93"/>
      <c r="W810" s="93"/>
      <c r="X810" s="93"/>
    </row>
    <row r="811" spans="1:24" ht="16">
      <c r="A811" s="93"/>
      <c r="B811" s="94"/>
      <c r="C811" s="93"/>
      <c r="D811" s="93"/>
      <c r="E811" s="93"/>
      <c r="F811" s="93"/>
      <c r="G811" s="93"/>
      <c r="H811" s="93"/>
      <c r="I811" s="94"/>
      <c r="J811" s="94"/>
      <c r="K811" s="93"/>
      <c r="L811" s="93"/>
      <c r="M811" s="93"/>
      <c r="N811" s="93"/>
      <c r="O811" s="93"/>
      <c r="P811" s="93"/>
      <c r="Q811" s="93"/>
      <c r="R811" s="93"/>
      <c r="S811" s="93"/>
      <c r="T811" s="93"/>
      <c r="U811" s="93"/>
      <c r="V811" s="93"/>
      <c r="W811" s="93"/>
      <c r="X811" s="93"/>
    </row>
    <row r="812" spans="1:24" ht="16">
      <c r="A812" s="93"/>
      <c r="B812" s="94"/>
      <c r="C812" s="93"/>
      <c r="D812" s="93"/>
      <c r="E812" s="93"/>
      <c r="F812" s="93"/>
      <c r="G812" s="93"/>
      <c r="H812" s="93"/>
      <c r="I812" s="94"/>
      <c r="J812" s="94"/>
      <c r="K812" s="93"/>
      <c r="L812" s="93"/>
      <c r="M812" s="93"/>
      <c r="N812" s="93"/>
      <c r="O812" s="93"/>
      <c r="P812" s="93"/>
      <c r="Q812" s="93"/>
      <c r="R812" s="93"/>
      <c r="S812" s="93"/>
      <c r="T812" s="93"/>
      <c r="U812" s="93"/>
      <c r="V812" s="93"/>
      <c r="W812" s="93"/>
      <c r="X812" s="93"/>
    </row>
    <row r="813" spans="1:24" ht="16">
      <c r="A813" s="93"/>
      <c r="B813" s="94"/>
      <c r="C813" s="93"/>
      <c r="D813" s="93"/>
      <c r="E813" s="93"/>
      <c r="F813" s="93"/>
      <c r="G813" s="93"/>
      <c r="H813" s="93"/>
      <c r="I813" s="94"/>
      <c r="J813" s="94"/>
      <c r="K813" s="93"/>
      <c r="L813" s="93"/>
      <c r="M813" s="93"/>
      <c r="N813" s="93"/>
      <c r="O813" s="93"/>
      <c r="P813" s="93"/>
      <c r="Q813" s="93"/>
      <c r="R813" s="93"/>
      <c r="S813" s="93"/>
      <c r="T813" s="93"/>
      <c r="U813" s="93"/>
      <c r="V813" s="93"/>
      <c r="W813" s="93"/>
      <c r="X813" s="93"/>
    </row>
    <row r="814" spans="1:24" ht="16">
      <c r="A814" s="93"/>
      <c r="B814" s="94"/>
      <c r="C814" s="93"/>
      <c r="D814" s="93"/>
      <c r="E814" s="93"/>
      <c r="F814" s="93"/>
      <c r="G814" s="93"/>
      <c r="H814" s="93"/>
      <c r="I814" s="94"/>
      <c r="J814" s="94"/>
      <c r="K814" s="93"/>
      <c r="L814" s="93"/>
      <c r="M814" s="93"/>
      <c r="N814" s="93"/>
      <c r="O814" s="93"/>
      <c r="P814" s="93"/>
      <c r="Q814" s="93"/>
      <c r="R814" s="93"/>
      <c r="S814" s="93"/>
      <c r="T814" s="93"/>
      <c r="U814" s="93"/>
      <c r="V814" s="93"/>
      <c r="W814" s="93"/>
      <c r="X814" s="93"/>
    </row>
    <row r="815" spans="1:24" ht="16">
      <c r="A815" s="93"/>
      <c r="B815" s="94"/>
      <c r="C815" s="93"/>
      <c r="D815" s="93"/>
      <c r="E815" s="93"/>
      <c r="F815" s="93"/>
      <c r="G815" s="93"/>
      <c r="H815" s="93"/>
      <c r="I815" s="94"/>
      <c r="J815" s="94"/>
      <c r="K815" s="93"/>
      <c r="L815" s="93"/>
      <c r="M815" s="93"/>
      <c r="N815" s="93"/>
      <c r="O815" s="93"/>
      <c r="P815" s="93"/>
      <c r="Q815" s="93"/>
      <c r="R815" s="93"/>
      <c r="S815" s="93"/>
      <c r="T815" s="93"/>
      <c r="U815" s="93"/>
      <c r="V815" s="93"/>
      <c r="W815" s="93"/>
      <c r="X815" s="93"/>
    </row>
    <row r="816" spans="1:24" ht="16">
      <c r="A816" s="93"/>
      <c r="B816" s="94"/>
      <c r="C816" s="93"/>
      <c r="D816" s="93"/>
      <c r="E816" s="93"/>
      <c r="F816" s="93"/>
      <c r="G816" s="93"/>
      <c r="H816" s="93"/>
      <c r="I816" s="94"/>
      <c r="J816" s="94"/>
      <c r="K816" s="93"/>
      <c r="L816" s="93"/>
      <c r="M816" s="93"/>
      <c r="N816" s="93"/>
      <c r="O816" s="93"/>
      <c r="P816" s="93"/>
      <c r="Q816" s="93"/>
      <c r="R816" s="93"/>
      <c r="S816" s="93"/>
      <c r="T816" s="93"/>
      <c r="U816" s="93"/>
      <c r="V816" s="93"/>
      <c r="W816" s="93"/>
      <c r="X816" s="93"/>
    </row>
    <row r="817" spans="1:24" ht="16">
      <c r="A817" s="93"/>
      <c r="B817" s="94"/>
      <c r="C817" s="93"/>
      <c r="D817" s="93"/>
      <c r="E817" s="93"/>
      <c r="F817" s="93"/>
      <c r="G817" s="93"/>
      <c r="H817" s="93"/>
      <c r="I817" s="94"/>
      <c r="J817" s="94"/>
      <c r="K817" s="93"/>
      <c r="L817" s="93"/>
      <c r="M817" s="93"/>
      <c r="N817" s="93"/>
      <c r="O817" s="93"/>
      <c r="P817" s="93"/>
      <c r="Q817" s="93"/>
      <c r="R817" s="93"/>
      <c r="S817" s="93"/>
      <c r="T817" s="93"/>
      <c r="U817" s="93"/>
      <c r="V817" s="93"/>
      <c r="W817" s="93"/>
      <c r="X817" s="93"/>
    </row>
    <row r="818" spans="1:24" ht="16">
      <c r="A818" s="93"/>
      <c r="B818" s="94"/>
      <c r="C818" s="93"/>
      <c r="D818" s="93"/>
      <c r="E818" s="93"/>
      <c r="F818" s="93"/>
      <c r="G818" s="93"/>
      <c r="H818" s="93"/>
      <c r="I818" s="94"/>
      <c r="J818" s="94"/>
      <c r="K818" s="93"/>
      <c r="L818" s="93"/>
      <c r="M818" s="93"/>
      <c r="N818" s="93"/>
      <c r="O818" s="93"/>
      <c r="P818" s="93"/>
      <c r="Q818" s="93"/>
      <c r="R818" s="93"/>
      <c r="S818" s="93"/>
      <c r="T818" s="93"/>
      <c r="U818" s="93"/>
      <c r="V818" s="93"/>
      <c r="W818" s="93"/>
      <c r="X818" s="93"/>
    </row>
    <row r="819" spans="1:24" ht="16">
      <c r="A819" s="93"/>
      <c r="B819" s="94"/>
      <c r="C819" s="93"/>
      <c r="D819" s="93"/>
      <c r="E819" s="93"/>
      <c r="F819" s="93"/>
      <c r="G819" s="93"/>
      <c r="H819" s="93"/>
      <c r="I819" s="94"/>
      <c r="J819" s="94"/>
      <c r="K819" s="93"/>
      <c r="L819" s="93"/>
      <c r="M819" s="93"/>
      <c r="N819" s="93"/>
      <c r="O819" s="93"/>
      <c r="P819" s="93"/>
      <c r="Q819" s="93"/>
      <c r="R819" s="93"/>
      <c r="S819" s="93"/>
      <c r="T819" s="93"/>
      <c r="U819" s="93"/>
      <c r="V819" s="93"/>
      <c r="W819" s="93"/>
      <c r="X819" s="93"/>
    </row>
    <row r="820" spans="1:24" ht="16">
      <c r="A820" s="93"/>
      <c r="B820" s="94"/>
      <c r="C820" s="93"/>
      <c r="D820" s="93"/>
      <c r="E820" s="93"/>
      <c r="F820" s="93"/>
      <c r="G820" s="93"/>
      <c r="H820" s="93"/>
      <c r="I820" s="94"/>
      <c r="J820" s="94"/>
      <c r="K820" s="93"/>
      <c r="L820" s="93"/>
      <c r="M820" s="93"/>
      <c r="N820" s="93"/>
      <c r="O820" s="93"/>
      <c r="P820" s="93"/>
      <c r="Q820" s="93"/>
      <c r="R820" s="93"/>
      <c r="S820" s="93"/>
      <c r="T820" s="93"/>
      <c r="U820" s="93"/>
      <c r="V820" s="93"/>
      <c r="W820" s="93"/>
      <c r="X820" s="93"/>
    </row>
    <row r="821" spans="1:24" ht="16">
      <c r="A821" s="93"/>
      <c r="B821" s="94"/>
      <c r="C821" s="93"/>
      <c r="D821" s="93"/>
      <c r="E821" s="93"/>
      <c r="F821" s="93"/>
      <c r="G821" s="93"/>
      <c r="H821" s="93"/>
      <c r="I821" s="94"/>
      <c r="J821" s="94"/>
      <c r="K821" s="93"/>
      <c r="L821" s="93"/>
      <c r="M821" s="93"/>
      <c r="N821" s="93"/>
      <c r="O821" s="93"/>
      <c r="P821" s="93"/>
      <c r="Q821" s="93"/>
      <c r="R821" s="93"/>
      <c r="S821" s="93"/>
      <c r="T821" s="93"/>
      <c r="U821" s="93"/>
      <c r="V821" s="93"/>
      <c r="W821" s="93"/>
      <c r="X821" s="93"/>
    </row>
    <row r="822" spans="1:24" ht="16">
      <c r="A822" s="93"/>
      <c r="B822" s="94"/>
      <c r="C822" s="93"/>
      <c r="D822" s="93"/>
      <c r="E822" s="93"/>
      <c r="F822" s="93"/>
      <c r="G822" s="93"/>
      <c r="H822" s="93"/>
      <c r="I822" s="94"/>
      <c r="J822" s="94"/>
      <c r="K822" s="93"/>
      <c r="L822" s="93"/>
      <c r="M822" s="93"/>
      <c r="N822" s="93"/>
      <c r="O822" s="93"/>
      <c r="P822" s="93"/>
      <c r="Q822" s="93"/>
      <c r="R822" s="93"/>
      <c r="S822" s="93"/>
      <c r="T822" s="93"/>
      <c r="U822" s="93"/>
      <c r="V822" s="93"/>
      <c r="W822" s="93"/>
      <c r="X822" s="93"/>
    </row>
    <row r="823" spans="1:24" ht="16">
      <c r="A823" s="93"/>
      <c r="B823" s="94"/>
      <c r="C823" s="93"/>
      <c r="D823" s="93"/>
      <c r="E823" s="93"/>
      <c r="F823" s="93"/>
      <c r="G823" s="93"/>
      <c r="H823" s="93"/>
      <c r="I823" s="94"/>
      <c r="J823" s="94"/>
      <c r="K823" s="93"/>
      <c r="L823" s="93"/>
      <c r="M823" s="93"/>
      <c r="N823" s="93"/>
      <c r="O823" s="93"/>
      <c r="P823" s="93"/>
      <c r="Q823" s="93"/>
      <c r="R823" s="93"/>
      <c r="S823" s="93"/>
      <c r="T823" s="93"/>
      <c r="U823" s="93"/>
      <c r="V823" s="93"/>
      <c r="W823" s="93"/>
      <c r="X823" s="93"/>
    </row>
    <row r="824" spans="1:24" ht="16">
      <c r="A824" s="93"/>
      <c r="B824" s="94"/>
      <c r="C824" s="93"/>
      <c r="D824" s="93"/>
      <c r="E824" s="93"/>
      <c r="F824" s="93"/>
      <c r="G824" s="93"/>
      <c r="H824" s="93"/>
      <c r="I824" s="94"/>
      <c r="J824" s="94"/>
      <c r="K824" s="93"/>
      <c r="L824" s="93"/>
      <c r="M824" s="93"/>
      <c r="N824" s="93"/>
      <c r="O824" s="93"/>
      <c r="P824" s="93"/>
      <c r="Q824" s="93"/>
      <c r="R824" s="93"/>
      <c r="S824" s="93"/>
      <c r="T824" s="93"/>
      <c r="U824" s="93"/>
      <c r="V824" s="93"/>
      <c r="W824" s="93"/>
      <c r="X824" s="93"/>
    </row>
    <row r="825" spans="1:24" ht="16">
      <c r="A825" s="93"/>
      <c r="B825" s="94"/>
      <c r="C825" s="93"/>
      <c r="D825" s="93"/>
      <c r="E825" s="93"/>
      <c r="F825" s="93"/>
      <c r="G825" s="93"/>
      <c r="H825" s="93"/>
      <c r="I825" s="94"/>
      <c r="J825" s="94"/>
      <c r="K825" s="93"/>
      <c r="L825" s="93"/>
      <c r="M825" s="93"/>
      <c r="N825" s="93"/>
      <c r="O825" s="93"/>
      <c r="P825" s="93"/>
      <c r="Q825" s="93"/>
      <c r="R825" s="93"/>
      <c r="S825" s="93"/>
      <c r="T825" s="93"/>
      <c r="U825" s="93"/>
      <c r="V825" s="93"/>
      <c r="W825" s="93"/>
      <c r="X825" s="93"/>
    </row>
    <row r="826" spans="1:24" ht="16">
      <c r="A826" s="93"/>
      <c r="B826" s="94"/>
      <c r="C826" s="93"/>
      <c r="D826" s="93"/>
      <c r="E826" s="93"/>
      <c r="F826" s="93"/>
      <c r="G826" s="93"/>
      <c r="H826" s="93"/>
      <c r="I826" s="94"/>
      <c r="J826" s="94"/>
      <c r="K826" s="93"/>
      <c r="L826" s="93"/>
      <c r="M826" s="93"/>
      <c r="N826" s="93"/>
      <c r="O826" s="93"/>
      <c r="P826" s="93"/>
      <c r="Q826" s="93"/>
      <c r="R826" s="93"/>
      <c r="S826" s="93"/>
      <c r="T826" s="93"/>
      <c r="U826" s="93"/>
      <c r="V826" s="93"/>
      <c r="W826" s="93"/>
      <c r="X826" s="93"/>
    </row>
    <row r="827" spans="1:24" ht="16">
      <c r="A827" s="93"/>
      <c r="B827" s="94"/>
      <c r="C827" s="93"/>
      <c r="D827" s="93"/>
      <c r="E827" s="93"/>
      <c r="F827" s="93"/>
      <c r="G827" s="93"/>
      <c r="H827" s="93"/>
      <c r="I827" s="94"/>
      <c r="J827" s="94"/>
      <c r="K827" s="93"/>
      <c r="L827" s="93"/>
      <c r="M827" s="93"/>
      <c r="N827" s="93"/>
      <c r="O827" s="93"/>
      <c r="P827" s="93"/>
      <c r="Q827" s="93"/>
      <c r="R827" s="93"/>
      <c r="S827" s="93"/>
      <c r="T827" s="93"/>
      <c r="U827" s="93"/>
      <c r="V827" s="93"/>
      <c r="W827" s="93"/>
      <c r="X827" s="93"/>
    </row>
    <row r="828" spans="1:24" ht="16">
      <c r="A828" s="93"/>
      <c r="B828" s="94"/>
      <c r="C828" s="93"/>
      <c r="D828" s="93"/>
      <c r="E828" s="93"/>
      <c r="F828" s="93"/>
      <c r="G828" s="93"/>
      <c r="H828" s="93"/>
      <c r="I828" s="94"/>
      <c r="J828" s="94"/>
      <c r="K828" s="93"/>
      <c r="L828" s="93"/>
      <c r="M828" s="93"/>
      <c r="N828" s="93"/>
      <c r="O828" s="93"/>
      <c r="P828" s="93"/>
      <c r="Q828" s="93"/>
      <c r="R828" s="93"/>
      <c r="S828" s="93"/>
      <c r="T828" s="93"/>
      <c r="U828" s="93"/>
      <c r="V828" s="93"/>
      <c r="W828" s="93"/>
      <c r="X828" s="93"/>
    </row>
    <row r="829" spans="1:24" ht="16">
      <c r="A829" s="93"/>
      <c r="B829" s="94"/>
      <c r="C829" s="93"/>
      <c r="D829" s="93"/>
      <c r="E829" s="93"/>
      <c r="F829" s="93"/>
      <c r="G829" s="93"/>
      <c r="H829" s="93"/>
      <c r="I829" s="94"/>
      <c r="J829" s="94"/>
      <c r="K829" s="93"/>
      <c r="L829" s="93"/>
      <c r="M829" s="93"/>
      <c r="N829" s="93"/>
      <c r="O829" s="93"/>
      <c r="P829" s="93"/>
      <c r="Q829" s="93"/>
      <c r="R829" s="93"/>
      <c r="S829" s="93"/>
      <c r="T829" s="93"/>
      <c r="U829" s="93"/>
      <c r="V829" s="93"/>
      <c r="W829" s="93"/>
      <c r="X829" s="93"/>
    </row>
    <row r="830" spans="1:24" ht="16">
      <c r="A830" s="93"/>
      <c r="B830" s="94"/>
      <c r="C830" s="93"/>
      <c r="D830" s="93"/>
      <c r="E830" s="93"/>
      <c r="F830" s="93"/>
      <c r="G830" s="93"/>
      <c r="H830" s="93"/>
      <c r="I830" s="94"/>
      <c r="J830" s="94"/>
      <c r="K830" s="93"/>
      <c r="L830" s="93"/>
      <c r="M830" s="93"/>
      <c r="N830" s="93"/>
      <c r="O830" s="93"/>
      <c r="P830" s="93"/>
      <c r="Q830" s="93"/>
      <c r="R830" s="93"/>
      <c r="S830" s="93"/>
      <c r="T830" s="93"/>
      <c r="U830" s="93"/>
      <c r="V830" s="93"/>
      <c r="W830" s="93"/>
      <c r="X830" s="93"/>
    </row>
    <row r="831" spans="1:24" ht="16">
      <c r="A831" s="93"/>
      <c r="B831" s="94"/>
      <c r="C831" s="93"/>
      <c r="D831" s="93"/>
      <c r="E831" s="93"/>
      <c r="F831" s="93"/>
      <c r="G831" s="93"/>
      <c r="H831" s="93"/>
      <c r="I831" s="94"/>
      <c r="J831" s="94"/>
      <c r="K831" s="93"/>
      <c r="L831" s="93"/>
      <c r="M831" s="93"/>
      <c r="N831" s="93"/>
      <c r="O831" s="93"/>
      <c r="P831" s="93"/>
      <c r="Q831" s="93"/>
      <c r="R831" s="93"/>
      <c r="S831" s="93"/>
      <c r="T831" s="93"/>
      <c r="U831" s="93"/>
      <c r="V831" s="93"/>
      <c r="W831" s="93"/>
      <c r="X831" s="93"/>
    </row>
    <row r="832" spans="1:24" ht="16">
      <c r="A832" s="93"/>
      <c r="B832" s="94"/>
      <c r="C832" s="93"/>
      <c r="D832" s="93"/>
      <c r="E832" s="93"/>
      <c r="F832" s="93"/>
      <c r="G832" s="93"/>
      <c r="H832" s="93"/>
      <c r="I832" s="94"/>
      <c r="J832" s="94"/>
      <c r="K832" s="93"/>
      <c r="L832" s="93"/>
      <c r="M832" s="93"/>
      <c r="N832" s="93"/>
      <c r="O832" s="93"/>
      <c r="P832" s="93"/>
      <c r="Q832" s="93"/>
      <c r="R832" s="93"/>
      <c r="S832" s="93"/>
      <c r="T832" s="93"/>
      <c r="U832" s="93"/>
      <c r="V832" s="93"/>
      <c r="W832" s="93"/>
      <c r="X832" s="93"/>
    </row>
    <row r="833" spans="1:24" ht="16">
      <c r="A833" s="93"/>
      <c r="B833" s="94"/>
      <c r="C833" s="93"/>
      <c r="D833" s="93"/>
      <c r="E833" s="93"/>
      <c r="F833" s="93"/>
      <c r="G833" s="93"/>
      <c r="H833" s="93"/>
      <c r="I833" s="94"/>
      <c r="J833" s="94"/>
      <c r="K833" s="93"/>
      <c r="L833" s="93"/>
      <c r="M833" s="93"/>
      <c r="N833" s="93"/>
      <c r="O833" s="93"/>
      <c r="P833" s="93"/>
      <c r="Q833" s="93"/>
      <c r="R833" s="93"/>
      <c r="S833" s="93"/>
      <c r="T833" s="93"/>
      <c r="U833" s="93"/>
      <c r="V833" s="93"/>
      <c r="W833" s="93"/>
      <c r="X833" s="93"/>
    </row>
    <row r="834" spans="1:24" ht="16">
      <c r="A834" s="93"/>
      <c r="B834" s="94"/>
      <c r="C834" s="93"/>
      <c r="D834" s="93"/>
      <c r="E834" s="93"/>
      <c r="F834" s="93"/>
      <c r="G834" s="93"/>
      <c r="H834" s="93"/>
      <c r="I834" s="94"/>
      <c r="J834" s="94"/>
      <c r="K834" s="93"/>
      <c r="L834" s="93"/>
      <c r="M834" s="93"/>
      <c r="N834" s="93"/>
      <c r="O834" s="93"/>
      <c r="P834" s="93"/>
      <c r="Q834" s="93"/>
      <c r="R834" s="93"/>
      <c r="S834" s="93"/>
      <c r="T834" s="93"/>
      <c r="U834" s="93"/>
      <c r="V834" s="93"/>
      <c r="W834" s="93"/>
      <c r="X834" s="93"/>
    </row>
    <row r="835" spans="1:24" ht="16">
      <c r="A835" s="93"/>
      <c r="B835" s="94"/>
      <c r="C835" s="93"/>
      <c r="D835" s="93"/>
      <c r="E835" s="93"/>
      <c r="F835" s="93"/>
      <c r="G835" s="93"/>
      <c r="H835" s="93"/>
      <c r="I835" s="94"/>
      <c r="J835" s="94"/>
      <c r="K835" s="93"/>
      <c r="L835" s="93"/>
      <c r="M835" s="93"/>
      <c r="N835" s="93"/>
      <c r="O835" s="93"/>
      <c r="P835" s="93"/>
      <c r="Q835" s="93"/>
      <c r="R835" s="93"/>
      <c r="S835" s="93"/>
      <c r="T835" s="93"/>
      <c r="U835" s="93"/>
      <c r="V835" s="93"/>
      <c r="W835" s="93"/>
      <c r="X835" s="93"/>
    </row>
    <row r="836" spans="1:24" ht="16">
      <c r="A836" s="93"/>
      <c r="B836" s="94"/>
      <c r="C836" s="93"/>
      <c r="D836" s="93"/>
      <c r="E836" s="93"/>
      <c r="F836" s="93"/>
      <c r="G836" s="93"/>
      <c r="H836" s="93"/>
      <c r="I836" s="94"/>
      <c r="J836" s="94"/>
      <c r="K836" s="93"/>
      <c r="L836" s="93"/>
      <c r="M836" s="93"/>
      <c r="N836" s="93"/>
      <c r="O836" s="93"/>
      <c r="P836" s="93"/>
      <c r="Q836" s="93"/>
      <c r="R836" s="93"/>
      <c r="S836" s="93"/>
      <c r="T836" s="93"/>
      <c r="U836" s="93"/>
      <c r="V836" s="93"/>
      <c r="W836" s="93"/>
      <c r="X836" s="93"/>
    </row>
    <row r="837" spans="1:24" ht="16">
      <c r="A837" s="93"/>
      <c r="B837" s="94"/>
      <c r="C837" s="93"/>
      <c r="D837" s="93"/>
      <c r="E837" s="93"/>
      <c r="F837" s="93"/>
      <c r="G837" s="93"/>
      <c r="H837" s="93"/>
      <c r="I837" s="94"/>
      <c r="J837" s="94"/>
      <c r="K837" s="93"/>
      <c r="L837" s="93"/>
      <c r="M837" s="93"/>
      <c r="N837" s="93"/>
      <c r="O837" s="93"/>
      <c r="P837" s="93"/>
      <c r="Q837" s="93"/>
      <c r="R837" s="93"/>
      <c r="S837" s="93"/>
      <c r="T837" s="93"/>
      <c r="U837" s="93"/>
      <c r="V837" s="93"/>
      <c r="W837" s="93"/>
      <c r="X837" s="93"/>
    </row>
    <row r="838" spans="1:24" ht="16">
      <c r="A838" s="93"/>
      <c r="B838" s="94"/>
      <c r="C838" s="93"/>
      <c r="D838" s="93"/>
      <c r="E838" s="93"/>
      <c r="F838" s="93"/>
      <c r="G838" s="93"/>
      <c r="H838" s="93"/>
      <c r="I838" s="94"/>
      <c r="J838" s="94"/>
      <c r="K838" s="93"/>
      <c r="L838" s="93"/>
      <c r="M838" s="93"/>
      <c r="N838" s="93"/>
      <c r="O838" s="93"/>
      <c r="P838" s="93"/>
      <c r="Q838" s="93"/>
      <c r="R838" s="93"/>
      <c r="S838" s="93"/>
      <c r="T838" s="93"/>
      <c r="U838" s="93"/>
      <c r="V838" s="93"/>
      <c r="W838" s="93"/>
      <c r="X838" s="93"/>
    </row>
    <row r="839" spans="1:24" ht="16">
      <c r="A839" s="93"/>
      <c r="B839" s="94"/>
      <c r="C839" s="93"/>
      <c r="D839" s="93"/>
      <c r="E839" s="93"/>
      <c r="F839" s="93"/>
      <c r="G839" s="93"/>
      <c r="H839" s="93"/>
      <c r="I839" s="94"/>
      <c r="J839" s="94"/>
      <c r="K839" s="93"/>
      <c r="L839" s="93"/>
      <c r="M839" s="93"/>
      <c r="N839" s="93"/>
      <c r="O839" s="93"/>
      <c r="P839" s="93"/>
      <c r="Q839" s="93"/>
      <c r="R839" s="93"/>
      <c r="S839" s="93"/>
      <c r="T839" s="93"/>
      <c r="U839" s="93"/>
      <c r="V839" s="93"/>
      <c r="W839" s="93"/>
      <c r="X839" s="93"/>
    </row>
    <row r="840" spans="1:24" ht="16">
      <c r="A840" s="93"/>
      <c r="B840" s="94"/>
      <c r="C840" s="93"/>
      <c r="D840" s="93"/>
      <c r="E840" s="93"/>
      <c r="F840" s="93"/>
      <c r="G840" s="93"/>
      <c r="H840" s="93"/>
      <c r="I840" s="94"/>
      <c r="J840" s="94"/>
      <c r="K840" s="93"/>
      <c r="L840" s="93"/>
      <c r="M840" s="93"/>
      <c r="N840" s="93"/>
      <c r="O840" s="93"/>
      <c r="P840" s="93"/>
      <c r="Q840" s="93"/>
      <c r="R840" s="93"/>
      <c r="S840" s="93"/>
      <c r="T840" s="93"/>
      <c r="U840" s="93"/>
      <c r="V840" s="93"/>
      <c r="W840" s="93"/>
      <c r="X840" s="93"/>
    </row>
    <row r="841" spans="1:24" ht="16">
      <c r="A841" s="93"/>
      <c r="B841" s="94"/>
      <c r="C841" s="93"/>
      <c r="D841" s="93"/>
      <c r="E841" s="93"/>
      <c r="F841" s="93"/>
      <c r="G841" s="93"/>
      <c r="H841" s="93"/>
      <c r="I841" s="94"/>
      <c r="J841" s="94"/>
      <c r="K841" s="93"/>
      <c r="L841" s="93"/>
      <c r="M841" s="93"/>
      <c r="N841" s="93"/>
      <c r="O841" s="93"/>
      <c r="P841" s="93"/>
      <c r="Q841" s="93"/>
      <c r="R841" s="93"/>
      <c r="S841" s="93"/>
      <c r="T841" s="93"/>
      <c r="U841" s="93"/>
      <c r="V841" s="93"/>
      <c r="W841" s="93"/>
      <c r="X841" s="93"/>
    </row>
    <row r="842" spans="1:24" ht="16">
      <c r="A842" s="93"/>
      <c r="B842" s="94"/>
      <c r="C842" s="93"/>
      <c r="D842" s="93"/>
      <c r="E842" s="93"/>
      <c r="F842" s="93"/>
      <c r="G842" s="93"/>
      <c r="H842" s="93"/>
      <c r="I842" s="94"/>
      <c r="J842" s="94"/>
      <c r="K842" s="93"/>
      <c r="L842" s="93"/>
      <c r="M842" s="93"/>
      <c r="N842" s="93"/>
      <c r="O842" s="93"/>
      <c r="P842" s="93"/>
      <c r="Q842" s="93"/>
      <c r="R842" s="93"/>
      <c r="S842" s="93"/>
      <c r="T842" s="93"/>
      <c r="U842" s="93"/>
      <c r="V842" s="93"/>
      <c r="W842" s="93"/>
      <c r="X842" s="93"/>
    </row>
    <row r="843" spans="1:24" ht="16">
      <c r="A843" s="93"/>
      <c r="B843" s="94"/>
      <c r="C843" s="93"/>
      <c r="D843" s="93"/>
      <c r="E843" s="93"/>
      <c r="F843" s="93"/>
      <c r="G843" s="93"/>
      <c r="H843" s="93"/>
      <c r="I843" s="94"/>
      <c r="J843" s="94"/>
      <c r="K843" s="93"/>
      <c r="L843" s="93"/>
      <c r="M843" s="93"/>
      <c r="N843" s="93"/>
      <c r="O843" s="93"/>
      <c r="P843" s="93"/>
      <c r="Q843" s="93"/>
      <c r="R843" s="93"/>
      <c r="S843" s="93"/>
      <c r="T843" s="93"/>
      <c r="U843" s="93"/>
      <c r="V843" s="93"/>
      <c r="W843" s="93"/>
      <c r="X843" s="93"/>
    </row>
    <row r="844" spans="1:24" ht="16">
      <c r="A844" s="93"/>
      <c r="B844" s="94"/>
      <c r="C844" s="93"/>
      <c r="D844" s="93"/>
      <c r="E844" s="93"/>
      <c r="F844" s="93"/>
      <c r="G844" s="93"/>
      <c r="H844" s="93"/>
      <c r="I844" s="94"/>
      <c r="J844" s="94"/>
      <c r="K844" s="93"/>
      <c r="L844" s="93"/>
      <c r="M844" s="93"/>
      <c r="N844" s="93"/>
      <c r="O844" s="93"/>
      <c r="P844" s="93"/>
      <c r="Q844" s="93"/>
      <c r="R844" s="93"/>
      <c r="S844" s="93"/>
      <c r="T844" s="93"/>
      <c r="U844" s="93"/>
      <c r="V844" s="93"/>
      <c r="W844" s="93"/>
      <c r="X844" s="93"/>
    </row>
    <row r="845" spans="1:24" ht="16">
      <c r="A845" s="93"/>
      <c r="B845" s="94"/>
      <c r="C845" s="93"/>
      <c r="D845" s="93"/>
      <c r="E845" s="93"/>
      <c r="F845" s="93"/>
      <c r="G845" s="93"/>
      <c r="H845" s="93"/>
      <c r="I845" s="94"/>
      <c r="J845" s="94"/>
      <c r="K845" s="93"/>
      <c r="L845" s="93"/>
      <c r="M845" s="93"/>
      <c r="N845" s="93"/>
      <c r="O845" s="93"/>
      <c r="P845" s="93"/>
      <c r="Q845" s="93"/>
      <c r="R845" s="93"/>
      <c r="S845" s="93"/>
      <c r="T845" s="93"/>
      <c r="U845" s="93"/>
      <c r="V845" s="93"/>
      <c r="W845" s="93"/>
      <c r="X845" s="93"/>
    </row>
    <row r="846" spans="1:24" ht="16">
      <c r="A846" s="93"/>
      <c r="B846" s="94"/>
      <c r="C846" s="93"/>
      <c r="D846" s="93"/>
      <c r="E846" s="93"/>
      <c r="F846" s="93"/>
      <c r="G846" s="93"/>
      <c r="H846" s="93"/>
      <c r="I846" s="94"/>
      <c r="J846" s="94"/>
      <c r="K846" s="93"/>
      <c r="L846" s="93"/>
      <c r="M846" s="93"/>
      <c r="N846" s="93"/>
      <c r="O846" s="93"/>
      <c r="P846" s="93"/>
      <c r="Q846" s="93"/>
      <c r="R846" s="93"/>
      <c r="S846" s="93"/>
      <c r="T846" s="93"/>
      <c r="U846" s="93"/>
      <c r="V846" s="93"/>
      <c r="W846" s="93"/>
      <c r="X846" s="93"/>
    </row>
    <row r="847" spans="1:24" ht="16">
      <c r="A847" s="93"/>
      <c r="B847" s="94"/>
      <c r="C847" s="93"/>
      <c r="D847" s="93"/>
      <c r="E847" s="93"/>
      <c r="F847" s="93"/>
      <c r="G847" s="93"/>
      <c r="H847" s="93"/>
      <c r="I847" s="94"/>
      <c r="J847" s="94"/>
      <c r="K847" s="93"/>
      <c r="L847" s="93"/>
      <c r="M847" s="93"/>
      <c r="N847" s="93"/>
      <c r="O847" s="93"/>
      <c r="P847" s="93"/>
      <c r="Q847" s="93"/>
      <c r="R847" s="93"/>
      <c r="S847" s="93"/>
      <c r="T847" s="93"/>
      <c r="U847" s="93"/>
      <c r="V847" s="93"/>
      <c r="W847" s="93"/>
      <c r="X847" s="93"/>
    </row>
    <row r="848" spans="1:24" ht="16">
      <c r="A848" s="93"/>
      <c r="B848" s="94"/>
      <c r="C848" s="93"/>
      <c r="D848" s="93"/>
      <c r="E848" s="93"/>
      <c r="F848" s="93"/>
      <c r="G848" s="93"/>
      <c r="H848" s="93"/>
      <c r="I848" s="94"/>
      <c r="J848" s="94"/>
      <c r="K848" s="93"/>
      <c r="L848" s="93"/>
      <c r="M848" s="93"/>
      <c r="N848" s="93"/>
      <c r="O848" s="93"/>
      <c r="P848" s="93"/>
      <c r="Q848" s="93"/>
      <c r="R848" s="93"/>
      <c r="S848" s="93"/>
      <c r="T848" s="93"/>
      <c r="U848" s="93"/>
      <c r="V848" s="93"/>
      <c r="W848" s="93"/>
      <c r="X848" s="93"/>
    </row>
    <row r="849" spans="1:24" ht="16">
      <c r="A849" s="93"/>
      <c r="B849" s="94"/>
      <c r="C849" s="93"/>
      <c r="D849" s="93"/>
      <c r="E849" s="93"/>
      <c r="F849" s="93"/>
      <c r="G849" s="93"/>
      <c r="H849" s="93"/>
      <c r="I849" s="94"/>
      <c r="J849" s="94"/>
      <c r="K849" s="93"/>
      <c r="L849" s="93"/>
      <c r="M849" s="93"/>
      <c r="N849" s="93"/>
      <c r="O849" s="93"/>
      <c r="P849" s="93"/>
      <c r="Q849" s="93"/>
      <c r="R849" s="93"/>
      <c r="S849" s="93"/>
      <c r="T849" s="93"/>
      <c r="U849" s="93"/>
      <c r="V849" s="93"/>
      <c r="W849" s="93"/>
      <c r="X849" s="93"/>
    </row>
    <row r="850" spans="1:24" ht="16">
      <c r="A850" s="93"/>
      <c r="B850" s="94"/>
      <c r="C850" s="93"/>
      <c r="D850" s="93"/>
      <c r="E850" s="93"/>
      <c r="F850" s="93"/>
      <c r="G850" s="93"/>
      <c r="H850" s="93"/>
      <c r="I850" s="94"/>
      <c r="J850" s="94"/>
      <c r="K850" s="93"/>
      <c r="L850" s="93"/>
      <c r="M850" s="93"/>
      <c r="N850" s="93"/>
      <c r="O850" s="93"/>
      <c r="P850" s="93"/>
      <c r="Q850" s="93"/>
      <c r="R850" s="93"/>
      <c r="S850" s="93"/>
      <c r="T850" s="93"/>
      <c r="U850" s="93"/>
      <c r="V850" s="93"/>
      <c r="W850" s="93"/>
      <c r="X850" s="93"/>
    </row>
    <row r="851" spans="1:24" ht="16">
      <c r="A851" s="93"/>
      <c r="B851" s="94"/>
      <c r="C851" s="93"/>
      <c r="D851" s="93"/>
      <c r="E851" s="93"/>
      <c r="F851" s="93"/>
      <c r="G851" s="93"/>
      <c r="H851" s="93"/>
      <c r="I851" s="94"/>
      <c r="J851" s="94"/>
      <c r="K851" s="93"/>
      <c r="L851" s="93"/>
      <c r="M851" s="93"/>
      <c r="N851" s="93"/>
      <c r="O851" s="93"/>
      <c r="P851" s="93"/>
      <c r="Q851" s="93"/>
      <c r="R851" s="93"/>
      <c r="S851" s="93"/>
      <c r="T851" s="93"/>
      <c r="U851" s="93"/>
      <c r="V851" s="93"/>
      <c r="W851" s="93"/>
      <c r="X851" s="93"/>
    </row>
    <row r="852" spans="1:24" ht="16">
      <c r="A852" s="93"/>
      <c r="B852" s="94"/>
      <c r="C852" s="93"/>
      <c r="D852" s="93"/>
      <c r="E852" s="93"/>
      <c r="F852" s="93"/>
      <c r="G852" s="93"/>
      <c r="H852" s="93"/>
      <c r="I852" s="94"/>
      <c r="J852" s="94"/>
      <c r="K852" s="93"/>
      <c r="L852" s="93"/>
      <c r="M852" s="93"/>
      <c r="N852" s="93"/>
      <c r="O852" s="93"/>
      <c r="P852" s="93"/>
      <c r="Q852" s="93"/>
      <c r="R852" s="93"/>
      <c r="S852" s="93"/>
      <c r="T852" s="93"/>
      <c r="U852" s="93"/>
      <c r="V852" s="93"/>
      <c r="W852" s="93"/>
      <c r="X852" s="93"/>
    </row>
    <row r="853" spans="1:24" ht="16">
      <c r="A853" s="93"/>
      <c r="B853" s="94"/>
      <c r="C853" s="93"/>
      <c r="D853" s="93"/>
      <c r="E853" s="93"/>
      <c r="F853" s="93"/>
      <c r="G853" s="93"/>
      <c r="H853" s="93"/>
      <c r="I853" s="94"/>
      <c r="J853" s="94"/>
      <c r="K853" s="93"/>
      <c r="L853" s="93"/>
      <c r="M853" s="93"/>
      <c r="N853" s="93"/>
      <c r="O853" s="93"/>
      <c r="P853" s="93"/>
      <c r="Q853" s="93"/>
      <c r="R853" s="93"/>
      <c r="S853" s="93"/>
      <c r="T853" s="93"/>
      <c r="U853" s="93"/>
      <c r="V853" s="93"/>
      <c r="W853" s="93"/>
      <c r="X853" s="93"/>
    </row>
    <row r="854" spans="1:24" ht="16">
      <c r="A854" s="93"/>
      <c r="B854" s="94"/>
      <c r="C854" s="93"/>
      <c r="D854" s="93"/>
      <c r="E854" s="93"/>
      <c r="F854" s="93"/>
      <c r="G854" s="93"/>
      <c r="H854" s="93"/>
      <c r="I854" s="94"/>
      <c r="J854" s="94"/>
      <c r="K854" s="93"/>
      <c r="L854" s="93"/>
      <c r="M854" s="93"/>
      <c r="N854" s="93"/>
      <c r="O854" s="93"/>
      <c r="P854" s="93"/>
      <c r="Q854" s="93"/>
      <c r="R854" s="93"/>
      <c r="S854" s="93"/>
      <c r="T854" s="93"/>
      <c r="U854" s="93"/>
      <c r="V854" s="93"/>
      <c r="W854" s="93"/>
      <c r="X854" s="93"/>
    </row>
    <row r="855" spans="1:24" ht="16">
      <c r="A855" s="93"/>
      <c r="B855" s="94"/>
      <c r="C855" s="93"/>
      <c r="D855" s="93"/>
      <c r="E855" s="93"/>
      <c r="F855" s="93"/>
      <c r="G855" s="93"/>
      <c r="H855" s="93"/>
      <c r="I855" s="94"/>
      <c r="J855" s="94"/>
      <c r="K855" s="93"/>
      <c r="L855" s="93"/>
      <c r="M855" s="93"/>
      <c r="N855" s="93"/>
      <c r="O855" s="93"/>
      <c r="P855" s="93"/>
      <c r="Q855" s="93"/>
      <c r="R855" s="93"/>
      <c r="S855" s="93"/>
      <c r="T855" s="93"/>
      <c r="U855" s="93"/>
      <c r="V855" s="93"/>
      <c r="W855" s="93"/>
      <c r="X855" s="93"/>
    </row>
    <row r="856" spans="1:24" ht="16">
      <c r="A856" s="93"/>
      <c r="B856" s="94"/>
      <c r="C856" s="93"/>
      <c r="D856" s="93"/>
      <c r="E856" s="93"/>
      <c r="F856" s="93"/>
      <c r="G856" s="93"/>
      <c r="H856" s="93"/>
      <c r="I856" s="94"/>
      <c r="J856" s="94"/>
      <c r="K856" s="93"/>
      <c r="L856" s="93"/>
      <c r="M856" s="93"/>
      <c r="N856" s="93"/>
      <c r="O856" s="93"/>
      <c r="P856" s="93"/>
      <c r="Q856" s="93"/>
      <c r="R856" s="93"/>
      <c r="S856" s="93"/>
      <c r="T856" s="93"/>
      <c r="U856" s="93"/>
      <c r="V856" s="93"/>
      <c r="W856" s="93"/>
      <c r="X856" s="93"/>
    </row>
    <row r="857" spans="1:24" ht="16">
      <c r="A857" s="93"/>
      <c r="B857" s="94"/>
      <c r="C857" s="93"/>
      <c r="D857" s="93"/>
      <c r="E857" s="93"/>
      <c r="F857" s="93"/>
      <c r="G857" s="93"/>
      <c r="H857" s="93"/>
      <c r="I857" s="94"/>
      <c r="J857" s="94"/>
      <c r="K857" s="93"/>
      <c r="L857" s="93"/>
      <c r="M857" s="93"/>
      <c r="N857" s="93"/>
      <c r="O857" s="93"/>
      <c r="P857" s="93"/>
      <c r="Q857" s="93"/>
      <c r="R857" s="93"/>
      <c r="S857" s="93"/>
      <c r="T857" s="93"/>
      <c r="U857" s="93"/>
      <c r="V857" s="93"/>
      <c r="W857" s="93"/>
      <c r="X857" s="93"/>
    </row>
    <row r="858" spans="1:24" ht="16">
      <c r="A858" s="93"/>
      <c r="B858" s="94"/>
      <c r="C858" s="93"/>
      <c r="D858" s="93"/>
      <c r="E858" s="93"/>
      <c r="F858" s="93"/>
      <c r="G858" s="93"/>
      <c r="H858" s="93"/>
      <c r="I858" s="94"/>
      <c r="J858" s="94"/>
      <c r="K858" s="93"/>
      <c r="L858" s="93"/>
      <c r="M858" s="93"/>
      <c r="N858" s="93"/>
      <c r="O858" s="93"/>
      <c r="P858" s="93"/>
      <c r="Q858" s="93"/>
      <c r="R858" s="93"/>
      <c r="S858" s="93"/>
      <c r="T858" s="93"/>
      <c r="U858" s="93"/>
      <c r="V858" s="93"/>
      <c r="W858" s="93"/>
      <c r="X858" s="93"/>
    </row>
    <row r="859" spans="1:24" ht="16">
      <c r="A859" s="93"/>
      <c r="B859" s="94"/>
      <c r="C859" s="93"/>
      <c r="D859" s="93"/>
      <c r="E859" s="93"/>
      <c r="F859" s="93"/>
      <c r="G859" s="93"/>
      <c r="H859" s="93"/>
      <c r="I859" s="94"/>
      <c r="J859" s="94"/>
      <c r="K859" s="93"/>
      <c r="L859" s="93"/>
      <c r="M859" s="93"/>
      <c r="N859" s="93"/>
      <c r="O859" s="93"/>
      <c r="P859" s="93"/>
      <c r="Q859" s="93"/>
      <c r="R859" s="93"/>
      <c r="S859" s="93"/>
      <c r="T859" s="93"/>
      <c r="U859" s="93"/>
      <c r="V859" s="93"/>
      <c r="W859" s="93"/>
      <c r="X859" s="93"/>
    </row>
    <row r="860" spans="1:24" ht="16">
      <c r="A860" s="93"/>
      <c r="B860" s="94"/>
      <c r="C860" s="93"/>
      <c r="D860" s="93"/>
      <c r="E860" s="93"/>
      <c r="F860" s="93"/>
      <c r="G860" s="93"/>
      <c r="H860" s="93"/>
      <c r="I860" s="94"/>
      <c r="J860" s="94"/>
      <c r="K860" s="93"/>
      <c r="L860" s="93"/>
      <c r="M860" s="93"/>
      <c r="N860" s="93"/>
      <c r="O860" s="93"/>
      <c r="P860" s="93"/>
      <c r="Q860" s="93"/>
      <c r="R860" s="93"/>
      <c r="S860" s="93"/>
      <c r="T860" s="93"/>
      <c r="U860" s="93"/>
      <c r="V860" s="93"/>
      <c r="W860" s="93"/>
      <c r="X860" s="93"/>
    </row>
    <row r="861" spans="1:24" ht="16">
      <c r="A861" s="93"/>
      <c r="B861" s="94"/>
      <c r="C861" s="93"/>
      <c r="D861" s="93"/>
      <c r="E861" s="93"/>
      <c r="F861" s="93"/>
      <c r="G861" s="93"/>
      <c r="H861" s="93"/>
      <c r="I861" s="94"/>
      <c r="J861" s="94"/>
      <c r="K861" s="93"/>
      <c r="L861" s="93"/>
      <c r="M861" s="93"/>
      <c r="N861" s="93"/>
      <c r="O861" s="93"/>
      <c r="P861" s="93"/>
      <c r="Q861" s="93"/>
      <c r="R861" s="93"/>
      <c r="S861" s="93"/>
      <c r="T861" s="93"/>
      <c r="U861" s="93"/>
      <c r="V861" s="93"/>
      <c r="W861" s="93"/>
      <c r="X861" s="93"/>
    </row>
    <row r="862" spans="1:24" ht="16">
      <c r="A862" s="93"/>
      <c r="B862" s="94"/>
      <c r="C862" s="93"/>
      <c r="D862" s="93"/>
      <c r="E862" s="93"/>
      <c r="F862" s="93"/>
      <c r="G862" s="93"/>
      <c r="H862" s="93"/>
      <c r="I862" s="94"/>
      <c r="J862" s="94"/>
      <c r="K862" s="93"/>
      <c r="L862" s="93"/>
      <c r="M862" s="93"/>
      <c r="N862" s="93"/>
      <c r="O862" s="93"/>
      <c r="P862" s="93"/>
      <c r="Q862" s="93"/>
      <c r="R862" s="93"/>
      <c r="S862" s="93"/>
      <c r="T862" s="93"/>
      <c r="U862" s="93"/>
      <c r="V862" s="93"/>
      <c r="W862" s="93"/>
      <c r="X862" s="93"/>
    </row>
    <row r="863" spans="1:24" ht="16">
      <c r="A863" s="93"/>
      <c r="B863" s="94"/>
      <c r="C863" s="93"/>
      <c r="D863" s="93"/>
      <c r="E863" s="93"/>
      <c r="F863" s="93"/>
      <c r="G863" s="93"/>
      <c r="H863" s="93"/>
      <c r="I863" s="94"/>
      <c r="J863" s="94"/>
      <c r="K863" s="93"/>
      <c r="L863" s="93"/>
      <c r="M863" s="93"/>
      <c r="N863" s="93"/>
      <c r="O863" s="93"/>
      <c r="P863" s="93"/>
      <c r="Q863" s="93"/>
      <c r="R863" s="93"/>
      <c r="S863" s="93"/>
      <c r="T863" s="93"/>
      <c r="U863" s="93"/>
      <c r="V863" s="93"/>
      <c r="W863" s="93"/>
      <c r="X863" s="93"/>
    </row>
    <row r="864" spans="1:24" ht="16">
      <c r="A864" s="93"/>
      <c r="B864" s="94"/>
      <c r="C864" s="93"/>
      <c r="D864" s="93"/>
      <c r="E864" s="93"/>
      <c r="F864" s="93"/>
      <c r="G864" s="93"/>
      <c r="H864" s="93"/>
      <c r="I864" s="94"/>
      <c r="J864" s="94"/>
      <c r="K864" s="93"/>
      <c r="L864" s="93"/>
      <c r="M864" s="93"/>
      <c r="N864" s="93"/>
      <c r="O864" s="93"/>
      <c r="P864" s="93"/>
      <c r="Q864" s="93"/>
      <c r="R864" s="93"/>
      <c r="S864" s="93"/>
      <c r="T864" s="93"/>
      <c r="U864" s="93"/>
      <c r="V864" s="93"/>
      <c r="W864" s="93"/>
      <c r="X864" s="93"/>
    </row>
    <row r="865" spans="1:24" ht="16">
      <c r="A865" s="93"/>
      <c r="B865" s="94"/>
      <c r="C865" s="93"/>
      <c r="D865" s="93"/>
      <c r="E865" s="93"/>
      <c r="F865" s="93"/>
      <c r="G865" s="93"/>
      <c r="H865" s="93"/>
      <c r="I865" s="94"/>
      <c r="J865" s="94"/>
      <c r="K865" s="93"/>
      <c r="L865" s="93"/>
      <c r="M865" s="93"/>
      <c r="N865" s="93"/>
      <c r="O865" s="93"/>
      <c r="P865" s="93"/>
      <c r="Q865" s="93"/>
      <c r="R865" s="93"/>
      <c r="S865" s="93"/>
      <c r="T865" s="93"/>
      <c r="U865" s="93"/>
      <c r="V865" s="93"/>
      <c r="W865" s="93"/>
      <c r="X865" s="93"/>
    </row>
    <row r="866" spans="1:24" ht="16">
      <c r="A866" s="93"/>
      <c r="B866" s="94"/>
      <c r="C866" s="93"/>
      <c r="D866" s="93"/>
      <c r="E866" s="93"/>
      <c r="F866" s="93"/>
      <c r="G866" s="93"/>
      <c r="H866" s="93"/>
      <c r="I866" s="94"/>
      <c r="J866" s="94"/>
      <c r="K866" s="93"/>
      <c r="L866" s="93"/>
      <c r="M866" s="93"/>
      <c r="N866" s="93"/>
      <c r="O866" s="93"/>
      <c r="P866" s="93"/>
      <c r="Q866" s="93"/>
      <c r="R866" s="93"/>
      <c r="S866" s="93"/>
      <c r="T866" s="93"/>
      <c r="U866" s="93"/>
      <c r="V866" s="93"/>
      <c r="W866" s="93"/>
      <c r="X866" s="93"/>
    </row>
    <row r="867" spans="1:24" ht="16">
      <c r="A867" s="93"/>
      <c r="B867" s="94"/>
      <c r="C867" s="93"/>
      <c r="D867" s="93"/>
      <c r="E867" s="93"/>
      <c r="F867" s="93"/>
      <c r="G867" s="93"/>
      <c r="H867" s="93"/>
      <c r="I867" s="94"/>
      <c r="J867" s="94"/>
      <c r="K867" s="93"/>
      <c r="L867" s="93"/>
      <c r="M867" s="93"/>
      <c r="N867" s="93"/>
      <c r="O867" s="93"/>
      <c r="P867" s="93"/>
      <c r="Q867" s="93"/>
      <c r="R867" s="93"/>
      <c r="S867" s="93"/>
      <c r="T867" s="93"/>
      <c r="U867" s="93"/>
      <c r="V867" s="93"/>
      <c r="W867" s="93"/>
      <c r="X867" s="93"/>
    </row>
    <row r="868" spans="1:24" ht="16">
      <c r="A868" s="93"/>
      <c r="B868" s="94"/>
      <c r="C868" s="93"/>
      <c r="D868" s="93"/>
      <c r="E868" s="93"/>
      <c r="F868" s="93"/>
      <c r="G868" s="93"/>
      <c r="H868" s="93"/>
      <c r="I868" s="94"/>
      <c r="J868" s="94"/>
      <c r="K868" s="93"/>
      <c r="L868" s="93"/>
      <c r="M868" s="93"/>
      <c r="N868" s="93"/>
      <c r="O868" s="93"/>
      <c r="P868" s="93"/>
      <c r="Q868" s="93"/>
      <c r="R868" s="93"/>
      <c r="S868" s="93"/>
      <c r="T868" s="93"/>
      <c r="U868" s="93"/>
      <c r="V868" s="93"/>
      <c r="W868" s="93"/>
      <c r="X868" s="93"/>
    </row>
    <row r="869" spans="1:24" ht="16">
      <c r="A869" s="93"/>
      <c r="B869" s="94"/>
      <c r="C869" s="93"/>
      <c r="D869" s="93"/>
      <c r="E869" s="93"/>
      <c r="F869" s="93"/>
      <c r="G869" s="93"/>
      <c r="H869" s="93"/>
      <c r="I869" s="94"/>
      <c r="J869" s="94"/>
      <c r="K869" s="93"/>
      <c r="L869" s="93"/>
      <c r="M869" s="93"/>
      <c r="N869" s="93"/>
      <c r="O869" s="93"/>
      <c r="P869" s="93"/>
      <c r="Q869" s="93"/>
      <c r="R869" s="93"/>
      <c r="S869" s="93"/>
      <c r="T869" s="93"/>
      <c r="U869" s="93"/>
      <c r="V869" s="93"/>
      <c r="W869" s="93"/>
      <c r="X869" s="93"/>
    </row>
    <row r="870" spans="1:24" ht="16">
      <c r="A870" s="93"/>
      <c r="B870" s="94"/>
      <c r="C870" s="93"/>
      <c r="D870" s="93"/>
      <c r="E870" s="93"/>
      <c r="F870" s="93"/>
      <c r="G870" s="93"/>
      <c r="H870" s="93"/>
      <c r="I870" s="94"/>
      <c r="J870" s="94"/>
      <c r="K870" s="93"/>
      <c r="L870" s="93"/>
      <c r="M870" s="93"/>
      <c r="N870" s="93"/>
      <c r="O870" s="93"/>
      <c r="P870" s="93"/>
      <c r="Q870" s="93"/>
      <c r="R870" s="93"/>
      <c r="S870" s="93"/>
      <c r="T870" s="93"/>
      <c r="U870" s="93"/>
      <c r="V870" s="93"/>
      <c r="W870" s="93"/>
      <c r="X870" s="93"/>
    </row>
    <row r="871" spans="1:24" ht="16">
      <c r="A871" s="93"/>
      <c r="B871" s="94"/>
      <c r="C871" s="93"/>
      <c r="D871" s="93"/>
      <c r="E871" s="93"/>
      <c r="F871" s="93"/>
      <c r="G871" s="93"/>
      <c r="H871" s="93"/>
      <c r="I871" s="94"/>
      <c r="J871" s="94"/>
      <c r="K871" s="93"/>
      <c r="L871" s="93"/>
      <c r="M871" s="93"/>
      <c r="N871" s="93"/>
      <c r="O871" s="93"/>
      <c r="P871" s="93"/>
      <c r="Q871" s="93"/>
      <c r="R871" s="93"/>
      <c r="S871" s="93"/>
      <c r="T871" s="93"/>
      <c r="U871" s="93"/>
      <c r="V871" s="93"/>
      <c r="W871" s="93"/>
      <c r="X871" s="93"/>
    </row>
    <row r="872" spans="1:24" ht="16">
      <c r="A872" s="93"/>
      <c r="B872" s="94"/>
      <c r="C872" s="93"/>
      <c r="D872" s="93"/>
      <c r="E872" s="93"/>
      <c r="F872" s="93"/>
      <c r="G872" s="93"/>
      <c r="H872" s="93"/>
      <c r="I872" s="94"/>
      <c r="J872" s="94"/>
      <c r="K872" s="93"/>
      <c r="L872" s="93"/>
      <c r="M872" s="93"/>
      <c r="N872" s="93"/>
      <c r="O872" s="93"/>
      <c r="P872" s="93"/>
      <c r="Q872" s="93"/>
      <c r="R872" s="93"/>
      <c r="S872" s="93"/>
      <c r="T872" s="93"/>
      <c r="U872" s="93"/>
      <c r="V872" s="93"/>
      <c r="W872" s="93"/>
      <c r="X872" s="93"/>
    </row>
    <row r="873" spans="1:24" ht="16">
      <c r="A873" s="93"/>
      <c r="B873" s="94"/>
      <c r="C873" s="93"/>
      <c r="D873" s="93"/>
      <c r="E873" s="93"/>
      <c r="F873" s="93"/>
      <c r="G873" s="93"/>
      <c r="H873" s="93"/>
      <c r="I873" s="94"/>
      <c r="J873" s="94"/>
      <c r="K873" s="93"/>
      <c r="L873" s="93"/>
      <c r="M873" s="93"/>
      <c r="N873" s="93"/>
      <c r="O873" s="93"/>
      <c r="P873" s="93"/>
      <c r="Q873" s="93"/>
      <c r="R873" s="93"/>
      <c r="S873" s="93"/>
      <c r="T873" s="93"/>
      <c r="U873" s="93"/>
      <c r="V873" s="93"/>
      <c r="W873" s="93"/>
      <c r="X873" s="93"/>
    </row>
    <row r="874" spans="1:24" ht="16">
      <c r="A874" s="93"/>
      <c r="B874" s="94"/>
      <c r="C874" s="93"/>
      <c r="D874" s="93"/>
      <c r="E874" s="93"/>
      <c r="F874" s="93"/>
      <c r="G874" s="93"/>
      <c r="H874" s="93"/>
      <c r="I874" s="94"/>
      <c r="J874" s="94"/>
      <c r="K874" s="93"/>
      <c r="L874" s="93"/>
      <c r="M874" s="93"/>
      <c r="N874" s="93"/>
      <c r="O874" s="93"/>
      <c r="P874" s="93"/>
      <c r="Q874" s="93"/>
      <c r="R874" s="93"/>
      <c r="S874" s="93"/>
      <c r="T874" s="93"/>
      <c r="U874" s="93"/>
      <c r="V874" s="93"/>
      <c r="W874" s="93"/>
      <c r="X874" s="93"/>
    </row>
    <row r="875" spans="1:24" ht="16">
      <c r="A875" s="93"/>
      <c r="B875" s="94"/>
      <c r="C875" s="93"/>
      <c r="D875" s="93"/>
      <c r="E875" s="93"/>
      <c r="F875" s="93"/>
      <c r="G875" s="93"/>
      <c r="H875" s="93"/>
      <c r="I875" s="94"/>
      <c r="J875" s="94"/>
      <c r="K875" s="93"/>
      <c r="L875" s="93"/>
      <c r="M875" s="93"/>
      <c r="N875" s="93"/>
      <c r="O875" s="93"/>
      <c r="P875" s="93"/>
      <c r="Q875" s="93"/>
      <c r="R875" s="93"/>
      <c r="S875" s="93"/>
      <c r="T875" s="93"/>
      <c r="U875" s="93"/>
      <c r="V875" s="93"/>
      <c r="W875" s="93"/>
      <c r="X875" s="93"/>
    </row>
    <row r="876" spans="1:24" ht="16">
      <c r="A876" s="93"/>
      <c r="B876" s="94"/>
      <c r="C876" s="93"/>
      <c r="D876" s="93"/>
      <c r="E876" s="93"/>
      <c r="F876" s="93"/>
      <c r="G876" s="93"/>
      <c r="H876" s="93"/>
      <c r="I876" s="94"/>
      <c r="J876" s="94"/>
      <c r="K876" s="93"/>
      <c r="L876" s="93"/>
      <c r="M876" s="93"/>
      <c r="N876" s="93"/>
      <c r="O876" s="93"/>
      <c r="P876" s="93"/>
      <c r="Q876" s="93"/>
      <c r="R876" s="93"/>
      <c r="S876" s="93"/>
      <c r="T876" s="93"/>
      <c r="U876" s="93"/>
      <c r="V876" s="93"/>
      <c r="W876" s="93"/>
      <c r="X876" s="93"/>
    </row>
    <row r="877" spans="1:24" ht="16">
      <c r="A877" s="93"/>
      <c r="B877" s="94"/>
      <c r="C877" s="93"/>
      <c r="D877" s="93"/>
      <c r="E877" s="93"/>
      <c r="F877" s="93"/>
      <c r="G877" s="93"/>
      <c r="H877" s="93"/>
      <c r="I877" s="94"/>
      <c r="J877" s="94"/>
      <c r="K877" s="93"/>
      <c r="L877" s="93"/>
      <c r="M877" s="93"/>
      <c r="N877" s="93"/>
      <c r="O877" s="93"/>
      <c r="P877" s="93"/>
      <c r="Q877" s="93"/>
      <c r="R877" s="93"/>
      <c r="S877" s="93"/>
      <c r="T877" s="93"/>
      <c r="U877" s="93"/>
      <c r="V877" s="93"/>
      <c r="W877" s="93"/>
      <c r="X877" s="93"/>
    </row>
    <row r="878" spans="1:24" ht="16">
      <c r="A878" s="93"/>
      <c r="B878" s="94"/>
      <c r="C878" s="93"/>
      <c r="D878" s="93"/>
      <c r="E878" s="93"/>
      <c r="F878" s="93"/>
      <c r="G878" s="93"/>
      <c r="H878" s="93"/>
      <c r="I878" s="94"/>
      <c r="J878" s="94"/>
      <c r="K878" s="93"/>
      <c r="L878" s="93"/>
      <c r="M878" s="93"/>
      <c r="N878" s="93"/>
      <c r="O878" s="93"/>
      <c r="P878" s="93"/>
      <c r="Q878" s="93"/>
      <c r="R878" s="93"/>
      <c r="S878" s="93"/>
      <c r="T878" s="93"/>
      <c r="U878" s="93"/>
      <c r="V878" s="93"/>
      <c r="W878" s="93"/>
      <c r="X878" s="93"/>
    </row>
    <row r="879" spans="1:24" ht="16">
      <c r="A879" s="93"/>
      <c r="B879" s="94"/>
      <c r="C879" s="93"/>
      <c r="D879" s="93"/>
      <c r="E879" s="93"/>
      <c r="F879" s="93"/>
      <c r="G879" s="93"/>
      <c r="H879" s="93"/>
      <c r="I879" s="94"/>
      <c r="J879" s="94"/>
      <c r="K879" s="93"/>
      <c r="L879" s="93"/>
      <c r="M879" s="93"/>
      <c r="N879" s="93"/>
      <c r="O879" s="93"/>
      <c r="P879" s="93"/>
      <c r="Q879" s="93"/>
      <c r="R879" s="93"/>
      <c r="S879" s="93"/>
      <c r="T879" s="93"/>
      <c r="U879" s="93"/>
      <c r="V879" s="93"/>
      <c r="W879" s="93"/>
      <c r="X879" s="93"/>
    </row>
    <row r="880" spans="1:24" ht="16">
      <c r="A880" s="93"/>
      <c r="B880" s="94"/>
      <c r="C880" s="93"/>
      <c r="D880" s="93"/>
      <c r="E880" s="93"/>
      <c r="F880" s="93"/>
      <c r="G880" s="93"/>
      <c r="H880" s="93"/>
      <c r="I880" s="94"/>
      <c r="J880" s="94"/>
      <c r="K880" s="93"/>
      <c r="L880" s="93"/>
      <c r="M880" s="93"/>
      <c r="N880" s="93"/>
      <c r="O880" s="93"/>
      <c r="P880" s="93"/>
      <c r="Q880" s="93"/>
      <c r="R880" s="93"/>
      <c r="S880" s="93"/>
      <c r="T880" s="93"/>
      <c r="U880" s="93"/>
      <c r="V880" s="93"/>
      <c r="W880" s="93"/>
      <c r="X880" s="93"/>
    </row>
    <row r="881" spans="1:24" ht="16">
      <c r="A881" s="93"/>
      <c r="B881" s="94"/>
      <c r="C881" s="93"/>
      <c r="D881" s="93"/>
      <c r="E881" s="93"/>
      <c r="F881" s="93"/>
      <c r="G881" s="93"/>
      <c r="H881" s="93"/>
      <c r="I881" s="94"/>
      <c r="J881" s="94"/>
      <c r="K881" s="93"/>
      <c r="L881" s="93"/>
      <c r="M881" s="93"/>
      <c r="N881" s="93"/>
      <c r="O881" s="93"/>
      <c r="P881" s="93"/>
      <c r="Q881" s="93"/>
      <c r="R881" s="93"/>
      <c r="S881" s="93"/>
      <c r="T881" s="93"/>
      <c r="U881" s="93"/>
      <c r="V881" s="93"/>
      <c r="W881" s="93"/>
      <c r="X881" s="93"/>
    </row>
    <row r="882" spans="1:24" ht="16">
      <c r="A882" s="93"/>
      <c r="B882" s="94"/>
      <c r="C882" s="93"/>
      <c r="D882" s="93"/>
      <c r="E882" s="93"/>
      <c r="F882" s="93"/>
      <c r="G882" s="93"/>
      <c r="H882" s="93"/>
      <c r="I882" s="94"/>
      <c r="J882" s="94"/>
      <c r="K882" s="93"/>
      <c r="L882" s="93"/>
      <c r="M882" s="93"/>
      <c r="N882" s="93"/>
      <c r="O882" s="93"/>
      <c r="P882" s="93"/>
      <c r="Q882" s="93"/>
      <c r="R882" s="93"/>
      <c r="S882" s="93"/>
      <c r="T882" s="93"/>
      <c r="U882" s="93"/>
      <c r="V882" s="93"/>
      <c r="W882" s="93"/>
      <c r="X882" s="93"/>
    </row>
    <row r="883" spans="1:24" ht="16">
      <c r="A883" s="93"/>
      <c r="B883" s="94"/>
      <c r="C883" s="93"/>
      <c r="D883" s="93"/>
      <c r="E883" s="93"/>
      <c r="F883" s="93"/>
      <c r="G883" s="93"/>
      <c r="H883" s="93"/>
      <c r="I883" s="94"/>
      <c r="J883" s="94"/>
      <c r="K883" s="93"/>
      <c r="L883" s="93"/>
      <c r="M883" s="93"/>
      <c r="N883" s="93"/>
      <c r="O883" s="93"/>
      <c r="P883" s="93"/>
      <c r="Q883" s="93"/>
      <c r="R883" s="93"/>
      <c r="S883" s="93"/>
      <c r="T883" s="93"/>
      <c r="U883" s="93"/>
      <c r="V883" s="93"/>
      <c r="W883" s="93"/>
      <c r="X883" s="93"/>
    </row>
    <row r="884" spans="1:24" ht="16">
      <c r="A884" s="93"/>
      <c r="B884" s="94"/>
      <c r="C884" s="93"/>
      <c r="D884" s="93"/>
      <c r="E884" s="93"/>
      <c r="F884" s="93"/>
      <c r="G884" s="93"/>
      <c r="H884" s="93"/>
      <c r="I884" s="94"/>
      <c r="J884" s="94"/>
      <c r="K884" s="93"/>
      <c r="L884" s="93"/>
      <c r="M884" s="93"/>
      <c r="N884" s="93"/>
      <c r="O884" s="93"/>
      <c r="P884" s="93"/>
      <c r="Q884" s="93"/>
      <c r="R884" s="93"/>
      <c r="S884" s="93"/>
      <c r="T884" s="93"/>
      <c r="U884" s="93"/>
      <c r="V884" s="93"/>
      <c r="W884" s="93"/>
      <c r="X884" s="93"/>
    </row>
    <row r="885" spans="1:24" ht="16">
      <c r="A885" s="93"/>
      <c r="B885" s="94"/>
      <c r="C885" s="93"/>
      <c r="D885" s="93"/>
      <c r="E885" s="93"/>
      <c r="F885" s="93"/>
      <c r="G885" s="93"/>
      <c r="H885" s="93"/>
      <c r="I885" s="94"/>
      <c r="J885" s="94"/>
      <c r="K885" s="93"/>
      <c r="L885" s="93"/>
      <c r="M885" s="93"/>
      <c r="N885" s="93"/>
      <c r="O885" s="93"/>
      <c r="P885" s="93"/>
      <c r="Q885" s="93"/>
      <c r="R885" s="93"/>
      <c r="S885" s="93"/>
      <c r="T885" s="93"/>
      <c r="U885" s="93"/>
      <c r="V885" s="93"/>
      <c r="W885" s="93"/>
      <c r="X885" s="93"/>
    </row>
    <row r="886" spans="1:24" ht="16">
      <c r="A886" s="93"/>
      <c r="B886" s="94"/>
      <c r="C886" s="93"/>
      <c r="D886" s="93"/>
      <c r="E886" s="93"/>
      <c r="F886" s="93"/>
      <c r="G886" s="93"/>
      <c r="H886" s="93"/>
      <c r="I886" s="94"/>
      <c r="J886" s="94"/>
      <c r="K886" s="93"/>
      <c r="L886" s="93"/>
      <c r="M886" s="93"/>
      <c r="N886" s="93"/>
      <c r="O886" s="93"/>
      <c r="P886" s="93"/>
      <c r="Q886" s="93"/>
      <c r="R886" s="93"/>
      <c r="S886" s="93"/>
      <c r="T886" s="93"/>
      <c r="U886" s="93"/>
      <c r="V886" s="93"/>
      <c r="W886" s="93"/>
      <c r="X886" s="93"/>
    </row>
    <row r="887" spans="1:24" ht="16">
      <c r="A887" s="93"/>
      <c r="B887" s="94"/>
      <c r="C887" s="93"/>
      <c r="D887" s="93"/>
      <c r="E887" s="93"/>
      <c r="F887" s="93"/>
      <c r="G887" s="93"/>
      <c r="H887" s="93"/>
      <c r="I887" s="94"/>
      <c r="J887" s="94"/>
      <c r="K887" s="93"/>
      <c r="L887" s="93"/>
      <c r="M887" s="93"/>
      <c r="N887" s="93"/>
      <c r="O887" s="93"/>
      <c r="P887" s="93"/>
      <c r="Q887" s="93"/>
      <c r="R887" s="93"/>
      <c r="S887" s="93"/>
      <c r="T887" s="93"/>
      <c r="U887" s="93"/>
      <c r="V887" s="93"/>
      <c r="W887" s="93"/>
      <c r="X887" s="93"/>
    </row>
    <row r="888" spans="1:24" ht="16">
      <c r="A888" s="93"/>
      <c r="B888" s="94"/>
      <c r="C888" s="93"/>
      <c r="D888" s="93"/>
      <c r="E888" s="93"/>
      <c r="F888" s="93"/>
      <c r="G888" s="93"/>
      <c r="H888" s="93"/>
      <c r="I888" s="94"/>
      <c r="J888" s="94"/>
      <c r="K888" s="93"/>
      <c r="L888" s="93"/>
      <c r="M888" s="93"/>
      <c r="N888" s="93"/>
      <c r="O888" s="93"/>
      <c r="P888" s="93"/>
      <c r="Q888" s="93"/>
      <c r="R888" s="93"/>
      <c r="S888" s="93"/>
      <c r="T888" s="93"/>
      <c r="U888" s="93"/>
      <c r="V888" s="93"/>
      <c r="W888" s="93"/>
      <c r="X888" s="93"/>
    </row>
  </sheetData>
  <phoneticPr fontId="70"/>
  <dataValidations count="2">
    <dataValidation type="list" allowBlank="1" sqref="E3:E17" xr:uid="{00000000-0002-0000-0100-000000000000}">
      <formula1>$J$3:$J$8</formula1>
    </dataValidation>
    <dataValidation type="list" allowBlank="1" sqref="F3:F17" xr:uid="{00000000-0002-0000-0100-000001000000}">
      <formula1>$K$3:$K$8</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pageSetUpPr fitToPage="1"/>
  </sheetPr>
  <dimension ref="A1:V1063"/>
  <sheetViews>
    <sheetView workbookViewId="0">
      <pane ySplit="2" topLeftCell="A3" activePane="bottomLeft" state="frozen"/>
      <selection pane="bottomLeft" activeCell="G3" sqref="G3"/>
    </sheetView>
  </sheetViews>
  <sheetFormatPr defaultColWidth="12.6328125" defaultRowHeight="15.75" customHeight="1"/>
  <cols>
    <col min="1" max="1" width="6.7265625" customWidth="1"/>
    <col min="2" max="2" width="25.90625" hidden="1" customWidth="1"/>
    <col min="3" max="3" width="13.453125" hidden="1" customWidth="1"/>
    <col min="4" max="4" width="12.453125" hidden="1" customWidth="1"/>
    <col min="5" max="5" width="5.36328125" hidden="1" customWidth="1"/>
    <col min="6" max="6" width="38" customWidth="1"/>
    <col min="7" max="7" width="10.6328125" customWidth="1"/>
    <col min="8" max="10" width="7" customWidth="1"/>
    <col min="11" max="21" width="10.90625" customWidth="1"/>
  </cols>
  <sheetData>
    <row r="1" spans="1:22" ht="28.5">
      <c r="A1" s="40"/>
      <c r="B1" s="111"/>
      <c r="C1" s="111"/>
      <c r="D1" s="111"/>
      <c r="E1" s="40"/>
      <c r="F1" s="112" t="s">
        <v>110</v>
      </c>
      <c r="H1" s="40" t="s">
        <v>111</v>
      </c>
      <c r="I1" s="40"/>
      <c r="J1" s="40"/>
      <c r="K1" s="113" t="s">
        <v>112</v>
      </c>
      <c r="L1" s="114"/>
      <c r="M1" s="40"/>
      <c r="N1" s="40"/>
      <c r="O1" s="40"/>
      <c r="P1" s="40"/>
      <c r="Q1" s="40"/>
      <c r="R1" s="40"/>
      <c r="S1" s="40"/>
      <c r="T1" s="40"/>
      <c r="U1" s="40"/>
      <c r="V1" s="40"/>
    </row>
    <row r="2" spans="1:22" ht="30">
      <c r="A2" s="115" t="s">
        <v>113</v>
      </c>
      <c r="B2" s="116" t="s">
        <v>114</v>
      </c>
      <c r="C2" s="116" t="s">
        <v>115</v>
      </c>
      <c r="D2" s="116" t="s">
        <v>116</v>
      </c>
      <c r="E2" s="117" t="s">
        <v>117</v>
      </c>
      <c r="F2" s="118" t="s">
        <v>118</v>
      </c>
      <c r="G2" s="119" t="s">
        <v>119</v>
      </c>
      <c r="H2" s="120" t="s">
        <v>120</v>
      </c>
      <c r="I2" s="121" t="s">
        <v>121</v>
      </c>
      <c r="J2" s="122" t="s">
        <v>122</v>
      </c>
      <c r="K2" s="123" t="s">
        <v>123</v>
      </c>
      <c r="L2" s="123" t="s">
        <v>123</v>
      </c>
      <c r="M2" s="123" t="s">
        <v>123</v>
      </c>
      <c r="N2" s="123" t="s">
        <v>123</v>
      </c>
      <c r="O2" s="123" t="s">
        <v>123</v>
      </c>
      <c r="P2" s="123" t="s">
        <v>123</v>
      </c>
      <c r="Q2" s="123" t="s">
        <v>123</v>
      </c>
      <c r="R2" s="123" t="s">
        <v>123</v>
      </c>
      <c r="S2" s="123" t="s">
        <v>123</v>
      </c>
      <c r="T2" s="123" t="s">
        <v>123</v>
      </c>
      <c r="U2" s="123" t="s">
        <v>123</v>
      </c>
      <c r="V2" s="40"/>
    </row>
    <row r="3" spans="1:22" ht="17.5">
      <c r="A3" s="124" t="s">
        <v>124</v>
      </c>
      <c r="B3" s="125" t="s">
        <v>125</v>
      </c>
      <c r="C3" s="125">
        <v>35.425063000000002</v>
      </c>
      <c r="D3" s="125">
        <v>133.33201099999999</v>
      </c>
      <c r="E3" s="124" t="s">
        <v>100</v>
      </c>
      <c r="F3" s="126" t="str">
        <f t="shared" ref="F3:F158" si="0">A3&amp;":"&amp;B3</f>
        <v>P01:たいやきとお茶の店あんあん</v>
      </c>
      <c r="G3" s="127" t="e">
        <f t="array" aca="1" ref="G3" ca="1">_xludf.xlookup(A3,'3.手順'!E:E,'3.手順'!D:D,"_")</f>
        <v>#NAME?</v>
      </c>
      <c r="H3" s="128">
        <f>IF(F3&lt;&gt;"", COUNTIF('3.手順'!H:H,F3),"")</f>
        <v>0</v>
      </c>
      <c r="I3" s="129">
        <f t="shared" ref="I3:I158" si="1">SUM(K3:U3)</f>
        <v>0</v>
      </c>
      <c r="J3" s="130">
        <f t="shared" ref="J3:J158" si="2">I3-H3</f>
        <v>0</v>
      </c>
      <c r="K3" s="131"/>
      <c r="L3" s="114"/>
      <c r="M3" s="40"/>
      <c r="N3" s="40"/>
      <c r="O3" s="40"/>
      <c r="P3" s="40"/>
      <c r="Q3" s="40"/>
      <c r="R3" s="40"/>
      <c r="S3" s="40"/>
      <c r="T3" s="40"/>
      <c r="U3" s="40"/>
      <c r="V3" s="132"/>
    </row>
    <row r="4" spans="1:22" ht="17.5">
      <c r="A4" s="124" t="s">
        <v>126</v>
      </c>
      <c r="B4" s="125" t="s">
        <v>127</v>
      </c>
      <c r="C4" s="125">
        <v>35.425683999999997</v>
      </c>
      <c r="D4" s="125">
        <v>133.33002500000001</v>
      </c>
      <c r="E4" s="124" t="s">
        <v>100</v>
      </c>
      <c r="F4" s="126" t="str">
        <f t="shared" si="0"/>
        <v>P02:東町公園</v>
      </c>
      <c r="G4" s="127" t="e">
        <f t="array" aca="1" ref="G4" ca="1">_xludf.xlookup(A4,'3.手順'!E:E,'3.手順'!D:D,"_")</f>
        <v>#NAME?</v>
      </c>
      <c r="H4" s="133">
        <f>IF(F4&lt;&gt;"", COUNTIF('3.手順'!H:H,F4),"")</f>
        <v>2</v>
      </c>
      <c r="I4" s="129">
        <f t="shared" si="1"/>
        <v>0</v>
      </c>
      <c r="J4" s="130">
        <f t="shared" si="2"/>
        <v>-2</v>
      </c>
      <c r="K4" s="131"/>
      <c r="L4" s="114"/>
      <c r="M4" s="40"/>
      <c r="N4" s="40"/>
      <c r="O4" s="40"/>
      <c r="P4" s="40"/>
      <c r="Q4" s="40"/>
      <c r="R4" s="40"/>
      <c r="S4" s="40"/>
      <c r="T4" s="40"/>
      <c r="U4" s="40"/>
      <c r="V4" s="132"/>
    </row>
    <row r="5" spans="1:22" ht="17.5">
      <c r="A5" s="124" t="s">
        <v>128</v>
      </c>
      <c r="B5" s="125" t="s">
        <v>129</v>
      </c>
      <c r="C5" s="125">
        <v>35.425722</v>
      </c>
      <c r="D5" s="125">
        <v>133.33711</v>
      </c>
      <c r="E5" s="124" t="s">
        <v>100</v>
      </c>
      <c r="F5" s="126" t="str">
        <f t="shared" si="0"/>
        <v>P03:日本海情報ビジネス専門学校</v>
      </c>
      <c r="G5" s="127" t="e">
        <f t="array" aca="1" ref="G5" ca="1">_xludf.xlookup(A5,'3.手順'!E:E,'3.手順'!D:D,"_")</f>
        <v>#NAME?</v>
      </c>
      <c r="H5" s="134">
        <f>IF(F5&lt;&gt;"", COUNTIF('3.手順'!H:H,F5),"")</f>
        <v>0</v>
      </c>
      <c r="I5" s="129">
        <f t="shared" si="1"/>
        <v>0</v>
      </c>
      <c r="J5" s="130">
        <f t="shared" si="2"/>
        <v>0</v>
      </c>
      <c r="K5" s="131"/>
      <c r="L5" s="114"/>
      <c r="M5" s="40"/>
      <c r="N5" s="40"/>
      <c r="O5" s="40"/>
      <c r="P5" s="40"/>
      <c r="Q5" s="40"/>
      <c r="R5" s="40"/>
      <c r="S5" s="40"/>
      <c r="T5" s="40"/>
      <c r="U5" s="40"/>
      <c r="V5" s="132"/>
    </row>
    <row r="6" spans="1:22" ht="17.5">
      <c r="A6" s="124" t="s">
        <v>130</v>
      </c>
      <c r="B6" s="125" t="s">
        <v>131</v>
      </c>
      <c r="C6" s="125">
        <v>35.426377000000002</v>
      </c>
      <c r="D6" s="125">
        <v>133.33220399999999</v>
      </c>
      <c r="E6" s="124" t="s">
        <v>100</v>
      </c>
      <c r="F6" s="126" t="str">
        <f t="shared" si="0"/>
        <v>P04:海鮮居酒屋 とみ家</v>
      </c>
      <c r="G6" s="127" t="e">
        <f t="array" aca="1" ref="G6" ca="1">_xludf.xlookup(A6,'3.手順'!E:E,'3.手順'!D:D,"_")</f>
        <v>#NAME?</v>
      </c>
      <c r="H6" s="128">
        <f>IF(F6&lt;&gt;"", COUNTIF('3.手順'!H:H,F6),"")</f>
        <v>4</v>
      </c>
      <c r="I6" s="129">
        <f t="shared" si="1"/>
        <v>0</v>
      </c>
      <c r="J6" s="130">
        <f t="shared" si="2"/>
        <v>-4</v>
      </c>
      <c r="K6" s="131"/>
      <c r="L6" s="114"/>
      <c r="M6" s="40"/>
      <c r="N6" s="40"/>
      <c r="O6" s="40"/>
      <c r="P6" s="40"/>
      <c r="Q6" s="40"/>
      <c r="R6" s="40"/>
      <c r="S6" s="40"/>
      <c r="T6" s="40"/>
      <c r="U6" s="40"/>
      <c r="V6" s="132"/>
    </row>
    <row r="7" spans="1:22" ht="17.5">
      <c r="A7" s="124" t="s">
        <v>132</v>
      </c>
      <c r="B7" s="125" t="s">
        <v>133</v>
      </c>
      <c r="C7" s="125">
        <v>35.426670999999999</v>
      </c>
      <c r="D7" s="125">
        <v>133.330277</v>
      </c>
      <c r="E7" s="124" t="s">
        <v>100</v>
      </c>
      <c r="F7" s="126" t="str">
        <f t="shared" si="0"/>
        <v>P05:19.からす座</v>
      </c>
      <c r="G7" s="127" t="e">
        <f t="array" aca="1" ref="G7" ca="1">_xludf.xlookup(A7,'3.手順'!E:E,'3.手順'!D:D,"_")</f>
        <v>#NAME?</v>
      </c>
      <c r="H7" s="135">
        <f>IF(F7&lt;&gt;"", COUNTIF('3.手順'!H:H,F7),"")</f>
        <v>1</v>
      </c>
      <c r="I7" s="129">
        <f t="shared" si="1"/>
        <v>0</v>
      </c>
      <c r="J7" s="130">
        <f t="shared" si="2"/>
        <v>-1</v>
      </c>
      <c r="K7" s="131"/>
      <c r="L7" s="114"/>
      <c r="M7" s="40"/>
      <c r="N7" s="40"/>
      <c r="O7" s="40"/>
      <c r="P7" s="40"/>
      <c r="Q7" s="40"/>
      <c r="R7" s="40"/>
      <c r="S7" s="40"/>
      <c r="T7" s="40"/>
      <c r="U7" s="40"/>
      <c r="V7" s="132"/>
    </row>
    <row r="8" spans="1:22" ht="17.5">
      <c r="A8" s="124" t="s">
        <v>134</v>
      </c>
      <c r="B8" s="125" t="s">
        <v>135</v>
      </c>
      <c r="C8" s="125">
        <v>35.426820999999997</v>
      </c>
      <c r="D8" s="125">
        <v>133.33413899999999</v>
      </c>
      <c r="E8" s="124" t="s">
        <v>100</v>
      </c>
      <c r="F8" s="126" t="str">
        <f t="shared" si="0"/>
        <v>P06:旧法勝寺電車</v>
      </c>
      <c r="G8" s="127" t="e">
        <f t="array" aca="1" ref="G8" ca="1">_xludf.xlookup(A8,'3.手順'!E:E,'3.手順'!D:D,"_")</f>
        <v>#NAME?</v>
      </c>
      <c r="H8" s="135">
        <f>IF(F8&lt;&gt;"", COUNTIF('3.手順'!H:H,F8),"")</f>
        <v>1</v>
      </c>
      <c r="I8" s="129">
        <f t="shared" si="1"/>
        <v>0</v>
      </c>
      <c r="J8" s="130">
        <f t="shared" si="2"/>
        <v>-1</v>
      </c>
      <c r="K8" s="131"/>
      <c r="L8" s="114"/>
      <c r="M8" s="40"/>
      <c r="N8" s="40"/>
      <c r="O8" s="40"/>
      <c r="P8" s="40"/>
      <c r="Q8" s="40"/>
      <c r="R8" s="40"/>
      <c r="S8" s="40"/>
      <c r="T8" s="40"/>
      <c r="U8" s="40"/>
      <c r="V8" s="132"/>
    </row>
    <row r="9" spans="1:22" ht="17.5">
      <c r="A9" s="124" t="s">
        <v>136</v>
      </c>
      <c r="B9" s="125" t="s">
        <v>137</v>
      </c>
      <c r="C9" s="125">
        <v>35.427329999999998</v>
      </c>
      <c r="D9" s="125">
        <v>133.32892000000001</v>
      </c>
      <c r="E9" s="124" t="s">
        <v>100</v>
      </c>
      <c r="F9" s="126" t="str">
        <f t="shared" si="0"/>
        <v>P07:がいな太鼓時計</v>
      </c>
      <c r="G9" s="127" t="e">
        <f t="array" aca="1" ref="G9" ca="1">_xludf.xlookup(A9,'3.手順'!E:E,'3.手順'!D:D,"_")</f>
        <v>#NAME?</v>
      </c>
      <c r="H9" s="136">
        <f>IF(F9&lt;&gt;"", COUNTIF('3.手順'!H:H,F9),"")</f>
        <v>0</v>
      </c>
      <c r="I9" s="129">
        <f t="shared" si="1"/>
        <v>0</v>
      </c>
      <c r="J9" s="130">
        <f t="shared" si="2"/>
        <v>0</v>
      </c>
      <c r="K9" s="131"/>
      <c r="L9" s="114"/>
      <c r="M9" s="40"/>
      <c r="N9" s="40"/>
      <c r="O9" s="40"/>
      <c r="P9" s="40"/>
      <c r="Q9" s="40"/>
      <c r="R9" s="40"/>
      <c r="S9" s="40"/>
      <c r="T9" s="40"/>
      <c r="U9" s="40"/>
      <c r="V9" s="132"/>
    </row>
    <row r="10" spans="1:22" ht="17.5">
      <c r="A10" s="124" t="s">
        <v>138</v>
      </c>
      <c r="B10" s="125" t="s">
        <v>139</v>
      </c>
      <c r="C10" s="125">
        <v>35.427591999999997</v>
      </c>
      <c r="D10" s="125">
        <v>133.33287200000001</v>
      </c>
      <c r="E10" s="124" t="s">
        <v>100</v>
      </c>
      <c r="F10" s="126" t="str">
        <f t="shared" si="0"/>
        <v>P08:米子合同庁舎</v>
      </c>
      <c r="G10" s="127" t="e">
        <f t="array" aca="1" ref="G10" ca="1">_xludf.xlookup(A10,'3.手順'!E:E,'3.手順'!D:D,"_")</f>
        <v>#NAME?</v>
      </c>
      <c r="H10" s="135">
        <f>IF(F10&lt;&gt;"", COUNTIF('3.手順'!H:H,F10),"")</f>
        <v>2</v>
      </c>
      <c r="I10" s="129">
        <f t="shared" si="1"/>
        <v>0</v>
      </c>
      <c r="J10" s="130">
        <f t="shared" si="2"/>
        <v>-2</v>
      </c>
      <c r="K10" s="131"/>
      <c r="L10" s="114"/>
      <c r="M10" s="40"/>
      <c r="N10" s="40"/>
      <c r="O10" s="40"/>
      <c r="P10" s="40"/>
      <c r="Q10" s="40"/>
      <c r="R10" s="40"/>
      <c r="S10" s="40"/>
      <c r="T10" s="40"/>
      <c r="U10" s="40"/>
      <c r="V10" s="132"/>
    </row>
    <row r="11" spans="1:22" ht="17.5">
      <c r="A11" s="124" t="s">
        <v>140</v>
      </c>
      <c r="B11" s="125" t="s">
        <v>141</v>
      </c>
      <c r="C11" s="125">
        <v>35.427636999999997</v>
      </c>
      <c r="D11" s="125">
        <v>133.32850999999999</v>
      </c>
      <c r="E11" s="124" t="s">
        <v>100</v>
      </c>
      <c r="F11" s="126" t="str">
        <f t="shared" si="0"/>
        <v>P09:金光教米子教会</v>
      </c>
      <c r="G11" s="127" t="e">
        <f t="array" aca="1" ref="G11" ca="1">_xludf.xlookup(A11,'3.手順'!E:E,'3.手順'!D:D,"_")</f>
        <v>#NAME?</v>
      </c>
      <c r="H11" s="134">
        <f>IF(F11&lt;&gt;"", COUNTIF('3.手順'!H:H,F11),"")</f>
        <v>2</v>
      </c>
      <c r="I11" s="129">
        <f t="shared" si="1"/>
        <v>0</v>
      </c>
      <c r="J11" s="130">
        <f t="shared" si="2"/>
        <v>-2</v>
      </c>
      <c r="K11" s="131"/>
      <c r="L11" s="114"/>
      <c r="M11" s="40"/>
      <c r="N11" s="40"/>
      <c r="O11" s="40"/>
      <c r="P11" s="40"/>
      <c r="Q11" s="40"/>
      <c r="R11" s="40"/>
      <c r="S11" s="40"/>
      <c r="T11" s="40"/>
      <c r="U11" s="40"/>
      <c r="V11" s="132"/>
    </row>
    <row r="12" spans="1:22" ht="17.5">
      <c r="A12" s="124" t="s">
        <v>142</v>
      </c>
      <c r="B12" s="125" t="s">
        <v>143</v>
      </c>
      <c r="C12" s="125">
        <v>35.427647</v>
      </c>
      <c r="D12" s="125">
        <v>133.33138700000001</v>
      </c>
      <c r="E12" s="124" t="s">
        <v>100</v>
      </c>
      <c r="F12" s="126" t="str">
        <f t="shared" si="0"/>
        <v>P10:東京2020記念ゴールドポスト</v>
      </c>
      <c r="G12" s="127" t="e">
        <f t="array" aca="1" ref="G12" ca="1">_xludf.xlookup(A12,'3.手順'!E:E,'3.手順'!D:D,"_")</f>
        <v>#NAME?</v>
      </c>
      <c r="H12" s="134">
        <f>IF(F12&lt;&gt;"", COUNTIF('3.手順'!H:H,F12),"")</f>
        <v>2</v>
      </c>
      <c r="I12" s="129">
        <f t="shared" si="1"/>
        <v>0</v>
      </c>
      <c r="J12" s="130">
        <f t="shared" si="2"/>
        <v>-2</v>
      </c>
      <c r="K12" s="131"/>
      <c r="L12" s="114"/>
      <c r="M12" s="40"/>
      <c r="N12" s="40"/>
      <c r="O12" s="40"/>
      <c r="P12" s="40"/>
      <c r="Q12" s="40"/>
      <c r="R12" s="40"/>
      <c r="S12" s="40"/>
      <c r="T12" s="40"/>
      <c r="U12" s="40"/>
      <c r="V12" s="132"/>
    </row>
    <row r="13" spans="1:22" ht="17.5">
      <c r="A13" s="124" t="s">
        <v>144</v>
      </c>
      <c r="B13" s="125" t="s">
        <v>145</v>
      </c>
      <c r="C13" s="125">
        <v>35.427714999999999</v>
      </c>
      <c r="D13" s="125">
        <v>133.32618400000001</v>
      </c>
      <c r="E13" s="124" t="s">
        <v>100</v>
      </c>
      <c r="F13" s="126" t="str">
        <f t="shared" si="0"/>
        <v>P11:市営湊山球場跡地</v>
      </c>
      <c r="G13" s="127" t="e">
        <f t="array" aca="1" ref="G13" ca="1">_xludf.xlookup(A13,'3.手順'!E:E,'3.手順'!D:D,"_")</f>
        <v>#NAME?</v>
      </c>
      <c r="H13" s="135">
        <f>IF(F13&lt;&gt;"", COUNTIF('3.手順'!H:H,F13),"")</f>
        <v>1</v>
      </c>
      <c r="I13" s="129">
        <f t="shared" si="1"/>
        <v>0</v>
      </c>
      <c r="J13" s="130">
        <f t="shared" si="2"/>
        <v>-1</v>
      </c>
      <c r="K13" s="131"/>
      <c r="L13" s="114"/>
      <c r="M13" s="40"/>
      <c r="N13" s="40"/>
      <c r="O13" s="40"/>
      <c r="P13" s="40"/>
      <c r="Q13" s="40"/>
      <c r="R13" s="40"/>
      <c r="S13" s="40"/>
      <c r="T13" s="40"/>
      <c r="U13" s="40"/>
      <c r="V13" s="132"/>
    </row>
    <row r="14" spans="1:22" ht="17.5">
      <c r="A14" s="124" t="s">
        <v>146</v>
      </c>
      <c r="B14" s="125" t="s">
        <v>147</v>
      </c>
      <c r="C14" s="125">
        <v>35.427791999999997</v>
      </c>
      <c r="D14" s="125">
        <v>133.339157</v>
      </c>
      <c r="E14" s="124" t="s">
        <v>100</v>
      </c>
      <c r="F14" s="126" t="str">
        <f t="shared" si="0"/>
        <v>P12:鳥取県西部総合事務所</v>
      </c>
      <c r="G14" s="127" t="e">
        <f t="array" aca="1" ref="G14" ca="1">_xludf.xlookup(A14,'3.手順'!E:E,'3.手順'!D:D,"_")</f>
        <v>#NAME?</v>
      </c>
      <c r="H14" s="137">
        <f>IF(F14&lt;&gt;"", COUNTIF('3.手順'!H:H,F14),"")</f>
        <v>1</v>
      </c>
      <c r="I14" s="129">
        <f t="shared" si="1"/>
        <v>0</v>
      </c>
      <c r="J14" s="130">
        <f t="shared" si="2"/>
        <v>-1</v>
      </c>
      <c r="K14" s="131"/>
      <c r="L14" s="114"/>
      <c r="M14" s="40"/>
      <c r="N14" s="40"/>
      <c r="O14" s="40"/>
      <c r="P14" s="40"/>
      <c r="Q14" s="40"/>
      <c r="R14" s="40"/>
      <c r="S14" s="40"/>
      <c r="T14" s="40"/>
      <c r="U14" s="40"/>
      <c r="V14" s="132"/>
    </row>
    <row r="15" spans="1:22" ht="17.5">
      <c r="A15" s="124" t="s">
        <v>148</v>
      </c>
      <c r="B15" s="125" t="s">
        <v>149</v>
      </c>
      <c r="C15" s="125">
        <v>35.427920999999998</v>
      </c>
      <c r="D15" s="125">
        <v>133.334101</v>
      </c>
      <c r="E15" s="124" t="s">
        <v>100</v>
      </c>
      <c r="F15" s="126" t="str">
        <f t="shared" si="0"/>
        <v>P13:やっちゃん</v>
      </c>
      <c r="G15" s="127" t="e">
        <f t="array" aca="1" ref="G15" ca="1">_xludf.xlookup(A15,'3.手順'!E:E,'3.手順'!D:D,"_")</f>
        <v>#NAME?</v>
      </c>
      <c r="H15" s="138">
        <f>IF(F15&lt;&gt;"", COUNTIF('3.手順'!H:H,F15),"")</f>
        <v>2</v>
      </c>
      <c r="I15" s="129">
        <f t="shared" si="1"/>
        <v>0</v>
      </c>
      <c r="J15" s="130">
        <f t="shared" si="2"/>
        <v>-2</v>
      </c>
      <c r="K15" s="131"/>
      <c r="L15" s="114"/>
      <c r="M15" s="40"/>
      <c r="N15" s="40"/>
      <c r="O15" s="40"/>
      <c r="P15" s="40"/>
      <c r="Q15" s="40"/>
      <c r="R15" s="40"/>
      <c r="S15" s="40"/>
      <c r="T15" s="40"/>
      <c r="U15" s="40"/>
      <c r="V15" s="132"/>
    </row>
    <row r="16" spans="1:22" ht="17.5">
      <c r="A16" s="124" t="s">
        <v>150</v>
      </c>
      <c r="B16" s="125" t="s">
        <v>151</v>
      </c>
      <c r="C16" s="125">
        <v>35.428230999999997</v>
      </c>
      <c r="D16" s="125">
        <v>133.32823400000001</v>
      </c>
      <c r="E16" s="124" t="s">
        <v>100</v>
      </c>
      <c r="F16" s="126" t="str">
        <f t="shared" si="0"/>
        <v>P14:米子加茂町郵便局</v>
      </c>
      <c r="G16" s="127" t="e">
        <f t="array" aca="1" ref="G16" ca="1">_xludf.xlookup(A16,'3.手順'!E:E,'3.手順'!D:D,"_")</f>
        <v>#NAME?</v>
      </c>
      <c r="H16" s="138">
        <f>IF(F16&lt;&gt;"", COUNTIF('3.手順'!H:H,F16),"")</f>
        <v>3</v>
      </c>
      <c r="I16" s="129">
        <f t="shared" si="1"/>
        <v>0</v>
      </c>
      <c r="J16" s="130">
        <f t="shared" si="2"/>
        <v>-3</v>
      </c>
      <c r="K16" s="131"/>
      <c r="L16" s="114"/>
      <c r="M16" s="40"/>
      <c r="N16" s="40"/>
      <c r="O16" s="40"/>
      <c r="P16" s="40"/>
      <c r="Q16" s="40"/>
      <c r="R16" s="40"/>
      <c r="S16" s="40"/>
      <c r="T16" s="40"/>
      <c r="U16" s="40"/>
      <c r="V16" s="132"/>
    </row>
    <row r="17" spans="1:22" ht="17.5">
      <c r="A17" s="124" t="s">
        <v>152</v>
      </c>
      <c r="B17" s="125" t="s">
        <v>153</v>
      </c>
      <c r="C17" s="125">
        <v>35.428322000000001</v>
      </c>
      <c r="D17" s="125">
        <v>133.3306</v>
      </c>
      <c r="E17" s="124" t="s">
        <v>100</v>
      </c>
      <c r="F17" s="126" t="str">
        <f t="shared" si="0"/>
        <v>P15:米子市役所</v>
      </c>
      <c r="G17" s="127" t="e">
        <f t="array" aca="1" ref="G17" ca="1">_xludf.xlookup(A17,'3.手順'!E:E,'3.手順'!D:D,"_")</f>
        <v>#NAME?</v>
      </c>
      <c r="H17" s="135">
        <f>IF(F17&lt;&gt;"", COUNTIF('3.手順'!H:H,F17),"")</f>
        <v>2</v>
      </c>
      <c r="I17" s="129">
        <f t="shared" si="1"/>
        <v>0</v>
      </c>
      <c r="J17" s="130">
        <f t="shared" si="2"/>
        <v>-2</v>
      </c>
      <c r="K17" s="131"/>
      <c r="L17" s="114"/>
      <c r="M17" s="40"/>
      <c r="N17" s="40"/>
      <c r="O17" s="40"/>
      <c r="P17" s="40"/>
      <c r="Q17" s="40"/>
      <c r="R17" s="40"/>
      <c r="S17" s="40"/>
      <c r="T17" s="40"/>
      <c r="U17" s="40"/>
      <c r="V17" s="132"/>
    </row>
    <row r="18" spans="1:22" ht="17.5">
      <c r="A18" s="124" t="s">
        <v>154</v>
      </c>
      <c r="B18" s="125" t="s">
        <v>155</v>
      </c>
      <c r="C18" s="125">
        <v>35.428826999999998</v>
      </c>
      <c r="D18" s="125">
        <v>133.33743799999999</v>
      </c>
      <c r="E18" s="124" t="s">
        <v>100</v>
      </c>
      <c r="F18" s="126" t="str">
        <f t="shared" si="0"/>
        <v>P16:延命院地蔵</v>
      </c>
      <c r="G18" s="127" t="e">
        <f t="array" aca="1" ref="G18" ca="1">_xludf.xlookup(A18,'3.手順'!E:E,'3.手順'!D:D,"_")</f>
        <v>#NAME?</v>
      </c>
      <c r="H18" s="128">
        <f>IF(F18&lt;&gt;"", COUNTIF('3.手順'!H:H,F18),"")</f>
        <v>2</v>
      </c>
      <c r="I18" s="129">
        <f t="shared" si="1"/>
        <v>0</v>
      </c>
      <c r="J18" s="130">
        <f t="shared" si="2"/>
        <v>-2</v>
      </c>
      <c r="K18" s="131"/>
      <c r="L18" s="114"/>
      <c r="M18" s="40"/>
      <c r="N18" s="40"/>
      <c r="O18" s="40"/>
      <c r="P18" s="40"/>
      <c r="Q18" s="40"/>
      <c r="R18" s="40"/>
      <c r="S18" s="40"/>
      <c r="T18" s="40"/>
      <c r="U18" s="40"/>
      <c r="V18" s="132"/>
    </row>
    <row r="19" spans="1:22" ht="17.5">
      <c r="A19" s="124" t="s">
        <v>156</v>
      </c>
      <c r="B19" s="125" t="s">
        <v>157</v>
      </c>
      <c r="C19" s="125">
        <v>35.429049999999997</v>
      </c>
      <c r="D19" s="125">
        <v>133.33549099999999</v>
      </c>
      <c r="E19" s="124" t="s">
        <v>100</v>
      </c>
      <c r="F19" s="126" t="str">
        <f t="shared" si="0"/>
        <v>P17:法勝寺町橋地蔵</v>
      </c>
      <c r="G19" s="127" t="e">
        <f t="array" aca="1" ref="G19" ca="1">_xludf.xlookup(A19,'3.手順'!E:E,'3.手順'!D:D,"_")</f>
        <v>#NAME?</v>
      </c>
      <c r="H19" s="135">
        <f>IF(F19&lt;&gt;"", COUNTIF('3.手順'!H:H,F19),"")</f>
        <v>0</v>
      </c>
      <c r="I19" s="129">
        <f t="shared" si="1"/>
        <v>0</v>
      </c>
      <c r="J19" s="130">
        <f t="shared" si="2"/>
        <v>0</v>
      </c>
      <c r="K19" s="131"/>
      <c r="L19" s="114"/>
      <c r="M19" s="40"/>
      <c r="N19" s="40"/>
      <c r="O19" s="40"/>
      <c r="P19" s="40"/>
      <c r="Q19" s="40"/>
      <c r="R19" s="40"/>
      <c r="S19" s="40"/>
      <c r="T19" s="40"/>
      <c r="U19" s="40"/>
      <c r="V19" s="132"/>
    </row>
    <row r="20" spans="1:22" ht="14.25" customHeight="1">
      <c r="A20" s="124" t="s">
        <v>158</v>
      </c>
      <c r="B20" s="125" t="s">
        <v>159</v>
      </c>
      <c r="C20" s="125">
        <v>35.429184999999997</v>
      </c>
      <c r="D20" s="125">
        <v>133.33043000000001</v>
      </c>
      <c r="E20" s="124" t="s">
        <v>100</v>
      </c>
      <c r="F20" s="126" t="str">
        <f t="shared" si="0"/>
        <v>P18:山陰歴史館</v>
      </c>
      <c r="G20" s="127" t="e">
        <f t="array" aca="1" ref="G20" ca="1">_xludf.xlookup(A20,'3.手順'!E:E,'3.手順'!D:D,"_")</f>
        <v>#NAME?</v>
      </c>
      <c r="H20" s="133">
        <f>IF(F20&lt;&gt;"", COUNTIF('3.手順'!H:H,F20),"")</f>
        <v>2</v>
      </c>
      <c r="I20" s="129">
        <f t="shared" si="1"/>
        <v>0</v>
      </c>
      <c r="J20" s="130">
        <f t="shared" si="2"/>
        <v>-2</v>
      </c>
      <c r="K20" s="131"/>
      <c r="L20" s="114"/>
      <c r="M20" s="40"/>
      <c r="N20" s="40"/>
      <c r="O20" s="40"/>
      <c r="P20" s="40"/>
      <c r="Q20" s="40"/>
      <c r="R20" s="40"/>
      <c r="S20" s="40"/>
      <c r="T20" s="40"/>
      <c r="U20" s="40"/>
      <c r="V20" s="132"/>
    </row>
    <row r="21" spans="1:22" ht="17.5">
      <c r="A21" s="124" t="s">
        <v>160</v>
      </c>
      <c r="B21" s="125" t="s">
        <v>161</v>
      </c>
      <c r="C21" s="125">
        <v>35.429513999999998</v>
      </c>
      <c r="D21" s="125">
        <v>133.33556400000001</v>
      </c>
      <c r="E21" s="124" t="s">
        <v>100</v>
      </c>
      <c r="F21" s="126" t="str">
        <f t="shared" si="0"/>
        <v>P19:天理教米城分教会</v>
      </c>
      <c r="G21" s="127" t="e">
        <f t="array" aca="1" ref="G21" ca="1">_xludf.xlookup(A21,'3.手順'!E:E,'3.手順'!D:D,"_")</f>
        <v>#NAME?</v>
      </c>
      <c r="H21" s="128">
        <f>IF(F21&lt;&gt;"", COUNTIF('3.手順'!H:H,F21),"")</f>
        <v>1</v>
      </c>
      <c r="I21" s="129">
        <f t="shared" si="1"/>
        <v>0</v>
      </c>
      <c r="J21" s="130">
        <f t="shared" si="2"/>
        <v>-1</v>
      </c>
      <c r="K21" s="131"/>
      <c r="L21" s="114"/>
      <c r="M21" s="40"/>
      <c r="N21" s="40"/>
      <c r="O21" s="40"/>
      <c r="P21" s="40"/>
      <c r="Q21" s="40"/>
      <c r="R21" s="40"/>
      <c r="S21" s="40"/>
      <c r="T21" s="40"/>
      <c r="U21" s="40"/>
      <c r="V21" s="132"/>
    </row>
    <row r="22" spans="1:22" ht="17.5">
      <c r="A22" s="124" t="s">
        <v>162</v>
      </c>
      <c r="B22" s="125" t="s">
        <v>163</v>
      </c>
      <c r="C22" s="125">
        <v>35.429614999999998</v>
      </c>
      <c r="D22" s="125">
        <v>133.33253099999999</v>
      </c>
      <c r="E22" s="124" t="s">
        <v>100</v>
      </c>
      <c r="F22" s="126" t="str">
        <f t="shared" si="0"/>
        <v>P20:加茂かめ</v>
      </c>
      <c r="G22" s="127" t="e">
        <f t="array" aca="1" ref="G22" ca="1">_xludf.xlookup(A22,'3.手順'!E:E,'3.手順'!D:D,"_")</f>
        <v>#NAME?</v>
      </c>
      <c r="H22" s="134">
        <f>IF(F22&lt;&gt;"", COUNTIF('3.手順'!H:H,F22),"")</f>
        <v>2</v>
      </c>
      <c r="I22" s="129">
        <f t="shared" si="1"/>
        <v>0</v>
      </c>
      <c r="J22" s="130">
        <f t="shared" si="2"/>
        <v>-2</v>
      </c>
      <c r="K22" s="131"/>
      <c r="L22" s="114"/>
      <c r="M22" s="40"/>
      <c r="N22" s="40"/>
      <c r="O22" s="40"/>
      <c r="P22" s="40"/>
      <c r="Q22" s="40"/>
      <c r="R22" s="40"/>
      <c r="S22" s="40"/>
      <c r="T22" s="40"/>
      <c r="U22" s="40"/>
      <c r="V22" s="132"/>
    </row>
    <row r="23" spans="1:22" ht="17.5">
      <c r="A23" s="124" t="s">
        <v>164</v>
      </c>
      <c r="B23" s="125" t="s">
        <v>165</v>
      </c>
      <c r="C23" s="125">
        <v>35.429617</v>
      </c>
      <c r="D23" s="125">
        <v>133.33366699999999</v>
      </c>
      <c r="E23" s="124" t="s">
        <v>100</v>
      </c>
      <c r="F23" s="126" t="str">
        <f t="shared" si="0"/>
        <v>P21:瑜伽堂地蔵</v>
      </c>
      <c r="G23" s="127" t="e">
        <f t="array" aca="1" ref="G23" ca="1">_xludf.xlookup(A23,'3.手順'!E:E,'3.手順'!D:D,"_")</f>
        <v>#NAME?</v>
      </c>
      <c r="H23" s="135">
        <f>IF(F23&lt;&gt;"", COUNTIF('3.手順'!H:H,F23),"")</f>
        <v>2</v>
      </c>
      <c r="I23" s="129">
        <f t="shared" si="1"/>
        <v>0</v>
      </c>
      <c r="J23" s="130">
        <f t="shared" si="2"/>
        <v>-2</v>
      </c>
      <c r="K23" s="131"/>
      <c r="L23" s="114"/>
      <c r="M23" s="40"/>
      <c r="N23" s="40"/>
      <c r="O23" s="40"/>
      <c r="P23" s="40"/>
      <c r="Q23" s="40"/>
      <c r="R23" s="40"/>
      <c r="S23" s="40"/>
      <c r="T23" s="40"/>
      <c r="U23" s="40"/>
      <c r="V23" s="132"/>
    </row>
    <row r="24" spans="1:22" ht="17.5">
      <c r="A24" s="124" t="s">
        <v>166</v>
      </c>
      <c r="B24" s="125" t="s">
        <v>167</v>
      </c>
      <c r="C24" s="125">
        <v>35.430261999999999</v>
      </c>
      <c r="D24" s="125">
        <v>133.33159499999999</v>
      </c>
      <c r="E24" s="124" t="s">
        <v>100</v>
      </c>
      <c r="F24" s="126" t="str">
        <f t="shared" si="0"/>
        <v>P22:旭橋のステンドグラスみたいな欄干</v>
      </c>
      <c r="G24" s="127" t="e">
        <f t="array" aca="1" ref="G24" ca="1">_xludf.xlookup(A24,'3.手順'!E:E,'3.手順'!D:D,"_")</f>
        <v>#NAME?</v>
      </c>
      <c r="H24" s="135">
        <f>IF(F24&lt;&gt;"", COUNTIF('3.手順'!H:H,F24),"")</f>
        <v>0</v>
      </c>
      <c r="I24" s="129">
        <f t="shared" si="1"/>
        <v>0</v>
      </c>
      <c r="J24" s="130">
        <f t="shared" si="2"/>
        <v>0</v>
      </c>
      <c r="K24" s="131"/>
      <c r="L24" s="114"/>
      <c r="M24" s="40"/>
      <c r="N24" s="40"/>
      <c r="O24" s="40"/>
      <c r="P24" s="40"/>
      <c r="Q24" s="40"/>
      <c r="R24" s="40"/>
      <c r="S24" s="40"/>
      <c r="T24" s="40"/>
      <c r="U24" s="40"/>
      <c r="V24" s="132"/>
    </row>
    <row r="25" spans="1:22" ht="17.5">
      <c r="A25" s="124" t="s">
        <v>168</v>
      </c>
      <c r="B25" s="125" t="s">
        <v>169</v>
      </c>
      <c r="C25" s="125">
        <v>35.430574999999997</v>
      </c>
      <c r="D25" s="125">
        <v>133.330703</v>
      </c>
      <c r="E25" s="124" t="s">
        <v>100</v>
      </c>
      <c r="F25" s="126" t="str">
        <f t="shared" si="0"/>
        <v>P23:出現地蔵</v>
      </c>
      <c r="G25" s="127" t="e">
        <f t="array" aca="1" ref="G25" ca="1">_xludf.xlookup(A25,'3.手順'!E:E,'3.手順'!D:D,"_")</f>
        <v>#NAME?</v>
      </c>
      <c r="H25" s="134">
        <f>IF(F25&lt;&gt;"", COUNTIF('3.手順'!H:H,F25),"")</f>
        <v>2</v>
      </c>
      <c r="I25" s="129">
        <f t="shared" si="1"/>
        <v>0</v>
      </c>
      <c r="J25" s="130">
        <f t="shared" si="2"/>
        <v>-2</v>
      </c>
      <c r="K25" s="131"/>
      <c r="L25" s="114"/>
      <c r="M25" s="40"/>
      <c r="N25" s="40"/>
      <c r="O25" s="40"/>
      <c r="P25" s="40"/>
      <c r="Q25" s="40"/>
      <c r="R25" s="40"/>
      <c r="S25" s="40"/>
      <c r="T25" s="40"/>
      <c r="U25" s="40"/>
      <c r="V25" s="132"/>
    </row>
    <row r="26" spans="1:22" ht="17.5">
      <c r="A26" s="124" t="s">
        <v>170</v>
      </c>
      <c r="B26" s="125" t="s">
        <v>171</v>
      </c>
      <c r="C26" s="125">
        <v>35.430601000000003</v>
      </c>
      <c r="D26" s="125">
        <v>133.33097699999999</v>
      </c>
      <c r="E26" s="124" t="s">
        <v>100</v>
      </c>
      <c r="F26" s="126" t="str">
        <f t="shared" si="0"/>
        <v>P24:咲い地蔵</v>
      </c>
      <c r="G26" s="127" t="e">
        <f t="array" aca="1" ref="G26" ca="1">_xludf.xlookup(A26,'3.手順'!E:E,'3.手順'!D:D,"_")</f>
        <v>#NAME?</v>
      </c>
      <c r="H26" s="134">
        <f>IF(F26&lt;&gt;"", COUNTIF('3.手順'!H:H,F26),"")</f>
        <v>1</v>
      </c>
      <c r="I26" s="129">
        <f t="shared" si="1"/>
        <v>0</v>
      </c>
      <c r="J26" s="130">
        <f t="shared" si="2"/>
        <v>-1</v>
      </c>
      <c r="K26" s="131"/>
      <c r="L26" s="114"/>
      <c r="M26" s="40"/>
      <c r="N26" s="40"/>
      <c r="O26" s="40"/>
      <c r="P26" s="40"/>
      <c r="Q26" s="40"/>
      <c r="R26" s="40"/>
      <c r="S26" s="40"/>
      <c r="T26" s="40"/>
      <c r="U26" s="40"/>
      <c r="V26" s="132"/>
    </row>
    <row r="27" spans="1:22" ht="17.5">
      <c r="A27" s="124" t="s">
        <v>172</v>
      </c>
      <c r="B27" s="125" t="s">
        <v>173</v>
      </c>
      <c r="C27" s="125">
        <v>35.430709999999998</v>
      </c>
      <c r="D27" s="125">
        <v>133.329038</v>
      </c>
      <c r="E27" s="124" t="s">
        <v>100</v>
      </c>
      <c r="F27" s="126" t="str">
        <f t="shared" si="0"/>
        <v>P25:カッパのコンちゃん</v>
      </c>
      <c r="G27" s="127" t="e">
        <f t="array" aca="1" ref="G27" ca="1">_xludf.xlookup(A27,'3.手順'!E:E,'3.手順'!D:D,"_")</f>
        <v>#NAME?</v>
      </c>
      <c r="H27" s="139">
        <f>IF(F27&lt;&gt;"", COUNTIF('3.手順'!H:H,F27),"")</f>
        <v>3</v>
      </c>
      <c r="I27" s="129">
        <f t="shared" si="1"/>
        <v>0</v>
      </c>
      <c r="J27" s="130">
        <f t="shared" si="2"/>
        <v>-3</v>
      </c>
      <c r="K27" s="131"/>
      <c r="L27" s="114"/>
      <c r="M27" s="40"/>
      <c r="N27" s="40"/>
      <c r="O27" s="40"/>
      <c r="P27" s="40"/>
      <c r="Q27" s="40"/>
      <c r="R27" s="40"/>
      <c r="S27" s="40"/>
      <c r="T27" s="40"/>
      <c r="U27" s="40"/>
      <c r="V27" s="132"/>
    </row>
    <row r="28" spans="1:22" ht="17.5">
      <c r="A28" s="124" t="s">
        <v>174</v>
      </c>
      <c r="B28" s="125" t="s">
        <v>175</v>
      </c>
      <c r="C28" s="125">
        <v>35.431111000000001</v>
      </c>
      <c r="D28" s="125">
        <v>133.32436000000001</v>
      </c>
      <c r="E28" s="124" t="s">
        <v>100</v>
      </c>
      <c r="F28" s="126" t="str">
        <f t="shared" si="0"/>
        <v>P26:宇気河口神社 鳥居</v>
      </c>
      <c r="G28" s="127" t="e">
        <f t="array" aca="1" ref="G28" ca="1">_xludf.xlookup(A28,'3.手順'!E:E,'3.手順'!D:D,"_")</f>
        <v>#NAME?</v>
      </c>
      <c r="H28" s="128">
        <f>IF(F28&lt;&gt;"", COUNTIF('3.手順'!H:H,F28),"")</f>
        <v>2</v>
      </c>
      <c r="I28" s="129">
        <f t="shared" si="1"/>
        <v>0</v>
      </c>
      <c r="J28" s="130">
        <f t="shared" si="2"/>
        <v>-2</v>
      </c>
      <c r="K28" s="131"/>
      <c r="L28" s="114"/>
      <c r="M28" s="40"/>
      <c r="N28" s="40"/>
      <c r="O28" s="40"/>
      <c r="P28" s="40"/>
      <c r="Q28" s="40"/>
      <c r="R28" s="40"/>
      <c r="S28" s="40"/>
      <c r="T28" s="40"/>
      <c r="U28" s="40"/>
      <c r="V28" s="132"/>
    </row>
    <row r="29" spans="1:22" ht="17.5">
      <c r="A29" s="124" t="s">
        <v>176</v>
      </c>
      <c r="B29" s="125" t="s">
        <v>177</v>
      </c>
      <c r="C29" s="125">
        <v>35.431215000000002</v>
      </c>
      <c r="D29" s="125">
        <v>133.32784599999999</v>
      </c>
      <c r="E29" s="124" t="s">
        <v>100</v>
      </c>
      <c r="F29" s="126" t="str">
        <f t="shared" si="0"/>
        <v>P27:感謝之碑</v>
      </c>
      <c r="G29" s="127" t="e">
        <f t="array" aca="1" ref="G29" ca="1">_xludf.xlookup(A29,'3.手順'!E:E,'3.手順'!D:D,"_")</f>
        <v>#NAME?</v>
      </c>
      <c r="H29" s="134">
        <f>IF(F29&lt;&gt;"", COUNTIF('3.手順'!H:H,F29),"")</f>
        <v>2</v>
      </c>
      <c r="I29" s="129">
        <f t="shared" si="1"/>
        <v>0</v>
      </c>
      <c r="J29" s="130">
        <f t="shared" si="2"/>
        <v>-2</v>
      </c>
      <c r="K29" s="131"/>
      <c r="L29" s="114"/>
      <c r="M29" s="40"/>
      <c r="N29" s="40"/>
      <c r="O29" s="40"/>
      <c r="P29" s="40"/>
      <c r="Q29" s="40"/>
      <c r="R29" s="40"/>
      <c r="S29" s="40"/>
      <c r="T29" s="40"/>
      <c r="U29" s="40"/>
      <c r="V29" s="132"/>
    </row>
    <row r="30" spans="1:22" ht="17.5">
      <c r="A30" s="124" t="s">
        <v>178</v>
      </c>
      <c r="B30" s="125" t="s">
        <v>179</v>
      </c>
      <c r="C30" s="125">
        <v>35.431417000000003</v>
      </c>
      <c r="D30" s="125">
        <v>133.33820800000001</v>
      </c>
      <c r="E30" s="124" t="s">
        <v>100</v>
      </c>
      <c r="F30" s="126" t="str">
        <f t="shared" si="0"/>
        <v>P28:荒魂神社</v>
      </c>
      <c r="G30" s="127" t="e">
        <f t="array" aca="1" ref="G30" ca="1">_xludf.xlookup(A30,'3.手順'!E:E,'3.手順'!D:D,"_")</f>
        <v>#NAME?</v>
      </c>
      <c r="H30" s="135">
        <f>IF(F30&lt;&gt;"", COUNTIF('3.手順'!H:H,F30),"")</f>
        <v>2</v>
      </c>
      <c r="I30" s="129">
        <f t="shared" si="1"/>
        <v>0</v>
      </c>
      <c r="J30" s="130">
        <f t="shared" si="2"/>
        <v>-2</v>
      </c>
      <c r="K30" s="131"/>
      <c r="L30" s="114"/>
      <c r="M30" s="40"/>
      <c r="N30" s="40"/>
      <c r="O30" s="40"/>
      <c r="P30" s="40"/>
      <c r="Q30" s="40"/>
      <c r="R30" s="40"/>
      <c r="S30" s="40"/>
      <c r="T30" s="40"/>
      <c r="U30" s="40"/>
      <c r="V30" s="132"/>
    </row>
    <row r="31" spans="1:22" ht="17.5">
      <c r="A31" s="124" t="s">
        <v>180</v>
      </c>
      <c r="B31" s="125" t="s">
        <v>181</v>
      </c>
      <c r="C31" s="125">
        <v>35.431469</v>
      </c>
      <c r="D31" s="125">
        <v>133.329779</v>
      </c>
      <c r="E31" s="124" t="s">
        <v>100</v>
      </c>
      <c r="F31" s="126" t="str">
        <f t="shared" si="0"/>
        <v>P29:川守り地蔵</v>
      </c>
      <c r="G31" s="127" t="e">
        <f t="array" aca="1" ref="G31" ca="1">_xludf.xlookup(A31,'3.手順'!E:E,'3.手順'!D:D,"_")</f>
        <v>#NAME?</v>
      </c>
      <c r="H31" s="135">
        <f>IF(F31&lt;&gt;"", COUNTIF('3.手順'!H:H,F31),"")</f>
        <v>1</v>
      </c>
      <c r="I31" s="129">
        <f t="shared" si="1"/>
        <v>0</v>
      </c>
      <c r="J31" s="130">
        <f t="shared" si="2"/>
        <v>-1</v>
      </c>
      <c r="K31" s="131"/>
      <c r="L31" s="114"/>
      <c r="M31" s="40"/>
      <c r="N31" s="40"/>
      <c r="O31" s="40"/>
      <c r="P31" s="40"/>
      <c r="Q31" s="40"/>
      <c r="R31" s="40"/>
      <c r="S31" s="40"/>
      <c r="T31" s="40"/>
      <c r="U31" s="40"/>
      <c r="V31" s="40"/>
    </row>
    <row r="32" spans="1:22" ht="17.5">
      <c r="A32" s="124" t="s">
        <v>182</v>
      </c>
      <c r="B32" s="125" t="s">
        <v>183</v>
      </c>
      <c r="C32" s="125">
        <v>35.431618999999998</v>
      </c>
      <c r="D32" s="125">
        <v>133.328789</v>
      </c>
      <c r="E32" s="124" t="s">
        <v>100</v>
      </c>
      <c r="F32" s="126" t="str">
        <f t="shared" si="0"/>
        <v>P30:今井書店創業の地</v>
      </c>
      <c r="G32" s="127" t="e">
        <f t="array" aca="1" ref="G32" ca="1">_xludf.xlookup(A32,'3.手順'!E:E,'3.手順'!D:D,"_")</f>
        <v>#NAME?</v>
      </c>
      <c r="H32" s="128">
        <f>IF(F32&lt;&gt;"", COUNTIF('3.手順'!H:H,F32),"")</f>
        <v>2</v>
      </c>
      <c r="I32" s="129">
        <f t="shared" si="1"/>
        <v>0</v>
      </c>
      <c r="J32" s="130">
        <f t="shared" si="2"/>
        <v>-2</v>
      </c>
      <c r="K32" s="131"/>
      <c r="L32" s="114"/>
      <c r="M32" s="40"/>
      <c r="N32" s="40"/>
      <c r="O32" s="40"/>
      <c r="P32" s="40"/>
      <c r="Q32" s="40"/>
      <c r="R32" s="40"/>
      <c r="S32" s="40"/>
      <c r="T32" s="40"/>
      <c r="U32" s="40"/>
      <c r="V32" s="40"/>
    </row>
    <row r="33" spans="1:22" ht="17.5">
      <c r="A33" s="124" t="s">
        <v>184</v>
      </c>
      <c r="B33" s="125" t="s">
        <v>185</v>
      </c>
      <c r="C33" s="125">
        <v>35.431649999999998</v>
      </c>
      <c r="D33" s="125">
        <v>133.33616599999999</v>
      </c>
      <c r="E33" s="124" t="s">
        <v>100</v>
      </c>
      <c r="F33" s="126" t="str">
        <f t="shared" si="0"/>
        <v>P31:歯科医院のマスコット</v>
      </c>
      <c r="G33" s="127" t="e">
        <f t="array" aca="1" ref="G33" ca="1">_xludf.xlookup(A33,'3.手順'!E:E,'3.手順'!D:D,"_")</f>
        <v>#NAME?</v>
      </c>
      <c r="H33" s="135">
        <f>IF(F33&lt;&gt;"", COUNTIF('3.手順'!H:H,F33),"")</f>
        <v>1</v>
      </c>
      <c r="I33" s="129">
        <f t="shared" si="1"/>
        <v>0</v>
      </c>
      <c r="J33" s="130">
        <f t="shared" si="2"/>
        <v>-1</v>
      </c>
      <c r="K33" s="131"/>
      <c r="L33" s="114"/>
      <c r="M33" s="40"/>
      <c r="N33" s="40"/>
      <c r="O33" s="40"/>
      <c r="P33" s="40"/>
      <c r="Q33" s="40"/>
      <c r="R33" s="40"/>
      <c r="S33" s="40"/>
      <c r="T33" s="40"/>
      <c r="U33" s="40"/>
      <c r="V33" s="40"/>
    </row>
    <row r="34" spans="1:22" ht="17.5">
      <c r="A34" s="124" t="s">
        <v>186</v>
      </c>
      <c r="B34" s="125" t="s">
        <v>187</v>
      </c>
      <c r="C34" s="125">
        <v>35.431738000000003</v>
      </c>
      <c r="D34" s="125">
        <v>133.33496099999999</v>
      </c>
      <c r="E34" s="124" t="s">
        <v>100</v>
      </c>
      <c r="F34" s="126" t="str">
        <f t="shared" si="0"/>
        <v>P32:富士見2号公園</v>
      </c>
      <c r="G34" s="127" t="e">
        <f t="array" aca="1" ref="G34" ca="1">_xludf.xlookup(A34,'3.手順'!E:E,'3.手順'!D:D,"_")</f>
        <v>#NAME?</v>
      </c>
      <c r="H34" s="135">
        <f>IF(F34&lt;&gt;"", COUNTIF('3.手順'!H:H,F34),"")</f>
        <v>0</v>
      </c>
      <c r="I34" s="129">
        <f t="shared" si="1"/>
        <v>0</v>
      </c>
      <c r="J34" s="130">
        <f t="shared" si="2"/>
        <v>0</v>
      </c>
      <c r="K34" s="131"/>
      <c r="L34" s="114"/>
      <c r="M34" s="40"/>
      <c r="N34" s="40"/>
      <c r="O34" s="40"/>
      <c r="P34" s="40"/>
      <c r="Q34" s="40"/>
      <c r="R34" s="40"/>
      <c r="S34" s="40"/>
      <c r="T34" s="40"/>
      <c r="U34" s="40"/>
      <c r="V34" s="40"/>
    </row>
    <row r="35" spans="1:22" ht="17.5">
      <c r="A35" s="124" t="s">
        <v>188</v>
      </c>
      <c r="B35" s="125" t="s">
        <v>189</v>
      </c>
      <c r="C35" s="125">
        <v>35.432135000000002</v>
      </c>
      <c r="D35" s="125">
        <v>133.34021100000001</v>
      </c>
      <c r="E35" s="124" t="s">
        <v>100</v>
      </c>
      <c r="F35" s="126" t="str">
        <f t="shared" si="0"/>
        <v>P33:出雲大社 米子分院</v>
      </c>
      <c r="G35" s="127" t="e">
        <f t="array" aca="1" ref="G35" ca="1">_xludf.xlookup(A35,'3.手順'!E:E,'3.手順'!D:D,"_")</f>
        <v>#NAME?</v>
      </c>
      <c r="H35" s="135">
        <f>IF(F35&lt;&gt;"", COUNTIF('3.手順'!H:H,F35),"")</f>
        <v>1</v>
      </c>
      <c r="I35" s="129">
        <f t="shared" si="1"/>
        <v>0</v>
      </c>
      <c r="J35" s="130">
        <f t="shared" si="2"/>
        <v>-1</v>
      </c>
      <c r="K35" s="131"/>
      <c r="L35" s="114"/>
      <c r="M35" s="40"/>
      <c r="N35" s="40"/>
      <c r="O35" s="40"/>
      <c r="P35" s="40"/>
      <c r="Q35" s="40"/>
      <c r="R35" s="40"/>
      <c r="S35" s="40"/>
      <c r="T35" s="40"/>
      <c r="U35" s="40"/>
      <c r="V35" s="40"/>
    </row>
    <row r="36" spans="1:22" ht="17.5">
      <c r="A36" s="124" t="s">
        <v>190</v>
      </c>
      <c r="B36" s="125" t="s">
        <v>191</v>
      </c>
      <c r="C36" s="125">
        <v>35.432156999999997</v>
      </c>
      <c r="D36" s="125">
        <v>133.34222700000001</v>
      </c>
      <c r="E36" s="124" t="s">
        <v>100</v>
      </c>
      <c r="F36" s="126" t="str">
        <f t="shared" si="0"/>
        <v>P34:米子 法城寺</v>
      </c>
      <c r="G36" s="127" t="e">
        <f t="array" aca="1" ref="G36" ca="1">_xludf.xlookup(A36,'3.手順'!E:E,'3.手順'!D:D,"_")</f>
        <v>#NAME?</v>
      </c>
      <c r="H36" s="135">
        <f>IF(F36&lt;&gt;"", COUNTIF('3.手順'!H:H,F36),"")</f>
        <v>3</v>
      </c>
      <c r="I36" s="129">
        <f t="shared" si="1"/>
        <v>0</v>
      </c>
      <c r="J36" s="130">
        <f t="shared" si="2"/>
        <v>-3</v>
      </c>
      <c r="K36" s="131"/>
      <c r="L36" s="114"/>
      <c r="M36" s="40"/>
      <c r="N36" s="40"/>
      <c r="O36" s="40"/>
      <c r="P36" s="40"/>
      <c r="Q36" s="40"/>
      <c r="R36" s="40"/>
      <c r="S36" s="40"/>
      <c r="T36" s="40"/>
      <c r="U36" s="40"/>
      <c r="V36" s="40"/>
    </row>
    <row r="37" spans="1:22" ht="17.5">
      <c r="A37" s="124" t="s">
        <v>192</v>
      </c>
      <c r="B37" s="125" t="s">
        <v>193</v>
      </c>
      <c r="C37" s="125">
        <v>35.432161000000001</v>
      </c>
      <c r="D37" s="125">
        <v>133.34101899999999</v>
      </c>
      <c r="E37" s="124" t="s">
        <v>100</v>
      </c>
      <c r="F37" s="126" t="str">
        <f t="shared" si="0"/>
        <v>P35:勝田神社の社</v>
      </c>
      <c r="G37" s="127" t="e">
        <f t="array" aca="1" ref="G37" ca="1">_xludf.xlookup(A37,'3.手順'!E:E,'3.手順'!D:D,"_")</f>
        <v>#NAME?</v>
      </c>
      <c r="H37" s="135">
        <f>IF(F37&lt;&gt;"", COUNTIF('3.手順'!H:H,F37),"")</f>
        <v>0</v>
      </c>
      <c r="I37" s="129">
        <f t="shared" si="1"/>
        <v>0</v>
      </c>
      <c r="J37" s="130">
        <f t="shared" si="2"/>
        <v>0</v>
      </c>
      <c r="K37" s="131"/>
      <c r="L37" s="114"/>
      <c r="M37" s="40"/>
      <c r="N37" s="40"/>
      <c r="O37" s="40"/>
      <c r="P37" s="40"/>
      <c r="Q37" s="40"/>
      <c r="R37" s="40"/>
      <c r="S37" s="40"/>
      <c r="T37" s="40"/>
      <c r="U37" s="40"/>
      <c r="V37" s="40"/>
    </row>
    <row r="38" spans="1:22" ht="17.5">
      <c r="A38" s="124" t="s">
        <v>194</v>
      </c>
      <c r="B38" s="125" t="s">
        <v>195</v>
      </c>
      <c r="C38" s="125">
        <v>35.432332000000002</v>
      </c>
      <c r="D38" s="125">
        <v>133.33910299999999</v>
      </c>
      <c r="E38" s="124" t="s">
        <v>100</v>
      </c>
      <c r="F38" s="126" t="str">
        <f t="shared" si="0"/>
        <v>P36:お地蔵さん</v>
      </c>
      <c r="G38" s="127" t="e">
        <f t="array" aca="1" ref="G38" ca="1">_xludf.xlookup(A38,'3.手順'!E:E,'3.手順'!D:D,"_")</f>
        <v>#NAME?</v>
      </c>
      <c r="H38" s="135">
        <f>IF(F38&lt;&gt;"", COUNTIF('3.手順'!H:H,F38),"")</f>
        <v>0</v>
      </c>
      <c r="I38" s="129">
        <f t="shared" si="1"/>
        <v>0</v>
      </c>
      <c r="J38" s="130">
        <f t="shared" si="2"/>
        <v>0</v>
      </c>
      <c r="K38" s="131"/>
      <c r="L38" s="114"/>
      <c r="M38" s="40"/>
      <c r="N38" s="40"/>
      <c r="O38" s="40"/>
      <c r="P38" s="40"/>
      <c r="Q38" s="40"/>
      <c r="R38" s="40"/>
      <c r="S38" s="40"/>
      <c r="T38" s="40"/>
      <c r="U38" s="40"/>
      <c r="V38" s="40"/>
    </row>
    <row r="39" spans="1:22" ht="17.5">
      <c r="A39" s="124" t="s">
        <v>196</v>
      </c>
      <c r="B39" s="125" t="s">
        <v>197</v>
      </c>
      <c r="C39" s="125">
        <v>35.432338999999999</v>
      </c>
      <c r="D39" s="125">
        <v>133.32637199999999</v>
      </c>
      <c r="E39" s="124" t="s">
        <v>100</v>
      </c>
      <c r="F39" s="126" t="str">
        <f t="shared" si="0"/>
        <v>P37:中ノ棚橋地蔵</v>
      </c>
      <c r="G39" s="127" t="e">
        <f t="array" aca="1" ref="G39" ca="1">_xludf.xlookup(A39,'3.手順'!E:E,'3.手順'!D:D,"_")</f>
        <v>#NAME?</v>
      </c>
      <c r="H39" s="135">
        <f>IF(F39&lt;&gt;"", COUNTIF('3.手順'!H:H,F39),"")</f>
        <v>4</v>
      </c>
      <c r="I39" s="129">
        <f t="shared" si="1"/>
        <v>0</v>
      </c>
      <c r="J39" s="130">
        <f t="shared" si="2"/>
        <v>-4</v>
      </c>
      <c r="K39" s="131"/>
      <c r="L39" s="114"/>
      <c r="M39" s="40"/>
      <c r="N39" s="40"/>
      <c r="O39" s="40"/>
      <c r="P39" s="40"/>
      <c r="Q39" s="40"/>
      <c r="R39" s="40"/>
      <c r="S39" s="40"/>
      <c r="T39" s="40"/>
      <c r="U39" s="40"/>
      <c r="V39" s="40"/>
    </row>
    <row r="40" spans="1:22" ht="17.5">
      <c r="A40" s="124" t="s">
        <v>198</v>
      </c>
      <c r="B40" s="125" t="s">
        <v>199</v>
      </c>
      <c r="C40" s="125">
        <v>35.432592999999997</v>
      </c>
      <c r="D40" s="125">
        <v>133.337234</v>
      </c>
      <c r="E40" s="124" t="s">
        <v>100</v>
      </c>
      <c r="F40" s="126" t="str">
        <f t="shared" si="0"/>
        <v>P38:米子市中央隣保館</v>
      </c>
      <c r="G40" s="127" t="e">
        <f t="array" aca="1" ref="G40" ca="1">_xludf.xlookup(A40,'3.手順'!E:E,'3.手順'!D:D,"_")</f>
        <v>#NAME?</v>
      </c>
      <c r="H40" s="135">
        <f>IF(F40&lt;&gt;"", COUNTIF('3.手順'!H:H,F40),"")</f>
        <v>1</v>
      </c>
      <c r="I40" s="129">
        <f t="shared" si="1"/>
        <v>0</v>
      </c>
      <c r="J40" s="130">
        <f t="shared" si="2"/>
        <v>-1</v>
      </c>
      <c r="K40" s="131"/>
      <c r="L40" s="114"/>
      <c r="M40" s="40"/>
      <c r="N40" s="40"/>
      <c r="O40" s="40"/>
      <c r="P40" s="40"/>
      <c r="Q40" s="40"/>
      <c r="R40" s="40"/>
      <c r="S40" s="40"/>
      <c r="T40" s="40"/>
      <c r="U40" s="40"/>
      <c r="V40" s="40"/>
    </row>
    <row r="41" spans="1:22" ht="17.5">
      <c r="A41" s="124" t="s">
        <v>200</v>
      </c>
      <c r="B41" s="125" t="s">
        <v>201</v>
      </c>
      <c r="C41" s="125">
        <v>35.432594999999999</v>
      </c>
      <c r="D41" s="125">
        <v>133.32978700000001</v>
      </c>
      <c r="E41" s="124" t="s">
        <v>100</v>
      </c>
      <c r="F41" s="126" t="str">
        <f t="shared" si="0"/>
        <v>P39:朝日公園</v>
      </c>
      <c r="G41" s="127" t="e">
        <f t="array" aca="1" ref="G41" ca="1">_xludf.xlookup(A41,'3.手順'!E:E,'3.手順'!D:D,"_")</f>
        <v>#NAME?</v>
      </c>
      <c r="H41" s="135">
        <f>IF(F41&lt;&gt;"", COUNTIF('3.手順'!H:H,F41),"")</f>
        <v>2</v>
      </c>
      <c r="I41" s="129">
        <f t="shared" si="1"/>
        <v>0</v>
      </c>
      <c r="J41" s="130">
        <f t="shared" si="2"/>
        <v>-2</v>
      </c>
      <c r="K41" s="131"/>
      <c r="L41" s="114"/>
      <c r="M41" s="40"/>
      <c r="N41" s="40"/>
      <c r="O41" s="40"/>
      <c r="P41" s="40"/>
      <c r="Q41" s="40"/>
      <c r="R41" s="40"/>
      <c r="S41" s="40"/>
      <c r="T41" s="40"/>
      <c r="U41" s="40"/>
      <c r="V41" s="40"/>
    </row>
    <row r="42" spans="1:22" ht="17.5">
      <c r="A42" s="124" t="s">
        <v>202</v>
      </c>
      <c r="B42" s="125" t="s">
        <v>203</v>
      </c>
      <c r="C42" s="125">
        <v>35.432693</v>
      </c>
      <c r="D42" s="125">
        <v>133.32839799999999</v>
      </c>
      <c r="E42" s="124" t="s">
        <v>100</v>
      </c>
      <c r="F42" s="126" t="str">
        <f t="shared" si="0"/>
        <v>P40:涼善寺 本堂</v>
      </c>
      <c r="G42" s="127" t="e">
        <f t="array" aca="1" ref="G42" ca="1">_xludf.xlookup(A42,'3.手順'!E:E,'3.手順'!D:D,"_")</f>
        <v>#NAME?</v>
      </c>
      <c r="H42" s="135">
        <f>IF(F42&lt;&gt;"", COUNTIF('3.手順'!H:H,F42),"")</f>
        <v>1</v>
      </c>
      <c r="I42" s="129">
        <f t="shared" si="1"/>
        <v>0</v>
      </c>
      <c r="J42" s="130">
        <f t="shared" si="2"/>
        <v>-1</v>
      </c>
      <c r="K42" s="131"/>
      <c r="L42" s="114"/>
      <c r="M42" s="40"/>
      <c r="N42" s="40"/>
      <c r="O42" s="40"/>
      <c r="P42" s="40"/>
      <c r="Q42" s="40"/>
      <c r="R42" s="40"/>
      <c r="S42" s="40"/>
      <c r="T42" s="40"/>
      <c r="U42" s="40"/>
      <c r="V42" s="40"/>
    </row>
    <row r="43" spans="1:22" ht="17.5">
      <c r="A43" s="124" t="s">
        <v>204</v>
      </c>
      <c r="B43" s="125" t="s">
        <v>205</v>
      </c>
      <c r="C43" s="140">
        <v>35.432755</v>
      </c>
      <c r="D43" s="140">
        <v>133.33602999999999</v>
      </c>
      <c r="E43" s="124" t="s">
        <v>100</v>
      </c>
      <c r="F43" s="126" t="str">
        <f t="shared" si="0"/>
        <v>P41:米子盆踊発祥之地</v>
      </c>
      <c r="G43" s="127" t="e">
        <f t="array" aca="1" ref="G43" ca="1">_xludf.xlookup(A43,'3.手順'!E:E,'3.手順'!D:D,"_")</f>
        <v>#NAME?</v>
      </c>
      <c r="H43" s="141">
        <f>IF(F43&lt;&gt;"", COUNTIF('3.手順'!H:H,F43),"")</f>
        <v>0</v>
      </c>
      <c r="I43" s="129">
        <f t="shared" si="1"/>
        <v>0</v>
      </c>
      <c r="J43" s="130">
        <f t="shared" si="2"/>
        <v>0</v>
      </c>
      <c r="K43" s="131"/>
      <c r="L43" s="40"/>
      <c r="M43" s="40"/>
      <c r="N43" s="40"/>
      <c r="O43" s="40"/>
      <c r="P43" s="40"/>
      <c r="Q43" s="40"/>
      <c r="R43" s="40"/>
      <c r="S43" s="40"/>
      <c r="T43" s="40"/>
      <c r="U43" s="40"/>
      <c r="V43" s="40"/>
    </row>
    <row r="44" spans="1:22" ht="17.5">
      <c r="A44" s="124" t="s">
        <v>206</v>
      </c>
      <c r="B44" s="125" t="s">
        <v>207</v>
      </c>
      <c r="C44" s="140">
        <v>35.433129000000001</v>
      </c>
      <c r="D44" s="140">
        <v>133.327572</v>
      </c>
      <c r="E44" s="124" t="s">
        <v>100</v>
      </c>
      <c r="F44" s="126" t="str">
        <f t="shared" si="0"/>
        <v>P42:本教寺</v>
      </c>
      <c r="G44" s="127" t="e">
        <f t="array" aca="1" ref="G44" ca="1">_xludf.xlookup(A44,'3.手順'!E:E,'3.手順'!D:D,"_")</f>
        <v>#NAME?</v>
      </c>
      <c r="H44" s="142">
        <f>IF(F44&lt;&gt;"", COUNTIF('3.手順'!H:H,F44),"")</f>
        <v>0</v>
      </c>
      <c r="I44" s="129">
        <f t="shared" si="1"/>
        <v>0</v>
      </c>
      <c r="J44" s="130">
        <f t="shared" si="2"/>
        <v>0</v>
      </c>
      <c r="K44" s="131"/>
      <c r="L44" s="40"/>
      <c r="M44" s="40"/>
      <c r="N44" s="40"/>
      <c r="O44" s="40"/>
      <c r="P44" s="40"/>
      <c r="Q44" s="40"/>
      <c r="R44" s="40"/>
      <c r="S44" s="40"/>
      <c r="T44" s="40"/>
      <c r="U44" s="40"/>
      <c r="V44" s="40"/>
    </row>
    <row r="45" spans="1:22" ht="17.5">
      <c r="A45" s="124" t="s">
        <v>208</v>
      </c>
      <c r="B45" s="125" t="s">
        <v>209</v>
      </c>
      <c r="C45" s="140">
        <v>35.433143999999999</v>
      </c>
      <c r="D45" s="140">
        <v>133.33424400000001</v>
      </c>
      <c r="E45" s="124" t="s">
        <v>100</v>
      </c>
      <c r="F45" s="126" t="str">
        <f t="shared" si="0"/>
        <v>P43:Big Boy 米子富士見町店</v>
      </c>
      <c r="G45" s="127" t="e">
        <f t="array" aca="1" ref="G45" ca="1">_xludf.xlookup(A45,'3.手順'!E:E,'3.手順'!D:D,"_")</f>
        <v>#NAME?</v>
      </c>
      <c r="H45" s="142">
        <f>IF(F45&lt;&gt;"", COUNTIF('3.手順'!H:H,F45),"")</f>
        <v>1</v>
      </c>
      <c r="I45" s="129">
        <f t="shared" si="1"/>
        <v>0</v>
      </c>
      <c r="J45" s="130">
        <f t="shared" si="2"/>
        <v>-1</v>
      </c>
      <c r="K45" s="131"/>
      <c r="L45" s="40"/>
      <c r="M45" s="40"/>
      <c r="N45" s="40"/>
      <c r="O45" s="40"/>
      <c r="P45" s="40"/>
      <c r="Q45" s="40"/>
      <c r="R45" s="40"/>
      <c r="S45" s="40"/>
      <c r="T45" s="40"/>
      <c r="U45" s="40"/>
      <c r="V45" s="40"/>
    </row>
    <row r="46" spans="1:22" ht="17.5">
      <c r="A46" s="124" t="s">
        <v>210</v>
      </c>
      <c r="B46" s="125" t="s">
        <v>211</v>
      </c>
      <c r="C46" s="140">
        <v>35.433174999999999</v>
      </c>
      <c r="D46" s="140">
        <v>133.325613</v>
      </c>
      <c r="E46" s="124" t="s">
        <v>100</v>
      </c>
      <c r="F46" s="126" t="str">
        <f t="shared" si="0"/>
        <v>P44:米子城(再現イメージ)</v>
      </c>
      <c r="G46" s="127" t="e">
        <f t="array" aca="1" ref="G46" ca="1">_xludf.xlookup(A46,'3.手順'!E:E,'3.手順'!D:D,"_")</f>
        <v>#NAME?</v>
      </c>
      <c r="H46" s="142">
        <f>IF(F46&lt;&gt;"", COUNTIF('3.手順'!H:H,F46),"")</f>
        <v>1</v>
      </c>
      <c r="I46" s="129">
        <f t="shared" si="1"/>
        <v>0</v>
      </c>
      <c r="J46" s="130">
        <f t="shared" si="2"/>
        <v>-1</v>
      </c>
      <c r="K46" s="131"/>
      <c r="L46" s="40"/>
      <c r="M46" s="40"/>
      <c r="N46" s="40"/>
      <c r="O46" s="40"/>
      <c r="P46" s="40"/>
      <c r="Q46" s="40"/>
      <c r="R46" s="40"/>
      <c r="S46" s="40"/>
      <c r="T46" s="40"/>
      <c r="U46" s="40"/>
      <c r="V46" s="40"/>
    </row>
    <row r="47" spans="1:22" ht="17.5">
      <c r="A47" s="124" t="s">
        <v>212</v>
      </c>
      <c r="B47" s="125" t="s">
        <v>213</v>
      </c>
      <c r="C47" s="140">
        <v>35.433328000000003</v>
      </c>
      <c r="D47" s="140">
        <v>133.333404</v>
      </c>
      <c r="E47" s="124" t="s">
        <v>100</v>
      </c>
      <c r="F47" s="126" t="str">
        <f t="shared" si="0"/>
        <v>P45:米子市公会堂の彫刻</v>
      </c>
      <c r="G47" s="127" t="e">
        <f t="array" aca="1" ref="G47" ca="1">_xludf.xlookup(A47,'3.手順'!E:E,'3.手順'!D:D,"_")</f>
        <v>#NAME?</v>
      </c>
      <c r="H47" s="142">
        <f>IF(F47&lt;&gt;"", COUNTIF('3.手順'!H:H,F47),"")</f>
        <v>2</v>
      </c>
      <c r="I47" s="129">
        <f t="shared" si="1"/>
        <v>0</v>
      </c>
      <c r="J47" s="130">
        <f t="shared" si="2"/>
        <v>-2</v>
      </c>
      <c r="K47" s="131"/>
      <c r="L47" s="40"/>
      <c r="M47" s="40"/>
      <c r="N47" s="40"/>
      <c r="O47" s="40"/>
      <c r="P47" s="40"/>
      <c r="Q47" s="40"/>
      <c r="R47" s="40"/>
      <c r="S47" s="40"/>
      <c r="T47" s="40"/>
      <c r="U47" s="40"/>
      <c r="V47" s="40"/>
    </row>
    <row r="48" spans="1:22" ht="17.5">
      <c r="A48" s="124" t="s">
        <v>214</v>
      </c>
      <c r="B48" s="125" t="s">
        <v>215</v>
      </c>
      <c r="C48" s="140">
        <v>35.433387000000003</v>
      </c>
      <c r="D48" s="140">
        <v>133.333012</v>
      </c>
      <c r="E48" s="124" t="s">
        <v>100</v>
      </c>
      <c r="F48" s="126" t="str">
        <f t="shared" si="0"/>
        <v>P46:米子市公会堂</v>
      </c>
      <c r="G48" s="127" t="e">
        <f t="array" aca="1" ref="G48" ca="1">_xludf.xlookup(A48,'3.手順'!E:E,'3.手順'!D:D,"_")</f>
        <v>#NAME?</v>
      </c>
      <c r="H48" s="142">
        <f>IF(F48&lt;&gt;"", COUNTIF('3.手順'!H:H,F48),"")</f>
        <v>1</v>
      </c>
      <c r="I48" s="129">
        <f t="shared" si="1"/>
        <v>0</v>
      </c>
      <c r="J48" s="130">
        <f t="shared" si="2"/>
        <v>-1</v>
      </c>
      <c r="K48" s="131"/>
      <c r="L48" s="40"/>
      <c r="M48" s="40"/>
      <c r="N48" s="40"/>
      <c r="O48" s="40"/>
      <c r="P48" s="40"/>
      <c r="Q48" s="40"/>
      <c r="R48" s="40"/>
      <c r="S48" s="40"/>
      <c r="T48" s="40"/>
      <c r="U48" s="40"/>
      <c r="V48" s="40"/>
    </row>
    <row r="49" spans="1:22" ht="17.5">
      <c r="A49" s="124" t="s">
        <v>216</v>
      </c>
      <c r="B49" s="125" t="s">
        <v>217</v>
      </c>
      <c r="C49" s="140">
        <v>35.433554999999998</v>
      </c>
      <c r="D49" s="140">
        <v>133.327631</v>
      </c>
      <c r="E49" s="124" t="s">
        <v>100</v>
      </c>
      <c r="F49" s="126" t="str">
        <f t="shared" si="0"/>
        <v>P47:与太郎地蔵</v>
      </c>
      <c r="G49" s="127" t="e">
        <f t="array" aca="1" ref="G49" ca="1">_xludf.xlookup(A49,'3.手順'!E:E,'3.手順'!D:D,"_")</f>
        <v>#NAME?</v>
      </c>
      <c r="H49" s="142">
        <f>IF(F49&lt;&gt;"", COUNTIF('3.手順'!H:H,F49),"")</f>
        <v>2</v>
      </c>
      <c r="I49" s="129">
        <f t="shared" si="1"/>
        <v>0</v>
      </c>
      <c r="J49" s="130">
        <f t="shared" si="2"/>
        <v>-2</v>
      </c>
      <c r="K49" s="131"/>
      <c r="L49" s="40"/>
      <c r="M49" s="40"/>
      <c r="N49" s="40"/>
      <c r="O49" s="40"/>
      <c r="P49" s="40"/>
      <c r="Q49" s="40"/>
      <c r="R49" s="40"/>
      <c r="S49" s="40"/>
      <c r="T49" s="40"/>
      <c r="U49" s="40"/>
      <c r="V49" s="40"/>
    </row>
    <row r="50" spans="1:22" ht="17.5">
      <c r="A50" s="124" t="s">
        <v>218</v>
      </c>
      <c r="B50" s="125" t="s">
        <v>219</v>
      </c>
      <c r="C50" s="140">
        <v>35.433869000000001</v>
      </c>
      <c r="D50" s="140">
        <v>133.336341</v>
      </c>
      <c r="E50" s="124" t="s">
        <v>100</v>
      </c>
      <c r="F50" s="126" t="str">
        <f t="shared" si="0"/>
        <v>P48:囚われの馬</v>
      </c>
      <c r="G50" s="127" t="e">
        <f t="array" aca="1" ref="G50" ca="1">_xludf.xlookup(A50,'3.手順'!E:E,'3.手順'!D:D,"_")</f>
        <v>#NAME?</v>
      </c>
      <c r="H50" s="141">
        <f>IF(F50&lt;&gt;"", COUNTIF('3.手順'!H:H,F50),"")</f>
        <v>3</v>
      </c>
      <c r="I50" s="129">
        <f t="shared" si="1"/>
        <v>0</v>
      </c>
      <c r="J50" s="130">
        <f t="shared" si="2"/>
        <v>-3</v>
      </c>
      <c r="K50" s="131"/>
      <c r="L50" s="40"/>
      <c r="M50" s="40"/>
      <c r="N50" s="40"/>
      <c r="O50" s="40"/>
      <c r="P50" s="40"/>
      <c r="Q50" s="40"/>
      <c r="R50" s="40"/>
      <c r="S50" s="40"/>
      <c r="T50" s="40"/>
      <c r="U50" s="40"/>
      <c r="V50" s="40"/>
    </row>
    <row r="51" spans="1:22" ht="17.5">
      <c r="A51" s="124" t="s">
        <v>220</v>
      </c>
      <c r="B51" s="125" t="s">
        <v>221</v>
      </c>
      <c r="C51" s="140">
        <v>35.434015000000002</v>
      </c>
      <c r="D51" s="140">
        <v>133.335263</v>
      </c>
      <c r="E51" s="124" t="s">
        <v>100</v>
      </c>
      <c r="F51" s="126" t="str">
        <f t="shared" si="0"/>
        <v>P49:天理教米府分教会</v>
      </c>
      <c r="G51" s="127" t="e">
        <f t="array" aca="1" ref="G51" ca="1">_xludf.xlookup(A51,'3.手順'!E:E,'3.手順'!D:D,"_")</f>
        <v>#NAME?</v>
      </c>
      <c r="H51" s="142">
        <f>IF(F51&lt;&gt;"", COUNTIF('3.手順'!H:H,F51),"")</f>
        <v>5</v>
      </c>
      <c r="I51" s="129">
        <f t="shared" si="1"/>
        <v>0</v>
      </c>
      <c r="J51" s="130">
        <f t="shared" si="2"/>
        <v>-5</v>
      </c>
      <c r="K51" s="131"/>
      <c r="L51" s="40"/>
      <c r="M51" s="40"/>
      <c r="N51" s="40"/>
      <c r="O51" s="40"/>
      <c r="P51" s="40"/>
      <c r="Q51" s="40"/>
      <c r="R51" s="40"/>
      <c r="S51" s="40"/>
      <c r="T51" s="40"/>
      <c r="U51" s="40"/>
      <c r="V51" s="40"/>
    </row>
    <row r="52" spans="1:22" ht="17.5">
      <c r="A52" s="124" t="s">
        <v>222</v>
      </c>
      <c r="B52" s="125" t="s">
        <v>223</v>
      </c>
      <c r="C52" s="140">
        <v>35.434083999999999</v>
      </c>
      <c r="D52" s="140">
        <v>133.32934900000001</v>
      </c>
      <c r="E52" s="124" t="s">
        <v>100</v>
      </c>
      <c r="F52" s="126" t="str">
        <f t="shared" si="0"/>
        <v>P50:福厳院六地蔵</v>
      </c>
      <c r="G52" s="127" t="e">
        <f t="array" aca="1" ref="G52" ca="1">_xludf.xlookup(A52,'3.手順'!E:E,'3.手順'!D:D,"_")</f>
        <v>#NAME?</v>
      </c>
      <c r="H52" s="142">
        <f>IF(F52&lt;&gt;"", COUNTIF('3.手順'!H:H,F52),"")</f>
        <v>2</v>
      </c>
      <c r="I52" s="129">
        <f t="shared" si="1"/>
        <v>0</v>
      </c>
      <c r="J52" s="130">
        <f t="shared" si="2"/>
        <v>-2</v>
      </c>
      <c r="K52" s="131"/>
      <c r="L52" s="40"/>
      <c r="M52" s="40"/>
      <c r="N52" s="40"/>
      <c r="O52" s="40"/>
      <c r="P52" s="40"/>
      <c r="Q52" s="40"/>
      <c r="R52" s="40"/>
      <c r="S52" s="40"/>
      <c r="T52" s="40"/>
      <c r="U52" s="40"/>
      <c r="V52" s="40"/>
    </row>
    <row r="53" spans="1:22" ht="17.5">
      <c r="A53" s="124" t="s">
        <v>224</v>
      </c>
      <c r="B53" s="125" t="s">
        <v>225</v>
      </c>
      <c r="C53" s="140">
        <v>35.434429000000002</v>
      </c>
      <c r="D53" s="140">
        <v>133.323813</v>
      </c>
      <c r="E53" s="124" t="s">
        <v>100</v>
      </c>
      <c r="F53" s="126" t="str">
        <f t="shared" si="0"/>
        <v>P51:吉祥院地蔵</v>
      </c>
      <c r="G53" s="127" t="e">
        <f t="array" aca="1" ref="G53" ca="1">_xludf.xlookup(A53,'3.手順'!E:E,'3.手順'!D:D,"_")</f>
        <v>#NAME?</v>
      </c>
      <c r="H53" s="142">
        <f>IF(F53&lt;&gt;"", COUNTIF('3.手順'!H:H,F53),"")</f>
        <v>0</v>
      </c>
      <c r="I53" s="129">
        <f t="shared" si="1"/>
        <v>0</v>
      </c>
      <c r="J53" s="130">
        <f t="shared" si="2"/>
        <v>0</v>
      </c>
      <c r="K53" s="131"/>
      <c r="L53" s="40"/>
      <c r="M53" s="40"/>
      <c r="N53" s="40"/>
      <c r="O53" s="40"/>
      <c r="P53" s="40"/>
      <c r="Q53" s="40"/>
      <c r="R53" s="40"/>
      <c r="S53" s="40"/>
      <c r="T53" s="40"/>
      <c r="U53" s="40"/>
      <c r="V53" s="40"/>
    </row>
    <row r="54" spans="1:22" ht="17.5">
      <c r="A54" s="124" t="s">
        <v>226</v>
      </c>
      <c r="B54" s="125" t="s">
        <v>227</v>
      </c>
      <c r="C54" s="140">
        <v>35.434542999999998</v>
      </c>
      <c r="D54" s="140">
        <v>133.33716000000001</v>
      </c>
      <c r="E54" s="124" t="s">
        <v>100</v>
      </c>
      <c r="F54" s="126" t="str">
        <f t="shared" si="0"/>
        <v>P52:博労町公園</v>
      </c>
      <c r="G54" s="127" t="e">
        <f t="array" aca="1" ref="G54" ca="1">_xludf.xlookup(A54,'3.手順'!E:E,'3.手順'!D:D,"_")</f>
        <v>#NAME?</v>
      </c>
      <c r="H54" s="142">
        <f>IF(F54&lt;&gt;"", COUNTIF('3.手順'!H:H,F54),"")</f>
        <v>2</v>
      </c>
      <c r="I54" s="129">
        <f t="shared" si="1"/>
        <v>0</v>
      </c>
      <c r="J54" s="130">
        <f t="shared" si="2"/>
        <v>-2</v>
      </c>
      <c r="K54" s="131"/>
      <c r="L54" s="40"/>
      <c r="M54" s="40"/>
      <c r="N54" s="40"/>
      <c r="O54" s="40"/>
      <c r="P54" s="40"/>
      <c r="Q54" s="40"/>
      <c r="R54" s="40"/>
      <c r="S54" s="40"/>
      <c r="T54" s="40"/>
      <c r="U54" s="40"/>
      <c r="V54" s="40"/>
    </row>
    <row r="55" spans="1:22" ht="17.5">
      <c r="A55" s="124" t="s">
        <v>228</v>
      </c>
      <c r="B55" s="125" t="s">
        <v>229</v>
      </c>
      <c r="C55" s="140">
        <v>35.434592000000002</v>
      </c>
      <c r="D55" s="140">
        <v>133.32623799999999</v>
      </c>
      <c r="E55" s="124" t="s">
        <v>100</v>
      </c>
      <c r="F55" s="126" t="str">
        <f t="shared" si="0"/>
        <v>P53:法蔵寺地蔵尊(みそなめ地蔵)</v>
      </c>
      <c r="G55" s="127" t="e">
        <f t="array" aca="1" ref="G55" ca="1">_xludf.xlookup(A55,'3.手順'!E:E,'3.手順'!D:D,"_")</f>
        <v>#NAME?</v>
      </c>
      <c r="H55" s="142">
        <f>IF(F55&lt;&gt;"", COUNTIF('3.手順'!H:H,F55),"")</f>
        <v>3</v>
      </c>
      <c r="I55" s="129">
        <f t="shared" si="1"/>
        <v>0</v>
      </c>
      <c r="J55" s="130">
        <f t="shared" si="2"/>
        <v>-3</v>
      </c>
      <c r="K55" s="131"/>
      <c r="L55" s="40"/>
      <c r="M55" s="40"/>
      <c r="N55" s="40"/>
      <c r="O55" s="40"/>
      <c r="P55" s="40"/>
      <c r="Q55" s="40"/>
      <c r="R55" s="40"/>
      <c r="S55" s="40"/>
      <c r="T55" s="40"/>
      <c r="U55" s="40"/>
      <c r="V55" s="40"/>
    </row>
    <row r="56" spans="1:22" ht="17.5">
      <c r="A56" s="124" t="s">
        <v>230</v>
      </c>
      <c r="B56" s="125" t="s">
        <v>231</v>
      </c>
      <c r="C56" s="140">
        <v>35.434593999999997</v>
      </c>
      <c r="D56" s="140">
        <v>133.325975</v>
      </c>
      <c r="E56" s="124" t="s">
        <v>100</v>
      </c>
      <c r="F56" s="126" t="str">
        <f t="shared" si="0"/>
        <v>P54:心光寺 山門</v>
      </c>
      <c r="G56" s="127" t="e">
        <f t="array" aca="1" ref="G56" ca="1">_xludf.xlookup(A56,'3.手順'!E:E,'3.手順'!D:D,"_")</f>
        <v>#NAME?</v>
      </c>
      <c r="H56" s="142">
        <f>IF(F56&lt;&gt;"", COUNTIF('3.手順'!H:H,F56),"")</f>
        <v>4</v>
      </c>
      <c r="I56" s="129">
        <f t="shared" si="1"/>
        <v>0</v>
      </c>
      <c r="J56" s="130">
        <f t="shared" si="2"/>
        <v>-4</v>
      </c>
      <c r="K56" s="131"/>
      <c r="L56" s="40"/>
      <c r="M56" s="40"/>
      <c r="N56" s="40"/>
      <c r="O56" s="40"/>
      <c r="P56" s="40"/>
      <c r="Q56" s="40"/>
      <c r="R56" s="40"/>
      <c r="S56" s="40"/>
      <c r="T56" s="40"/>
      <c r="U56" s="40"/>
      <c r="V56" s="40"/>
    </row>
    <row r="57" spans="1:22" ht="17.5">
      <c r="A57" s="124" t="s">
        <v>232</v>
      </c>
      <c r="B57" s="125" t="s">
        <v>233</v>
      </c>
      <c r="C57" s="140">
        <v>35.434654000000002</v>
      </c>
      <c r="D57" s="140">
        <v>133.33343400000001</v>
      </c>
      <c r="E57" s="124" t="s">
        <v>100</v>
      </c>
      <c r="F57" s="126" t="str">
        <f t="shared" si="0"/>
        <v>P55:小公園</v>
      </c>
      <c r="G57" s="127" t="e">
        <f t="array" aca="1" ref="G57" ca="1">_xludf.xlookup(A57,'3.手順'!E:E,'3.手順'!D:D,"_")</f>
        <v>#NAME?</v>
      </c>
      <c r="H57" s="141">
        <f>IF(F57&lt;&gt;"", COUNTIF('3.手順'!H:H,F57),"")</f>
        <v>2</v>
      </c>
      <c r="I57" s="129">
        <f t="shared" si="1"/>
        <v>0</v>
      </c>
      <c r="J57" s="130">
        <f t="shared" si="2"/>
        <v>-2</v>
      </c>
      <c r="K57" s="131"/>
      <c r="L57" s="40"/>
      <c r="M57" s="40"/>
      <c r="N57" s="40"/>
      <c r="O57" s="40"/>
      <c r="P57" s="40"/>
      <c r="Q57" s="40"/>
      <c r="R57" s="40"/>
      <c r="S57" s="40"/>
      <c r="T57" s="40"/>
      <c r="U57" s="40"/>
      <c r="V57" s="40"/>
    </row>
    <row r="58" spans="1:22" ht="17.5">
      <c r="A58" s="124" t="s">
        <v>234</v>
      </c>
      <c r="B58" s="125" t="s">
        <v>235</v>
      </c>
      <c r="C58" s="140">
        <v>35.434739</v>
      </c>
      <c r="D58" s="140">
        <v>133.33840699999999</v>
      </c>
      <c r="E58" s="124" t="s">
        <v>100</v>
      </c>
      <c r="F58" s="126" t="str">
        <f t="shared" si="0"/>
        <v>P56:蝉丸神社</v>
      </c>
      <c r="G58" s="127" t="e">
        <f t="array" aca="1" ref="G58" ca="1">_xludf.xlookup(A58,'3.手順'!E:E,'3.手順'!D:D,"_")</f>
        <v>#NAME?</v>
      </c>
      <c r="H58" s="142">
        <f>IF(F58&lt;&gt;"", COUNTIF('3.手順'!H:H,F58),"")</f>
        <v>2</v>
      </c>
      <c r="I58" s="129">
        <f t="shared" si="1"/>
        <v>0</v>
      </c>
      <c r="J58" s="130">
        <f t="shared" si="2"/>
        <v>-2</v>
      </c>
      <c r="K58" s="131"/>
      <c r="L58" s="40"/>
      <c r="M58" s="40"/>
      <c r="N58" s="40"/>
      <c r="O58" s="40"/>
      <c r="P58" s="40"/>
      <c r="Q58" s="40"/>
      <c r="R58" s="40"/>
      <c r="S58" s="40"/>
      <c r="T58" s="40"/>
      <c r="U58" s="40"/>
      <c r="V58" s="40"/>
    </row>
    <row r="59" spans="1:22" ht="17.5">
      <c r="A59" s="124" t="s">
        <v>236</v>
      </c>
      <c r="B59" s="125" t="s">
        <v>237</v>
      </c>
      <c r="C59" s="140">
        <v>35.434744000000002</v>
      </c>
      <c r="D59" s="140">
        <v>133.33647999999999</v>
      </c>
      <c r="E59" s="124" t="s">
        <v>100</v>
      </c>
      <c r="F59" s="126" t="str">
        <f t="shared" si="0"/>
        <v>P57:JR富士見町駅</v>
      </c>
      <c r="G59" s="127" t="e">
        <f t="array" aca="1" ref="G59" ca="1">_xludf.xlookup(A59,'3.手順'!E:E,'3.手順'!D:D,"_")</f>
        <v>#NAME?</v>
      </c>
      <c r="H59" s="142">
        <f>IF(F59&lt;&gt;"", COUNTIF('3.手順'!H:H,F59),"")</f>
        <v>1</v>
      </c>
      <c r="I59" s="129">
        <f t="shared" si="1"/>
        <v>0</v>
      </c>
      <c r="J59" s="130">
        <f t="shared" si="2"/>
        <v>-1</v>
      </c>
      <c r="K59" s="131"/>
      <c r="L59" s="40"/>
      <c r="M59" s="40"/>
      <c r="N59" s="40"/>
      <c r="O59" s="40"/>
      <c r="P59" s="40"/>
      <c r="Q59" s="40"/>
      <c r="R59" s="40"/>
      <c r="S59" s="40"/>
      <c r="T59" s="40"/>
      <c r="U59" s="40"/>
      <c r="V59" s="40"/>
    </row>
    <row r="60" spans="1:22" ht="17.5">
      <c r="A60" s="124" t="s">
        <v>238</v>
      </c>
      <c r="B60" s="125" t="s">
        <v>239</v>
      </c>
      <c r="C60" s="140">
        <v>35.434964000000001</v>
      </c>
      <c r="D60" s="140">
        <v>133.33462499999999</v>
      </c>
      <c r="E60" s="124" t="s">
        <v>100</v>
      </c>
      <c r="F60" s="126" t="str">
        <f t="shared" si="0"/>
        <v>P58:一心延命助地蔵尊</v>
      </c>
      <c r="G60" s="127" t="e">
        <f t="array" aca="1" ref="G60" ca="1">_xludf.xlookup(A60,'3.手順'!E:E,'3.手順'!D:D,"_")</f>
        <v>#NAME?</v>
      </c>
      <c r="H60" s="142">
        <f>IF(F60&lt;&gt;"", COUNTIF('3.手順'!H:H,F60),"")</f>
        <v>1</v>
      </c>
      <c r="I60" s="129">
        <f t="shared" si="1"/>
        <v>0</v>
      </c>
      <c r="J60" s="130">
        <f t="shared" si="2"/>
        <v>-1</v>
      </c>
      <c r="K60" s="131"/>
      <c r="L60" s="40"/>
      <c r="M60" s="40"/>
      <c r="N60" s="40"/>
      <c r="O60" s="40"/>
      <c r="P60" s="40"/>
      <c r="Q60" s="40"/>
      <c r="R60" s="40"/>
      <c r="S60" s="40"/>
      <c r="T60" s="40"/>
      <c r="U60" s="40"/>
      <c r="V60" s="40"/>
    </row>
    <row r="61" spans="1:22" ht="17.5">
      <c r="A61" s="124" t="s">
        <v>240</v>
      </c>
      <c r="B61" s="125" t="s">
        <v>241</v>
      </c>
      <c r="C61" s="140">
        <v>35.435423</v>
      </c>
      <c r="D61" s="140">
        <v>133.33706699999999</v>
      </c>
      <c r="E61" s="124" t="s">
        <v>100</v>
      </c>
      <c r="F61" s="126" t="str">
        <f t="shared" si="0"/>
        <v>P59:YSP ボウル</v>
      </c>
      <c r="G61" s="127" t="e">
        <f t="array" aca="1" ref="G61" ca="1">_xludf.xlookup(A61,'3.手順'!E:E,'3.手順'!D:D,"_")</f>
        <v>#NAME?</v>
      </c>
      <c r="H61" s="142">
        <f>IF(F61&lt;&gt;"", COUNTIF('3.手順'!H:H,F61),"")</f>
        <v>2</v>
      </c>
      <c r="I61" s="129">
        <f t="shared" si="1"/>
        <v>0</v>
      </c>
      <c r="J61" s="130">
        <f t="shared" si="2"/>
        <v>-2</v>
      </c>
      <c r="K61" s="131"/>
      <c r="L61" s="40"/>
      <c r="M61" s="40"/>
      <c r="N61" s="40"/>
      <c r="O61" s="40"/>
      <c r="P61" s="40"/>
      <c r="Q61" s="40"/>
      <c r="R61" s="40"/>
      <c r="S61" s="40"/>
      <c r="T61" s="40"/>
      <c r="U61" s="40"/>
      <c r="V61" s="40"/>
    </row>
    <row r="62" spans="1:22" ht="17.5">
      <c r="A62" s="124" t="s">
        <v>242</v>
      </c>
      <c r="B62" s="125" t="s">
        <v>243</v>
      </c>
      <c r="C62" s="140">
        <v>35.435630000000003</v>
      </c>
      <c r="D62" s="140">
        <v>133.33294599999999</v>
      </c>
      <c r="E62" s="124" t="s">
        <v>100</v>
      </c>
      <c r="F62" s="126" t="str">
        <f t="shared" si="0"/>
        <v>P60:恒久平和 戦没者慰霊碑</v>
      </c>
      <c r="G62" s="127" t="e">
        <f t="array" aca="1" ref="G62" ca="1">_xludf.xlookup(A62,'3.手順'!E:E,'3.手順'!D:D,"_")</f>
        <v>#NAME?</v>
      </c>
      <c r="H62" s="142">
        <f>IF(F62&lt;&gt;"", COUNTIF('3.手順'!H:H,F62),"")</f>
        <v>1</v>
      </c>
      <c r="I62" s="129">
        <f t="shared" si="1"/>
        <v>0</v>
      </c>
      <c r="J62" s="130">
        <f t="shared" si="2"/>
        <v>-1</v>
      </c>
      <c r="K62" s="131"/>
      <c r="L62" s="40"/>
      <c r="M62" s="40"/>
      <c r="N62" s="40"/>
      <c r="O62" s="40"/>
      <c r="P62" s="40"/>
      <c r="Q62" s="40"/>
      <c r="R62" s="40"/>
      <c r="S62" s="40"/>
      <c r="T62" s="40"/>
      <c r="U62" s="40"/>
      <c r="V62" s="40"/>
    </row>
    <row r="63" spans="1:22" ht="17.5">
      <c r="A63" s="124" t="s">
        <v>244</v>
      </c>
      <c r="B63" s="125" t="s">
        <v>245</v>
      </c>
      <c r="C63" s="140">
        <v>35.435771000000003</v>
      </c>
      <c r="D63" s="140">
        <v>133.32353599999999</v>
      </c>
      <c r="E63" s="124" t="s">
        <v>100</v>
      </c>
      <c r="F63" s="126" t="str">
        <f t="shared" si="0"/>
        <v>P61:どらやき神社</v>
      </c>
      <c r="G63" s="127" t="e">
        <f t="array" aca="1" ref="G63" ca="1">_xludf.xlookup(A63,'3.手順'!E:E,'3.手順'!D:D,"_")</f>
        <v>#NAME?</v>
      </c>
      <c r="H63" s="142">
        <f>IF(F63&lt;&gt;"", COUNTIF('3.手順'!H:H,F63),"")</f>
        <v>2</v>
      </c>
      <c r="I63" s="129">
        <f t="shared" si="1"/>
        <v>0</v>
      </c>
      <c r="J63" s="130">
        <f t="shared" si="2"/>
        <v>-2</v>
      </c>
      <c r="K63" s="131"/>
      <c r="L63" s="40"/>
      <c r="M63" s="40"/>
      <c r="N63" s="40"/>
      <c r="O63" s="40"/>
      <c r="P63" s="40"/>
      <c r="Q63" s="40"/>
      <c r="R63" s="40"/>
      <c r="S63" s="40"/>
      <c r="T63" s="40"/>
      <c r="U63" s="40"/>
      <c r="V63" s="40"/>
    </row>
    <row r="64" spans="1:22" ht="17.5">
      <c r="A64" s="124" t="s">
        <v>246</v>
      </c>
      <c r="B64" s="125" t="s">
        <v>247</v>
      </c>
      <c r="C64" s="140">
        <v>35.435943000000002</v>
      </c>
      <c r="D64" s="140">
        <v>133.34314000000001</v>
      </c>
      <c r="E64" s="124" t="s">
        <v>100</v>
      </c>
      <c r="F64" s="126" t="str">
        <f t="shared" si="0"/>
        <v>P62:米子市役所博労町庁舎</v>
      </c>
      <c r="G64" s="127" t="e">
        <f t="array" aca="1" ref="G64" ca="1">_xludf.xlookup(A64,'3.手順'!E:E,'3.手順'!D:D,"_")</f>
        <v>#NAME?</v>
      </c>
      <c r="H64" s="141">
        <f>IF(F64&lt;&gt;"", COUNTIF('3.手順'!H:H,F64),"")</f>
        <v>1</v>
      </c>
      <c r="I64" s="129">
        <f t="shared" si="1"/>
        <v>0</v>
      </c>
      <c r="J64" s="130">
        <f t="shared" si="2"/>
        <v>-1</v>
      </c>
      <c r="K64" s="131"/>
      <c r="L64" s="40"/>
      <c r="M64" s="40"/>
      <c r="N64" s="40"/>
      <c r="O64" s="40"/>
      <c r="P64" s="40"/>
      <c r="Q64" s="40"/>
      <c r="R64" s="40"/>
      <c r="S64" s="40"/>
      <c r="T64" s="40"/>
      <c r="U64" s="40"/>
      <c r="V64" s="40"/>
    </row>
    <row r="65" spans="1:22" ht="17.5">
      <c r="A65" s="124" t="s">
        <v>248</v>
      </c>
      <c r="B65" s="125" t="s">
        <v>249</v>
      </c>
      <c r="C65" s="140">
        <v>35.436062</v>
      </c>
      <c r="D65" s="140">
        <v>133.32418699999999</v>
      </c>
      <c r="E65" s="124" t="s">
        <v>100</v>
      </c>
      <c r="F65" s="126" t="str">
        <f t="shared" si="0"/>
        <v>P63:Rochelle Antique</v>
      </c>
      <c r="G65" s="127" t="e">
        <f t="array" aca="1" ref="G65" ca="1">_xludf.xlookup(A65,'3.手順'!E:E,'3.手順'!D:D,"_")</f>
        <v>#NAME?</v>
      </c>
      <c r="H65" s="142">
        <f>IF(F65&lt;&gt;"", COUNTIF('3.手順'!H:H,F65),"")</f>
        <v>8</v>
      </c>
      <c r="I65" s="129">
        <f t="shared" si="1"/>
        <v>0</v>
      </c>
      <c r="J65" s="130">
        <f t="shared" si="2"/>
        <v>-8</v>
      </c>
      <c r="K65" s="131"/>
      <c r="L65" s="40"/>
      <c r="M65" s="40"/>
      <c r="N65" s="40"/>
      <c r="O65" s="40"/>
      <c r="P65" s="40"/>
      <c r="Q65" s="40"/>
      <c r="R65" s="40"/>
      <c r="S65" s="40"/>
      <c r="T65" s="40"/>
      <c r="U65" s="40"/>
      <c r="V65" s="40"/>
    </row>
    <row r="66" spans="1:22" ht="17.5">
      <c r="A66" s="124" t="s">
        <v>250</v>
      </c>
      <c r="B66" s="125" t="s">
        <v>251</v>
      </c>
      <c r="C66" s="140">
        <v>35.436211</v>
      </c>
      <c r="D66" s="140">
        <v>133.33606</v>
      </c>
      <c r="E66" s="124" t="s">
        <v>100</v>
      </c>
      <c r="F66" s="126" t="str">
        <f t="shared" si="0"/>
        <v>P64:日ノ出公園</v>
      </c>
      <c r="G66" s="127" t="e">
        <f t="array" aca="1" ref="G66" ca="1">_xludf.xlookup(A66,'3.手順'!E:E,'3.手順'!D:D,"_")</f>
        <v>#NAME?</v>
      </c>
      <c r="H66" s="142">
        <f>IF(F66&lt;&gt;"", COUNTIF('3.手順'!H:H,F66),"")</f>
        <v>2</v>
      </c>
      <c r="I66" s="129">
        <f t="shared" si="1"/>
        <v>0</v>
      </c>
      <c r="J66" s="130">
        <f t="shared" si="2"/>
        <v>-2</v>
      </c>
      <c r="K66" s="131"/>
      <c r="L66" s="40"/>
      <c r="M66" s="40"/>
      <c r="N66" s="40"/>
      <c r="O66" s="40"/>
      <c r="P66" s="40"/>
      <c r="Q66" s="40"/>
      <c r="R66" s="40"/>
      <c r="S66" s="40"/>
      <c r="T66" s="40"/>
      <c r="U66" s="40"/>
      <c r="V66" s="40"/>
    </row>
    <row r="67" spans="1:22" ht="17.5">
      <c r="A67" s="124" t="s">
        <v>252</v>
      </c>
      <c r="B67" s="125" t="s">
        <v>253</v>
      </c>
      <c r="C67" s="140">
        <v>35.436627999999999</v>
      </c>
      <c r="D67" s="140">
        <v>133.33288400000001</v>
      </c>
      <c r="E67" s="124" t="s">
        <v>100</v>
      </c>
      <c r="F67" s="126" t="str">
        <f t="shared" si="0"/>
        <v>P65:錦町２丁目１区自治会掲示板</v>
      </c>
      <c r="G67" s="127" t="e">
        <f t="array" aca="1" ref="G67" ca="1">_xludf.xlookup(A67,'3.手順'!E:E,'3.手順'!D:D,"_")</f>
        <v>#NAME?</v>
      </c>
      <c r="H67" s="142">
        <f>IF(F67&lt;&gt;"", COUNTIF('3.手順'!H:H,F67),"")</f>
        <v>1</v>
      </c>
      <c r="I67" s="129">
        <f t="shared" si="1"/>
        <v>0</v>
      </c>
      <c r="J67" s="130">
        <f t="shared" si="2"/>
        <v>-1</v>
      </c>
      <c r="K67" s="131"/>
      <c r="L67" s="40"/>
      <c r="M67" s="40"/>
      <c r="N67" s="40"/>
      <c r="O67" s="40"/>
      <c r="P67" s="40"/>
      <c r="Q67" s="40"/>
      <c r="R67" s="40"/>
      <c r="S67" s="40"/>
      <c r="T67" s="40"/>
      <c r="U67" s="40"/>
      <c r="V67" s="40"/>
    </row>
    <row r="68" spans="1:22" ht="17.5">
      <c r="A68" s="124" t="s">
        <v>254</v>
      </c>
      <c r="B68" s="125" t="s">
        <v>255</v>
      </c>
      <c r="C68" s="140">
        <v>35.436959999999999</v>
      </c>
      <c r="D68" s="140">
        <v>133.33776800000001</v>
      </c>
      <c r="E68" s="124" t="s">
        <v>100</v>
      </c>
      <c r="F68" s="126" t="str">
        <f t="shared" si="0"/>
        <v>P66:真如苑 米子支部</v>
      </c>
      <c r="G68" s="127" t="e">
        <f t="array" aca="1" ref="G68" ca="1">_xludf.xlookup(A68,'3.手順'!E:E,'3.手順'!D:D,"_")</f>
        <v>#NAME?</v>
      </c>
      <c r="H68" s="142">
        <f>IF(F68&lt;&gt;"", COUNTIF('3.手順'!H:H,F68),"")</f>
        <v>5</v>
      </c>
      <c r="I68" s="129">
        <f t="shared" si="1"/>
        <v>0</v>
      </c>
      <c r="J68" s="130">
        <f t="shared" si="2"/>
        <v>-5</v>
      </c>
      <c r="K68" s="131"/>
      <c r="L68" s="40"/>
      <c r="M68" s="40"/>
      <c r="N68" s="40"/>
      <c r="O68" s="40"/>
      <c r="P68" s="40"/>
      <c r="Q68" s="40"/>
      <c r="R68" s="40"/>
      <c r="S68" s="40"/>
      <c r="T68" s="40"/>
      <c r="U68" s="40"/>
      <c r="V68" s="40"/>
    </row>
    <row r="69" spans="1:22" ht="17.5">
      <c r="A69" s="124" t="s">
        <v>256</v>
      </c>
      <c r="B69" s="125" t="s">
        <v>257</v>
      </c>
      <c r="C69" s="140">
        <v>35.437179</v>
      </c>
      <c r="D69" s="140">
        <v>133.32708099999999</v>
      </c>
      <c r="E69" s="124" t="s">
        <v>100</v>
      </c>
      <c r="F69" s="126" t="str">
        <f t="shared" si="0"/>
        <v>P67:ちとせ</v>
      </c>
      <c r="G69" s="127" t="e">
        <f t="array" aca="1" ref="G69" ca="1">_xludf.xlookup(A69,'3.手順'!E:E,'3.手順'!D:D,"_")</f>
        <v>#NAME?</v>
      </c>
      <c r="H69" s="142">
        <f>IF(F69&lt;&gt;"", COUNTIF('3.手順'!H:H,F69),"")</f>
        <v>0</v>
      </c>
      <c r="I69" s="129">
        <f t="shared" si="1"/>
        <v>0</v>
      </c>
      <c r="J69" s="130">
        <f t="shared" si="2"/>
        <v>0</v>
      </c>
      <c r="K69" s="131"/>
      <c r="L69" s="40"/>
      <c r="M69" s="40"/>
      <c r="N69" s="40"/>
      <c r="O69" s="40"/>
      <c r="P69" s="40"/>
      <c r="Q69" s="40"/>
      <c r="R69" s="40"/>
      <c r="S69" s="40"/>
      <c r="T69" s="40"/>
      <c r="U69" s="40"/>
      <c r="V69" s="40"/>
    </row>
    <row r="70" spans="1:22" ht="17.5">
      <c r="A70" s="124" t="s">
        <v>258</v>
      </c>
      <c r="B70" s="125" t="s">
        <v>259</v>
      </c>
      <c r="C70" s="140">
        <v>35.437263000000002</v>
      </c>
      <c r="D70" s="140">
        <v>133.32223200000001</v>
      </c>
      <c r="E70" s="124" t="s">
        <v>100</v>
      </c>
      <c r="F70" s="126" t="str">
        <f t="shared" si="0"/>
        <v>P68:住居表示街区案内図 米子市旗ヶ崎1丁目</v>
      </c>
      <c r="G70" s="127" t="e">
        <f t="array" aca="1" ref="G70" ca="1">_xludf.xlookup(A70,'3.手順'!E:E,'3.手順'!D:D,"_")</f>
        <v>#NAME?</v>
      </c>
      <c r="H70" s="142">
        <f>IF(F70&lt;&gt;"", COUNTIF('3.手順'!H:H,F70),"")</f>
        <v>3</v>
      </c>
      <c r="I70" s="129">
        <f t="shared" si="1"/>
        <v>0</v>
      </c>
      <c r="J70" s="130">
        <f t="shared" si="2"/>
        <v>-3</v>
      </c>
      <c r="K70" s="131"/>
      <c r="L70" s="40"/>
      <c r="M70" s="40"/>
      <c r="N70" s="40"/>
      <c r="O70" s="40"/>
      <c r="P70" s="40"/>
      <c r="Q70" s="40"/>
      <c r="R70" s="40"/>
      <c r="S70" s="40"/>
      <c r="T70" s="40"/>
      <c r="U70" s="40"/>
      <c r="V70" s="40"/>
    </row>
    <row r="71" spans="1:22" ht="17.5">
      <c r="A71" s="124" t="s">
        <v>260</v>
      </c>
      <c r="B71" s="125" t="s">
        <v>261</v>
      </c>
      <c r="C71" s="140">
        <v>35.437491999999999</v>
      </c>
      <c r="D71" s="140">
        <v>133.340979</v>
      </c>
      <c r="E71" s="124" t="s">
        <v>100</v>
      </c>
      <c r="F71" s="126" t="str">
        <f t="shared" si="0"/>
        <v>P69:住居表示街区案内図 米子市東福原1丁目</v>
      </c>
      <c r="G71" s="127" t="e">
        <f t="array" aca="1" ref="G71" ca="1">_xludf.xlookup(A71,'3.手順'!E:E,'3.手順'!D:D,"_")</f>
        <v>#NAME?</v>
      </c>
      <c r="H71" s="141">
        <f>IF(F71&lt;&gt;"", COUNTIF('3.手順'!H:H,F71),"")</f>
        <v>2</v>
      </c>
      <c r="I71" s="129">
        <f t="shared" si="1"/>
        <v>0</v>
      </c>
      <c r="J71" s="130">
        <f t="shared" si="2"/>
        <v>-2</v>
      </c>
      <c r="K71" s="131"/>
      <c r="L71" s="40"/>
      <c r="M71" s="40"/>
      <c r="N71" s="40"/>
      <c r="O71" s="40"/>
      <c r="P71" s="40"/>
      <c r="Q71" s="40"/>
      <c r="R71" s="40"/>
      <c r="S71" s="40"/>
      <c r="T71" s="40"/>
      <c r="U71" s="40"/>
      <c r="V71" s="40"/>
    </row>
    <row r="72" spans="1:22" ht="17.5">
      <c r="A72" s="124" t="s">
        <v>262</v>
      </c>
      <c r="B72" s="125" t="s">
        <v>263</v>
      </c>
      <c r="C72" s="140">
        <v>35.437506999999997</v>
      </c>
      <c r="D72" s="140">
        <v>133.34054399999999</v>
      </c>
      <c r="E72" s="124" t="s">
        <v>100</v>
      </c>
      <c r="F72" s="126" t="str">
        <f t="shared" si="0"/>
        <v>P70:米川堤防のつつじ</v>
      </c>
      <c r="G72" s="127" t="e">
        <f t="array" aca="1" ref="G72" ca="1">_xludf.xlookup(A72,'3.手順'!E:E,'3.手順'!D:D,"_")</f>
        <v>#NAME?</v>
      </c>
      <c r="H72" s="141">
        <f>IF(F72&lt;&gt;"", COUNTIF('3.手順'!H:H,F72),"")</f>
        <v>10</v>
      </c>
      <c r="I72" s="129">
        <f t="shared" si="1"/>
        <v>0</v>
      </c>
      <c r="J72" s="130">
        <f t="shared" si="2"/>
        <v>-10</v>
      </c>
      <c r="K72" s="131"/>
      <c r="L72" s="40"/>
      <c r="M72" s="40"/>
      <c r="N72" s="40"/>
      <c r="O72" s="40"/>
      <c r="P72" s="40"/>
      <c r="Q72" s="40"/>
      <c r="R72" s="40"/>
      <c r="S72" s="40"/>
      <c r="T72" s="40"/>
      <c r="U72" s="40"/>
      <c r="V72" s="40"/>
    </row>
    <row r="73" spans="1:22" ht="17.5">
      <c r="A73" s="124" t="s">
        <v>264</v>
      </c>
      <c r="B73" s="125" t="s">
        <v>265</v>
      </c>
      <c r="C73" s="140">
        <v>35.437649999999998</v>
      </c>
      <c r="D73" s="140">
        <v>133.32341099999999</v>
      </c>
      <c r="E73" s="124" t="s">
        <v>100</v>
      </c>
      <c r="F73" s="126" t="str">
        <f t="shared" si="0"/>
        <v>P71:義方公民館</v>
      </c>
      <c r="G73" s="127" t="e">
        <f t="array" aca="1" ref="G73" ca="1">_xludf.xlookup(A73,'3.手順'!E:E,'3.手順'!D:D,"_")</f>
        <v>#NAME?</v>
      </c>
      <c r="H73" s="142">
        <f>IF(F73&lt;&gt;"", COUNTIF('3.手順'!H:H,F73),"")</f>
        <v>1</v>
      </c>
      <c r="I73" s="129">
        <f t="shared" si="1"/>
        <v>0</v>
      </c>
      <c r="J73" s="130">
        <f t="shared" si="2"/>
        <v>-1</v>
      </c>
      <c r="K73" s="131"/>
      <c r="L73" s="40"/>
      <c r="M73" s="40"/>
      <c r="N73" s="40"/>
      <c r="O73" s="40"/>
      <c r="P73" s="40"/>
      <c r="Q73" s="40"/>
      <c r="R73" s="40"/>
      <c r="S73" s="40"/>
      <c r="T73" s="40"/>
      <c r="U73" s="40"/>
      <c r="V73" s="40"/>
    </row>
    <row r="74" spans="1:22" ht="17.5">
      <c r="A74" s="124" t="s">
        <v>266</v>
      </c>
      <c r="B74" s="125" t="s">
        <v>267</v>
      </c>
      <c r="C74" s="140">
        <v>35.437674000000001</v>
      </c>
      <c r="D74" s="140">
        <v>133.324838</v>
      </c>
      <c r="E74" s="124" t="s">
        <v>100</v>
      </c>
      <c r="F74" s="126" t="str">
        <f t="shared" si="0"/>
        <v>P72:糺神社 本殿</v>
      </c>
      <c r="G74" s="127" t="e">
        <f t="array" aca="1" ref="G74" ca="1">_xludf.xlookup(A74,'3.手順'!E:E,'3.手順'!D:D,"_")</f>
        <v>#NAME?</v>
      </c>
      <c r="H74" s="142">
        <f>IF(F74&lt;&gt;"", COUNTIF('3.手順'!H:H,F74),"")</f>
        <v>1</v>
      </c>
      <c r="I74" s="129">
        <f t="shared" si="1"/>
        <v>0</v>
      </c>
      <c r="J74" s="130">
        <f t="shared" si="2"/>
        <v>-1</v>
      </c>
      <c r="K74" s="131"/>
      <c r="L74" s="40"/>
      <c r="M74" s="40"/>
      <c r="N74" s="40"/>
      <c r="O74" s="40"/>
      <c r="P74" s="40"/>
      <c r="Q74" s="40"/>
      <c r="R74" s="40"/>
      <c r="S74" s="40"/>
      <c r="T74" s="40"/>
      <c r="U74" s="40"/>
      <c r="V74" s="40"/>
    </row>
    <row r="75" spans="1:22" ht="17.5">
      <c r="A75" s="124" t="s">
        <v>268</v>
      </c>
      <c r="B75" s="125" t="s">
        <v>269</v>
      </c>
      <c r="C75" s="140">
        <v>35.438051000000002</v>
      </c>
      <c r="D75" s="140">
        <v>133.324409</v>
      </c>
      <c r="E75" s="124" t="s">
        <v>100</v>
      </c>
      <c r="F75" s="126" t="str">
        <f t="shared" si="0"/>
        <v>P73:三界萬霊塔</v>
      </c>
      <c r="G75" s="127" t="e">
        <f t="array" aca="1" ref="G75" ca="1">_xludf.xlookup(A75,'3.手順'!E:E,'3.手順'!D:D,"_")</f>
        <v>#NAME?</v>
      </c>
      <c r="H75" s="142">
        <f>IF(F75&lt;&gt;"", COUNTIF('3.手順'!H:H,F75),"")</f>
        <v>2</v>
      </c>
      <c r="I75" s="129">
        <f t="shared" si="1"/>
        <v>0</v>
      </c>
      <c r="J75" s="130">
        <f t="shared" si="2"/>
        <v>-2</v>
      </c>
      <c r="K75" s="131"/>
      <c r="L75" s="40"/>
      <c r="M75" s="40"/>
      <c r="N75" s="40"/>
      <c r="O75" s="40"/>
      <c r="P75" s="40"/>
      <c r="Q75" s="40"/>
      <c r="R75" s="40"/>
      <c r="S75" s="40"/>
      <c r="T75" s="40"/>
      <c r="U75" s="40"/>
      <c r="V75" s="40"/>
    </row>
    <row r="76" spans="1:22" ht="17.5">
      <c r="A76" s="124" t="s">
        <v>270</v>
      </c>
      <c r="B76" s="125" t="s">
        <v>271</v>
      </c>
      <c r="C76" s="140">
        <v>35.438389000000001</v>
      </c>
      <c r="D76" s="140">
        <v>133.34037699999999</v>
      </c>
      <c r="E76" s="124" t="s">
        <v>100</v>
      </c>
      <c r="F76" s="126" t="str">
        <f t="shared" si="0"/>
        <v>P74:ラッテちゃんボランティアロード</v>
      </c>
      <c r="G76" s="127" t="e">
        <f t="array" aca="1" ref="G76" ca="1">_xludf.xlookup(A76,'3.手順'!E:E,'3.手順'!D:D,"_")</f>
        <v>#NAME?</v>
      </c>
      <c r="H76" s="142">
        <f>IF(F76&lt;&gt;"", COUNTIF('3.手順'!H:H,F76),"")</f>
        <v>0</v>
      </c>
      <c r="I76" s="129">
        <f t="shared" si="1"/>
        <v>0</v>
      </c>
      <c r="J76" s="130">
        <f t="shared" si="2"/>
        <v>0</v>
      </c>
      <c r="K76" s="131"/>
      <c r="L76" s="40"/>
      <c r="M76" s="40"/>
      <c r="N76" s="40"/>
      <c r="O76" s="40"/>
      <c r="P76" s="40"/>
      <c r="Q76" s="40"/>
      <c r="R76" s="40"/>
      <c r="S76" s="40"/>
      <c r="T76" s="40"/>
      <c r="U76" s="40"/>
      <c r="V76" s="40"/>
    </row>
    <row r="77" spans="1:22" ht="17.5">
      <c r="A77" s="124" t="s">
        <v>272</v>
      </c>
      <c r="B77" s="125" t="s">
        <v>273</v>
      </c>
      <c r="C77" s="140">
        <v>35.438468999999998</v>
      </c>
      <c r="D77" s="140">
        <v>133.33862099999999</v>
      </c>
      <c r="E77" s="124" t="s">
        <v>100</v>
      </c>
      <c r="F77" s="126" t="str">
        <f t="shared" si="0"/>
        <v>P75:西部建設会館</v>
      </c>
      <c r="G77" s="127" t="e">
        <f t="array" aca="1" ref="G77" ca="1">_xludf.xlookup(A77,'3.手順'!E:E,'3.手順'!D:D,"_")</f>
        <v>#NAME?</v>
      </c>
      <c r="H77" s="142">
        <f>IF(F77&lt;&gt;"", COUNTIF('3.手順'!H:H,F77),"")</f>
        <v>2</v>
      </c>
      <c r="I77" s="129">
        <f t="shared" si="1"/>
        <v>0</v>
      </c>
      <c r="J77" s="130">
        <f t="shared" si="2"/>
        <v>-2</v>
      </c>
      <c r="K77" s="131"/>
      <c r="L77" s="40"/>
      <c r="M77" s="40"/>
      <c r="N77" s="40"/>
      <c r="O77" s="40"/>
      <c r="P77" s="40"/>
      <c r="Q77" s="40"/>
      <c r="R77" s="40"/>
      <c r="S77" s="40"/>
      <c r="T77" s="40"/>
      <c r="U77" s="40"/>
      <c r="V77" s="40"/>
    </row>
    <row r="78" spans="1:22" ht="17.5">
      <c r="A78" s="124" t="s">
        <v>274</v>
      </c>
      <c r="B78" s="125" t="s">
        <v>275</v>
      </c>
      <c r="C78" s="140">
        <v>35.438687000000002</v>
      </c>
      <c r="D78" s="140">
        <v>133.32530399999999</v>
      </c>
      <c r="E78" s="124" t="s">
        <v>100</v>
      </c>
      <c r="F78" s="126" t="str">
        <f t="shared" si="0"/>
        <v>P76:焼肉大門</v>
      </c>
      <c r="G78" s="127" t="e">
        <f t="array" aca="1" ref="G78" ca="1">_xludf.xlookup(A78,'3.手順'!E:E,'3.手順'!D:D,"_")</f>
        <v>#NAME?</v>
      </c>
      <c r="H78" s="142">
        <f>IF(F78&lt;&gt;"", COUNTIF('3.手順'!H:H,F78),"")</f>
        <v>2</v>
      </c>
      <c r="I78" s="129">
        <f t="shared" si="1"/>
        <v>0</v>
      </c>
      <c r="J78" s="130">
        <f t="shared" si="2"/>
        <v>-2</v>
      </c>
      <c r="K78" s="131"/>
      <c r="L78" s="40"/>
      <c r="M78" s="40"/>
      <c r="N78" s="40"/>
      <c r="O78" s="40"/>
      <c r="P78" s="40"/>
      <c r="Q78" s="40"/>
      <c r="R78" s="40"/>
      <c r="S78" s="40"/>
      <c r="T78" s="40"/>
      <c r="U78" s="40"/>
      <c r="V78" s="40"/>
    </row>
    <row r="79" spans="1:22" ht="17.5">
      <c r="A79" s="124" t="s">
        <v>276</v>
      </c>
      <c r="B79" s="125" t="s">
        <v>277</v>
      </c>
      <c r="C79" s="140">
        <v>35.439227000000002</v>
      </c>
      <c r="D79" s="140">
        <v>133.32476199999999</v>
      </c>
      <c r="E79" s="124" t="s">
        <v>100</v>
      </c>
      <c r="F79" s="126" t="str">
        <f t="shared" si="0"/>
        <v>P77:理想教 米子法堂</v>
      </c>
      <c r="G79" s="127" t="e">
        <f t="array" aca="1" ref="G79" ca="1">_xludf.xlookup(A79,'3.手順'!E:E,'3.手順'!D:D,"_")</f>
        <v>#NAME?</v>
      </c>
      <c r="H79" s="141">
        <f>IF(F79&lt;&gt;"", COUNTIF('3.手順'!H:H,F79),"")</f>
        <v>3</v>
      </c>
      <c r="I79" s="129">
        <f t="shared" si="1"/>
        <v>0</v>
      </c>
      <c r="J79" s="130">
        <f t="shared" si="2"/>
        <v>-3</v>
      </c>
      <c r="K79" s="131"/>
      <c r="L79" s="40"/>
      <c r="M79" s="40"/>
      <c r="N79" s="40"/>
      <c r="O79" s="40"/>
      <c r="P79" s="40"/>
      <c r="Q79" s="40"/>
      <c r="R79" s="40"/>
      <c r="S79" s="40"/>
      <c r="T79" s="40"/>
      <c r="U79" s="40"/>
      <c r="V79" s="40"/>
    </row>
    <row r="80" spans="1:22" ht="17.5">
      <c r="A80" s="124" t="s">
        <v>278</v>
      </c>
      <c r="B80" s="125" t="s">
        <v>279</v>
      </c>
      <c r="C80" s="140">
        <v>35.439287999999998</v>
      </c>
      <c r="D80" s="140">
        <v>133.33141800000001</v>
      </c>
      <c r="E80" s="124" t="s">
        <v>100</v>
      </c>
      <c r="F80" s="126" t="str">
        <f t="shared" si="0"/>
        <v>P78:米子市中心市街地地図</v>
      </c>
      <c r="G80" s="127" t="e">
        <f t="array" aca="1" ref="G80" ca="1">_xludf.xlookup(A80,'3.手順'!E:E,'3.手順'!D:D,"_")</f>
        <v>#NAME?</v>
      </c>
      <c r="H80" s="142">
        <f>IF(F80&lt;&gt;"", COUNTIF('3.手順'!H:H,F80),"")</f>
        <v>7</v>
      </c>
      <c r="I80" s="129">
        <f t="shared" si="1"/>
        <v>0</v>
      </c>
      <c r="J80" s="130">
        <f t="shared" si="2"/>
        <v>-7</v>
      </c>
      <c r="K80" s="131"/>
      <c r="L80" s="40"/>
      <c r="M80" s="40"/>
      <c r="N80" s="40"/>
      <c r="O80" s="40"/>
      <c r="P80" s="40"/>
      <c r="Q80" s="40"/>
      <c r="R80" s="40"/>
      <c r="S80" s="40"/>
      <c r="T80" s="40"/>
      <c r="U80" s="40"/>
      <c r="V80" s="40"/>
    </row>
    <row r="81" spans="1:22" ht="17.5">
      <c r="A81" s="124" t="s">
        <v>280</v>
      </c>
      <c r="B81" s="125" t="s">
        <v>281</v>
      </c>
      <c r="C81" s="140">
        <v>35.439365000000002</v>
      </c>
      <c r="D81" s="140">
        <v>133.337143</v>
      </c>
      <c r="E81" s="124" t="s">
        <v>100</v>
      </c>
      <c r="F81" s="126" t="str">
        <f t="shared" si="0"/>
        <v>P79:住居表示街区案内図 西福原1丁目</v>
      </c>
      <c r="G81" s="127" t="e">
        <f t="array" aca="1" ref="G81" ca="1">_xludf.xlookup(A81,'3.手順'!E:E,'3.手順'!D:D,"_")</f>
        <v>#NAME?</v>
      </c>
      <c r="H81" s="142">
        <f>IF(F81&lt;&gt;"", COUNTIF('3.手順'!H:H,F81),"")</f>
        <v>2</v>
      </c>
      <c r="I81" s="129">
        <f t="shared" si="1"/>
        <v>0</v>
      </c>
      <c r="J81" s="130">
        <f t="shared" si="2"/>
        <v>-2</v>
      </c>
      <c r="K81" s="131"/>
      <c r="L81" s="40"/>
      <c r="M81" s="40"/>
      <c r="N81" s="40"/>
      <c r="O81" s="40"/>
      <c r="P81" s="40"/>
      <c r="Q81" s="40"/>
      <c r="R81" s="40"/>
      <c r="S81" s="40"/>
      <c r="T81" s="40"/>
      <c r="U81" s="40"/>
      <c r="V81" s="40"/>
    </row>
    <row r="82" spans="1:22" ht="17.5">
      <c r="A82" s="124" t="s">
        <v>282</v>
      </c>
      <c r="B82" s="125" t="s">
        <v>283</v>
      </c>
      <c r="C82" s="140">
        <v>35.439526000000001</v>
      </c>
      <c r="D82" s="140">
        <v>133.33153300000001</v>
      </c>
      <c r="E82" s="124" t="s">
        <v>100</v>
      </c>
      <c r="F82" s="126" t="str">
        <f t="shared" si="0"/>
        <v>P80:JR後藤駅</v>
      </c>
      <c r="G82" s="127" t="e">
        <f t="array" aca="1" ref="G82" ca="1">_xludf.xlookup(A82,'3.手順'!E:E,'3.手順'!D:D,"_")</f>
        <v>#NAME?</v>
      </c>
      <c r="H82" s="142">
        <f>IF(F82&lt;&gt;"", COUNTIF('3.手順'!H:H,F82),"")</f>
        <v>3</v>
      </c>
      <c r="I82" s="129">
        <f t="shared" si="1"/>
        <v>0</v>
      </c>
      <c r="J82" s="130">
        <f t="shared" si="2"/>
        <v>-3</v>
      </c>
      <c r="K82" s="131"/>
      <c r="L82" s="40"/>
      <c r="M82" s="40"/>
      <c r="N82" s="40"/>
      <c r="O82" s="40"/>
      <c r="P82" s="40"/>
      <c r="Q82" s="40"/>
      <c r="R82" s="40"/>
      <c r="S82" s="40"/>
      <c r="T82" s="40"/>
      <c r="U82" s="40"/>
      <c r="V82" s="40"/>
    </row>
    <row r="83" spans="1:22" ht="17.5">
      <c r="A83" s="124" t="s">
        <v>284</v>
      </c>
      <c r="B83" s="125" t="s">
        <v>285</v>
      </c>
      <c r="C83" s="140">
        <v>35.439759000000002</v>
      </c>
      <c r="D83" s="140">
        <v>133.334644</v>
      </c>
      <c r="E83" s="124" t="s">
        <v>100</v>
      </c>
      <c r="F83" s="126" t="str">
        <f t="shared" si="0"/>
        <v>P81:米原南土地区画整理竣工記念碑</v>
      </c>
      <c r="G83" s="127" t="e">
        <f t="array" aca="1" ref="G83" ca="1">_xludf.xlookup(A83,'3.手順'!E:E,'3.手順'!D:D,"_")</f>
        <v>#NAME?</v>
      </c>
      <c r="H83" s="142">
        <f>IF(F83&lt;&gt;"", COUNTIF('3.手順'!H:H,F83),"")</f>
        <v>4</v>
      </c>
      <c r="I83" s="129">
        <f t="shared" si="1"/>
        <v>0</v>
      </c>
      <c r="J83" s="130">
        <f t="shared" si="2"/>
        <v>-4</v>
      </c>
      <c r="K83" s="131"/>
      <c r="L83" s="40"/>
      <c r="M83" s="40"/>
      <c r="N83" s="40"/>
      <c r="O83" s="40"/>
      <c r="P83" s="40"/>
      <c r="Q83" s="40"/>
      <c r="R83" s="40"/>
      <c r="S83" s="40"/>
      <c r="T83" s="40"/>
      <c r="U83" s="40"/>
      <c r="V83" s="40"/>
    </row>
    <row r="84" spans="1:22" ht="17.5">
      <c r="A84" s="124" t="s">
        <v>286</v>
      </c>
      <c r="B84" s="125" t="s">
        <v>287</v>
      </c>
      <c r="C84" s="140">
        <v>35.439798000000003</v>
      </c>
      <c r="D84" s="140">
        <v>133.335915</v>
      </c>
      <c r="E84" s="124" t="s">
        <v>100</v>
      </c>
      <c r="F84" s="126" t="str">
        <f t="shared" si="0"/>
        <v>P82:集会所はなみずき</v>
      </c>
      <c r="G84" s="127" t="e">
        <f t="array" aca="1" ref="G84" ca="1">_xludf.xlookup(A84,'3.手順'!E:E,'3.手順'!D:D,"_")</f>
        <v>#NAME?</v>
      </c>
      <c r="H84" s="141">
        <f>IF(F84&lt;&gt;"", COUNTIF('3.手順'!H:H,F84),"")</f>
        <v>1</v>
      </c>
      <c r="I84" s="129">
        <f t="shared" si="1"/>
        <v>0</v>
      </c>
      <c r="J84" s="130">
        <f t="shared" si="2"/>
        <v>-1</v>
      </c>
      <c r="K84" s="131"/>
      <c r="L84" s="40"/>
      <c r="M84" s="40"/>
      <c r="N84" s="40"/>
      <c r="O84" s="40"/>
      <c r="P84" s="40"/>
      <c r="Q84" s="40"/>
      <c r="R84" s="40"/>
      <c r="S84" s="40"/>
      <c r="T84" s="40"/>
      <c r="U84" s="40"/>
      <c r="V84" s="40"/>
    </row>
    <row r="85" spans="1:22" ht="17.5">
      <c r="A85" s="124" t="s">
        <v>288</v>
      </c>
      <c r="B85" s="125" t="s">
        <v>289</v>
      </c>
      <c r="C85" s="140">
        <v>35.439819999999997</v>
      </c>
      <c r="D85" s="140">
        <v>133.322327</v>
      </c>
      <c r="E85" s="124" t="s">
        <v>100</v>
      </c>
      <c r="F85" s="126" t="str">
        <f t="shared" si="0"/>
        <v>P83:エースドライ</v>
      </c>
      <c r="G85" s="127" t="e">
        <f t="array" aca="1" ref="G85" ca="1">_xludf.xlookup(A85,'3.手順'!E:E,'3.手順'!D:D,"_")</f>
        <v>#NAME?</v>
      </c>
      <c r="H85" s="142">
        <f>IF(F85&lt;&gt;"", COUNTIF('3.手順'!H:H,F85),"")</f>
        <v>2</v>
      </c>
      <c r="I85" s="129">
        <f t="shared" si="1"/>
        <v>0</v>
      </c>
      <c r="J85" s="130">
        <f t="shared" si="2"/>
        <v>-2</v>
      </c>
      <c r="K85" s="131"/>
      <c r="L85" s="40"/>
      <c r="M85" s="40"/>
      <c r="N85" s="40"/>
      <c r="O85" s="40"/>
      <c r="P85" s="40"/>
      <c r="Q85" s="40"/>
      <c r="R85" s="40"/>
      <c r="S85" s="40"/>
      <c r="T85" s="40"/>
      <c r="U85" s="40"/>
      <c r="V85" s="40"/>
    </row>
    <row r="86" spans="1:22" ht="17.5">
      <c r="A86" s="124" t="s">
        <v>290</v>
      </c>
      <c r="B86" s="125" t="s">
        <v>291</v>
      </c>
      <c r="C86" s="140">
        <v>35.439874000000003</v>
      </c>
      <c r="D86" s="140">
        <v>133.342277</v>
      </c>
      <c r="E86" s="124" t="s">
        <v>100</v>
      </c>
      <c r="F86" s="126" t="str">
        <f t="shared" si="0"/>
        <v>P84:環</v>
      </c>
      <c r="G86" s="127" t="e">
        <f t="array" aca="1" ref="G86" ca="1">_xludf.xlookup(A86,'3.手順'!E:E,'3.手順'!D:D,"_")</f>
        <v>#NAME?</v>
      </c>
      <c r="H86" s="142">
        <f>IF(F86&lt;&gt;"", COUNTIF('3.手順'!H:H,F86),"")</f>
        <v>0</v>
      </c>
      <c r="I86" s="129">
        <f t="shared" si="1"/>
        <v>0</v>
      </c>
      <c r="J86" s="130">
        <f t="shared" si="2"/>
        <v>0</v>
      </c>
      <c r="K86" s="131"/>
      <c r="L86" s="40"/>
      <c r="M86" s="40"/>
      <c r="N86" s="40"/>
      <c r="O86" s="40"/>
      <c r="P86" s="40"/>
      <c r="Q86" s="40"/>
      <c r="R86" s="40"/>
      <c r="S86" s="40"/>
      <c r="T86" s="40"/>
      <c r="U86" s="40"/>
      <c r="V86" s="40"/>
    </row>
    <row r="87" spans="1:22" ht="17.5">
      <c r="A87" s="124" t="s">
        <v>292</v>
      </c>
      <c r="B87" s="125" t="s">
        <v>293</v>
      </c>
      <c r="C87" s="140">
        <v>35.439922000000003</v>
      </c>
      <c r="D87" s="140">
        <v>133.32801699999999</v>
      </c>
      <c r="E87" s="124" t="s">
        <v>100</v>
      </c>
      <c r="F87" s="126" t="str">
        <f t="shared" si="0"/>
        <v>P85:揺れるパンダ</v>
      </c>
      <c r="G87" s="127" t="e">
        <f t="array" aca="1" ref="G87" ca="1">_xludf.xlookup(A87,'3.手順'!E:E,'3.手順'!D:D,"_")</f>
        <v>#NAME?</v>
      </c>
      <c r="H87" s="142">
        <f>IF(F87&lt;&gt;"", COUNTIF('3.手順'!H:H,F87),"")</f>
        <v>3</v>
      </c>
      <c r="I87" s="129">
        <f t="shared" si="1"/>
        <v>0</v>
      </c>
      <c r="J87" s="130">
        <f t="shared" si="2"/>
        <v>-3</v>
      </c>
      <c r="K87" s="131"/>
      <c r="L87" s="40"/>
      <c r="M87" s="40"/>
      <c r="N87" s="40"/>
      <c r="O87" s="40"/>
      <c r="P87" s="40"/>
      <c r="Q87" s="40"/>
      <c r="R87" s="40"/>
      <c r="S87" s="40"/>
      <c r="T87" s="40"/>
      <c r="U87" s="40"/>
      <c r="V87" s="40"/>
    </row>
    <row r="88" spans="1:22" ht="17.5">
      <c r="A88" s="124" t="s">
        <v>294</v>
      </c>
      <c r="B88" s="125" t="s">
        <v>295</v>
      </c>
      <c r="C88" s="140">
        <v>35.439923</v>
      </c>
      <c r="D88" s="140">
        <v>133.326469</v>
      </c>
      <c r="E88" s="124" t="s">
        <v>100</v>
      </c>
      <c r="F88" s="126" t="str">
        <f t="shared" si="0"/>
        <v>P86:立町の遊歩道</v>
      </c>
      <c r="G88" s="127" t="e">
        <f t="array" aca="1" ref="G88" ca="1">_xludf.xlookup(A88,'3.手順'!E:E,'3.手順'!D:D,"_")</f>
        <v>#NAME?</v>
      </c>
      <c r="H88" s="142">
        <f>IF(F88&lt;&gt;"", COUNTIF('3.手順'!H:H,F88),"")</f>
        <v>3</v>
      </c>
      <c r="I88" s="129">
        <f t="shared" si="1"/>
        <v>0</v>
      </c>
      <c r="J88" s="130">
        <f t="shared" si="2"/>
        <v>-3</v>
      </c>
      <c r="K88" s="131"/>
      <c r="L88" s="40"/>
      <c r="M88" s="40"/>
      <c r="N88" s="40"/>
      <c r="O88" s="40"/>
      <c r="P88" s="40"/>
      <c r="Q88" s="40"/>
      <c r="R88" s="40"/>
      <c r="S88" s="40"/>
      <c r="T88" s="40"/>
      <c r="U88" s="40"/>
      <c r="V88" s="40"/>
    </row>
    <row r="89" spans="1:22" ht="17.5">
      <c r="A89" s="124" t="s">
        <v>296</v>
      </c>
      <c r="B89" s="125" t="s">
        <v>297</v>
      </c>
      <c r="C89" s="140">
        <v>35.439979999999998</v>
      </c>
      <c r="D89" s="140">
        <v>133.32895300000001</v>
      </c>
      <c r="E89" s="124" t="s">
        <v>100</v>
      </c>
      <c r="F89" s="126" t="str">
        <f t="shared" si="0"/>
        <v>P87:米原1丁目住宅案内図</v>
      </c>
      <c r="G89" s="127" t="e">
        <f t="array" aca="1" ref="G89" ca="1">_xludf.xlookup(A89,'3.手順'!E:E,'3.手順'!D:D,"_")</f>
        <v>#NAME?</v>
      </c>
      <c r="H89" s="142">
        <f>IF(F89&lt;&gt;"", COUNTIF('3.手順'!H:H,F89),"")</f>
        <v>2</v>
      </c>
      <c r="I89" s="129">
        <f t="shared" si="1"/>
        <v>0</v>
      </c>
      <c r="J89" s="130">
        <f t="shared" si="2"/>
        <v>-2</v>
      </c>
      <c r="K89" s="131"/>
      <c r="L89" s="40"/>
      <c r="M89" s="40"/>
      <c r="N89" s="40"/>
      <c r="O89" s="40"/>
      <c r="P89" s="40"/>
      <c r="Q89" s="40"/>
      <c r="R89" s="40"/>
      <c r="S89" s="40"/>
      <c r="T89" s="40"/>
      <c r="U89" s="40"/>
      <c r="V89" s="40"/>
    </row>
    <row r="90" spans="1:22" ht="17.5">
      <c r="A90" s="124" t="s">
        <v>298</v>
      </c>
      <c r="B90" s="125" t="s">
        <v>299</v>
      </c>
      <c r="C90" s="140">
        <v>35.439990999999999</v>
      </c>
      <c r="D90" s="140">
        <v>133.33127899999999</v>
      </c>
      <c r="E90" s="124" t="s">
        <v>100</v>
      </c>
      <c r="F90" s="126" t="str">
        <f t="shared" si="0"/>
        <v>P88:どろたぼう駅</v>
      </c>
      <c r="G90" s="127" t="e">
        <f t="array" aca="1" ref="G90" ca="1">_xludf.xlookup(A90,'3.手順'!E:E,'3.手順'!D:D,"_")</f>
        <v>#NAME?</v>
      </c>
      <c r="H90" s="142">
        <f>IF(F90&lt;&gt;"", COUNTIF('3.手順'!H:H,F90),"")</f>
        <v>4</v>
      </c>
      <c r="I90" s="129">
        <f t="shared" si="1"/>
        <v>0</v>
      </c>
      <c r="J90" s="130">
        <f t="shared" si="2"/>
        <v>-4</v>
      </c>
      <c r="K90" s="131"/>
      <c r="L90" s="40"/>
      <c r="M90" s="40"/>
      <c r="N90" s="40"/>
      <c r="O90" s="40"/>
      <c r="P90" s="40"/>
      <c r="Q90" s="40"/>
      <c r="R90" s="40"/>
      <c r="S90" s="40"/>
      <c r="T90" s="40"/>
      <c r="U90" s="40"/>
      <c r="V90" s="40"/>
    </row>
    <row r="91" spans="1:22" ht="17.5">
      <c r="A91" s="124" t="s">
        <v>300</v>
      </c>
      <c r="B91" s="125" t="s">
        <v>301</v>
      </c>
      <c r="C91" s="140">
        <v>35.440322000000002</v>
      </c>
      <c r="D91" s="140">
        <v>133.33742100000001</v>
      </c>
      <c r="E91" s="124" t="s">
        <v>100</v>
      </c>
      <c r="F91" s="126" t="str">
        <f t="shared" si="0"/>
        <v>P89:上場谷神社</v>
      </c>
      <c r="G91" s="127" t="e">
        <f t="array" aca="1" ref="G91" ca="1">_xludf.xlookup(A91,'3.手順'!E:E,'3.手順'!D:D,"_")</f>
        <v>#NAME?</v>
      </c>
      <c r="H91" s="141">
        <f>IF(F91&lt;&gt;"", COUNTIF('3.手順'!H:H,F91),"")</f>
        <v>1</v>
      </c>
      <c r="I91" s="129">
        <f t="shared" si="1"/>
        <v>0</v>
      </c>
      <c r="J91" s="130">
        <f t="shared" si="2"/>
        <v>-1</v>
      </c>
      <c r="K91" s="131"/>
      <c r="L91" s="40"/>
      <c r="M91" s="40"/>
      <c r="N91" s="40"/>
      <c r="O91" s="40"/>
      <c r="P91" s="40"/>
      <c r="Q91" s="40"/>
      <c r="R91" s="40"/>
      <c r="S91" s="40"/>
      <c r="T91" s="40"/>
      <c r="U91" s="40"/>
      <c r="V91" s="40"/>
    </row>
    <row r="92" spans="1:22" ht="17.5">
      <c r="A92" s="124" t="s">
        <v>302</v>
      </c>
      <c r="B92" s="125" t="s">
        <v>303</v>
      </c>
      <c r="C92" s="140">
        <v>35.440347000000003</v>
      </c>
      <c r="D92" s="140">
        <v>133.33854099999999</v>
      </c>
      <c r="E92" s="124" t="s">
        <v>100</v>
      </c>
      <c r="F92" s="126" t="str">
        <f t="shared" si="0"/>
        <v>P90:ラーメンつけ麺 今を粋ろ</v>
      </c>
      <c r="G92" s="127" t="e">
        <f t="array" aca="1" ref="G92" ca="1">_xludf.xlookup(A92,'3.手順'!E:E,'3.手順'!D:D,"_")</f>
        <v>#NAME?</v>
      </c>
      <c r="H92" s="142">
        <f>IF(F92&lt;&gt;"", COUNTIF('3.手順'!H:H,F92),"")</f>
        <v>2</v>
      </c>
      <c r="I92" s="129">
        <f t="shared" si="1"/>
        <v>0</v>
      </c>
      <c r="J92" s="130">
        <f t="shared" si="2"/>
        <v>-2</v>
      </c>
      <c r="K92" s="131"/>
      <c r="L92" s="40"/>
      <c r="M92" s="40"/>
      <c r="N92" s="40"/>
      <c r="O92" s="40"/>
      <c r="P92" s="40"/>
      <c r="Q92" s="40"/>
      <c r="R92" s="40"/>
      <c r="S92" s="40"/>
      <c r="T92" s="40"/>
      <c r="U92" s="40"/>
      <c r="V92" s="40"/>
    </row>
    <row r="93" spans="1:22" ht="17.5">
      <c r="A93" s="124" t="s">
        <v>304</v>
      </c>
      <c r="B93" s="125" t="s">
        <v>305</v>
      </c>
      <c r="C93" s="140">
        <v>35.440514999999998</v>
      </c>
      <c r="D93" s="140">
        <v>133.33578199999999</v>
      </c>
      <c r="E93" s="124" t="s">
        <v>100</v>
      </c>
      <c r="F93" s="126" t="str">
        <f t="shared" si="0"/>
        <v>P91:YONAGO SWIMING SCHOOL</v>
      </c>
      <c r="G93" s="127" t="e">
        <f t="array" aca="1" ref="G93" ca="1">_xludf.xlookup(A93,'3.手順'!E:E,'3.手順'!D:D,"_")</f>
        <v>#NAME?</v>
      </c>
      <c r="H93" s="141">
        <f>IF(F93&lt;&gt;"", COUNTIF('3.手順'!H:H,F93),"")</f>
        <v>2</v>
      </c>
      <c r="I93" s="129">
        <f t="shared" si="1"/>
        <v>0</v>
      </c>
      <c r="J93" s="130">
        <f t="shared" si="2"/>
        <v>-2</v>
      </c>
      <c r="K93" s="131"/>
      <c r="L93" s="40"/>
      <c r="M93" s="40"/>
      <c r="N93" s="40"/>
      <c r="O93" s="40"/>
      <c r="P93" s="40"/>
      <c r="Q93" s="40"/>
      <c r="R93" s="40"/>
      <c r="S93" s="40"/>
      <c r="T93" s="40"/>
      <c r="U93" s="40"/>
      <c r="V93" s="40"/>
    </row>
    <row r="94" spans="1:22" ht="17.5">
      <c r="A94" s="124" t="s">
        <v>306</v>
      </c>
      <c r="B94" s="125" t="s">
        <v>307</v>
      </c>
      <c r="C94" s="140">
        <v>35.440517</v>
      </c>
      <c r="D94" s="140">
        <v>133.32571200000001</v>
      </c>
      <c r="E94" s="124" t="s">
        <v>100</v>
      </c>
      <c r="F94" s="126" t="str">
        <f t="shared" si="0"/>
        <v>P92:米子福音ルーテル教会</v>
      </c>
      <c r="G94" s="127" t="e">
        <f t="array" aca="1" ref="G94" ca="1">_xludf.xlookup(A94,'3.手順'!E:E,'3.手順'!D:D,"_")</f>
        <v>#NAME?</v>
      </c>
      <c r="H94" s="142">
        <f>IF(F94&lt;&gt;"", COUNTIF('3.手順'!H:H,F94),"")</f>
        <v>3</v>
      </c>
      <c r="I94" s="129">
        <f t="shared" si="1"/>
        <v>0</v>
      </c>
      <c r="J94" s="130">
        <f t="shared" si="2"/>
        <v>-3</v>
      </c>
      <c r="K94" s="131"/>
      <c r="L94" s="40"/>
      <c r="M94" s="40"/>
      <c r="N94" s="40"/>
      <c r="O94" s="40"/>
      <c r="P94" s="40"/>
      <c r="Q94" s="40"/>
      <c r="R94" s="40"/>
      <c r="S94" s="40"/>
      <c r="T94" s="40"/>
      <c r="U94" s="40"/>
      <c r="V94" s="40"/>
    </row>
    <row r="95" spans="1:22" ht="17.5">
      <c r="A95" s="124" t="s">
        <v>308</v>
      </c>
      <c r="B95" s="125" t="s">
        <v>309</v>
      </c>
      <c r="C95" s="140">
        <v>35.44059</v>
      </c>
      <c r="D95" s="140">
        <v>133.337873</v>
      </c>
      <c r="E95" s="124" t="s">
        <v>100</v>
      </c>
      <c r="F95" s="126" t="str">
        <f t="shared" si="0"/>
        <v>P93:少林寺拳法 米子東道院</v>
      </c>
      <c r="G95" s="127" t="e">
        <f t="array" aca="1" ref="G95" ca="1">_xludf.xlookup(A95,'3.手順'!E:E,'3.手順'!D:D,"_")</f>
        <v>#NAME?</v>
      </c>
      <c r="H95" s="142">
        <f>IF(F95&lt;&gt;"", COUNTIF('3.手順'!H:H,F95),"")</f>
        <v>3</v>
      </c>
      <c r="I95" s="129">
        <f t="shared" si="1"/>
        <v>0</v>
      </c>
      <c r="J95" s="130">
        <f t="shared" si="2"/>
        <v>-3</v>
      </c>
      <c r="K95" s="131"/>
      <c r="L95" s="40"/>
      <c r="M95" s="40"/>
      <c r="N95" s="40"/>
      <c r="O95" s="40"/>
      <c r="P95" s="40"/>
      <c r="Q95" s="40"/>
      <c r="R95" s="40"/>
      <c r="S95" s="40"/>
      <c r="T95" s="40"/>
      <c r="U95" s="40"/>
      <c r="V95" s="40"/>
    </row>
    <row r="96" spans="1:22" ht="17.5">
      <c r="A96" s="124" t="s">
        <v>310</v>
      </c>
      <c r="B96" s="125" t="s">
        <v>311</v>
      </c>
      <c r="C96" s="140">
        <v>35.440964000000001</v>
      </c>
      <c r="D96" s="140">
        <v>133.33434600000001</v>
      </c>
      <c r="E96" s="124" t="s">
        <v>100</v>
      </c>
      <c r="F96" s="126" t="str">
        <f t="shared" si="0"/>
        <v>P94:住居表示街区案内図 米子市米原3丁目</v>
      </c>
      <c r="G96" s="127" t="e">
        <f t="array" aca="1" ref="G96" ca="1">_xludf.xlookup(A96,'3.手順'!E:E,'3.手順'!D:D,"_")</f>
        <v>#NAME?</v>
      </c>
      <c r="H96" s="142">
        <f>IF(F96&lt;&gt;"", COUNTIF('3.手順'!H:H,F96),"")</f>
        <v>4</v>
      </c>
      <c r="I96" s="129">
        <f t="shared" si="1"/>
        <v>0</v>
      </c>
      <c r="J96" s="130">
        <f t="shared" si="2"/>
        <v>-4</v>
      </c>
      <c r="K96" s="131"/>
      <c r="L96" s="40"/>
      <c r="M96" s="40"/>
      <c r="N96" s="40"/>
      <c r="O96" s="40"/>
      <c r="P96" s="40"/>
      <c r="Q96" s="40"/>
      <c r="R96" s="40"/>
      <c r="S96" s="40"/>
      <c r="T96" s="40"/>
      <c r="U96" s="40"/>
      <c r="V96" s="40"/>
    </row>
    <row r="97" spans="1:22" ht="17.5">
      <c r="A97" s="124" t="s">
        <v>312</v>
      </c>
      <c r="B97" s="125" t="s">
        <v>313</v>
      </c>
      <c r="C97" s="140">
        <v>35.441693999999998</v>
      </c>
      <c r="D97" s="140">
        <v>133.32434599999999</v>
      </c>
      <c r="E97" s="124" t="s">
        <v>100</v>
      </c>
      <c r="F97" s="126" t="str">
        <f t="shared" si="0"/>
        <v>P95:Casa Dea</v>
      </c>
      <c r="G97" s="127" t="e">
        <f t="array" aca="1" ref="G97" ca="1">_xludf.xlookup(A97,'3.手順'!E:E,'3.手順'!D:D,"_")</f>
        <v>#NAME?</v>
      </c>
      <c r="H97" s="142">
        <f>IF(F97&lt;&gt;"", COUNTIF('3.手順'!H:H,F97),"")</f>
        <v>4</v>
      </c>
      <c r="I97" s="129">
        <f t="shared" si="1"/>
        <v>0</v>
      </c>
      <c r="J97" s="130">
        <f t="shared" si="2"/>
        <v>-4</v>
      </c>
      <c r="K97" s="131"/>
      <c r="L97" s="40"/>
      <c r="M97" s="40"/>
      <c r="N97" s="40"/>
      <c r="O97" s="40"/>
      <c r="P97" s="40"/>
      <c r="Q97" s="40"/>
      <c r="R97" s="40"/>
      <c r="S97" s="40"/>
      <c r="T97" s="40"/>
      <c r="U97" s="40"/>
      <c r="V97" s="40"/>
    </row>
    <row r="98" spans="1:22" ht="17.5">
      <c r="A98" s="124" t="s">
        <v>314</v>
      </c>
      <c r="B98" s="125" t="s">
        <v>315</v>
      </c>
      <c r="C98" s="140">
        <v>35.441704000000001</v>
      </c>
      <c r="D98" s="140">
        <v>133.32905400000001</v>
      </c>
      <c r="E98" s="124" t="s">
        <v>100</v>
      </c>
      <c r="F98" s="126" t="str">
        <f t="shared" si="0"/>
        <v>P96:米原のINFORMATION</v>
      </c>
      <c r="G98" s="127" t="e">
        <f t="array" aca="1" ref="G98" ca="1">_xludf.xlookup(A98,'3.手順'!E:E,'3.手順'!D:D,"_")</f>
        <v>#NAME?</v>
      </c>
      <c r="H98" s="142">
        <f>IF(F98&lt;&gt;"", COUNTIF('3.手順'!H:H,F98),"")</f>
        <v>1</v>
      </c>
      <c r="I98" s="129">
        <f t="shared" si="1"/>
        <v>0</v>
      </c>
      <c r="J98" s="130">
        <f t="shared" si="2"/>
        <v>-1</v>
      </c>
      <c r="K98" s="131"/>
      <c r="L98" s="40"/>
      <c r="M98" s="40"/>
      <c r="N98" s="40"/>
      <c r="O98" s="40"/>
      <c r="P98" s="40"/>
      <c r="Q98" s="40"/>
      <c r="R98" s="40"/>
      <c r="S98" s="40"/>
      <c r="T98" s="40"/>
      <c r="U98" s="40"/>
      <c r="V98" s="40"/>
    </row>
    <row r="99" spans="1:22" ht="17.5">
      <c r="A99" s="124" t="s">
        <v>316</v>
      </c>
      <c r="B99" s="125" t="s">
        <v>317</v>
      </c>
      <c r="C99" s="140">
        <v>35.441887999999999</v>
      </c>
      <c r="D99" s="140">
        <v>133.33556300000001</v>
      </c>
      <c r="E99" s="124" t="s">
        <v>100</v>
      </c>
      <c r="F99" s="126" t="str">
        <f t="shared" si="0"/>
        <v>P97:世界真光文明教団 米子センター</v>
      </c>
      <c r="G99" s="127" t="e">
        <f t="array" aca="1" ref="G99" ca="1">_xludf.xlookup(A99,'3.手順'!E:E,'3.手順'!D:D,"_")</f>
        <v>#NAME?</v>
      </c>
      <c r="H99" s="142">
        <f>IF(F99&lt;&gt;"", COUNTIF('3.手順'!H:H,F99),"")</f>
        <v>7</v>
      </c>
      <c r="I99" s="129">
        <f t="shared" si="1"/>
        <v>0</v>
      </c>
      <c r="J99" s="130">
        <f t="shared" si="2"/>
        <v>-7</v>
      </c>
      <c r="K99" s="131"/>
      <c r="L99" s="40"/>
      <c r="M99" s="40"/>
      <c r="N99" s="40"/>
      <c r="O99" s="40"/>
      <c r="P99" s="40"/>
      <c r="Q99" s="40"/>
      <c r="R99" s="40"/>
      <c r="S99" s="40"/>
      <c r="T99" s="40"/>
      <c r="U99" s="40"/>
      <c r="V99" s="40"/>
    </row>
    <row r="100" spans="1:22" ht="17.5">
      <c r="A100" s="124" t="s">
        <v>318</v>
      </c>
      <c r="B100" s="125" t="s">
        <v>319</v>
      </c>
      <c r="C100" s="140">
        <v>35.441901999999999</v>
      </c>
      <c r="D100" s="140">
        <v>133.326213</v>
      </c>
      <c r="E100" s="124" t="s">
        <v>100</v>
      </c>
      <c r="F100" s="126" t="str">
        <f t="shared" si="0"/>
        <v>P98:公園のブランコ</v>
      </c>
      <c r="G100" s="127" t="e">
        <f t="array" aca="1" ref="G100" ca="1">_xludf.xlookup(A100,'3.手順'!E:E,'3.手順'!D:D,"_")</f>
        <v>#NAME?</v>
      </c>
      <c r="H100" s="141">
        <f>IF(F100&lt;&gt;"", COUNTIF('3.手順'!H:H,F100),"")</f>
        <v>2</v>
      </c>
      <c r="I100" s="129">
        <f t="shared" si="1"/>
        <v>0</v>
      </c>
      <c r="J100" s="130">
        <f t="shared" si="2"/>
        <v>-2</v>
      </c>
      <c r="K100" s="131"/>
      <c r="L100" s="40"/>
      <c r="M100" s="40"/>
      <c r="N100" s="40"/>
      <c r="O100" s="40"/>
      <c r="P100" s="40"/>
      <c r="Q100" s="40"/>
      <c r="R100" s="40"/>
      <c r="S100" s="40"/>
      <c r="T100" s="40"/>
      <c r="U100" s="40"/>
      <c r="V100" s="40"/>
    </row>
    <row r="101" spans="1:22" ht="17.5">
      <c r="A101" s="124" t="s">
        <v>320</v>
      </c>
      <c r="B101" s="125" t="s">
        <v>321</v>
      </c>
      <c r="C101" s="140">
        <v>35.441903000000003</v>
      </c>
      <c r="D101" s="140">
        <v>133.33636100000001</v>
      </c>
      <c r="E101" s="124" t="s">
        <v>100</v>
      </c>
      <c r="F101" s="126" t="str">
        <f t="shared" si="0"/>
        <v>P99:米子復活教会</v>
      </c>
      <c r="G101" s="127" t="e">
        <f t="array" aca="1" ref="G101" ca="1">_xludf.xlookup(A101,'3.手順'!E:E,'3.手順'!D:D,"_")</f>
        <v>#NAME?</v>
      </c>
      <c r="H101" s="142">
        <f>IF(F101&lt;&gt;"", COUNTIF('3.手順'!H:H,F101),"")</f>
        <v>2</v>
      </c>
      <c r="I101" s="129">
        <f t="shared" si="1"/>
        <v>0</v>
      </c>
      <c r="J101" s="130">
        <f t="shared" si="2"/>
        <v>-2</v>
      </c>
      <c r="K101" s="131"/>
      <c r="L101" s="40"/>
      <c r="M101" s="40"/>
      <c r="N101" s="40"/>
      <c r="O101" s="40"/>
      <c r="P101" s="40"/>
      <c r="Q101" s="40"/>
      <c r="R101" s="40"/>
      <c r="S101" s="40"/>
      <c r="T101" s="40"/>
      <c r="U101" s="40"/>
      <c r="V101" s="40"/>
    </row>
    <row r="102" spans="1:22" ht="17.5">
      <c r="A102" s="124" t="s">
        <v>322</v>
      </c>
      <c r="B102" s="125" t="s">
        <v>323</v>
      </c>
      <c r="C102" s="140">
        <v>35.442217999999997</v>
      </c>
      <c r="D102" s="140">
        <v>133.33105900000001</v>
      </c>
      <c r="E102" s="124" t="s">
        <v>100</v>
      </c>
      <c r="F102" s="126" t="str">
        <f t="shared" si="0"/>
        <v>P100:MEGAドン・キホーテ米子店の壁画</v>
      </c>
      <c r="G102" s="127" t="e">
        <f t="array" aca="1" ref="G102" ca="1">_xludf.xlookup(A102,'3.手順'!E:E,'3.手順'!D:D,"_")</f>
        <v>#NAME?</v>
      </c>
      <c r="H102" s="142">
        <f>IF(F102&lt;&gt;"", COUNTIF('3.手順'!H:H,F102),"")</f>
        <v>3</v>
      </c>
      <c r="I102" s="129">
        <f t="shared" si="1"/>
        <v>0</v>
      </c>
      <c r="J102" s="130">
        <f t="shared" si="2"/>
        <v>-3</v>
      </c>
      <c r="K102" s="131"/>
      <c r="L102" s="40"/>
      <c r="M102" s="40"/>
      <c r="N102" s="40"/>
      <c r="O102" s="40"/>
      <c r="P102" s="40"/>
      <c r="Q102" s="40"/>
      <c r="R102" s="40"/>
      <c r="S102" s="40"/>
      <c r="T102" s="40"/>
      <c r="U102" s="40"/>
      <c r="V102" s="40"/>
    </row>
    <row r="103" spans="1:22" ht="17.5">
      <c r="A103" s="124" t="s">
        <v>324</v>
      </c>
      <c r="B103" s="125" t="s">
        <v>325</v>
      </c>
      <c r="C103" s="140">
        <v>35.442264999999999</v>
      </c>
      <c r="D103" s="140">
        <v>133.331829</v>
      </c>
      <c r="E103" s="124" t="s">
        <v>100</v>
      </c>
      <c r="F103" s="126" t="str">
        <f t="shared" si="0"/>
        <v>P101:弓ヶ浜の母なる水 米川</v>
      </c>
      <c r="G103" s="127" t="e">
        <f t="array" aca="1" ref="G103" ca="1">_xludf.xlookup(A103,'3.手順'!E:E,'3.手順'!D:D,"_")</f>
        <v>#NAME?</v>
      </c>
      <c r="H103" s="142">
        <f>IF(F103&lt;&gt;"", COUNTIF('3.手順'!H:H,F103),"")</f>
        <v>4</v>
      </c>
      <c r="I103" s="129">
        <f t="shared" si="1"/>
        <v>0</v>
      </c>
      <c r="J103" s="130">
        <f t="shared" si="2"/>
        <v>-4</v>
      </c>
      <c r="K103" s="131"/>
      <c r="L103" s="40"/>
      <c r="M103" s="40"/>
      <c r="N103" s="40"/>
      <c r="O103" s="40"/>
      <c r="P103" s="40"/>
      <c r="Q103" s="40"/>
      <c r="R103" s="40"/>
      <c r="S103" s="40"/>
      <c r="T103" s="40"/>
      <c r="U103" s="40"/>
      <c r="V103" s="40"/>
    </row>
    <row r="104" spans="1:22" ht="17.5">
      <c r="A104" s="124" t="s">
        <v>326</v>
      </c>
      <c r="B104" s="125" t="s">
        <v>327</v>
      </c>
      <c r="C104" s="140">
        <v>35.442830000000001</v>
      </c>
      <c r="D104" s="140">
        <v>133.34081900000001</v>
      </c>
      <c r="E104" s="124" t="s">
        <v>100</v>
      </c>
      <c r="F104" s="126" t="str">
        <f t="shared" si="0"/>
        <v>P102:西福原公園のテニスコート</v>
      </c>
      <c r="G104" s="127" t="e">
        <f t="array" aca="1" ref="G104" ca="1">_xludf.xlookup(A104,'3.手順'!E:E,'3.手順'!D:D,"_")</f>
        <v>#NAME?</v>
      </c>
      <c r="H104" s="142">
        <f>IF(F104&lt;&gt;"", COUNTIF('3.手順'!H:H,F104),"")</f>
        <v>1</v>
      </c>
      <c r="I104" s="129">
        <f t="shared" si="1"/>
        <v>0</v>
      </c>
      <c r="J104" s="130">
        <f t="shared" si="2"/>
        <v>-1</v>
      </c>
      <c r="K104" s="131"/>
      <c r="L104" s="40"/>
      <c r="M104" s="40"/>
      <c r="N104" s="40"/>
      <c r="O104" s="40"/>
      <c r="P104" s="40"/>
      <c r="Q104" s="40"/>
      <c r="R104" s="40"/>
      <c r="S104" s="40"/>
      <c r="T104" s="40"/>
      <c r="U104" s="40"/>
      <c r="V104" s="40"/>
    </row>
    <row r="105" spans="1:22" ht="17.5">
      <c r="A105" s="124" t="s">
        <v>328</v>
      </c>
      <c r="B105" s="125" t="s">
        <v>329</v>
      </c>
      <c r="C105" s="140">
        <v>35.442968</v>
      </c>
      <c r="D105" s="140">
        <v>133.333583</v>
      </c>
      <c r="E105" s="124" t="s">
        <v>100</v>
      </c>
      <c r="F105" s="126" t="str">
        <f t="shared" si="0"/>
        <v>P103:ソフトバンク米子中央</v>
      </c>
      <c r="G105" s="127" t="e">
        <f t="array" aca="1" ref="G105" ca="1">_xludf.xlookup(A105,'3.手順'!E:E,'3.手順'!D:D,"_")</f>
        <v>#NAME?</v>
      </c>
      <c r="H105" s="141">
        <f>IF(F105&lt;&gt;"", COUNTIF('3.手順'!H:H,F105),"")</f>
        <v>2</v>
      </c>
      <c r="I105" s="129">
        <f t="shared" si="1"/>
        <v>0</v>
      </c>
      <c r="J105" s="130">
        <f t="shared" si="2"/>
        <v>-2</v>
      </c>
      <c r="K105" s="131"/>
      <c r="L105" s="40"/>
      <c r="M105" s="40"/>
      <c r="N105" s="40"/>
      <c r="O105" s="40"/>
      <c r="P105" s="40"/>
      <c r="Q105" s="40"/>
      <c r="R105" s="40"/>
      <c r="S105" s="40"/>
      <c r="T105" s="40"/>
      <c r="U105" s="40"/>
      <c r="V105" s="40"/>
    </row>
    <row r="106" spans="1:22" ht="17.5">
      <c r="A106" s="124" t="s">
        <v>330</v>
      </c>
      <c r="B106" s="125" t="s">
        <v>331</v>
      </c>
      <c r="C106" s="140">
        <v>35.443406000000003</v>
      </c>
      <c r="D106" s="140">
        <v>133.32861500000001</v>
      </c>
      <c r="E106" s="124" t="s">
        <v>100</v>
      </c>
      <c r="F106" s="126" t="str">
        <f t="shared" si="0"/>
        <v>P104:ホリデイスポーツクラブ</v>
      </c>
      <c r="G106" s="127" t="e">
        <f t="array" aca="1" ref="G106" ca="1">_xludf.xlookup(A106,'3.手順'!E:E,'3.手順'!D:D,"_")</f>
        <v>#NAME?</v>
      </c>
      <c r="H106" s="142">
        <f>IF(F106&lt;&gt;"", COUNTIF('3.手順'!H:H,F106),"")</f>
        <v>0</v>
      </c>
      <c r="I106" s="129">
        <f t="shared" si="1"/>
        <v>0</v>
      </c>
      <c r="J106" s="130">
        <f t="shared" si="2"/>
        <v>0</v>
      </c>
      <c r="K106" s="131"/>
      <c r="L106" s="40"/>
      <c r="M106" s="40"/>
      <c r="N106" s="40"/>
      <c r="O106" s="40"/>
      <c r="P106" s="40"/>
      <c r="Q106" s="40"/>
      <c r="R106" s="40"/>
      <c r="S106" s="40"/>
      <c r="T106" s="40"/>
      <c r="U106" s="40"/>
      <c r="V106" s="40"/>
    </row>
    <row r="107" spans="1:22" ht="17.5">
      <c r="A107" s="124" t="s">
        <v>332</v>
      </c>
      <c r="B107" s="125" t="s">
        <v>333</v>
      </c>
      <c r="C107" s="140">
        <v>35.444156999999997</v>
      </c>
      <c r="D107" s="140">
        <v>133.332202</v>
      </c>
      <c r="E107" s="124" t="s">
        <v>100</v>
      </c>
      <c r="F107" s="126" t="str">
        <f t="shared" si="0"/>
        <v>P105:米子米原郵便局</v>
      </c>
      <c r="G107" s="127" t="e">
        <f t="array" aca="1" ref="G107" ca="1">_xludf.xlookup(A107,'3.手順'!E:E,'3.手順'!D:D,"_")</f>
        <v>#NAME?</v>
      </c>
      <c r="H107" s="142">
        <f>IF(F107&lt;&gt;"", COUNTIF('3.手順'!H:H,F107),"")</f>
        <v>3</v>
      </c>
      <c r="I107" s="129">
        <f t="shared" si="1"/>
        <v>0</v>
      </c>
      <c r="J107" s="130">
        <f t="shared" si="2"/>
        <v>-3</v>
      </c>
      <c r="K107" s="131"/>
      <c r="L107" s="40"/>
      <c r="M107" s="40"/>
      <c r="N107" s="40"/>
      <c r="O107" s="40"/>
      <c r="P107" s="40"/>
      <c r="Q107" s="40"/>
      <c r="R107" s="40"/>
      <c r="S107" s="40"/>
      <c r="T107" s="40"/>
      <c r="U107" s="40"/>
      <c r="V107" s="40"/>
    </row>
    <row r="108" spans="1:22" ht="17.5">
      <c r="A108" s="124"/>
      <c r="B108" s="125"/>
      <c r="C108" s="140"/>
      <c r="D108" s="140"/>
      <c r="E108" s="124" t="s">
        <v>100</v>
      </c>
      <c r="F108" s="126" t="str">
        <f t="shared" si="0"/>
        <v>:</v>
      </c>
      <c r="G108" s="127" t="e">
        <f t="array" aca="1" ref="G108" ca="1">_xludf.xlookup(A108,'3.手順'!E:E,'3.手順'!D:D,"_")</f>
        <v>#NAME?</v>
      </c>
      <c r="H108" s="142">
        <f>IF(F108&lt;&gt;"", COUNTIF('3.手順'!H:H,F108),"")</f>
        <v>0</v>
      </c>
      <c r="I108" s="129">
        <f t="shared" si="1"/>
        <v>0</v>
      </c>
      <c r="J108" s="130">
        <f t="shared" si="2"/>
        <v>0</v>
      </c>
      <c r="K108" s="131"/>
      <c r="L108" s="40"/>
      <c r="M108" s="40"/>
      <c r="N108" s="40"/>
      <c r="O108" s="40"/>
      <c r="P108" s="40"/>
      <c r="Q108" s="40"/>
      <c r="R108" s="40"/>
      <c r="S108" s="40"/>
      <c r="T108" s="40"/>
      <c r="U108" s="40"/>
      <c r="V108" s="40"/>
    </row>
    <row r="109" spans="1:22" ht="17.5">
      <c r="A109" s="124"/>
      <c r="B109" s="125"/>
      <c r="C109" s="140"/>
      <c r="D109" s="140"/>
      <c r="E109" s="124" t="s">
        <v>100</v>
      </c>
      <c r="F109" s="126" t="str">
        <f t="shared" si="0"/>
        <v>:</v>
      </c>
      <c r="G109" s="127" t="e">
        <f t="array" aca="1" ref="G109" ca="1">_xludf.xlookup(A109,'3.手順'!E:E,'3.手順'!D:D,"_")</f>
        <v>#NAME?</v>
      </c>
      <c r="H109" s="142">
        <f>IF(F109&lt;&gt;"", COUNTIF('3.手順'!H:H,F109),"")</f>
        <v>0</v>
      </c>
      <c r="I109" s="129">
        <f t="shared" si="1"/>
        <v>0</v>
      </c>
      <c r="J109" s="130">
        <f t="shared" si="2"/>
        <v>0</v>
      </c>
      <c r="K109" s="131"/>
      <c r="L109" s="40"/>
      <c r="M109" s="40"/>
      <c r="N109" s="40"/>
      <c r="O109" s="40"/>
      <c r="P109" s="40"/>
      <c r="Q109" s="40"/>
      <c r="R109" s="40"/>
      <c r="S109" s="40"/>
      <c r="T109" s="40"/>
      <c r="U109" s="40"/>
      <c r="V109" s="40"/>
    </row>
    <row r="110" spans="1:22" ht="17.5">
      <c r="A110" s="124"/>
      <c r="B110" s="125"/>
      <c r="C110" s="140"/>
      <c r="D110" s="140"/>
      <c r="E110" s="124" t="s">
        <v>100</v>
      </c>
      <c r="F110" s="126" t="str">
        <f t="shared" si="0"/>
        <v>:</v>
      </c>
      <c r="G110" s="127" t="e">
        <f t="array" aca="1" ref="G110" ca="1">_xludf.xlookup(A110,'3.手順'!E:E,'3.手順'!D:D,"_")</f>
        <v>#NAME?</v>
      </c>
      <c r="H110" s="141">
        <f>IF(F110&lt;&gt;"", COUNTIF('3.手順'!H:H,F110),"")</f>
        <v>0</v>
      </c>
      <c r="I110" s="129">
        <f t="shared" si="1"/>
        <v>0</v>
      </c>
      <c r="J110" s="130">
        <f t="shared" si="2"/>
        <v>0</v>
      </c>
      <c r="K110" s="131"/>
      <c r="L110" s="40"/>
      <c r="M110" s="40"/>
      <c r="N110" s="40"/>
      <c r="O110" s="40"/>
      <c r="P110" s="40"/>
      <c r="Q110" s="40"/>
      <c r="R110" s="40"/>
      <c r="S110" s="40"/>
      <c r="T110" s="40"/>
      <c r="U110" s="40"/>
      <c r="V110" s="40"/>
    </row>
    <row r="111" spans="1:22" ht="17.5">
      <c r="A111" s="124" t="s">
        <v>334</v>
      </c>
      <c r="B111" s="125" t="s">
        <v>335</v>
      </c>
      <c r="C111" s="140">
        <v>35.418959999999998</v>
      </c>
      <c r="D111" s="140">
        <v>133.33252300000001</v>
      </c>
      <c r="E111" s="124" t="s">
        <v>100</v>
      </c>
      <c r="F111" s="126" t="str">
        <f t="shared" si="0"/>
        <v>P201:湊山体育館</v>
      </c>
      <c r="G111" s="127" t="e">
        <f t="array" aca="1" ref="G111" ca="1">_xludf.xlookup(A111,'3.手順'!E:E,'3.手順'!D:D,"_")</f>
        <v>#NAME?</v>
      </c>
      <c r="H111" s="142">
        <f>IF(F111&lt;&gt;"", COUNTIF('3.手順'!H:H,F111),"")</f>
        <v>4</v>
      </c>
      <c r="I111" s="129">
        <f t="shared" si="1"/>
        <v>0</v>
      </c>
      <c r="J111" s="130">
        <f t="shared" si="2"/>
        <v>-4</v>
      </c>
      <c r="K111" s="131"/>
      <c r="L111" s="40"/>
      <c r="M111" s="40"/>
      <c r="N111" s="40"/>
      <c r="O111" s="40"/>
      <c r="P111" s="40"/>
      <c r="Q111" s="40"/>
      <c r="R111" s="40"/>
      <c r="S111" s="40"/>
      <c r="T111" s="40"/>
      <c r="U111" s="40"/>
      <c r="V111" s="40"/>
    </row>
    <row r="112" spans="1:22" ht="17.5">
      <c r="A112" s="124" t="s">
        <v>336</v>
      </c>
      <c r="B112" s="125" t="s">
        <v>337</v>
      </c>
      <c r="C112" s="140">
        <v>35.419395999999999</v>
      </c>
      <c r="D112" s="140">
        <v>133.32865799999999</v>
      </c>
      <c r="E112" s="124" t="s">
        <v>100</v>
      </c>
      <c r="F112" s="126" t="str">
        <f t="shared" si="0"/>
        <v>P202:総泉時 本堂</v>
      </c>
      <c r="G112" s="127" t="e">
        <f t="array" aca="1" ref="G112" ca="1">_xludf.xlookup(A112,'3.手順'!E:E,'3.手順'!D:D,"_")</f>
        <v>#NAME?</v>
      </c>
      <c r="H112" s="142">
        <f>IF(F112&lt;&gt;"", COUNTIF('3.手順'!H:H,F112),"")</f>
        <v>2</v>
      </c>
      <c r="I112" s="129">
        <f t="shared" si="1"/>
        <v>0</v>
      </c>
      <c r="J112" s="130">
        <f t="shared" si="2"/>
        <v>-2</v>
      </c>
      <c r="K112" s="131"/>
      <c r="L112" s="40"/>
      <c r="M112" s="40"/>
      <c r="N112" s="40"/>
      <c r="O112" s="40"/>
      <c r="P112" s="40"/>
      <c r="Q112" s="40"/>
      <c r="R112" s="40"/>
      <c r="S112" s="40"/>
      <c r="T112" s="40"/>
      <c r="U112" s="40"/>
      <c r="V112" s="40"/>
    </row>
    <row r="113" spans="1:22" ht="17.5">
      <c r="A113" s="124" t="s">
        <v>338</v>
      </c>
      <c r="B113" s="125" t="s">
        <v>339</v>
      </c>
      <c r="C113" s="140">
        <v>35.422583000000003</v>
      </c>
      <c r="D113" s="140">
        <v>133.337411</v>
      </c>
      <c r="E113" s="124" t="s">
        <v>100</v>
      </c>
      <c r="F113" s="126" t="str">
        <f t="shared" si="0"/>
        <v>P203:JR米子駅南口</v>
      </c>
      <c r="G113" s="127" t="e">
        <f t="array" aca="1" ref="G113" ca="1">_xludf.xlookup(A113,'3.手順'!E:E,'3.手順'!D:D,"_")</f>
        <v>#NAME?</v>
      </c>
      <c r="H113" s="142">
        <f>IF(F113&lt;&gt;"", COUNTIF('3.手順'!H:H,F113),"")</f>
        <v>4</v>
      </c>
      <c r="I113" s="129">
        <f t="shared" si="1"/>
        <v>0</v>
      </c>
      <c r="J113" s="130">
        <f t="shared" si="2"/>
        <v>-4</v>
      </c>
      <c r="K113" s="131"/>
      <c r="L113" s="40"/>
      <c r="M113" s="40"/>
      <c r="N113" s="40"/>
      <c r="O113" s="40"/>
      <c r="P113" s="40"/>
      <c r="Q113" s="40"/>
      <c r="R113" s="40"/>
      <c r="S113" s="40"/>
      <c r="T113" s="40"/>
      <c r="U113" s="40"/>
      <c r="V113" s="40"/>
    </row>
    <row r="114" spans="1:22" ht="17.5">
      <c r="A114" s="124" t="s">
        <v>340</v>
      </c>
      <c r="B114" s="125" t="s">
        <v>341</v>
      </c>
      <c r="C114" s="140">
        <v>35.422584000000001</v>
      </c>
      <c r="D114" s="140">
        <v>133.333923</v>
      </c>
      <c r="E114" s="124" t="s">
        <v>100</v>
      </c>
      <c r="F114" s="126" t="str">
        <f t="shared" si="0"/>
        <v>P204:彫刻ロード「はる」</v>
      </c>
      <c r="G114" s="127" t="e">
        <f t="array" aca="1" ref="G114" ca="1">_xludf.xlookup(A114,'3.手順'!E:E,'3.手順'!D:D,"_")</f>
        <v>#NAME?</v>
      </c>
      <c r="H114" s="142">
        <f>IF(F114&lt;&gt;"", COUNTIF('3.手順'!H:H,F114),"")</f>
        <v>1</v>
      </c>
      <c r="I114" s="129">
        <f t="shared" si="1"/>
        <v>0</v>
      </c>
      <c r="J114" s="130">
        <f t="shared" si="2"/>
        <v>-1</v>
      </c>
      <c r="K114" s="131"/>
      <c r="L114" s="40"/>
      <c r="M114" s="40"/>
      <c r="N114" s="40"/>
      <c r="O114" s="40"/>
      <c r="P114" s="40"/>
      <c r="Q114" s="40"/>
      <c r="R114" s="40"/>
      <c r="S114" s="40"/>
      <c r="T114" s="40"/>
      <c r="U114" s="40"/>
      <c r="V114" s="40"/>
    </row>
    <row r="115" spans="1:22" ht="17.5">
      <c r="A115" s="124" t="s">
        <v>342</v>
      </c>
      <c r="B115" s="125" t="s">
        <v>343</v>
      </c>
      <c r="C115" s="125">
        <v>35.422657999999998</v>
      </c>
      <c r="D115" s="125">
        <v>133.333708</v>
      </c>
      <c r="E115" s="124" t="s">
        <v>100</v>
      </c>
      <c r="F115" s="126" t="str">
        <f t="shared" si="0"/>
        <v>P205:大地の刻</v>
      </c>
      <c r="G115" s="127" t="e">
        <f t="array" aca="1" ref="G115" ca="1">_xludf.xlookup(A115,'3.手順'!E:E,'3.手順'!D:D,"_")</f>
        <v>#NAME?</v>
      </c>
      <c r="H115" s="135">
        <f>IF(F115&lt;&gt;"", COUNTIF('3.手順'!H:H,F115),"")</f>
        <v>1</v>
      </c>
      <c r="I115" s="129">
        <f t="shared" si="1"/>
        <v>0</v>
      </c>
      <c r="J115" s="130">
        <f t="shared" si="2"/>
        <v>-1</v>
      </c>
      <c r="K115" s="131"/>
      <c r="L115" s="114"/>
      <c r="M115" s="40"/>
      <c r="N115" s="40"/>
      <c r="O115" s="40"/>
      <c r="P115" s="40"/>
      <c r="Q115" s="40"/>
      <c r="R115" s="40"/>
      <c r="S115" s="40"/>
      <c r="T115" s="40"/>
      <c r="U115" s="40"/>
      <c r="V115" s="40"/>
    </row>
    <row r="116" spans="1:22" ht="17.5">
      <c r="A116" s="124" t="s">
        <v>344</v>
      </c>
      <c r="B116" s="125" t="s">
        <v>345</v>
      </c>
      <c r="C116" s="140">
        <v>35.422825000000003</v>
      </c>
      <c r="D116" s="140">
        <v>133.33551199999999</v>
      </c>
      <c r="E116" s="124" t="s">
        <v>100</v>
      </c>
      <c r="F116" s="126" t="str">
        <f t="shared" si="0"/>
        <v>P206:米子駅バス乗り場 観光案内地図</v>
      </c>
      <c r="G116" s="127" t="e">
        <f t="array" aca="1" ref="G116" ca="1">_xludf.xlookup(A116,'3.手順'!E:E,'3.手順'!D:D,"_")</f>
        <v>#NAME?</v>
      </c>
      <c r="H116" s="142">
        <f>IF(F116&lt;&gt;"", COUNTIF('3.手順'!H:H,F116),"")</f>
        <v>4</v>
      </c>
      <c r="I116" s="129">
        <f t="shared" si="1"/>
        <v>0</v>
      </c>
      <c r="J116" s="130">
        <f t="shared" si="2"/>
        <v>-4</v>
      </c>
      <c r="K116" s="131"/>
      <c r="L116" s="40"/>
      <c r="M116" s="40"/>
      <c r="N116" s="40"/>
      <c r="O116" s="40"/>
      <c r="P116" s="40"/>
      <c r="Q116" s="40"/>
      <c r="R116" s="40"/>
      <c r="S116" s="40"/>
      <c r="T116" s="40"/>
      <c r="U116" s="40"/>
      <c r="V116" s="40"/>
    </row>
    <row r="117" spans="1:22" ht="17.5">
      <c r="A117" s="124" t="s">
        <v>346</v>
      </c>
      <c r="B117" s="125" t="s">
        <v>347</v>
      </c>
      <c r="C117" s="140">
        <v>35.422866999999997</v>
      </c>
      <c r="D117" s="140">
        <v>133.330184</v>
      </c>
      <c r="E117" s="124" t="s">
        <v>100</v>
      </c>
      <c r="F117" s="126" t="str">
        <f t="shared" si="0"/>
        <v>P207:Gravitation</v>
      </c>
      <c r="G117" s="127" t="e">
        <f t="array" aca="1" ref="G117" ca="1">_xludf.xlookup(A117,'3.手順'!E:E,'3.手順'!D:D,"_")</f>
        <v>#NAME?</v>
      </c>
      <c r="H117" s="142">
        <f>IF(F117&lt;&gt;"", COUNTIF('3.手順'!H:H,F117),"")</f>
        <v>3</v>
      </c>
      <c r="I117" s="129">
        <f t="shared" si="1"/>
        <v>0</v>
      </c>
      <c r="J117" s="130">
        <f t="shared" si="2"/>
        <v>-3</v>
      </c>
      <c r="K117" s="131"/>
      <c r="L117" s="40"/>
      <c r="M117" s="40"/>
      <c r="N117" s="40"/>
      <c r="O117" s="40"/>
      <c r="P117" s="40"/>
      <c r="Q117" s="40"/>
      <c r="R117" s="40"/>
      <c r="S117" s="40"/>
      <c r="T117" s="40"/>
      <c r="U117" s="40"/>
      <c r="V117" s="40"/>
    </row>
    <row r="118" spans="1:22" ht="17.5">
      <c r="A118" s="124" t="s">
        <v>348</v>
      </c>
      <c r="B118" s="125" t="s">
        <v>349</v>
      </c>
      <c r="C118" s="140">
        <v>35.423014000000002</v>
      </c>
      <c r="D118" s="140">
        <v>133.33508599999999</v>
      </c>
      <c r="E118" s="124" t="s">
        <v>100</v>
      </c>
      <c r="F118" s="126" t="str">
        <f t="shared" si="0"/>
        <v>P208:だれ</v>
      </c>
      <c r="G118" s="127" t="e">
        <f t="array" aca="1" ref="G118" ca="1">_xludf.xlookup(A118,'3.手順'!E:E,'3.手順'!D:D,"_")</f>
        <v>#NAME?</v>
      </c>
      <c r="H118" s="142">
        <f>IF(F118&lt;&gt;"", COUNTIF('3.手順'!H:H,F118),"")</f>
        <v>1</v>
      </c>
      <c r="I118" s="129">
        <f t="shared" si="1"/>
        <v>0</v>
      </c>
      <c r="J118" s="130">
        <f t="shared" si="2"/>
        <v>-1</v>
      </c>
      <c r="K118" s="131"/>
      <c r="L118" s="40"/>
      <c r="M118" s="40"/>
      <c r="N118" s="40"/>
      <c r="O118" s="40"/>
      <c r="P118" s="40"/>
      <c r="Q118" s="40"/>
      <c r="R118" s="40"/>
      <c r="S118" s="40"/>
      <c r="T118" s="40"/>
      <c r="U118" s="40"/>
      <c r="V118" s="40"/>
    </row>
    <row r="119" spans="1:22" ht="17.5">
      <c r="A119" s="124" t="s">
        <v>350</v>
      </c>
      <c r="B119" s="125" t="s">
        <v>351</v>
      </c>
      <c r="C119" s="140">
        <v>35.423136</v>
      </c>
      <c r="D119" s="140">
        <v>133.32978299999999</v>
      </c>
      <c r="E119" s="124" t="s">
        <v>100</v>
      </c>
      <c r="F119" s="126" t="str">
        <f t="shared" si="0"/>
        <v>P209:地殻-cocoon3-</v>
      </c>
      <c r="G119" s="127" t="e">
        <f t="array" aca="1" ref="G119" ca="1">_xludf.xlookup(A119,'3.手順'!E:E,'3.手順'!D:D,"_")</f>
        <v>#NAME?</v>
      </c>
      <c r="H119" s="142">
        <f>IF(F119&lt;&gt;"", COUNTIF('3.手順'!H:H,F119),"")</f>
        <v>0</v>
      </c>
      <c r="I119" s="129">
        <f t="shared" si="1"/>
        <v>0</v>
      </c>
      <c r="J119" s="130">
        <f t="shared" si="2"/>
        <v>0</v>
      </c>
      <c r="K119" s="131"/>
      <c r="L119" s="40"/>
      <c r="M119" s="40"/>
      <c r="N119" s="40"/>
      <c r="O119" s="40"/>
      <c r="P119" s="40"/>
      <c r="Q119" s="40"/>
      <c r="R119" s="40"/>
      <c r="S119" s="40"/>
      <c r="T119" s="40"/>
      <c r="U119" s="40"/>
      <c r="V119" s="40"/>
    </row>
    <row r="120" spans="1:22" ht="17.5">
      <c r="A120" s="124" t="s">
        <v>352</v>
      </c>
      <c r="B120" s="125" t="s">
        <v>353</v>
      </c>
      <c r="C120" s="140">
        <v>35.423166000000002</v>
      </c>
      <c r="D120" s="140">
        <v>133.32790800000001</v>
      </c>
      <c r="E120" s="124" t="s">
        <v>100</v>
      </c>
      <c r="F120" s="126" t="str">
        <f t="shared" si="0"/>
        <v>P210:祇園地蔵</v>
      </c>
      <c r="G120" s="127" t="e">
        <f t="array" aca="1" ref="G120" ca="1">_xludf.xlookup(A120,'3.手順'!E:E,'3.手順'!D:D,"_")</f>
        <v>#NAME?</v>
      </c>
      <c r="H120" s="142">
        <f>IF(F120&lt;&gt;"", COUNTIF('3.手順'!H:H,F120),"")</f>
        <v>1</v>
      </c>
      <c r="I120" s="129">
        <f t="shared" si="1"/>
        <v>0</v>
      </c>
      <c r="J120" s="130">
        <f t="shared" si="2"/>
        <v>-1</v>
      </c>
      <c r="K120" s="131"/>
      <c r="L120" s="40"/>
      <c r="M120" s="40"/>
      <c r="N120" s="40"/>
      <c r="O120" s="40"/>
      <c r="P120" s="40"/>
      <c r="Q120" s="40"/>
      <c r="R120" s="40"/>
      <c r="S120" s="40"/>
      <c r="T120" s="40"/>
      <c r="U120" s="40"/>
      <c r="V120" s="40"/>
    </row>
    <row r="121" spans="1:22" ht="17.5">
      <c r="A121" s="124" t="s">
        <v>354</v>
      </c>
      <c r="B121" s="125" t="s">
        <v>355</v>
      </c>
      <c r="C121" s="140">
        <v>35.423184999999997</v>
      </c>
      <c r="D121" s="140">
        <v>133.33409</v>
      </c>
      <c r="E121" s="124" t="s">
        <v>100</v>
      </c>
      <c r="F121" s="126" t="str">
        <f t="shared" si="0"/>
        <v>P211:油そば 笑ちゃん</v>
      </c>
      <c r="G121" s="127" t="e">
        <f t="array" aca="1" ref="G121" ca="1">_xludf.xlookup(A121,'3.手順'!E:E,'3.手順'!D:D,"_")</f>
        <v>#NAME?</v>
      </c>
      <c r="H121" s="142">
        <f>IF(F121&lt;&gt;"", COUNTIF('3.手順'!H:H,F121),"")</f>
        <v>1</v>
      </c>
      <c r="I121" s="129">
        <f t="shared" si="1"/>
        <v>0</v>
      </c>
      <c r="J121" s="130">
        <f t="shared" si="2"/>
        <v>-1</v>
      </c>
      <c r="K121" s="131"/>
      <c r="L121" s="40"/>
      <c r="M121" s="40"/>
      <c r="N121" s="40"/>
      <c r="O121" s="40"/>
      <c r="P121" s="40"/>
      <c r="Q121" s="40"/>
      <c r="R121" s="40"/>
      <c r="S121" s="40"/>
      <c r="T121" s="40"/>
      <c r="U121" s="40"/>
      <c r="V121" s="40"/>
    </row>
    <row r="122" spans="1:22" ht="17.5">
      <c r="A122" s="124" t="s">
        <v>356</v>
      </c>
      <c r="B122" s="125" t="s">
        <v>357</v>
      </c>
      <c r="C122" s="140">
        <v>35.423257999999997</v>
      </c>
      <c r="D122" s="140">
        <v>133.32655500000001</v>
      </c>
      <c r="E122" s="124" t="s">
        <v>100</v>
      </c>
      <c r="F122" s="126" t="str">
        <f t="shared" si="0"/>
        <v>P212:彫刻ロード「光」</v>
      </c>
      <c r="G122" s="127" t="e">
        <f t="array" aca="1" ref="G122" ca="1">_xludf.xlookup(A122,'3.手順'!E:E,'3.手順'!D:D,"_")</f>
        <v>#NAME?</v>
      </c>
      <c r="H122" s="141">
        <f>IF(F122&lt;&gt;"", COUNTIF('3.手順'!H:H,F122),"")</f>
        <v>2</v>
      </c>
      <c r="I122" s="129">
        <f t="shared" si="1"/>
        <v>0</v>
      </c>
      <c r="J122" s="130">
        <f t="shared" si="2"/>
        <v>-2</v>
      </c>
      <c r="K122" s="131"/>
      <c r="L122" s="40"/>
      <c r="M122" s="40"/>
      <c r="N122" s="40"/>
      <c r="O122" s="40"/>
      <c r="P122" s="40"/>
      <c r="Q122" s="40"/>
      <c r="R122" s="40"/>
      <c r="S122" s="40"/>
      <c r="T122" s="40"/>
      <c r="U122" s="40"/>
      <c r="V122" s="40"/>
    </row>
    <row r="123" spans="1:22" ht="17.5">
      <c r="A123" s="124" t="s">
        <v>358</v>
      </c>
      <c r="B123" s="125" t="s">
        <v>359</v>
      </c>
      <c r="C123" s="140">
        <v>35.423285999999997</v>
      </c>
      <c r="D123" s="140">
        <v>133.329341</v>
      </c>
      <c r="E123" s="124" t="s">
        <v>100</v>
      </c>
      <c r="F123" s="126" t="str">
        <f t="shared" si="0"/>
        <v>P213:白鳥</v>
      </c>
      <c r="G123" s="127" t="e">
        <f t="array" aca="1" ref="G123" ca="1">_xludf.xlookup(A123,'3.手順'!E:E,'3.手順'!D:D,"_")</f>
        <v>#NAME?</v>
      </c>
      <c r="H123" s="142">
        <f>IF(F123&lt;&gt;"", COUNTIF('3.手順'!H:H,F123),"")</f>
        <v>0</v>
      </c>
      <c r="I123" s="129">
        <f t="shared" si="1"/>
        <v>0</v>
      </c>
      <c r="J123" s="130">
        <f t="shared" si="2"/>
        <v>0</v>
      </c>
      <c r="K123" s="131"/>
      <c r="L123" s="40"/>
      <c r="M123" s="40"/>
      <c r="N123" s="40"/>
      <c r="O123" s="40"/>
      <c r="P123" s="40"/>
      <c r="Q123" s="40"/>
      <c r="R123" s="40"/>
      <c r="S123" s="40"/>
      <c r="T123" s="40"/>
      <c r="U123" s="40"/>
      <c r="V123" s="40"/>
    </row>
    <row r="124" spans="1:22" ht="17.5">
      <c r="A124" s="124" t="s">
        <v>360</v>
      </c>
      <c r="B124" s="125" t="s">
        <v>361</v>
      </c>
      <c r="C124" s="140">
        <v>35.423439000000002</v>
      </c>
      <c r="D124" s="140">
        <v>133.33308099999999</v>
      </c>
      <c r="E124" s="124" t="s">
        <v>100</v>
      </c>
      <c r="F124" s="126" t="str">
        <f t="shared" si="0"/>
        <v>P214:Café ら・ぼーる</v>
      </c>
      <c r="G124" s="127" t="e">
        <f t="array" aca="1" ref="G124" ca="1">_xludf.xlookup(A124,'3.手順'!E:E,'3.手順'!D:D,"_")</f>
        <v>#NAME?</v>
      </c>
      <c r="H124" s="142">
        <f>IF(F124&lt;&gt;"", COUNTIF('3.手順'!H:H,F124),"")</f>
        <v>1</v>
      </c>
      <c r="I124" s="129">
        <f t="shared" si="1"/>
        <v>0</v>
      </c>
      <c r="J124" s="130">
        <f t="shared" si="2"/>
        <v>-1</v>
      </c>
      <c r="K124" s="131"/>
      <c r="L124" s="40"/>
      <c r="M124" s="40"/>
      <c r="N124" s="40"/>
      <c r="O124" s="40"/>
      <c r="P124" s="40"/>
      <c r="Q124" s="40"/>
      <c r="R124" s="40"/>
      <c r="S124" s="40"/>
      <c r="T124" s="40"/>
      <c r="U124" s="40"/>
      <c r="V124" s="40"/>
    </row>
    <row r="125" spans="1:22" ht="17.5">
      <c r="A125" s="124" t="s">
        <v>362</v>
      </c>
      <c r="B125" s="125" t="s">
        <v>363</v>
      </c>
      <c r="C125" s="125">
        <v>35.423591999999999</v>
      </c>
      <c r="D125" s="125">
        <v>133.32805200000001</v>
      </c>
      <c r="E125" s="124" t="s">
        <v>100</v>
      </c>
      <c r="F125" s="126" t="str">
        <f t="shared" si="0"/>
        <v>P215:彫刻ロード「再生」</v>
      </c>
      <c r="G125" s="127" t="e">
        <f t="array" aca="1" ref="G125" ca="1">_xludf.xlookup(A125,'3.手順'!E:E,'3.手順'!D:D,"_")</f>
        <v>#NAME?</v>
      </c>
      <c r="H125" s="142">
        <f>IF(F125&lt;&gt;"", COUNTIF('3.手順'!H:H,F125),"")</f>
        <v>1</v>
      </c>
      <c r="I125" s="129">
        <f t="shared" si="1"/>
        <v>0</v>
      </c>
      <c r="J125" s="130">
        <f t="shared" si="2"/>
        <v>-1</v>
      </c>
      <c r="K125" s="131"/>
      <c r="L125" s="40"/>
      <c r="M125" s="40"/>
      <c r="N125" s="40"/>
      <c r="O125" s="40"/>
      <c r="P125" s="40"/>
      <c r="Q125" s="40"/>
      <c r="R125" s="40"/>
      <c r="S125" s="40"/>
      <c r="T125" s="40"/>
      <c r="U125" s="40"/>
      <c r="V125" s="40"/>
    </row>
    <row r="126" spans="1:22" ht="17.5">
      <c r="A126" s="124" t="s">
        <v>364</v>
      </c>
      <c r="B126" s="125" t="s">
        <v>365</v>
      </c>
      <c r="C126" s="125">
        <v>35.424036999999998</v>
      </c>
      <c r="D126" s="125">
        <v>133.323137</v>
      </c>
      <c r="E126" s="124" t="s">
        <v>100</v>
      </c>
      <c r="F126" s="126" t="str">
        <f t="shared" si="0"/>
        <v>P216:繁多寺</v>
      </c>
      <c r="G126" s="127" t="e">
        <f t="array" aca="1" ref="G126" ca="1">_xludf.xlookup(A126,'3.手順'!E:E,'3.手順'!D:D,"_")</f>
        <v>#NAME?</v>
      </c>
      <c r="H126" s="135">
        <f>IF(F126&lt;&gt;"", COUNTIF('3.手順'!H:H,F126),"")</f>
        <v>1</v>
      </c>
      <c r="I126" s="129">
        <f t="shared" si="1"/>
        <v>0</v>
      </c>
      <c r="J126" s="130">
        <f t="shared" si="2"/>
        <v>-1</v>
      </c>
      <c r="K126" s="131"/>
      <c r="L126" s="114"/>
      <c r="M126" s="40"/>
      <c r="N126" s="40"/>
      <c r="O126" s="40"/>
      <c r="P126" s="40"/>
      <c r="Q126" s="40"/>
      <c r="R126" s="40"/>
      <c r="S126" s="40"/>
      <c r="T126" s="40"/>
      <c r="U126" s="40"/>
      <c r="V126" s="40"/>
    </row>
    <row r="127" spans="1:22" ht="17.5">
      <c r="A127" s="124" t="s">
        <v>366</v>
      </c>
      <c r="B127" s="125" t="s">
        <v>367</v>
      </c>
      <c r="C127" s="125">
        <v>35.424039999999998</v>
      </c>
      <c r="D127" s="125">
        <v>133.33353</v>
      </c>
      <c r="E127" s="124" t="s">
        <v>100</v>
      </c>
      <c r="F127" s="126" t="str">
        <f t="shared" si="0"/>
        <v>P217:明治第一公園のパーゴラ休憩所</v>
      </c>
      <c r="G127" s="127" t="e">
        <f t="array" aca="1" ref="G127" ca="1">_xludf.xlookup(A127,'3.手順'!E:E,'3.手順'!D:D,"_")</f>
        <v>#NAME?</v>
      </c>
      <c r="H127" s="135">
        <f>IF(F127&lt;&gt;"", COUNTIF('3.手順'!H:H,F127),"")</f>
        <v>13</v>
      </c>
      <c r="I127" s="129">
        <f t="shared" si="1"/>
        <v>0</v>
      </c>
      <c r="J127" s="130">
        <f t="shared" si="2"/>
        <v>-13</v>
      </c>
      <c r="K127" s="131"/>
      <c r="L127" s="114"/>
      <c r="M127" s="40"/>
      <c r="N127" s="40"/>
      <c r="O127" s="40"/>
      <c r="P127" s="40"/>
      <c r="Q127" s="40"/>
      <c r="R127" s="40"/>
      <c r="S127" s="40"/>
      <c r="T127" s="40"/>
      <c r="U127" s="40"/>
      <c r="V127" s="40"/>
    </row>
    <row r="128" spans="1:22" ht="17.5">
      <c r="A128" s="124" t="s">
        <v>368</v>
      </c>
      <c r="B128" s="125" t="s">
        <v>369</v>
      </c>
      <c r="C128" s="125">
        <v>35.424067999999998</v>
      </c>
      <c r="D128" s="125">
        <v>133.33237800000001</v>
      </c>
      <c r="E128" s="124" t="s">
        <v>100</v>
      </c>
      <c r="F128" s="126" t="str">
        <f t="shared" si="0"/>
        <v>P218:ローダンのラーメン 米子駅前店</v>
      </c>
      <c r="G128" s="127" t="e">
        <f t="array" aca="1" ref="G128" ca="1">_xludf.xlookup(A128,'3.手順'!E:E,'3.手順'!D:D,"_")</f>
        <v>#NAME?</v>
      </c>
      <c r="H128" s="135">
        <f>IF(F128&lt;&gt;"", COUNTIF('3.手順'!H:H,F128),"")</f>
        <v>1</v>
      </c>
      <c r="I128" s="129">
        <f t="shared" si="1"/>
        <v>0</v>
      </c>
      <c r="J128" s="130">
        <f t="shared" si="2"/>
        <v>-1</v>
      </c>
      <c r="K128" s="131"/>
      <c r="L128" s="114"/>
      <c r="M128" s="40"/>
      <c r="N128" s="40"/>
      <c r="O128" s="40"/>
      <c r="P128" s="40"/>
      <c r="Q128" s="40"/>
      <c r="R128" s="40"/>
      <c r="S128" s="40"/>
      <c r="T128" s="40"/>
      <c r="U128" s="40"/>
      <c r="V128" s="40"/>
    </row>
    <row r="129" spans="1:22" ht="17.5">
      <c r="A129" s="124" t="s">
        <v>370</v>
      </c>
      <c r="B129" s="125" t="s">
        <v>371</v>
      </c>
      <c r="C129" s="140">
        <v>35.424163999999998</v>
      </c>
      <c r="D129" s="140">
        <v>133.33187100000001</v>
      </c>
      <c r="E129" s="124" t="s">
        <v>100</v>
      </c>
      <c r="F129" s="126" t="str">
        <f t="shared" si="0"/>
        <v>P219:塩町地蔵</v>
      </c>
      <c r="G129" s="127" t="e">
        <f t="array" aca="1" ref="G129" ca="1">_xludf.xlookup(A129,'3.手順'!E:E,'3.手順'!D:D,"_")</f>
        <v>#NAME?</v>
      </c>
      <c r="H129" s="135">
        <f>IF(F129&lt;&gt;"", COUNTIF('3.手順'!H:H,F129),"")</f>
        <v>4</v>
      </c>
      <c r="I129" s="129">
        <f t="shared" si="1"/>
        <v>0</v>
      </c>
      <c r="J129" s="130">
        <f t="shared" si="2"/>
        <v>-4</v>
      </c>
      <c r="K129" s="131"/>
      <c r="L129" s="114"/>
      <c r="M129" s="40"/>
      <c r="N129" s="40"/>
      <c r="O129" s="40"/>
      <c r="P129" s="40"/>
      <c r="Q129" s="40"/>
      <c r="R129" s="40"/>
      <c r="S129" s="40"/>
      <c r="T129" s="40"/>
      <c r="U129" s="40"/>
      <c r="V129" s="40"/>
    </row>
    <row r="130" spans="1:22" ht="17.5">
      <c r="A130" s="124" t="s">
        <v>372</v>
      </c>
      <c r="B130" s="125" t="s">
        <v>373</v>
      </c>
      <c r="C130" s="140">
        <v>35.424242</v>
      </c>
      <c r="D130" s="140">
        <v>133.334677</v>
      </c>
      <c r="E130" s="124" t="s">
        <v>100</v>
      </c>
      <c r="F130" s="126" t="str">
        <f t="shared" si="0"/>
        <v>P220:焼肉ホルモン だんだん</v>
      </c>
      <c r="G130" s="127" t="e">
        <f t="array" aca="1" ref="G130" ca="1">_xludf.xlookup(A130,'3.手順'!E:E,'3.手順'!D:D,"_")</f>
        <v>#NAME?</v>
      </c>
      <c r="H130" s="142">
        <f>IF(F130&lt;&gt;"", COUNTIF('3.手順'!H:H,F130),"")</f>
        <v>1</v>
      </c>
      <c r="I130" s="129">
        <f t="shared" si="1"/>
        <v>0</v>
      </c>
      <c r="J130" s="130">
        <f t="shared" si="2"/>
        <v>-1</v>
      </c>
      <c r="K130" s="131"/>
      <c r="L130" s="40"/>
      <c r="M130" s="40"/>
      <c r="N130" s="40"/>
      <c r="O130" s="40"/>
      <c r="P130" s="40"/>
      <c r="Q130" s="40"/>
      <c r="R130" s="40"/>
      <c r="S130" s="40"/>
      <c r="T130" s="40"/>
      <c r="U130" s="40"/>
      <c r="V130" s="40"/>
    </row>
    <row r="131" spans="1:22" ht="17.5">
      <c r="A131" s="124" t="s">
        <v>374</v>
      </c>
      <c r="B131" s="125" t="s">
        <v>375</v>
      </c>
      <c r="C131" s="140">
        <v>35.424733000000003</v>
      </c>
      <c r="D131" s="140">
        <v>133.331703</v>
      </c>
      <c r="E131" s="124" t="s">
        <v>100</v>
      </c>
      <c r="F131" s="126" t="str">
        <f t="shared" si="0"/>
        <v>P221:お食事小料理すえ</v>
      </c>
      <c r="G131" s="127" t="e">
        <f t="array" aca="1" ref="G131" ca="1">_xludf.xlookup(A131,'3.手順'!E:E,'3.手順'!D:D,"_")</f>
        <v>#NAME?</v>
      </c>
      <c r="H131" s="142">
        <f>IF(F131&lt;&gt;"", COUNTIF('3.手順'!H:H,F131),"")</f>
        <v>1</v>
      </c>
      <c r="I131" s="129">
        <f t="shared" si="1"/>
        <v>0</v>
      </c>
      <c r="J131" s="130">
        <f t="shared" si="2"/>
        <v>-1</v>
      </c>
      <c r="K131" s="131"/>
      <c r="L131" s="40"/>
      <c r="M131" s="40"/>
      <c r="N131" s="40"/>
      <c r="O131" s="40"/>
      <c r="P131" s="40"/>
      <c r="Q131" s="40"/>
      <c r="R131" s="40"/>
      <c r="S131" s="40"/>
      <c r="T131" s="40"/>
      <c r="U131" s="40"/>
      <c r="V131" s="40"/>
    </row>
    <row r="132" spans="1:22" ht="17.5">
      <c r="A132" s="124" t="s">
        <v>376</v>
      </c>
      <c r="B132" s="125" t="s">
        <v>377</v>
      </c>
      <c r="C132" s="140">
        <v>35.424861999999997</v>
      </c>
      <c r="D132" s="140">
        <v>133.32615899999999</v>
      </c>
      <c r="E132" s="124" t="s">
        <v>100</v>
      </c>
      <c r="F132" s="126" t="str">
        <f t="shared" si="0"/>
        <v>P222:米子城跡 上り口</v>
      </c>
      <c r="G132" s="127" t="e">
        <f t="array" aca="1" ref="G132" ca="1">_xludf.xlookup(A132,'3.手順'!E:E,'3.手順'!D:D,"_")</f>
        <v>#NAME?</v>
      </c>
      <c r="H132" s="142">
        <f>IF(F132&lt;&gt;"", COUNTIF('3.手順'!H:H,F132),"")</f>
        <v>0</v>
      </c>
      <c r="I132" s="129">
        <f t="shared" si="1"/>
        <v>0</v>
      </c>
      <c r="J132" s="130">
        <f t="shared" si="2"/>
        <v>0</v>
      </c>
      <c r="K132" s="131"/>
      <c r="L132" s="40"/>
      <c r="M132" s="40"/>
      <c r="N132" s="40"/>
      <c r="O132" s="40"/>
      <c r="P132" s="40"/>
      <c r="Q132" s="40"/>
      <c r="R132" s="40"/>
      <c r="S132" s="40"/>
      <c r="T132" s="40"/>
      <c r="U132" s="40"/>
      <c r="V132" s="40"/>
    </row>
    <row r="133" spans="1:22" ht="17.5">
      <c r="A133" s="124" t="s">
        <v>378</v>
      </c>
      <c r="B133" s="125" t="s">
        <v>379</v>
      </c>
      <c r="C133" s="140">
        <v>35.424979999999998</v>
      </c>
      <c r="D133" s="140">
        <v>133.33026599999999</v>
      </c>
      <c r="E133" s="124" t="s">
        <v>100</v>
      </c>
      <c r="F133" s="126" t="str">
        <f t="shared" si="0"/>
        <v>P223:焼肉韓国料理 大力家族亭</v>
      </c>
      <c r="G133" s="127" t="e">
        <f t="array" aca="1" ref="G133" ca="1">_xludf.xlookup(A133,'3.手順'!E:E,'3.手順'!D:D,"_")</f>
        <v>#NAME?</v>
      </c>
      <c r="H133" s="142">
        <f>IF(F133&lt;&gt;"", COUNTIF('3.手順'!H:H,F133),"")</f>
        <v>2</v>
      </c>
      <c r="I133" s="129">
        <f t="shared" si="1"/>
        <v>0</v>
      </c>
      <c r="J133" s="130">
        <f t="shared" si="2"/>
        <v>-2</v>
      </c>
      <c r="K133" s="131"/>
      <c r="L133" s="40"/>
      <c r="M133" s="40"/>
      <c r="N133" s="40"/>
      <c r="O133" s="40"/>
      <c r="P133" s="40"/>
      <c r="Q133" s="40"/>
      <c r="R133" s="40"/>
      <c r="S133" s="40"/>
      <c r="T133" s="40"/>
      <c r="U133" s="40"/>
      <c r="V133" s="40"/>
    </row>
    <row r="134" spans="1:22" ht="17.5">
      <c r="A134" s="124" t="s">
        <v>380</v>
      </c>
      <c r="B134" s="125" t="s">
        <v>261</v>
      </c>
      <c r="C134" s="140">
        <v>35.437491999999999</v>
      </c>
      <c r="D134" s="140">
        <v>133.340979</v>
      </c>
      <c r="E134" s="124" t="s">
        <v>100</v>
      </c>
      <c r="F134" s="126" t="str">
        <f t="shared" si="0"/>
        <v>P224:住居表示街区案内図 米子市東福原1丁目</v>
      </c>
      <c r="G134" s="127" t="e">
        <f t="array" aca="1" ref="G134" ca="1">_xludf.xlookup(A134,'3.手順'!E:E,'3.手順'!D:D,"_")</f>
        <v>#NAME?</v>
      </c>
      <c r="H134" s="142">
        <f>IF(F134&lt;&gt;"", COUNTIF('3.手順'!H:H,F134),"")</f>
        <v>0</v>
      </c>
      <c r="I134" s="129">
        <f t="shared" si="1"/>
        <v>0</v>
      </c>
      <c r="J134" s="130">
        <f t="shared" si="2"/>
        <v>0</v>
      </c>
      <c r="K134" s="131"/>
      <c r="L134" s="40"/>
      <c r="M134" s="40"/>
      <c r="N134" s="40"/>
      <c r="O134" s="40"/>
      <c r="P134" s="40"/>
      <c r="Q134" s="40"/>
      <c r="R134" s="40"/>
      <c r="S134" s="40"/>
      <c r="T134" s="40"/>
      <c r="U134" s="40"/>
      <c r="V134" s="40"/>
    </row>
    <row r="135" spans="1:22" ht="17.5">
      <c r="A135" s="124" t="s">
        <v>381</v>
      </c>
      <c r="B135" s="125" t="s">
        <v>263</v>
      </c>
      <c r="C135" s="140">
        <v>35.437506999999997</v>
      </c>
      <c r="D135" s="140">
        <v>133.34054399999999</v>
      </c>
      <c r="E135" s="124" t="s">
        <v>100</v>
      </c>
      <c r="F135" s="126" t="str">
        <f t="shared" si="0"/>
        <v>P225:米川堤防のつつじ</v>
      </c>
      <c r="G135" s="127" t="e">
        <f t="array" aca="1" ref="G135" ca="1">_xludf.xlookup(A135,'3.手順'!E:E,'3.手順'!D:D,"_")</f>
        <v>#NAME?</v>
      </c>
      <c r="H135" s="142">
        <f>IF(F135&lt;&gt;"", COUNTIF('3.手順'!H:H,F135),"")</f>
        <v>0</v>
      </c>
      <c r="I135" s="129">
        <f t="shared" si="1"/>
        <v>0</v>
      </c>
      <c r="J135" s="130">
        <f t="shared" si="2"/>
        <v>0</v>
      </c>
      <c r="K135" s="131"/>
      <c r="L135" s="40"/>
      <c r="M135" s="40"/>
      <c r="N135" s="40"/>
      <c r="O135" s="40"/>
      <c r="P135" s="40"/>
      <c r="Q135" s="40"/>
      <c r="R135" s="40"/>
      <c r="S135" s="40"/>
      <c r="T135" s="40"/>
      <c r="U135" s="40"/>
      <c r="V135" s="40"/>
    </row>
    <row r="136" spans="1:22" ht="17.5">
      <c r="A136" s="124"/>
      <c r="B136" s="143"/>
      <c r="C136" s="143"/>
      <c r="D136" s="143"/>
      <c r="E136" s="124" t="s">
        <v>100</v>
      </c>
      <c r="F136" s="126" t="str">
        <f t="shared" si="0"/>
        <v>:</v>
      </c>
      <c r="G136" s="127" t="e">
        <f t="array" aca="1" ref="G136" ca="1">_xludf.xlookup(A136,'3.手順'!E:E,'3.手順'!D:D,"_")</f>
        <v>#NAME?</v>
      </c>
      <c r="H136" s="141">
        <f>IF(F136&lt;&gt;"", COUNTIF('3.手順'!H:H,F136),"")</f>
        <v>0</v>
      </c>
      <c r="I136" s="129">
        <f t="shared" si="1"/>
        <v>0</v>
      </c>
      <c r="J136" s="130">
        <f t="shared" si="2"/>
        <v>0</v>
      </c>
      <c r="K136" s="131"/>
      <c r="L136" s="40"/>
      <c r="M136" s="40"/>
      <c r="N136" s="40"/>
      <c r="O136" s="40"/>
      <c r="P136" s="40"/>
      <c r="Q136" s="40"/>
      <c r="R136" s="40"/>
      <c r="S136" s="40"/>
      <c r="T136" s="40"/>
      <c r="U136" s="40"/>
      <c r="V136" s="40"/>
    </row>
    <row r="137" spans="1:22" ht="17.5">
      <c r="A137" s="124"/>
      <c r="B137" s="143"/>
      <c r="C137" s="143"/>
      <c r="D137" s="143"/>
      <c r="E137" s="124" t="s">
        <v>100</v>
      </c>
      <c r="F137" s="126" t="str">
        <f t="shared" si="0"/>
        <v>:</v>
      </c>
      <c r="G137" s="127" t="e">
        <f t="array" aca="1" ref="G137" ca="1">_xludf.xlookup(A137,'3.手順'!E:E,'3.手順'!D:D,"_")</f>
        <v>#NAME?</v>
      </c>
      <c r="H137" s="136">
        <f>IF(F137&lt;&gt;"", COUNTIF('3.手順'!H:H,F137),"")</f>
        <v>0</v>
      </c>
      <c r="I137" s="129">
        <f t="shared" si="1"/>
        <v>0</v>
      </c>
      <c r="J137" s="130">
        <f t="shared" si="2"/>
        <v>0</v>
      </c>
      <c r="K137" s="131"/>
      <c r="L137" s="40"/>
      <c r="M137" s="40"/>
      <c r="N137" s="40"/>
      <c r="O137" s="40"/>
      <c r="P137" s="40"/>
      <c r="Q137" s="40"/>
      <c r="R137" s="40"/>
      <c r="S137" s="40"/>
      <c r="T137" s="40"/>
      <c r="U137" s="40"/>
      <c r="V137" s="40"/>
    </row>
    <row r="138" spans="1:22" ht="17.5">
      <c r="A138" s="124" t="s">
        <v>382</v>
      </c>
      <c r="B138" s="143" t="s">
        <v>383</v>
      </c>
      <c r="C138" s="143">
        <v>35.427028</v>
      </c>
      <c r="D138" s="143">
        <v>133.34994800000001</v>
      </c>
      <c r="E138" s="124" t="s">
        <v>100</v>
      </c>
      <c r="F138" s="126" t="str">
        <f t="shared" si="0"/>
        <v>P301:天理教京伯分教会</v>
      </c>
      <c r="G138" s="127" t="e">
        <f t="array" aca="1" ref="G138" ca="1">_xludf.xlookup(A138,'3.手順'!E:E,'3.手順'!D:D,"_")</f>
        <v>#NAME?</v>
      </c>
      <c r="H138" s="136">
        <f>IF(F138&lt;&gt;"", COUNTIF('3.手順'!H:H,F138),"")</f>
        <v>2</v>
      </c>
      <c r="I138" s="129">
        <f t="shared" si="1"/>
        <v>0</v>
      </c>
      <c r="J138" s="130">
        <f t="shared" si="2"/>
        <v>-2</v>
      </c>
      <c r="K138" s="131"/>
      <c r="L138" s="40"/>
      <c r="M138" s="40"/>
      <c r="N138" s="40"/>
      <c r="O138" s="40"/>
      <c r="P138" s="40"/>
      <c r="Q138" s="40"/>
      <c r="R138" s="40"/>
      <c r="S138" s="40"/>
      <c r="T138" s="40"/>
      <c r="U138" s="40"/>
      <c r="V138" s="40"/>
    </row>
    <row r="139" spans="1:22" ht="17.5">
      <c r="A139" s="124" t="s">
        <v>384</v>
      </c>
      <c r="B139" s="143" t="s">
        <v>385</v>
      </c>
      <c r="C139" s="143">
        <v>35.427756000000002</v>
      </c>
      <c r="D139" s="143">
        <v>133.34601499999999</v>
      </c>
      <c r="E139" s="124" t="s">
        <v>100</v>
      </c>
      <c r="F139" s="126" t="str">
        <f t="shared" si="0"/>
        <v>P302:陽田山 経王寺</v>
      </c>
      <c r="G139" s="127" t="e">
        <f t="array" aca="1" ref="G139" ca="1">_xludf.xlookup(A139,'3.手順'!E:E,'3.手順'!D:D,"_")</f>
        <v>#NAME?</v>
      </c>
      <c r="H139" s="136">
        <f>IF(F139&lt;&gt;"", COUNTIF('3.手順'!H:H,F139),"")</f>
        <v>3</v>
      </c>
      <c r="I139" s="129">
        <f t="shared" si="1"/>
        <v>0</v>
      </c>
      <c r="J139" s="130">
        <f t="shared" si="2"/>
        <v>-3</v>
      </c>
      <c r="K139" s="131"/>
      <c r="L139" s="40"/>
      <c r="M139" s="40"/>
      <c r="N139" s="40"/>
      <c r="O139" s="40"/>
      <c r="P139" s="40"/>
      <c r="Q139" s="40"/>
      <c r="R139" s="40"/>
      <c r="S139" s="40"/>
      <c r="T139" s="40"/>
      <c r="U139" s="40"/>
      <c r="V139" s="40"/>
    </row>
    <row r="140" spans="1:22" ht="17.5">
      <c r="A140" s="124" t="s">
        <v>386</v>
      </c>
      <c r="B140" s="143" t="s">
        <v>387</v>
      </c>
      <c r="C140" s="143">
        <v>35.427937999999997</v>
      </c>
      <c r="D140" s="143">
        <v>133.34127799999999</v>
      </c>
      <c r="E140" s="124" t="s">
        <v>100</v>
      </c>
      <c r="F140" s="126" t="str">
        <f t="shared" si="0"/>
        <v>P303:留魂碑</v>
      </c>
      <c r="G140" s="127" t="e">
        <f t="array" aca="1" ref="G140" ca="1">_xludf.xlookup(A140,'3.手順'!E:E,'3.手順'!D:D,"_")</f>
        <v>#NAME?</v>
      </c>
      <c r="H140" s="136">
        <f>IF(F140&lt;&gt;"", COUNTIF('3.手順'!H:H,F140),"")</f>
        <v>0</v>
      </c>
      <c r="I140" s="129">
        <f t="shared" si="1"/>
        <v>0</v>
      </c>
      <c r="J140" s="130">
        <f t="shared" si="2"/>
        <v>0</v>
      </c>
      <c r="K140" s="131"/>
      <c r="L140" s="40"/>
      <c r="M140" s="40"/>
      <c r="N140" s="40"/>
      <c r="O140" s="40"/>
      <c r="P140" s="40"/>
      <c r="Q140" s="40"/>
      <c r="R140" s="40"/>
      <c r="S140" s="40"/>
      <c r="T140" s="40"/>
      <c r="U140" s="40"/>
      <c r="V140" s="40"/>
    </row>
    <row r="141" spans="1:22" ht="17.5">
      <c r="A141" s="124" t="s">
        <v>388</v>
      </c>
      <c r="B141" s="143" t="s">
        <v>389</v>
      </c>
      <c r="C141" s="143">
        <v>35.428789999999999</v>
      </c>
      <c r="D141" s="143">
        <v>133.345732</v>
      </c>
      <c r="E141" s="124" t="s">
        <v>100</v>
      </c>
      <c r="F141" s="126" t="str">
        <f t="shared" si="0"/>
        <v>P304:犬の像</v>
      </c>
      <c r="G141" s="127" t="e">
        <f t="array" aca="1" ref="G141" ca="1">_xludf.xlookup(A141,'3.手順'!E:E,'3.手順'!D:D,"_")</f>
        <v>#NAME?</v>
      </c>
      <c r="H141" s="136">
        <f>IF(F141&lt;&gt;"", COUNTIF('3.手順'!H:H,F141),"")</f>
        <v>3</v>
      </c>
      <c r="I141" s="129">
        <f t="shared" si="1"/>
        <v>0</v>
      </c>
      <c r="J141" s="130">
        <f t="shared" si="2"/>
        <v>-3</v>
      </c>
      <c r="K141" s="131"/>
      <c r="L141" s="40"/>
      <c r="M141" s="40"/>
      <c r="N141" s="40"/>
      <c r="O141" s="40"/>
      <c r="P141" s="40"/>
      <c r="Q141" s="40"/>
      <c r="R141" s="40"/>
      <c r="S141" s="40"/>
      <c r="T141" s="40"/>
      <c r="U141" s="40"/>
      <c r="V141" s="40"/>
    </row>
    <row r="142" spans="1:22" ht="17.5">
      <c r="A142" s="124" t="s">
        <v>390</v>
      </c>
      <c r="B142" s="143" t="s">
        <v>391</v>
      </c>
      <c r="C142" s="143">
        <v>35.429056000000003</v>
      </c>
      <c r="D142" s="143">
        <v>133.34528</v>
      </c>
      <c r="E142" s="124" t="s">
        <v>100</v>
      </c>
      <c r="F142" s="126" t="str">
        <f t="shared" si="0"/>
        <v>P305:イルカ</v>
      </c>
      <c r="G142" s="127" t="e">
        <f t="array" aca="1" ref="G142" ca="1">_xludf.xlookup(A142,'3.手順'!E:E,'3.手順'!D:D,"_")</f>
        <v>#NAME?</v>
      </c>
      <c r="H142" s="136">
        <f>IF(F142&lt;&gt;"", COUNTIF('3.手順'!H:H,F142),"")</f>
        <v>2</v>
      </c>
      <c r="I142" s="129">
        <f t="shared" si="1"/>
        <v>0</v>
      </c>
      <c r="J142" s="130">
        <f t="shared" si="2"/>
        <v>-2</v>
      </c>
      <c r="K142" s="131"/>
      <c r="L142" s="40"/>
      <c r="M142" s="40"/>
      <c r="N142" s="40"/>
      <c r="O142" s="40"/>
      <c r="P142" s="40"/>
      <c r="Q142" s="40"/>
      <c r="R142" s="40"/>
      <c r="S142" s="40"/>
      <c r="T142" s="40"/>
      <c r="U142" s="40"/>
      <c r="V142" s="40"/>
    </row>
    <row r="143" spans="1:22" ht="17.5">
      <c r="A143" s="124" t="s">
        <v>392</v>
      </c>
      <c r="B143" s="143" t="s">
        <v>393</v>
      </c>
      <c r="C143" s="143">
        <v>35.429372999999998</v>
      </c>
      <c r="D143" s="143">
        <v>133.3503</v>
      </c>
      <c r="E143" s="124" t="s">
        <v>100</v>
      </c>
      <c r="F143" s="126" t="str">
        <f t="shared" si="0"/>
        <v>P306:どらドラパーク米子庭球場</v>
      </c>
      <c r="G143" s="127" t="e">
        <f t="array" aca="1" ref="G143" ca="1">_xludf.xlookup(A143,'3.手順'!E:E,'3.手順'!D:D,"_")</f>
        <v>#NAME?</v>
      </c>
      <c r="H143" s="136">
        <f>IF(F143&lt;&gt;"", COUNTIF('3.手順'!H:H,F143),"")</f>
        <v>0</v>
      </c>
      <c r="I143" s="129">
        <f t="shared" si="1"/>
        <v>0</v>
      </c>
      <c r="J143" s="130">
        <f t="shared" si="2"/>
        <v>0</v>
      </c>
      <c r="K143" s="131"/>
      <c r="L143" s="40"/>
      <c r="M143" s="40"/>
      <c r="N143" s="40"/>
      <c r="O143" s="40"/>
      <c r="P143" s="40"/>
      <c r="Q143" s="40"/>
      <c r="R143" s="40"/>
      <c r="S143" s="40"/>
      <c r="T143" s="40"/>
      <c r="U143" s="40"/>
      <c r="V143" s="40"/>
    </row>
    <row r="144" spans="1:22" ht="17.5">
      <c r="A144" s="124" t="s">
        <v>394</v>
      </c>
      <c r="B144" s="143" t="s">
        <v>395</v>
      </c>
      <c r="C144" s="143">
        <v>35.429606999999997</v>
      </c>
      <c r="D144" s="143">
        <v>133.348251</v>
      </c>
      <c r="E144" s="124" t="s">
        <v>100</v>
      </c>
      <c r="F144" s="126" t="str">
        <f t="shared" si="0"/>
        <v>P307:NPB 未来の侍プロジェクト</v>
      </c>
      <c r="G144" s="127" t="e">
        <f t="array" aca="1" ref="G144" ca="1">_xludf.xlookup(A144,'3.手順'!E:E,'3.手順'!D:D,"_")</f>
        <v>#NAME?</v>
      </c>
      <c r="H144" s="136">
        <f>IF(F144&lt;&gt;"", COUNTIF('3.手順'!H:H,F144),"")</f>
        <v>1</v>
      </c>
      <c r="I144" s="129">
        <f t="shared" si="1"/>
        <v>0</v>
      </c>
      <c r="J144" s="130">
        <f t="shared" si="2"/>
        <v>-1</v>
      </c>
      <c r="K144" s="131"/>
      <c r="L144" s="40"/>
      <c r="M144" s="40"/>
      <c r="N144" s="40"/>
      <c r="O144" s="40"/>
      <c r="P144" s="40"/>
      <c r="Q144" s="40"/>
      <c r="R144" s="40"/>
      <c r="S144" s="40"/>
      <c r="T144" s="40"/>
      <c r="U144" s="40"/>
      <c r="V144" s="40"/>
    </row>
    <row r="145" spans="1:22" ht="17.5">
      <c r="A145" s="124" t="s">
        <v>396</v>
      </c>
      <c r="B145" s="143" t="s">
        <v>397</v>
      </c>
      <c r="C145" s="143">
        <v>35.429873999999998</v>
      </c>
      <c r="D145" s="143">
        <v>133.34593100000001</v>
      </c>
      <c r="E145" s="124" t="s">
        <v>100</v>
      </c>
      <c r="F145" s="126" t="str">
        <f t="shared" si="0"/>
        <v>P308:どらドラパーク米子案内図</v>
      </c>
      <c r="G145" s="127" t="e">
        <f t="array" aca="1" ref="G145" ca="1">_xludf.xlookup(A145,'3.手順'!E:E,'3.手順'!D:D,"_")</f>
        <v>#NAME?</v>
      </c>
      <c r="H145" s="136">
        <f>IF(F145&lt;&gt;"", COUNTIF('3.手順'!H:H,F145),"")</f>
        <v>2</v>
      </c>
      <c r="I145" s="129">
        <f t="shared" si="1"/>
        <v>0</v>
      </c>
      <c r="J145" s="130">
        <f t="shared" si="2"/>
        <v>-2</v>
      </c>
      <c r="K145" s="131"/>
      <c r="L145" s="40"/>
      <c r="M145" s="40"/>
      <c r="N145" s="40"/>
      <c r="O145" s="40"/>
      <c r="P145" s="40"/>
      <c r="Q145" s="40"/>
      <c r="R145" s="40"/>
      <c r="S145" s="40"/>
      <c r="T145" s="40"/>
      <c r="U145" s="40"/>
      <c r="V145" s="40"/>
    </row>
    <row r="146" spans="1:22" ht="17.5">
      <c r="A146" s="124" t="s">
        <v>398</v>
      </c>
      <c r="B146" s="143" t="s">
        <v>399</v>
      </c>
      <c r="C146" s="143">
        <v>35.430394</v>
      </c>
      <c r="D146" s="143">
        <v>133.35226499999999</v>
      </c>
      <c r="E146" s="124" t="s">
        <v>100</v>
      </c>
      <c r="F146" s="126" t="str">
        <f t="shared" si="0"/>
        <v>P309:どらドラパーク米子 案内図</v>
      </c>
      <c r="G146" s="127" t="e">
        <f t="array" aca="1" ref="G146" ca="1">_xludf.xlookup(A146,'3.手順'!E:E,'3.手順'!D:D,"_")</f>
        <v>#NAME?</v>
      </c>
      <c r="H146" s="136">
        <f>IF(F146&lt;&gt;"", COUNTIF('3.手順'!H:H,F146),"")</f>
        <v>1</v>
      </c>
      <c r="I146" s="129">
        <f t="shared" si="1"/>
        <v>0</v>
      </c>
      <c r="J146" s="130">
        <f t="shared" si="2"/>
        <v>-1</v>
      </c>
      <c r="K146" s="131"/>
      <c r="L146" s="40"/>
      <c r="M146" s="40"/>
      <c r="N146" s="40"/>
      <c r="O146" s="40"/>
      <c r="P146" s="40"/>
      <c r="Q146" s="40"/>
      <c r="R146" s="40"/>
      <c r="S146" s="40"/>
      <c r="T146" s="40"/>
      <c r="U146" s="40"/>
      <c r="V146" s="40"/>
    </row>
    <row r="147" spans="1:22" ht="17.5">
      <c r="A147" s="124" t="s">
        <v>400</v>
      </c>
      <c r="B147" s="143" t="s">
        <v>401</v>
      </c>
      <c r="C147" s="143">
        <v>35.430419000000001</v>
      </c>
      <c r="D147" s="143">
        <v>133.346779</v>
      </c>
      <c r="E147" s="124" t="s">
        <v>100</v>
      </c>
      <c r="F147" s="126" t="str">
        <f t="shared" si="0"/>
        <v>P310:風</v>
      </c>
      <c r="G147" s="127" t="e">
        <f t="array" aca="1" ref="G147" ca="1">_xludf.xlookup(A147,'3.手順'!E:E,'3.手順'!D:D,"_")</f>
        <v>#NAME?</v>
      </c>
      <c r="H147" s="136">
        <f>IF(F147&lt;&gt;"", COUNTIF('3.手順'!H:H,F147),"")</f>
        <v>2</v>
      </c>
      <c r="I147" s="129">
        <f t="shared" si="1"/>
        <v>0</v>
      </c>
      <c r="J147" s="130">
        <f t="shared" si="2"/>
        <v>-2</v>
      </c>
      <c r="K147" s="131"/>
      <c r="L147" s="40"/>
      <c r="M147" s="40"/>
      <c r="N147" s="40"/>
      <c r="O147" s="40"/>
      <c r="P147" s="40"/>
      <c r="Q147" s="40"/>
      <c r="R147" s="40"/>
      <c r="S147" s="40"/>
      <c r="T147" s="40"/>
      <c r="U147" s="40"/>
      <c r="V147" s="40"/>
    </row>
    <row r="148" spans="1:22" ht="17.5">
      <c r="A148" s="124" t="s">
        <v>402</v>
      </c>
      <c r="B148" s="143" t="s">
        <v>403</v>
      </c>
      <c r="C148" s="143">
        <v>35.430804000000002</v>
      </c>
      <c r="D148" s="143">
        <v>133.34822</v>
      </c>
      <c r="E148" s="124" t="s">
        <v>100</v>
      </c>
      <c r="F148" s="126" t="str">
        <f t="shared" si="0"/>
        <v>P311:彫刻作品「つまみぐい」</v>
      </c>
      <c r="G148" s="127" t="e">
        <f t="array" aca="1" ref="G148" ca="1">_xludf.xlookup(A148,'3.手順'!E:E,'3.手順'!D:D,"_")</f>
        <v>#NAME?</v>
      </c>
      <c r="H148" s="136">
        <f>IF(F148&lt;&gt;"", COUNTIF('3.手順'!H:H,F148),"")</f>
        <v>2</v>
      </c>
      <c r="I148" s="129">
        <f t="shared" si="1"/>
        <v>0</v>
      </c>
      <c r="J148" s="130">
        <f t="shared" si="2"/>
        <v>-2</v>
      </c>
      <c r="K148" s="131"/>
      <c r="L148" s="40"/>
      <c r="M148" s="40"/>
      <c r="N148" s="40"/>
      <c r="O148" s="40"/>
      <c r="P148" s="40"/>
      <c r="Q148" s="40"/>
      <c r="R148" s="40"/>
      <c r="S148" s="40"/>
      <c r="T148" s="40"/>
      <c r="U148" s="40"/>
      <c r="V148" s="40"/>
    </row>
    <row r="149" spans="1:22" ht="17.5">
      <c r="A149" s="124" t="s">
        <v>404</v>
      </c>
      <c r="B149" s="143" t="s">
        <v>405</v>
      </c>
      <c r="C149" s="143">
        <v>35.430838999999999</v>
      </c>
      <c r="D149" s="143">
        <v>133.351473</v>
      </c>
      <c r="E149" s="124" t="s">
        <v>100</v>
      </c>
      <c r="F149" s="126" t="str">
        <f t="shared" si="0"/>
        <v>P312:ＪＲ 東山公園駅</v>
      </c>
      <c r="G149" s="127" t="e">
        <f t="array" aca="1" ref="G149" ca="1">_xludf.xlookup(A149,'3.手順'!E:E,'3.手順'!D:D,"_")</f>
        <v>#NAME?</v>
      </c>
      <c r="H149" s="136">
        <f>IF(F149&lt;&gt;"", COUNTIF('3.手順'!H:H,F149),"")</f>
        <v>2</v>
      </c>
      <c r="I149" s="129">
        <f t="shared" si="1"/>
        <v>0</v>
      </c>
      <c r="J149" s="130">
        <f t="shared" si="2"/>
        <v>-2</v>
      </c>
      <c r="K149" s="131"/>
      <c r="L149" s="40"/>
      <c r="M149" s="40"/>
      <c r="N149" s="40"/>
      <c r="O149" s="40"/>
      <c r="P149" s="40"/>
      <c r="Q149" s="40"/>
      <c r="R149" s="40"/>
      <c r="S149" s="40"/>
      <c r="T149" s="40"/>
      <c r="U149" s="40"/>
      <c r="V149" s="40"/>
    </row>
    <row r="150" spans="1:22" ht="17.5">
      <c r="A150" s="124" t="s">
        <v>406</v>
      </c>
      <c r="B150" s="143" t="s">
        <v>407</v>
      </c>
      <c r="C150" s="143">
        <v>35.431289999999997</v>
      </c>
      <c r="D150" s="143">
        <v>133.35031499999999</v>
      </c>
      <c r="E150" s="124" t="s">
        <v>100</v>
      </c>
      <c r="F150" s="126" t="str">
        <f t="shared" si="0"/>
        <v>P313:車尾の題目塔</v>
      </c>
      <c r="G150" s="127" t="e">
        <f t="array" aca="1" ref="G150" ca="1">_xludf.xlookup(A150,'3.手順'!E:E,'3.手順'!D:D,"_")</f>
        <v>#NAME?</v>
      </c>
      <c r="H150" s="136">
        <f>IF(F150&lt;&gt;"", COUNTIF('3.手順'!H:H,F150),"")</f>
        <v>0</v>
      </c>
      <c r="I150" s="129">
        <f t="shared" si="1"/>
        <v>0</v>
      </c>
      <c r="J150" s="130">
        <f t="shared" si="2"/>
        <v>0</v>
      </c>
      <c r="K150" s="131"/>
      <c r="L150" s="40"/>
      <c r="M150" s="40"/>
      <c r="N150" s="40"/>
      <c r="O150" s="40"/>
      <c r="P150" s="40"/>
      <c r="Q150" s="40"/>
      <c r="R150" s="40"/>
      <c r="S150" s="40"/>
      <c r="T150" s="40"/>
      <c r="U150" s="40"/>
      <c r="V150" s="40"/>
    </row>
    <row r="151" spans="1:22" ht="17.5">
      <c r="A151" s="124" t="s">
        <v>408</v>
      </c>
      <c r="B151" s="143" t="s">
        <v>409</v>
      </c>
      <c r="C151" s="143">
        <v>35.431970999999997</v>
      </c>
      <c r="D151" s="143">
        <v>133.34767600000001</v>
      </c>
      <c r="E151" s="124" t="s">
        <v>100</v>
      </c>
      <c r="F151" s="126" t="str">
        <f t="shared" si="0"/>
        <v>P314:勝田東会館</v>
      </c>
      <c r="G151" s="127" t="e">
        <f t="array" aca="1" ref="G151" ca="1">_xludf.xlookup(A151,'3.手順'!E:E,'3.手順'!D:D,"_")</f>
        <v>#NAME?</v>
      </c>
      <c r="H151" s="136">
        <f>IF(F151&lt;&gt;"", COUNTIF('3.手順'!H:H,F151),"")</f>
        <v>2</v>
      </c>
      <c r="I151" s="129">
        <f t="shared" si="1"/>
        <v>0</v>
      </c>
      <c r="J151" s="130">
        <f t="shared" si="2"/>
        <v>-2</v>
      </c>
      <c r="K151" s="131"/>
      <c r="L151" s="40"/>
      <c r="M151" s="40"/>
      <c r="N151" s="40"/>
      <c r="O151" s="40"/>
      <c r="P151" s="40"/>
      <c r="Q151" s="40"/>
      <c r="R151" s="40"/>
      <c r="S151" s="40"/>
      <c r="T151" s="40"/>
      <c r="U151" s="40"/>
      <c r="V151" s="40"/>
    </row>
    <row r="152" spans="1:22" ht="17.5">
      <c r="A152" s="124" t="s">
        <v>410</v>
      </c>
      <c r="B152" s="143" t="s">
        <v>411</v>
      </c>
      <c r="C152" s="143">
        <v>35.432603</v>
      </c>
      <c r="D152" s="143">
        <v>133.347499</v>
      </c>
      <c r="E152" s="124" t="s">
        <v>100</v>
      </c>
      <c r="F152" s="126" t="str">
        <f t="shared" si="0"/>
        <v>P315:コンクリートすべり台</v>
      </c>
      <c r="G152" s="127" t="e">
        <f t="array" aca="1" ref="G152" ca="1">_xludf.xlookup(A152,'3.手順'!E:E,'3.手順'!D:D,"_")</f>
        <v>#NAME?</v>
      </c>
      <c r="H152" s="136">
        <f>IF(F152&lt;&gt;"", COUNTIF('3.手順'!H:H,F152),"")</f>
        <v>2</v>
      </c>
      <c r="I152" s="129">
        <f t="shared" si="1"/>
        <v>0</v>
      </c>
      <c r="J152" s="130">
        <f t="shared" si="2"/>
        <v>-2</v>
      </c>
      <c r="K152" s="131"/>
      <c r="L152" s="40"/>
      <c r="M152" s="40"/>
      <c r="N152" s="40"/>
      <c r="O152" s="40"/>
      <c r="P152" s="40"/>
      <c r="Q152" s="40"/>
      <c r="R152" s="40"/>
      <c r="S152" s="40"/>
      <c r="T152" s="40"/>
      <c r="U152" s="40"/>
      <c r="V152" s="40"/>
    </row>
    <row r="153" spans="1:22" ht="17.5">
      <c r="A153" s="124" t="s">
        <v>412</v>
      </c>
      <c r="B153" s="143" t="s">
        <v>413</v>
      </c>
      <c r="C153" s="143">
        <v>35.432997</v>
      </c>
      <c r="D153" s="143">
        <v>133.34833</v>
      </c>
      <c r="E153" s="124" t="s">
        <v>100</v>
      </c>
      <c r="F153" s="126" t="str">
        <f t="shared" si="0"/>
        <v>P316:住之江公園</v>
      </c>
      <c r="G153" s="127" t="e">
        <f t="array" aca="1" ref="G153" ca="1">_xludf.xlookup(A153,'3.手順'!E:E,'3.手順'!D:D,"_")</f>
        <v>#NAME?</v>
      </c>
      <c r="H153" s="136">
        <f>IF(F153&lt;&gt;"", COUNTIF('3.手順'!H:H,F153),"")</f>
        <v>1</v>
      </c>
      <c r="I153" s="129">
        <f t="shared" si="1"/>
        <v>0</v>
      </c>
      <c r="J153" s="130">
        <f t="shared" si="2"/>
        <v>-1</v>
      </c>
      <c r="K153" s="131"/>
      <c r="L153" s="40"/>
      <c r="M153" s="40"/>
      <c r="N153" s="40"/>
      <c r="O153" s="40"/>
      <c r="P153" s="40"/>
      <c r="Q153" s="40"/>
      <c r="R153" s="40"/>
      <c r="S153" s="40"/>
      <c r="T153" s="40"/>
      <c r="U153" s="40"/>
      <c r="V153" s="40"/>
    </row>
    <row r="154" spans="1:22" ht="17.5">
      <c r="A154" s="124" t="s">
        <v>414</v>
      </c>
      <c r="B154" s="143" t="s">
        <v>415</v>
      </c>
      <c r="C154" s="143">
        <v>35.434111000000001</v>
      </c>
      <c r="D154" s="143">
        <v>133.34487999999999</v>
      </c>
      <c r="E154" s="124" t="s">
        <v>100</v>
      </c>
      <c r="F154" s="126" t="str">
        <f t="shared" si="0"/>
        <v>P317:桜27本の碑</v>
      </c>
      <c r="G154" s="127" t="e">
        <f t="array" aca="1" ref="G154" ca="1">_xludf.xlookup(A154,'3.手順'!E:E,'3.手順'!D:D,"_")</f>
        <v>#NAME?</v>
      </c>
      <c r="H154" s="136">
        <f>IF(F154&lt;&gt;"", COUNTIF('3.手順'!H:H,F154),"")</f>
        <v>0</v>
      </c>
      <c r="I154" s="129">
        <f t="shared" si="1"/>
        <v>0</v>
      </c>
      <c r="J154" s="130">
        <f t="shared" si="2"/>
        <v>0</v>
      </c>
      <c r="K154" s="131"/>
      <c r="L154" s="40"/>
      <c r="M154" s="40"/>
      <c r="N154" s="40"/>
      <c r="O154" s="40"/>
      <c r="P154" s="40"/>
      <c r="Q154" s="40"/>
      <c r="R154" s="40"/>
      <c r="S154" s="40"/>
      <c r="T154" s="40"/>
      <c r="U154" s="40"/>
      <c r="V154" s="40"/>
    </row>
    <row r="155" spans="1:22" ht="17.5">
      <c r="A155" s="124" t="s">
        <v>416</v>
      </c>
      <c r="B155" s="143" t="s">
        <v>417</v>
      </c>
      <c r="C155" s="143">
        <v>35.434559</v>
      </c>
      <c r="D155" s="143">
        <v>133.34684799999999</v>
      </c>
      <c r="E155" s="124" t="s">
        <v>100</v>
      </c>
      <c r="F155" s="126" t="str">
        <f t="shared" si="0"/>
        <v>P318:米川案内板</v>
      </c>
      <c r="G155" s="127" t="e">
        <f t="array" aca="1" ref="G155" ca="1">_xludf.xlookup(A155,'3.手順'!E:E,'3.手順'!D:D,"_")</f>
        <v>#NAME?</v>
      </c>
      <c r="H155" s="136">
        <f>IF(F155&lt;&gt;"", COUNTIF('3.手順'!H:H,F155),"")</f>
        <v>1</v>
      </c>
      <c r="I155" s="129">
        <f t="shared" si="1"/>
        <v>0</v>
      </c>
      <c r="J155" s="130">
        <f t="shared" si="2"/>
        <v>-1</v>
      </c>
      <c r="K155" s="131"/>
      <c r="L155" s="40"/>
      <c r="M155" s="40"/>
      <c r="N155" s="40"/>
      <c r="O155" s="40"/>
      <c r="P155" s="40"/>
      <c r="Q155" s="40"/>
      <c r="R155" s="40"/>
      <c r="S155" s="40"/>
      <c r="T155" s="40"/>
      <c r="U155" s="40"/>
      <c r="V155" s="40"/>
    </row>
    <row r="156" spans="1:22" ht="17.5">
      <c r="A156" s="124" t="s">
        <v>418</v>
      </c>
      <c r="B156" s="143" t="s">
        <v>419</v>
      </c>
      <c r="C156" s="143">
        <v>35.434604</v>
      </c>
      <c r="D156" s="143">
        <v>133.34953899999999</v>
      </c>
      <c r="E156" s="124" t="s">
        <v>100</v>
      </c>
      <c r="F156" s="126" t="str">
        <f t="shared" si="0"/>
        <v>P319:米子中島簡易郵便局</v>
      </c>
      <c r="G156" s="127" t="e">
        <f t="array" aca="1" ref="G156" ca="1">_xludf.xlookup(A156,'3.手順'!E:E,'3.手順'!D:D,"_")</f>
        <v>#NAME?</v>
      </c>
      <c r="H156" s="136">
        <f>IF(F156&lt;&gt;"", COUNTIF('3.手順'!H:H,F156),"")</f>
        <v>4</v>
      </c>
      <c r="I156" s="129">
        <f t="shared" si="1"/>
        <v>0</v>
      </c>
      <c r="J156" s="130">
        <f t="shared" si="2"/>
        <v>-4</v>
      </c>
      <c r="K156" s="131"/>
      <c r="L156" s="40"/>
      <c r="M156" s="40"/>
      <c r="N156" s="40"/>
      <c r="O156" s="40"/>
      <c r="P156" s="40"/>
      <c r="Q156" s="40"/>
      <c r="R156" s="40"/>
      <c r="S156" s="40"/>
      <c r="T156" s="40"/>
      <c r="U156" s="40"/>
      <c r="V156" s="40"/>
    </row>
    <row r="157" spans="1:22" ht="17.5">
      <c r="A157" s="124"/>
      <c r="B157" s="143"/>
      <c r="C157" s="143"/>
      <c r="D157" s="143"/>
      <c r="E157" s="124" t="s">
        <v>100</v>
      </c>
      <c r="F157" s="126" t="str">
        <f t="shared" si="0"/>
        <v>:</v>
      </c>
      <c r="G157" s="127" t="e">
        <f t="array" aca="1" ref="G157" ca="1">_xludf.xlookup(A157,'3.手順'!E:E,'3.手順'!D:D,"_")</f>
        <v>#NAME?</v>
      </c>
      <c r="H157" s="136">
        <f>IF(F157&lt;&gt;"", COUNTIF('3.手順'!H:H,F157),"")</f>
        <v>0</v>
      </c>
      <c r="I157" s="129">
        <f t="shared" si="1"/>
        <v>0</v>
      </c>
      <c r="J157" s="130">
        <f t="shared" si="2"/>
        <v>0</v>
      </c>
      <c r="K157" s="131"/>
      <c r="L157" s="40"/>
      <c r="M157" s="40"/>
      <c r="N157" s="40"/>
      <c r="O157" s="40"/>
      <c r="P157" s="40"/>
      <c r="Q157" s="40"/>
      <c r="R157" s="40"/>
      <c r="S157" s="40"/>
      <c r="T157" s="40"/>
      <c r="U157" s="40"/>
      <c r="V157" s="40"/>
    </row>
    <row r="158" spans="1:22" ht="17.5">
      <c r="A158" s="124"/>
      <c r="B158" s="125"/>
      <c r="C158" s="125"/>
      <c r="D158" s="125"/>
      <c r="E158" s="124" t="s">
        <v>100</v>
      </c>
      <c r="F158" s="126" t="str">
        <f t="shared" si="0"/>
        <v>:</v>
      </c>
      <c r="G158" s="127" t="e">
        <f t="array" aca="1" ref="G158" ca="1">_xludf.xlookup(A158,'3.手順'!E:E,'3.手順'!D:D,"_")</f>
        <v>#NAME?</v>
      </c>
      <c r="H158" s="135">
        <f>IF(F158&lt;&gt;"", COUNTIF('3.手順'!H:H,F158),"")</f>
        <v>0</v>
      </c>
      <c r="I158" s="129">
        <f t="shared" si="1"/>
        <v>0</v>
      </c>
      <c r="J158" s="130">
        <f t="shared" si="2"/>
        <v>0</v>
      </c>
      <c r="K158" s="131"/>
      <c r="L158" s="114"/>
      <c r="M158" s="40"/>
      <c r="N158" s="40"/>
      <c r="O158" s="40"/>
      <c r="P158" s="40"/>
      <c r="Q158" s="40"/>
      <c r="R158" s="40"/>
      <c r="S158" s="40"/>
      <c r="T158" s="40"/>
      <c r="U158" s="40"/>
      <c r="V158" s="40"/>
    </row>
    <row r="159" spans="1:22" ht="25.5" customHeight="1">
      <c r="A159" s="124" t="s">
        <v>420</v>
      </c>
      <c r="B159" s="144">
        <f>COUNTA(B3:B158)</f>
        <v>149</v>
      </c>
      <c r="C159" s="111"/>
      <c r="D159" s="111"/>
      <c r="E159" s="40"/>
      <c r="F159" s="40"/>
      <c r="G159" s="145"/>
      <c r="H159" s="146">
        <f t="shared" ref="H159:U159" si="3">SUM(H3:H158)</f>
        <v>294</v>
      </c>
      <c r="I159" s="146">
        <f t="shared" si="3"/>
        <v>0</v>
      </c>
      <c r="J159" s="146">
        <f t="shared" si="3"/>
        <v>-294</v>
      </c>
      <c r="K159" s="146">
        <f t="shared" si="3"/>
        <v>0</v>
      </c>
      <c r="L159" s="146">
        <f t="shared" si="3"/>
        <v>0</v>
      </c>
      <c r="M159" s="146">
        <f t="shared" si="3"/>
        <v>0</v>
      </c>
      <c r="N159" s="146">
        <f t="shared" si="3"/>
        <v>0</v>
      </c>
      <c r="O159" s="146">
        <f t="shared" si="3"/>
        <v>0</v>
      </c>
      <c r="P159" s="146">
        <f t="shared" si="3"/>
        <v>0</v>
      </c>
      <c r="Q159" s="146">
        <f t="shared" si="3"/>
        <v>0</v>
      </c>
      <c r="R159" s="146">
        <f t="shared" si="3"/>
        <v>0</v>
      </c>
      <c r="S159" s="146">
        <f t="shared" si="3"/>
        <v>0</v>
      </c>
      <c r="T159" s="146">
        <f t="shared" si="3"/>
        <v>0</v>
      </c>
      <c r="U159" s="146">
        <f t="shared" si="3"/>
        <v>0</v>
      </c>
      <c r="V159" s="56"/>
    </row>
    <row r="160" spans="1:22" ht="12.5">
      <c r="A160" s="40"/>
      <c r="B160" s="111"/>
      <c r="C160" s="111"/>
      <c r="D160" s="111"/>
      <c r="E160" s="40"/>
      <c r="F160" s="40"/>
      <c r="G160" s="145"/>
      <c r="H160" s="40"/>
      <c r="I160" s="40"/>
      <c r="J160" s="40"/>
      <c r="K160" s="114"/>
      <c r="L160" s="114"/>
      <c r="M160" s="40"/>
      <c r="N160" s="40"/>
      <c r="O160" s="40"/>
      <c r="P160" s="40"/>
      <c r="Q160" s="40"/>
      <c r="R160" s="40"/>
      <c r="S160" s="40"/>
      <c r="T160" s="40"/>
      <c r="U160" s="40"/>
      <c r="V160" s="40"/>
    </row>
    <row r="161" spans="1:22" ht="12.5">
      <c r="A161" s="40"/>
      <c r="B161" s="147" t="s">
        <v>421</v>
      </c>
      <c r="C161" s="148">
        <f t="shared" ref="C161:D161" si="4">MIN(C3:C129)</f>
        <v>35.418959999999998</v>
      </c>
      <c r="D161" s="149">
        <f t="shared" si="4"/>
        <v>133.32223200000001</v>
      </c>
      <c r="E161" s="150"/>
      <c r="F161" s="150"/>
      <c r="G161" s="145"/>
      <c r="H161" s="40"/>
      <c r="I161" s="40"/>
      <c r="J161" s="40"/>
      <c r="K161" s="40"/>
      <c r="L161" s="40"/>
      <c r="M161" s="40"/>
      <c r="N161" s="40"/>
      <c r="O161" s="40"/>
      <c r="P161" s="40"/>
      <c r="Q161" s="40"/>
      <c r="R161" s="40"/>
      <c r="S161" s="40"/>
      <c r="T161" s="40"/>
      <c r="U161" s="40"/>
      <c r="V161" s="40"/>
    </row>
    <row r="162" spans="1:22" ht="12.5">
      <c r="A162" s="40"/>
      <c r="B162" s="151" t="s">
        <v>422</v>
      </c>
      <c r="C162" s="152">
        <f t="shared" ref="C162:D162" si="5">MAX(C3:C129)</f>
        <v>35.444156999999997</v>
      </c>
      <c r="D162" s="153">
        <f t="shared" si="5"/>
        <v>133.34314000000001</v>
      </c>
      <c r="E162" s="150"/>
      <c r="F162" s="150"/>
      <c r="G162" s="145"/>
      <c r="H162" s="40"/>
      <c r="I162" s="40"/>
      <c r="J162" s="40"/>
      <c r="K162" s="40"/>
      <c r="L162" s="40"/>
      <c r="M162" s="40"/>
      <c r="N162" s="40"/>
      <c r="O162" s="40"/>
      <c r="P162" s="40"/>
      <c r="Q162" s="40"/>
      <c r="R162" s="40"/>
      <c r="S162" s="40"/>
      <c r="T162" s="40"/>
      <c r="U162" s="40"/>
      <c r="V162" s="40"/>
    </row>
    <row r="163" spans="1:22" ht="12.5">
      <c r="A163" s="40"/>
      <c r="B163" s="154" t="s">
        <v>423</v>
      </c>
      <c r="C163" s="155">
        <f t="shared" ref="C163:D163" si="6">(C161+C162)/2</f>
        <v>35.431558499999994</v>
      </c>
      <c r="D163" s="156">
        <f t="shared" si="6"/>
        <v>133.33268600000002</v>
      </c>
      <c r="E163" s="157"/>
      <c r="F163" s="158"/>
      <c r="G163" s="145"/>
      <c r="H163" s="40"/>
      <c r="I163" s="40"/>
      <c r="J163" s="40"/>
      <c r="K163" s="40"/>
      <c r="L163" s="40"/>
      <c r="M163" s="40"/>
      <c r="N163" s="40"/>
      <c r="O163" s="40"/>
      <c r="P163" s="40"/>
      <c r="Q163" s="40"/>
      <c r="R163" s="40"/>
      <c r="S163" s="40"/>
      <c r="T163" s="40"/>
      <c r="U163" s="40"/>
      <c r="V163" s="40"/>
    </row>
    <row r="164" spans="1:22" ht="12.5">
      <c r="A164" s="159"/>
      <c r="B164" s="160"/>
      <c r="C164" s="160"/>
      <c r="D164" s="160"/>
      <c r="E164" s="50"/>
      <c r="F164" s="50"/>
      <c r="G164" s="145"/>
      <c r="H164" s="40"/>
      <c r="I164" s="40"/>
      <c r="J164" s="40"/>
      <c r="K164" s="114"/>
      <c r="L164" s="114"/>
      <c r="M164" s="40"/>
      <c r="N164" s="40"/>
      <c r="O164" s="40"/>
      <c r="P164" s="40"/>
      <c r="Q164" s="40"/>
      <c r="R164" s="40"/>
      <c r="S164" s="40"/>
      <c r="T164" s="40"/>
      <c r="U164" s="40"/>
      <c r="V164" s="40"/>
    </row>
    <row r="165" spans="1:22" ht="12.5">
      <c r="A165" s="159" t="s">
        <v>424</v>
      </c>
      <c r="B165" s="160"/>
      <c r="C165" s="160"/>
      <c r="D165" s="160"/>
      <c r="E165" s="50"/>
      <c r="F165" s="50"/>
      <c r="G165" s="145"/>
      <c r="H165" s="40"/>
      <c r="I165" s="40"/>
      <c r="J165" s="40"/>
      <c r="K165" s="114"/>
      <c r="L165" s="114"/>
      <c r="M165" s="40"/>
      <c r="N165" s="40"/>
      <c r="O165" s="40"/>
      <c r="P165" s="40"/>
      <c r="Q165" s="40"/>
      <c r="R165" s="40"/>
      <c r="S165" s="40"/>
      <c r="T165" s="40"/>
      <c r="U165" s="40"/>
      <c r="V165" s="40"/>
    </row>
    <row r="166" spans="1:22" ht="17.5">
      <c r="A166" s="161" t="s">
        <v>425</v>
      </c>
      <c r="B166" s="162" t="str">
        <f t="shared" ref="B166:B170" si="7">F166</f>
        <v>反転し耐性を付けます</v>
      </c>
      <c r="C166" s="163"/>
      <c r="D166" s="163"/>
      <c r="E166" s="45"/>
      <c r="F166" s="164" t="s">
        <v>426</v>
      </c>
      <c r="G166" s="145"/>
      <c r="H166" s="40"/>
      <c r="I166" s="40"/>
      <c r="J166" s="40"/>
      <c r="K166" s="114"/>
      <c r="L166" s="114"/>
      <c r="M166" s="40"/>
      <c r="N166" s="40"/>
      <c r="O166" s="40"/>
      <c r="P166" s="40"/>
      <c r="Q166" s="40"/>
      <c r="R166" s="40"/>
      <c r="S166" s="40"/>
      <c r="T166" s="40"/>
      <c r="U166" s="40"/>
      <c r="V166" s="40"/>
    </row>
    <row r="167" spans="1:22" ht="17.5">
      <c r="A167" s="165" t="s">
        <v>427</v>
      </c>
      <c r="B167" s="166" t="str">
        <f t="shared" si="7"/>
        <v>MODにシールドを設置</v>
      </c>
      <c r="C167" s="111"/>
      <c r="D167" s="111"/>
      <c r="E167" s="40"/>
      <c r="F167" s="167" t="s">
        <v>428</v>
      </c>
      <c r="G167" s="145"/>
      <c r="H167" s="40"/>
      <c r="I167" s="40"/>
      <c r="J167" s="40"/>
      <c r="K167" s="114"/>
      <c r="L167" s="114"/>
      <c r="M167" s="40"/>
      <c r="N167" s="40"/>
      <c r="O167" s="40"/>
      <c r="P167" s="40"/>
      <c r="Q167" s="40"/>
      <c r="R167" s="40"/>
      <c r="S167" s="40"/>
      <c r="T167" s="40"/>
      <c r="U167" s="40"/>
      <c r="V167" s="40"/>
    </row>
    <row r="168" spans="1:22" ht="17.5">
      <c r="A168" s="165" t="s">
        <v>429</v>
      </c>
      <c r="B168" s="166" t="str">
        <f t="shared" si="7"/>
        <v>MODにSBULを設置</v>
      </c>
      <c r="C168" s="111"/>
      <c r="D168" s="111"/>
      <c r="E168" s="40"/>
      <c r="F168" s="167" t="s">
        <v>430</v>
      </c>
      <c r="G168" s="145"/>
      <c r="H168" s="40"/>
      <c r="I168" s="40"/>
      <c r="J168" s="40"/>
      <c r="K168" s="114"/>
      <c r="L168" s="114"/>
      <c r="M168" s="40"/>
      <c r="N168" s="40"/>
      <c r="O168" s="40"/>
      <c r="P168" s="40"/>
      <c r="Q168" s="40"/>
      <c r="R168" s="40"/>
      <c r="S168" s="40"/>
      <c r="T168" s="40"/>
      <c r="U168" s="40"/>
      <c r="V168" s="40"/>
    </row>
    <row r="169" spans="1:22" ht="17.5">
      <c r="A169" s="165" t="s">
        <v>431</v>
      </c>
      <c r="B169" s="166" t="str">
        <f t="shared" si="7"/>
        <v>ポータルを破壊します💣</v>
      </c>
      <c r="C169" s="111"/>
      <c r="D169" s="111"/>
      <c r="E169" s="40"/>
      <c r="F169" s="167" t="s">
        <v>432</v>
      </c>
      <c r="G169" s="145"/>
      <c r="H169" s="40"/>
      <c r="I169" s="40"/>
      <c r="J169" s="40"/>
      <c r="K169" s="114"/>
      <c r="L169" s="114"/>
      <c r="M169" s="40"/>
      <c r="N169" s="40"/>
      <c r="O169" s="40"/>
      <c r="P169" s="40"/>
      <c r="Q169" s="40"/>
      <c r="R169" s="40"/>
      <c r="S169" s="40"/>
      <c r="T169" s="40"/>
      <c r="U169" s="40"/>
      <c r="V169" s="40"/>
    </row>
    <row r="170" spans="1:22" ht="17.5">
      <c r="A170" s="168" t="s">
        <v>433</v>
      </c>
      <c r="B170" s="169" t="str">
        <f t="shared" si="7"/>
        <v>ポータルをキャプチャします</v>
      </c>
      <c r="C170" s="160"/>
      <c r="D170" s="160"/>
      <c r="E170" s="50"/>
      <c r="F170" s="170" t="s">
        <v>434</v>
      </c>
      <c r="G170" s="171"/>
      <c r="H170" s="40"/>
      <c r="I170" s="40"/>
      <c r="J170" s="40"/>
      <c r="K170" s="114"/>
      <c r="L170" s="114"/>
      <c r="M170" s="40"/>
      <c r="N170" s="40"/>
      <c r="O170" s="40"/>
      <c r="P170" s="40"/>
      <c r="Q170" s="40"/>
      <c r="R170" s="40"/>
      <c r="S170" s="40"/>
      <c r="T170" s="40"/>
      <c r="U170" s="40"/>
      <c r="V170" s="40"/>
    </row>
    <row r="171" spans="1:22" ht="12.5">
      <c r="A171" s="40"/>
      <c r="B171" s="111"/>
      <c r="C171" s="111"/>
      <c r="D171" s="111"/>
      <c r="E171" s="40"/>
      <c r="F171" s="40"/>
      <c r="G171" s="145"/>
      <c r="H171" s="40"/>
      <c r="I171" s="40"/>
      <c r="J171" s="40"/>
      <c r="K171" s="114"/>
      <c r="L171" s="114"/>
      <c r="M171" s="40"/>
      <c r="N171" s="40"/>
      <c r="O171" s="40"/>
      <c r="P171" s="40"/>
      <c r="Q171" s="40"/>
      <c r="R171" s="40"/>
      <c r="S171" s="40"/>
      <c r="T171" s="40"/>
      <c r="U171" s="40"/>
      <c r="V171" s="40"/>
    </row>
    <row r="172" spans="1:22" ht="13">
      <c r="A172" s="40" t="s">
        <v>435</v>
      </c>
      <c r="B172" s="111"/>
      <c r="C172" s="111"/>
      <c r="D172" s="111"/>
      <c r="E172" s="40"/>
      <c r="F172" s="172" t="s">
        <v>436</v>
      </c>
      <c r="G172" s="145"/>
      <c r="H172" s="40"/>
      <c r="I172" s="40"/>
      <c r="J172" s="40"/>
      <c r="K172" s="114"/>
      <c r="L172" s="114"/>
      <c r="M172" s="40"/>
      <c r="N172" s="40"/>
      <c r="O172" s="40"/>
      <c r="P172" s="40"/>
      <c r="Q172" s="40"/>
      <c r="R172" s="40"/>
      <c r="S172" s="40"/>
      <c r="T172" s="40"/>
      <c r="U172" s="40"/>
      <c r="V172" s="40"/>
    </row>
    <row r="173" spans="1:22" ht="12.5">
      <c r="A173" s="40"/>
      <c r="B173" s="111"/>
      <c r="C173" s="111"/>
      <c r="D173" s="111"/>
      <c r="E173" s="40"/>
      <c r="F173" s="40"/>
      <c r="G173" s="145"/>
      <c r="H173" s="40"/>
      <c r="I173" s="40"/>
      <c r="J173" s="40"/>
      <c r="K173" s="114"/>
      <c r="L173" s="114"/>
      <c r="M173" s="40"/>
      <c r="N173" s="40"/>
      <c r="O173" s="40"/>
      <c r="P173" s="40"/>
      <c r="Q173" s="40"/>
      <c r="R173" s="40"/>
      <c r="S173" s="40"/>
      <c r="T173" s="40"/>
      <c r="U173" s="40"/>
      <c r="V173" s="40"/>
    </row>
    <row r="174" spans="1:22" ht="12.5">
      <c r="A174" s="40"/>
      <c r="B174" s="111"/>
      <c r="C174" s="111"/>
      <c r="D174" s="111"/>
      <c r="E174" s="40"/>
      <c r="F174" s="40"/>
      <c r="G174" s="145"/>
      <c r="H174" s="40"/>
      <c r="I174" s="40"/>
      <c r="J174" s="40"/>
      <c r="K174" s="114"/>
      <c r="L174" s="114"/>
      <c r="M174" s="40"/>
      <c r="N174" s="40"/>
      <c r="O174" s="40"/>
      <c r="P174" s="40"/>
      <c r="Q174" s="40"/>
      <c r="R174" s="40"/>
      <c r="S174" s="40"/>
      <c r="T174" s="40"/>
      <c r="U174" s="40"/>
      <c r="V174" s="40"/>
    </row>
    <row r="175" spans="1:22" ht="12.5">
      <c r="A175" s="40"/>
      <c r="B175" s="111"/>
      <c r="C175" s="111"/>
      <c r="D175" s="111"/>
      <c r="E175" s="40"/>
      <c r="F175" s="40"/>
      <c r="G175" s="145"/>
      <c r="H175" s="40"/>
      <c r="I175" s="40"/>
      <c r="J175" s="40"/>
      <c r="K175" s="114"/>
      <c r="L175" s="114"/>
      <c r="M175" s="40"/>
      <c r="N175" s="40"/>
      <c r="O175" s="40"/>
      <c r="P175" s="40"/>
      <c r="Q175" s="40"/>
      <c r="R175" s="40"/>
      <c r="S175" s="40"/>
      <c r="T175" s="40"/>
      <c r="U175" s="40"/>
      <c r="V175" s="40"/>
    </row>
    <row r="176" spans="1:22" ht="12.5">
      <c r="A176" s="40"/>
      <c r="B176" s="111"/>
      <c r="C176" s="111"/>
      <c r="D176" s="111"/>
      <c r="E176" s="40"/>
      <c r="F176" s="40"/>
      <c r="G176" s="145"/>
      <c r="H176" s="40"/>
      <c r="I176" s="40"/>
      <c r="J176" s="40"/>
      <c r="K176" s="114"/>
      <c r="L176" s="114"/>
      <c r="M176" s="40"/>
      <c r="N176" s="40"/>
      <c r="O176" s="40"/>
      <c r="P176" s="40"/>
      <c r="Q176" s="40"/>
      <c r="R176" s="40"/>
      <c r="S176" s="40"/>
      <c r="T176" s="40"/>
      <c r="U176" s="40"/>
      <c r="V176" s="40"/>
    </row>
    <row r="177" spans="1:22" ht="12.5">
      <c r="A177" s="40"/>
      <c r="B177" s="111"/>
      <c r="C177" s="111"/>
      <c r="D177" s="111"/>
      <c r="E177" s="40"/>
      <c r="F177" s="40"/>
      <c r="G177" s="145"/>
      <c r="H177" s="40"/>
      <c r="I177" s="40"/>
      <c r="J177" s="40"/>
      <c r="K177" s="114"/>
      <c r="L177" s="114"/>
      <c r="M177" s="40"/>
      <c r="N177" s="40"/>
      <c r="O177" s="40"/>
      <c r="P177" s="40"/>
      <c r="Q177" s="40"/>
      <c r="R177" s="40"/>
      <c r="S177" s="40"/>
      <c r="T177" s="40"/>
      <c r="U177" s="40"/>
      <c r="V177" s="40"/>
    </row>
    <row r="178" spans="1:22" ht="12.5">
      <c r="A178" s="40"/>
      <c r="B178" s="111"/>
      <c r="C178" s="111"/>
      <c r="D178" s="111"/>
      <c r="E178" s="40"/>
      <c r="F178" s="40"/>
      <c r="G178" s="145"/>
      <c r="H178" s="40"/>
      <c r="I178" s="40"/>
      <c r="J178" s="40"/>
      <c r="K178" s="114"/>
      <c r="L178" s="114"/>
      <c r="M178" s="40"/>
      <c r="N178" s="40"/>
      <c r="O178" s="40"/>
      <c r="P178" s="40"/>
      <c r="Q178" s="40"/>
      <c r="R178" s="40"/>
      <c r="S178" s="40"/>
      <c r="T178" s="40"/>
      <c r="U178" s="40"/>
      <c r="V178" s="40"/>
    </row>
    <row r="179" spans="1:22" ht="12.5">
      <c r="A179" s="40"/>
      <c r="B179" s="111"/>
      <c r="C179" s="111"/>
      <c r="D179" s="111"/>
      <c r="E179" s="40"/>
      <c r="F179" s="40"/>
      <c r="G179" s="145"/>
      <c r="H179" s="40"/>
      <c r="I179" s="40"/>
      <c r="J179" s="40"/>
      <c r="K179" s="114"/>
      <c r="L179" s="114"/>
      <c r="M179" s="40"/>
      <c r="N179" s="40"/>
      <c r="O179" s="40"/>
      <c r="P179" s="40"/>
      <c r="Q179" s="40"/>
      <c r="R179" s="40"/>
      <c r="S179" s="40"/>
      <c r="T179" s="40"/>
      <c r="U179" s="40"/>
      <c r="V179" s="40"/>
    </row>
    <row r="180" spans="1:22" ht="12.5">
      <c r="A180" s="40"/>
      <c r="B180" s="111"/>
      <c r="C180" s="111"/>
      <c r="D180" s="111"/>
      <c r="E180" s="40"/>
      <c r="F180" s="40"/>
      <c r="G180" s="145"/>
      <c r="H180" s="40"/>
      <c r="I180" s="40"/>
      <c r="J180" s="40"/>
      <c r="K180" s="114"/>
      <c r="L180" s="114"/>
      <c r="M180" s="40"/>
      <c r="N180" s="40"/>
      <c r="O180" s="40"/>
      <c r="P180" s="40"/>
      <c r="Q180" s="40"/>
      <c r="R180" s="40"/>
      <c r="S180" s="40"/>
      <c r="T180" s="40"/>
      <c r="U180" s="40"/>
      <c r="V180" s="40"/>
    </row>
    <row r="181" spans="1:22" ht="12.5">
      <c r="A181" s="40"/>
      <c r="B181" s="111"/>
      <c r="C181" s="111"/>
      <c r="D181" s="111"/>
      <c r="E181" s="40"/>
      <c r="F181" s="40"/>
      <c r="G181" s="145"/>
      <c r="H181" s="40"/>
      <c r="I181" s="40"/>
      <c r="J181" s="40"/>
      <c r="K181" s="114"/>
      <c r="L181" s="114"/>
      <c r="M181" s="40"/>
      <c r="N181" s="40"/>
      <c r="O181" s="40"/>
      <c r="P181" s="40"/>
      <c r="Q181" s="40"/>
      <c r="R181" s="40"/>
      <c r="S181" s="40"/>
      <c r="T181" s="40"/>
      <c r="U181" s="40"/>
      <c r="V181" s="40"/>
    </row>
    <row r="182" spans="1:22" ht="12.5">
      <c r="A182" s="40"/>
      <c r="B182" s="111"/>
      <c r="C182" s="111"/>
      <c r="D182" s="111"/>
      <c r="E182" s="40"/>
      <c r="F182" s="40"/>
      <c r="G182" s="145"/>
      <c r="H182" s="40"/>
      <c r="I182" s="40"/>
      <c r="J182" s="40"/>
      <c r="K182" s="114"/>
      <c r="L182" s="114"/>
      <c r="M182" s="40"/>
      <c r="N182" s="40"/>
      <c r="O182" s="40"/>
      <c r="P182" s="40"/>
      <c r="Q182" s="40"/>
      <c r="R182" s="40"/>
      <c r="S182" s="40"/>
      <c r="T182" s="40"/>
      <c r="U182" s="40"/>
      <c r="V182" s="40"/>
    </row>
    <row r="183" spans="1:22" ht="12.5">
      <c r="A183" s="40"/>
      <c r="B183" s="111"/>
      <c r="C183" s="111"/>
      <c r="D183" s="111"/>
      <c r="E183" s="40"/>
      <c r="F183" s="40"/>
      <c r="G183" s="145"/>
      <c r="H183" s="40"/>
      <c r="I183" s="40"/>
      <c r="J183" s="40"/>
      <c r="K183" s="114"/>
      <c r="L183" s="114"/>
      <c r="M183" s="40"/>
      <c r="N183" s="40"/>
      <c r="O183" s="40"/>
      <c r="P183" s="40"/>
      <c r="Q183" s="40"/>
      <c r="R183" s="40"/>
      <c r="S183" s="40"/>
      <c r="T183" s="40"/>
      <c r="U183" s="40"/>
      <c r="V183" s="40"/>
    </row>
    <row r="184" spans="1:22" ht="12.5">
      <c r="A184" s="40"/>
      <c r="B184" s="111"/>
      <c r="C184" s="111"/>
      <c r="D184" s="111"/>
      <c r="E184" s="40"/>
      <c r="F184" s="40"/>
      <c r="G184" s="145"/>
      <c r="H184" s="40"/>
      <c r="I184" s="40"/>
      <c r="J184" s="40"/>
      <c r="K184" s="114"/>
      <c r="L184" s="114"/>
      <c r="M184" s="40"/>
      <c r="N184" s="40"/>
      <c r="O184" s="40"/>
      <c r="P184" s="40"/>
      <c r="Q184" s="40"/>
      <c r="R184" s="40"/>
      <c r="S184" s="40"/>
      <c r="T184" s="40"/>
      <c r="U184" s="40"/>
      <c r="V184" s="40"/>
    </row>
    <row r="185" spans="1:22" ht="12.5">
      <c r="A185" s="40"/>
      <c r="B185" s="111"/>
      <c r="C185" s="111"/>
      <c r="D185" s="111"/>
      <c r="E185" s="40"/>
      <c r="F185" s="40"/>
      <c r="G185" s="145"/>
      <c r="H185" s="40"/>
      <c r="I185" s="40"/>
      <c r="J185" s="40"/>
      <c r="K185" s="114"/>
      <c r="L185" s="114"/>
      <c r="M185" s="40"/>
      <c r="N185" s="40"/>
      <c r="O185" s="40"/>
      <c r="P185" s="40"/>
      <c r="Q185" s="40"/>
      <c r="R185" s="40"/>
      <c r="S185" s="40"/>
      <c r="T185" s="40"/>
      <c r="U185" s="40"/>
      <c r="V185" s="40"/>
    </row>
    <row r="186" spans="1:22" ht="12.5">
      <c r="A186" s="40"/>
      <c r="B186" s="111"/>
      <c r="C186" s="111"/>
      <c r="D186" s="111"/>
      <c r="E186" s="40"/>
      <c r="F186" s="40"/>
      <c r="G186" s="145"/>
      <c r="H186" s="40"/>
      <c r="I186" s="40"/>
      <c r="J186" s="40"/>
      <c r="K186" s="114"/>
      <c r="L186" s="114"/>
      <c r="M186" s="40"/>
      <c r="N186" s="40"/>
      <c r="O186" s="40"/>
      <c r="P186" s="40"/>
      <c r="Q186" s="40"/>
      <c r="R186" s="40"/>
      <c r="S186" s="40"/>
      <c r="T186" s="40"/>
      <c r="U186" s="40"/>
      <c r="V186" s="40"/>
    </row>
    <row r="187" spans="1:22" ht="12.5">
      <c r="A187" s="40"/>
      <c r="B187" s="111"/>
      <c r="C187" s="111"/>
      <c r="D187" s="111"/>
      <c r="E187" s="40"/>
      <c r="F187" s="40"/>
      <c r="G187" s="145"/>
      <c r="H187" s="40"/>
      <c r="I187" s="40"/>
      <c r="J187" s="40"/>
      <c r="K187" s="114"/>
      <c r="L187" s="114"/>
      <c r="M187" s="40"/>
      <c r="N187" s="40"/>
      <c r="O187" s="40"/>
      <c r="P187" s="40"/>
      <c r="Q187" s="40"/>
      <c r="R187" s="40"/>
      <c r="S187" s="40"/>
      <c r="T187" s="40"/>
      <c r="U187" s="40"/>
      <c r="V187" s="40"/>
    </row>
    <row r="188" spans="1:22" ht="12.5">
      <c r="A188" s="40"/>
      <c r="B188" s="111"/>
      <c r="C188" s="111"/>
      <c r="D188" s="111"/>
      <c r="E188" s="40"/>
      <c r="F188" s="40"/>
      <c r="G188" s="145"/>
      <c r="H188" s="40"/>
      <c r="I188" s="40"/>
      <c r="J188" s="40"/>
      <c r="K188" s="114"/>
      <c r="L188" s="114"/>
      <c r="M188" s="40"/>
      <c r="N188" s="40"/>
      <c r="O188" s="40"/>
      <c r="P188" s="40"/>
      <c r="Q188" s="40"/>
      <c r="R188" s="40"/>
      <c r="S188" s="40"/>
      <c r="T188" s="40"/>
      <c r="U188" s="40"/>
      <c r="V188" s="40"/>
    </row>
    <row r="189" spans="1:22" ht="12.5">
      <c r="A189" s="40"/>
      <c r="B189" s="111"/>
      <c r="C189" s="111"/>
      <c r="D189" s="111"/>
      <c r="E189" s="40"/>
      <c r="F189" s="40"/>
      <c r="G189" s="145"/>
      <c r="H189" s="40"/>
      <c r="I189" s="40"/>
      <c r="J189" s="40"/>
      <c r="K189" s="114"/>
      <c r="L189" s="114"/>
      <c r="M189" s="40"/>
      <c r="N189" s="40"/>
      <c r="O189" s="40"/>
      <c r="P189" s="40"/>
      <c r="Q189" s="40"/>
      <c r="R189" s="40"/>
      <c r="S189" s="40"/>
      <c r="T189" s="40"/>
      <c r="U189" s="40"/>
      <c r="V189" s="40"/>
    </row>
    <row r="190" spans="1:22" ht="12.5">
      <c r="A190" s="40"/>
      <c r="B190" s="111"/>
      <c r="C190" s="111"/>
      <c r="D190" s="111"/>
      <c r="E190" s="40"/>
      <c r="F190" s="40"/>
      <c r="G190" s="145"/>
      <c r="H190" s="40"/>
      <c r="I190" s="40"/>
      <c r="J190" s="40"/>
      <c r="K190" s="114"/>
      <c r="L190" s="114"/>
      <c r="M190" s="40"/>
      <c r="N190" s="40"/>
      <c r="O190" s="40"/>
      <c r="P190" s="40"/>
      <c r="Q190" s="40"/>
      <c r="R190" s="40"/>
      <c r="S190" s="40"/>
      <c r="T190" s="40"/>
      <c r="U190" s="40"/>
      <c r="V190" s="40"/>
    </row>
    <row r="191" spans="1:22" ht="12.5">
      <c r="A191" s="40"/>
      <c r="B191" s="111"/>
      <c r="C191" s="111"/>
      <c r="D191" s="111"/>
      <c r="E191" s="40"/>
      <c r="F191" s="40"/>
      <c r="G191" s="145"/>
      <c r="H191" s="40"/>
      <c r="I191" s="40"/>
      <c r="J191" s="40"/>
      <c r="K191" s="114"/>
      <c r="L191" s="114"/>
      <c r="M191" s="40"/>
      <c r="N191" s="40"/>
      <c r="O191" s="40"/>
      <c r="P191" s="40"/>
      <c r="Q191" s="40"/>
      <c r="R191" s="40"/>
      <c r="S191" s="40"/>
      <c r="T191" s="40"/>
      <c r="U191" s="40"/>
      <c r="V191" s="40"/>
    </row>
    <row r="192" spans="1:22" ht="12.5">
      <c r="A192" s="40"/>
      <c r="B192" s="111"/>
      <c r="C192" s="111"/>
      <c r="D192" s="111"/>
      <c r="E192" s="40"/>
      <c r="F192" s="40"/>
      <c r="G192" s="145"/>
      <c r="H192" s="40"/>
      <c r="I192" s="40"/>
      <c r="J192" s="40"/>
      <c r="K192" s="114"/>
      <c r="L192" s="114"/>
      <c r="M192" s="40"/>
      <c r="N192" s="40"/>
      <c r="O192" s="40"/>
      <c r="P192" s="40"/>
      <c r="Q192" s="40"/>
      <c r="R192" s="40"/>
      <c r="S192" s="40"/>
      <c r="T192" s="40"/>
      <c r="U192" s="40"/>
      <c r="V192" s="40"/>
    </row>
    <row r="193" spans="1:22" ht="12.5">
      <c r="A193" s="40"/>
      <c r="B193" s="111"/>
      <c r="C193" s="111"/>
      <c r="D193" s="111"/>
      <c r="E193" s="40"/>
      <c r="F193" s="40"/>
      <c r="G193" s="145"/>
      <c r="H193" s="40"/>
      <c r="I193" s="40"/>
      <c r="J193" s="40"/>
      <c r="K193" s="114"/>
      <c r="L193" s="114"/>
      <c r="M193" s="40"/>
      <c r="N193" s="40"/>
      <c r="O193" s="40"/>
      <c r="P193" s="40"/>
      <c r="Q193" s="40"/>
      <c r="R193" s="40"/>
      <c r="S193" s="40"/>
      <c r="T193" s="40"/>
      <c r="U193" s="40"/>
      <c r="V193" s="40"/>
    </row>
    <row r="194" spans="1:22" ht="12.5">
      <c r="A194" s="40"/>
      <c r="B194" s="111"/>
      <c r="C194" s="111"/>
      <c r="D194" s="111"/>
      <c r="E194" s="40"/>
      <c r="F194" s="40"/>
      <c r="G194" s="145"/>
      <c r="H194" s="40"/>
      <c r="I194" s="40"/>
      <c r="J194" s="40"/>
      <c r="K194" s="114"/>
      <c r="L194" s="114"/>
      <c r="M194" s="40"/>
      <c r="N194" s="40"/>
      <c r="O194" s="40"/>
      <c r="P194" s="40"/>
      <c r="Q194" s="40"/>
      <c r="R194" s="40"/>
      <c r="S194" s="40"/>
      <c r="T194" s="40"/>
      <c r="U194" s="40"/>
      <c r="V194" s="40"/>
    </row>
    <row r="195" spans="1:22" ht="12.5">
      <c r="A195" s="40"/>
      <c r="B195" s="111"/>
      <c r="C195" s="111"/>
      <c r="D195" s="111"/>
      <c r="E195" s="40"/>
      <c r="F195" s="40"/>
      <c r="G195" s="145"/>
      <c r="H195" s="40"/>
      <c r="I195" s="40"/>
      <c r="J195" s="40"/>
      <c r="K195" s="114"/>
      <c r="L195" s="114"/>
      <c r="M195" s="40"/>
      <c r="N195" s="40"/>
      <c r="O195" s="40"/>
      <c r="P195" s="40"/>
      <c r="Q195" s="40"/>
      <c r="R195" s="40"/>
      <c r="S195" s="40"/>
      <c r="T195" s="40"/>
      <c r="U195" s="40"/>
      <c r="V195" s="40"/>
    </row>
    <row r="196" spans="1:22" ht="12.5">
      <c r="A196" s="40"/>
      <c r="B196" s="111"/>
      <c r="C196" s="111"/>
      <c r="D196" s="111"/>
      <c r="E196" s="40"/>
      <c r="F196" s="40"/>
      <c r="G196" s="145"/>
      <c r="H196" s="40"/>
      <c r="I196" s="40"/>
      <c r="J196" s="40"/>
      <c r="K196" s="114"/>
      <c r="L196" s="114"/>
      <c r="M196" s="40"/>
      <c r="N196" s="40"/>
      <c r="O196" s="40"/>
      <c r="P196" s="40"/>
      <c r="Q196" s="40"/>
      <c r="R196" s="40"/>
      <c r="S196" s="40"/>
      <c r="T196" s="40"/>
      <c r="U196" s="40"/>
      <c r="V196" s="40"/>
    </row>
    <row r="197" spans="1:22" ht="12.5">
      <c r="A197" s="40"/>
      <c r="B197" s="111"/>
      <c r="C197" s="111"/>
      <c r="D197" s="111"/>
      <c r="E197" s="40"/>
      <c r="F197" s="40"/>
      <c r="G197" s="145"/>
      <c r="H197" s="40"/>
      <c r="I197" s="40"/>
      <c r="J197" s="40"/>
      <c r="K197" s="114"/>
      <c r="L197" s="114"/>
      <c r="M197" s="40"/>
      <c r="N197" s="40"/>
      <c r="O197" s="40"/>
      <c r="P197" s="40"/>
      <c r="Q197" s="40"/>
      <c r="R197" s="40"/>
      <c r="S197" s="40"/>
      <c r="T197" s="40"/>
      <c r="U197" s="40"/>
      <c r="V197" s="40"/>
    </row>
    <row r="198" spans="1:22" ht="12.5">
      <c r="A198" s="40"/>
      <c r="B198" s="111"/>
      <c r="C198" s="111"/>
      <c r="D198" s="111"/>
      <c r="E198" s="40"/>
      <c r="F198" s="40"/>
      <c r="G198" s="145"/>
      <c r="H198" s="40"/>
      <c r="I198" s="40"/>
      <c r="J198" s="40"/>
      <c r="K198" s="114"/>
      <c r="L198" s="114"/>
      <c r="M198" s="40"/>
      <c r="N198" s="40"/>
      <c r="O198" s="40"/>
      <c r="P198" s="40"/>
      <c r="Q198" s="40"/>
      <c r="R198" s="40"/>
      <c r="S198" s="40"/>
      <c r="T198" s="40"/>
      <c r="U198" s="40"/>
      <c r="V198" s="40"/>
    </row>
    <row r="199" spans="1:22" ht="12.5">
      <c r="A199" s="40"/>
      <c r="B199" s="111"/>
      <c r="C199" s="111"/>
      <c r="D199" s="111"/>
      <c r="E199" s="40"/>
      <c r="F199" s="40"/>
      <c r="G199" s="145"/>
      <c r="H199" s="40"/>
      <c r="I199" s="40"/>
      <c r="J199" s="40"/>
      <c r="K199" s="114"/>
      <c r="L199" s="114"/>
      <c r="M199" s="40"/>
      <c r="N199" s="40"/>
      <c r="O199" s="40"/>
      <c r="P199" s="40"/>
      <c r="Q199" s="40"/>
      <c r="R199" s="40"/>
      <c r="S199" s="40"/>
      <c r="T199" s="40"/>
      <c r="U199" s="40"/>
      <c r="V199" s="40"/>
    </row>
    <row r="200" spans="1:22" ht="12.5">
      <c r="A200" s="40"/>
      <c r="B200" s="111"/>
      <c r="C200" s="111"/>
      <c r="D200" s="111"/>
      <c r="E200" s="40"/>
      <c r="F200" s="40"/>
      <c r="G200" s="145"/>
      <c r="H200" s="40"/>
      <c r="I200" s="40"/>
      <c r="J200" s="40"/>
      <c r="K200" s="114"/>
      <c r="L200" s="114"/>
      <c r="M200" s="40"/>
      <c r="N200" s="40"/>
      <c r="O200" s="40"/>
      <c r="P200" s="40"/>
      <c r="Q200" s="40"/>
      <c r="R200" s="40"/>
      <c r="S200" s="40"/>
      <c r="T200" s="40"/>
      <c r="U200" s="40"/>
      <c r="V200" s="40"/>
    </row>
    <row r="201" spans="1:22" ht="12.5">
      <c r="A201" s="40"/>
      <c r="B201" s="111"/>
      <c r="C201" s="111"/>
      <c r="D201" s="111"/>
      <c r="E201" s="40"/>
      <c r="F201" s="40"/>
      <c r="G201" s="145"/>
      <c r="H201" s="40"/>
      <c r="I201" s="40"/>
      <c r="J201" s="40"/>
      <c r="K201" s="114"/>
      <c r="L201" s="114"/>
      <c r="M201" s="40"/>
      <c r="N201" s="40"/>
      <c r="O201" s="40"/>
      <c r="P201" s="40"/>
      <c r="Q201" s="40"/>
      <c r="R201" s="40"/>
      <c r="S201" s="40"/>
      <c r="T201" s="40"/>
      <c r="U201" s="40"/>
      <c r="V201" s="40"/>
    </row>
    <row r="202" spans="1:22" ht="12.5">
      <c r="A202" s="40"/>
      <c r="B202" s="111"/>
      <c r="C202" s="111"/>
      <c r="D202" s="111"/>
      <c r="E202" s="40"/>
      <c r="F202" s="40"/>
      <c r="G202" s="145"/>
      <c r="H202" s="40"/>
      <c r="I202" s="40"/>
      <c r="J202" s="40"/>
      <c r="K202" s="114"/>
      <c r="L202" s="114"/>
      <c r="M202" s="40"/>
      <c r="N202" s="40"/>
      <c r="O202" s="40"/>
      <c r="P202" s="40"/>
      <c r="Q202" s="40"/>
      <c r="R202" s="40"/>
      <c r="S202" s="40"/>
      <c r="T202" s="40"/>
      <c r="U202" s="40"/>
      <c r="V202" s="40"/>
    </row>
    <row r="203" spans="1:22" ht="12.5">
      <c r="A203" s="40"/>
      <c r="B203" s="111"/>
      <c r="C203" s="111"/>
      <c r="D203" s="111"/>
      <c r="E203" s="40"/>
      <c r="F203" s="40"/>
      <c r="G203" s="145"/>
      <c r="H203" s="40"/>
      <c r="I203" s="40"/>
      <c r="J203" s="40"/>
      <c r="K203" s="114"/>
      <c r="L203" s="114"/>
      <c r="M203" s="40"/>
      <c r="N203" s="40"/>
      <c r="O203" s="40"/>
      <c r="P203" s="40"/>
      <c r="Q203" s="40"/>
      <c r="R203" s="40"/>
      <c r="S203" s="40"/>
      <c r="T203" s="40"/>
      <c r="U203" s="40"/>
      <c r="V203" s="40"/>
    </row>
    <row r="204" spans="1:22" ht="12.5">
      <c r="A204" s="40"/>
      <c r="B204" s="111"/>
      <c r="C204" s="111"/>
      <c r="D204" s="111"/>
      <c r="E204" s="40"/>
      <c r="F204" s="40"/>
      <c r="G204" s="145"/>
      <c r="H204" s="40"/>
      <c r="I204" s="40"/>
      <c r="J204" s="40"/>
      <c r="K204" s="114"/>
      <c r="L204" s="114"/>
      <c r="M204" s="40"/>
      <c r="N204" s="40"/>
      <c r="O204" s="40"/>
      <c r="P204" s="40"/>
      <c r="Q204" s="40"/>
      <c r="R204" s="40"/>
      <c r="S204" s="40"/>
      <c r="T204" s="40"/>
      <c r="U204" s="40"/>
      <c r="V204" s="40"/>
    </row>
    <row r="205" spans="1:22" ht="12.5">
      <c r="A205" s="40"/>
      <c r="B205" s="111"/>
      <c r="C205" s="111"/>
      <c r="D205" s="111"/>
      <c r="E205" s="40"/>
      <c r="F205" s="40"/>
      <c r="G205" s="145"/>
      <c r="H205" s="40"/>
      <c r="I205" s="40"/>
      <c r="J205" s="40"/>
      <c r="K205" s="114"/>
      <c r="L205" s="114"/>
      <c r="M205" s="40"/>
      <c r="N205" s="40"/>
      <c r="O205" s="40"/>
      <c r="P205" s="40"/>
      <c r="Q205" s="40"/>
      <c r="R205" s="40"/>
      <c r="S205" s="40"/>
      <c r="T205" s="40"/>
      <c r="U205" s="40"/>
      <c r="V205" s="40"/>
    </row>
    <row r="206" spans="1:22" ht="12.5">
      <c r="A206" s="40"/>
      <c r="B206" s="111"/>
      <c r="C206" s="111"/>
      <c r="D206" s="111"/>
      <c r="E206" s="40"/>
      <c r="F206" s="40"/>
      <c r="G206" s="145"/>
      <c r="H206" s="40"/>
      <c r="I206" s="40"/>
      <c r="J206" s="40"/>
      <c r="K206" s="114"/>
      <c r="L206" s="114"/>
      <c r="M206" s="40"/>
      <c r="N206" s="40"/>
      <c r="O206" s="40"/>
      <c r="P206" s="40"/>
      <c r="Q206" s="40"/>
      <c r="R206" s="40"/>
      <c r="S206" s="40"/>
      <c r="T206" s="40"/>
      <c r="U206" s="40"/>
      <c r="V206" s="40"/>
    </row>
    <row r="207" spans="1:22" ht="12.5">
      <c r="A207" s="40"/>
      <c r="B207" s="111"/>
      <c r="C207" s="111"/>
      <c r="D207" s="111"/>
      <c r="E207" s="40"/>
      <c r="F207" s="40"/>
      <c r="G207" s="145"/>
      <c r="H207" s="40"/>
      <c r="I207" s="40"/>
      <c r="J207" s="40"/>
      <c r="K207" s="114"/>
      <c r="L207" s="114"/>
      <c r="M207" s="40"/>
      <c r="N207" s="40"/>
      <c r="O207" s="40"/>
      <c r="P207" s="40"/>
      <c r="Q207" s="40"/>
      <c r="R207" s="40"/>
      <c r="S207" s="40"/>
      <c r="T207" s="40"/>
      <c r="U207" s="40"/>
      <c r="V207" s="40"/>
    </row>
    <row r="208" spans="1:22" ht="12.5">
      <c r="A208" s="40"/>
      <c r="B208" s="111"/>
      <c r="C208" s="111"/>
      <c r="D208" s="111"/>
      <c r="E208" s="40"/>
      <c r="F208" s="40"/>
      <c r="G208" s="145"/>
      <c r="H208" s="40"/>
      <c r="I208" s="40"/>
      <c r="J208" s="40"/>
      <c r="K208" s="114"/>
      <c r="L208" s="114"/>
      <c r="M208" s="40"/>
      <c r="N208" s="40"/>
      <c r="O208" s="40"/>
      <c r="P208" s="40"/>
      <c r="Q208" s="40"/>
      <c r="R208" s="40"/>
      <c r="S208" s="40"/>
      <c r="T208" s="40"/>
      <c r="U208" s="40"/>
      <c r="V208" s="40"/>
    </row>
    <row r="209" spans="1:22" ht="12.5">
      <c r="A209" s="40"/>
      <c r="B209" s="111"/>
      <c r="C209" s="111"/>
      <c r="D209" s="111"/>
      <c r="E209" s="40"/>
      <c r="F209" s="40"/>
      <c r="G209" s="145"/>
      <c r="H209" s="40"/>
      <c r="I209" s="40"/>
      <c r="J209" s="40"/>
      <c r="K209" s="114"/>
      <c r="L209" s="114"/>
      <c r="M209" s="40"/>
      <c r="N209" s="40"/>
      <c r="O209" s="40"/>
      <c r="P209" s="40"/>
      <c r="Q209" s="40"/>
      <c r="R209" s="40"/>
      <c r="S209" s="40"/>
      <c r="T209" s="40"/>
      <c r="U209" s="40"/>
      <c r="V209" s="40"/>
    </row>
    <row r="210" spans="1:22" ht="12.5">
      <c r="A210" s="40"/>
      <c r="B210" s="111"/>
      <c r="C210" s="111"/>
      <c r="D210" s="111"/>
      <c r="E210" s="40"/>
      <c r="F210" s="40"/>
      <c r="G210" s="145"/>
      <c r="H210" s="40"/>
      <c r="I210" s="40"/>
      <c r="J210" s="40"/>
      <c r="K210" s="114"/>
      <c r="L210" s="114"/>
      <c r="M210" s="40"/>
      <c r="N210" s="40"/>
      <c r="O210" s="40"/>
      <c r="P210" s="40"/>
      <c r="Q210" s="40"/>
      <c r="R210" s="40"/>
      <c r="S210" s="40"/>
      <c r="T210" s="40"/>
      <c r="U210" s="40"/>
      <c r="V210" s="40"/>
    </row>
    <row r="211" spans="1:22" ht="12.5">
      <c r="A211" s="40"/>
      <c r="B211" s="111"/>
      <c r="C211" s="111"/>
      <c r="D211" s="111"/>
      <c r="E211" s="40"/>
      <c r="F211" s="40"/>
      <c r="G211" s="145"/>
      <c r="H211" s="40"/>
      <c r="I211" s="40"/>
      <c r="J211" s="40"/>
      <c r="K211" s="114"/>
      <c r="L211" s="114"/>
      <c r="M211" s="40"/>
      <c r="N211" s="40"/>
      <c r="O211" s="40"/>
      <c r="P211" s="40"/>
      <c r="Q211" s="40"/>
      <c r="R211" s="40"/>
      <c r="S211" s="40"/>
      <c r="T211" s="40"/>
      <c r="U211" s="40"/>
      <c r="V211" s="40"/>
    </row>
    <row r="212" spans="1:22" ht="12.5">
      <c r="A212" s="40"/>
      <c r="B212" s="111"/>
      <c r="C212" s="111"/>
      <c r="D212" s="111"/>
      <c r="E212" s="40"/>
      <c r="F212" s="40"/>
      <c r="G212" s="145"/>
      <c r="H212" s="40"/>
      <c r="I212" s="40"/>
      <c r="J212" s="40"/>
      <c r="K212" s="114"/>
      <c r="L212" s="114"/>
      <c r="M212" s="40"/>
      <c r="N212" s="40"/>
      <c r="O212" s="40"/>
      <c r="P212" s="40"/>
      <c r="Q212" s="40"/>
      <c r="R212" s="40"/>
      <c r="S212" s="40"/>
      <c r="T212" s="40"/>
      <c r="U212" s="40"/>
      <c r="V212" s="40"/>
    </row>
    <row r="213" spans="1:22" ht="12.5">
      <c r="A213" s="40"/>
      <c r="B213" s="111"/>
      <c r="C213" s="111"/>
      <c r="D213" s="111"/>
      <c r="E213" s="40"/>
      <c r="F213" s="40"/>
      <c r="G213" s="145"/>
      <c r="H213" s="40"/>
      <c r="I213" s="40"/>
      <c r="J213" s="40"/>
      <c r="K213" s="114"/>
      <c r="L213" s="114"/>
      <c r="M213" s="40"/>
      <c r="N213" s="40"/>
      <c r="O213" s="40"/>
      <c r="P213" s="40"/>
      <c r="Q213" s="40"/>
      <c r="R213" s="40"/>
      <c r="S213" s="40"/>
      <c r="T213" s="40"/>
      <c r="U213" s="40"/>
      <c r="V213" s="40"/>
    </row>
    <row r="214" spans="1:22" ht="12.5">
      <c r="A214" s="40"/>
      <c r="B214" s="111"/>
      <c r="C214" s="111"/>
      <c r="D214" s="111"/>
      <c r="E214" s="40"/>
      <c r="F214" s="40"/>
      <c r="G214" s="145"/>
      <c r="H214" s="40"/>
      <c r="I214" s="40"/>
      <c r="J214" s="40"/>
      <c r="K214" s="114"/>
      <c r="L214" s="114"/>
      <c r="M214" s="40"/>
      <c r="N214" s="40"/>
      <c r="O214" s="40"/>
      <c r="P214" s="40"/>
      <c r="Q214" s="40"/>
      <c r="R214" s="40"/>
      <c r="S214" s="40"/>
      <c r="T214" s="40"/>
      <c r="U214" s="40"/>
      <c r="V214" s="40"/>
    </row>
    <row r="215" spans="1:22" ht="12.5">
      <c r="A215" s="40"/>
      <c r="B215" s="111"/>
      <c r="C215" s="111"/>
      <c r="D215" s="111"/>
      <c r="E215" s="40"/>
      <c r="F215" s="40"/>
      <c r="G215" s="145"/>
      <c r="H215" s="40"/>
      <c r="I215" s="40"/>
      <c r="J215" s="40"/>
      <c r="K215" s="114"/>
      <c r="L215" s="114"/>
      <c r="M215" s="40"/>
      <c r="N215" s="40"/>
      <c r="O215" s="40"/>
      <c r="P215" s="40"/>
      <c r="Q215" s="40"/>
      <c r="R215" s="40"/>
      <c r="S215" s="40"/>
      <c r="T215" s="40"/>
      <c r="U215" s="40"/>
      <c r="V215" s="40"/>
    </row>
    <row r="216" spans="1:22" ht="12.5">
      <c r="A216" s="40"/>
      <c r="B216" s="111"/>
      <c r="C216" s="111"/>
      <c r="D216" s="111"/>
      <c r="E216" s="40"/>
      <c r="F216" s="40"/>
      <c r="G216" s="145"/>
      <c r="H216" s="40"/>
      <c r="I216" s="40"/>
      <c r="J216" s="40"/>
      <c r="K216" s="114"/>
      <c r="L216" s="114"/>
      <c r="M216" s="40"/>
      <c r="N216" s="40"/>
      <c r="O216" s="40"/>
      <c r="P216" s="40"/>
      <c r="Q216" s="40"/>
      <c r="R216" s="40"/>
      <c r="S216" s="40"/>
      <c r="T216" s="40"/>
      <c r="U216" s="40"/>
      <c r="V216" s="40"/>
    </row>
    <row r="217" spans="1:22" ht="12.5">
      <c r="A217" s="40"/>
      <c r="B217" s="111"/>
      <c r="C217" s="111"/>
      <c r="D217" s="111"/>
      <c r="E217" s="40"/>
      <c r="F217" s="40"/>
      <c r="G217" s="145"/>
      <c r="H217" s="40"/>
      <c r="I217" s="40"/>
      <c r="J217" s="40"/>
      <c r="K217" s="114"/>
      <c r="L217" s="114"/>
      <c r="M217" s="40"/>
      <c r="N217" s="40"/>
      <c r="O217" s="40"/>
      <c r="P217" s="40"/>
      <c r="Q217" s="40"/>
      <c r="R217" s="40"/>
      <c r="S217" s="40"/>
      <c r="T217" s="40"/>
      <c r="U217" s="40"/>
      <c r="V217" s="40"/>
    </row>
    <row r="218" spans="1:22" ht="12.5">
      <c r="A218" s="40"/>
      <c r="B218" s="111"/>
      <c r="C218" s="111"/>
      <c r="D218" s="111"/>
      <c r="E218" s="40"/>
      <c r="F218" s="40"/>
      <c r="G218" s="145"/>
      <c r="H218" s="40"/>
      <c r="I218" s="40"/>
      <c r="J218" s="40"/>
      <c r="K218" s="114"/>
      <c r="L218" s="114"/>
      <c r="M218" s="40"/>
      <c r="N218" s="40"/>
      <c r="O218" s="40"/>
      <c r="P218" s="40"/>
      <c r="Q218" s="40"/>
      <c r="R218" s="40"/>
      <c r="S218" s="40"/>
      <c r="T218" s="40"/>
      <c r="U218" s="40"/>
      <c r="V218" s="40"/>
    </row>
    <row r="219" spans="1:22" ht="12.5">
      <c r="A219" s="40"/>
      <c r="B219" s="111"/>
      <c r="C219" s="111"/>
      <c r="D219" s="111"/>
      <c r="E219" s="40"/>
      <c r="F219" s="40"/>
      <c r="G219" s="145"/>
      <c r="H219" s="40"/>
      <c r="I219" s="40"/>
      <c r="J219" s="40"/>
      <c r="K219" s="114"/>
      <c r="L219" s="114"/>
      <c r="M219" s="40"/>
      <c r="N219" s="40"/>
      <c r="O219" s="40"/>
      <c r="P219" s="40"/>
      <c r="Q219" s="40"/>
      <c r="R219" s="40"/>
      <c r="S219" s="40"/>
      <c r="T219" s="40"/>
      <c r="U219" s="40"/>
      <c r="V219" s="40"/>
    </row>
    <row r="220" spans="1:22" ht="12.5">
      <c r="A220" s="40"/>
      <c r="B220" s="111"/>
      <c r="C220" s="111"/>
      <c r="D220" s="111"/>
      <c r="E220" s="40"/>
      <c r="F220" s="40"/>
      <c r="G220" s="145"/>
      <c r="H220" s="40"/>
      <c r="I220" s="40"/>
      <c r="J220" s="40"/>
      <c r="K220" s="114"/>
      <c r="L220" s="114"/>
      <c r="M220" s="40"/>
      <c r="N220" s="40"/>
      <c r="O220" s="40"/>
      <c r="P220" s="40"/>
      <c r="Q220" s="40"/>
      <c r="R220" s="40"/>
      <c r="S220" s="40"/>
      <c r="T220" s="40"/>
      <c r="U220" s="40"/>
      <c r="V220" s="40"/>
    </row>
    <row r="221" spans="1:22" ht="12.5">
      <c r="A221" s="40"/>
      <c r="B221" s="111"/>
      <c r="C221" s="111"/>
      <c r="D221" s="111"/>
      <c r="E221" s="40"/>
      <c r="F221" s="40"/>
      <c r="G221" s="145"/>
      <c r="H221" s="40"/>
      <c r="I221" s="40"/>
      <c r="J221" s="40"/>
      <c r="K221" s="114"/>
      <c r="L221" s="114"/>
      <c r="M221" s="40"/>
      <c r="N221" s="40"/>
      <c r="O221" s="40"/>
      <c r="P221" s="40"/>
      <c r="Q221" s="40"/>
      <c r="R221" s="40"/>
      <c r="S221" s="40"/>
      <c r="T221" s="40"/>
      <c r="U221" s="40"/>
      <c r="V221" s="40"/>
    </row>
    <row r="222" spans="1:22" ht="12.5">
      <c r="A222" s="40"/>
      <c r="B222" s="111"/>
      <c r="C222" s="111"/>
      <c r="D222" s="111"/>
      <c r="E222" s="40"/>
      <c r="F222" s="40"/>
      <c r="G222" s="145"/>
      <c r="H222" s="40"/>
      <c r="I222" s="40"/>
      <c r="J222" s="40"/>
      <c r="K222" s="114"/>
      <c r="L222" s="114"/>
      <c r="M222" s="40"/>
      <c r="N222" s="40"/>
      <c r="O222" s="40"/>
      <c r="P222" s="40"/>
      <c r="Q222" s="40"/>
      <c r="R222" s="40"/>
      <c r="S222" s="40"/>
      <c r="T222" s="40"/>
      <c r="U222" s="40"/>
      <c r="V222" s="40"/>
    </row>
    <row r="223" spans="1:22" ht="12.5">
      <c r="A223" s="40"/>
      <c r="B223" s="111"/>
      <c r="C223" s="111"/>
      <c r="D223" s="111"/>
      <c r="E223" s="40"/>
      <c r="F223" s="40"/>
      <c r="G223" s="145"/>
      <c r="H223" s="40"/>
      <c r="I223" s="40"/>
      <c r="J223" s="40"/>
      <c r="K223" s="114"/>
      <c r="L223" s="114"/>
      <c r="M223" s="40"/>
      <c r="N223" s="40"/>
      <c r="O223" s="40"/>
      <c r="P223" s="40"/>
      <c r="Q223" s="40"/>
      <c r="R223" s="40"/>
      <c r="S223" s="40"/>
      <c r="T223" s="40"/>
      <c r="U223" s="40"/>
      <c r="V223" s="40"/>
    </row>
    <row r="224" spans="1:22" ht="12.5">
      <c r="A224" s="40"/>
      <c r="B224" s="111"/>
      <c r="C224" s="111"/>
      <c r="D224" s="111"/>
      <c r="E224" s="40"/>
      <c r="F224" s="40"/>
      <c r="G224" s="145"/>
      <c r="H224" s="40"/>
      <c r="I224" s="40"/>
      <c r="J224" s="40"/>
      <c r="K224" s="114"/>
      <c r="L224" s="114"/>
      <c r="M224" s="40"/>
      <c r="N224" s="40"/>
      <c r="O224" s="40"/>
      <c r="P224" s="40"/>
      <c r="Q224" s="40"/>
      <c r="R224" s="40"/>
      <c r="S224" s="40"/>
      <c r="T224" s="40"/>
      <c r="U224" s="40"/>
      <c r="V224" s="40"/>
    </row>
    <row r="225" spans="1:22" ht="12.5">
      <c r="A225" s="40"/>
      <c r="B225" s="111"/>
      <c r="C225" s="111"/>
      <c r="D225" s="111"/>
      <c r="E225" s="40"/>
      <c r="F225" s="40"/>
      <c r="G225" s="145"/>
      <c r="H225" s="40"/>
      <c r="I225" s="40"/>
      <c r="J225" s="40"/>
      <c r="K225" s="114"/>
      <c r="L225" s="114"/>
      <c r="M225" s="40"/>
      <c r="N225" s="40"/>
      <c r="O225" s="40"/>
      <c r="P225" s="40"/>
      <c r="Q225" s="40"/>
      <c r="R225" s="40"/>
      <c r="S225" s="40"/>
      <c r="T225" s="40"/>
      <c r="U225" s="40"/>
      <c r="V225" s="40"/>
    </row>
    <row r="226" spans="1:22" ht="12.5">
      <c r="A226" s="40"/>
      <c r="B226" s="111"/>
      <c r="C226" s="111"/>
      <c r="D226" s="111"/>
      <c r="E226" s="40"/>
      <c r="F226" s="40"/>
      <c r="G226" s="145"/>
      <c r="H226" s="40"/>
      <c r="I226" s="40"/>
      <c r="J226" s="40"/>
      <c r="K226" s="114"/>
      <c r="L226" s="114"/>
      <c r="M226" s="40"/>
      <c r="N226" s="40"/>
      <c r="O226" s="40"/>
      <c r="P226" s="40"/>
      <c r="Q226" s="40"/>
      <c r="R226" s="40"/>
      <c r="S226" s="40"/>
      <c r="T226" s="40"/>
      <c r="U226" s="40"/>
      <c r="V226" s="40"/>
    </row>
    <row r="227" spans="1:22" ht="12.5">
      <c r="A227" s="40"/>
      <c r="B227" s="111"/>
      <c r="C227" s="111"/>
      <c r="D227" s="111"/>
      <c r="E227" s="40"/>
      <c r="F227" s="40"/>
      <c r="G227" s="145"/>
      <c r="H227" s="40"/>
      <c r="I227" s="40"/>
      <c r="J227" s="40"/>
      <c r="K227" s="114"/>
      <c r="L227" s="114"/>
      <c r="M227" s="40"/>
      <c r="N227" s="40"/>
      <c r="O227" s="40"/>
      <c r="P227" s="40"/>
      <c r="Q227" s="40"/>
      <c r="R227" s="40"/>
      <c r="S227" s="40"/>
      <c r="T227" s="40"/>
      <c r="U227" s="40"/>
      <c r="V227" s="40"/>
    </row>
    <row r="228" spans="1:22" ht="12.5">
      <c r="A228" s="40"/>
      <c r="B228" s="111"/>
      <c r="C228" s="111"/>
      <c r="D228" s="111"/>
      <c r="E228" s="40"/>
      <c r="F228" s="40"/>
      <c r="G228" s="145"/>
      <c r="H228" s="40"/>
      <c r="I228" s="40"/>
      <c r="J228" s="40"/>
      <c r="K228" s="114"/>
      <c r="L228" s="114"/>
      <c r="M228" s="40"/>
      <c r="N228" s="40"/>
      <c r="O228" s="40"/>
      <c r="P228" s="40"/>
      <c r="Q228" s="40"/>
      <c r="R228" s="40"/>
      <c r="S228" s="40"/>
      <c r="T228" s="40"/>
      <c r="U228" s="40"/>
      <c r="V228" s="40"/>
    </row>
    <row r="229" spans="1:22" ht="12.5">
      <c r="A229" s="40"/>
      <c r="B229" s="111"/>
      <c r="C229" s="111"/>
      <c r="D229" s="111"/>
      <c r="E229" s="40"/>
      <c r="F229" s="40"/>
      <c r="G229" s="145"/>
      <c r="H229" s="40"/>
      <c r="I229" s="40"/>
      <c r="J229" s="40"/>
      <c r="K229" s="114"/>
      <c r="L229" s="114"/>
      <c r="M229" s="40"/>
      <c r="N229" s="40"/>
      <c r="O229" s="40"/>
      <c r="P229" s="40"/>
      <c r="Q229" s="40"/>
      <c r="R229" s="40"/>
      <c r="S229" s="40"/>
      <c r="T229" s="40"/>
      <c r="U229" s="40"/>
      <c r="V229" s="40"/>
    </row>
    <row r="230" spans="1:22" ht="12.5">
      <c r="A230" s="40"/>
      <c r="B230" s="111"/>
      <c r="C230" s="111"/>
      <c r="D230" s="111"/>
      <c r="E230" s="40"/>
      <c r="F230" s="40"/>
      <c r="G230" s="145"/>
      <c r="H230" s="40"/>
      <c r="I230" s="40"/>
      <c r="J230" s="40"/>
      <c r="K230" s="114"/>
      <c r="L230" s="114"/>
      <c r="M230" s="40"/>
      <c r="N230" s="40"/>
      <c r="O230" s="40"/>
      <c r="P230" s="40"/>
      <c r="Q230" s="40"/>
      <c r="R230" s="40"/>
      <c r="S230" s="40"/>
      <c r="T230" s="40"/>
      <c r="U230" s="40"/>
      <c r="V230" s="40"/>
    </row>
    <row r="231" spans="1:22" ht="12.5">
      <c r="A231" s="40"/>
      <c r="B231" s="111"/>
      <c r="C231" s="111"/>
      <c r="D231" s="111"/>
      <c r="E231" s="40"/>
      <c r="F231" s="40"/>
      <c r="G231" s="145"/>
      <c r="H231" s="40"/>
      <c r="I231" s="40"/>
      <c r="J231" s="40"/>
      <c r="K231" s="114"/>
      <c r="L231" s="114"/>
      <c r="M231" s="40"/>
      <c r="N231" s="40"/>
      <c r="O231" s="40"/>
      <c r="P231" s="40"/>
      <c r="Q231" s="40"/>
      <c r="R231" s="40"/>
      <c r="S231" s="40"/>
      <c r="T231" s="40"/>
      <c r="U231" s="40"/>
      <c r="V231" s="40"/>
    </row>
    <row r="232" spans="1:22" ht="12.5">
      <c r="A232" s="40"/>
      <c r="B232" s="111"/>
      <c r="C232" s="111"/>
      <c r="D232" s="111"/>
      <c r="E232" s="40"/>
      <c r="F232" s="40"/>
      <c r="G232" s="145"/>
      <c r="H232" s="40"/>
      <c r="I232" s="40"/>
      <c r="J232" s="40"/>
      <c r="K232" s="114"/>
      <c r="L232" s="114"/>
      <c r="M232" s="40"/>
      <c r="N232" s="40"/>
      <c r="O232" s="40"/>
      <c r="P232" s="40"/>
      <c r="Q232" s="40"/>
      <c r="R232" s="40"/>
      <c r="S232" s="40"/>
      <c r="T232" s="40"/>
      <c r="U232" s="40"/>
      <c r="V232" s="40"/>
    </row>
    <row r="233" spans="1:22" ht="12.5">
      <c r="A233" s="40"/>
      <c r="B233" s="111"/>
      <c r="C233" s="111"/>
      <c r="D233" s="111"/>
      <c r="E233" s="40"/>
      <c r="F233" s="40"/>
      <c r="G233" s="145"/>
      <c r="H233" s="40"/>
      <c r="I233" s="40"/>
      <c r="J233" s="40"/>
      <c r="K233" s="114"/>
      <c r="L233" s="114"/>
      <c r="M233" s="40"/>
      <c r="N233" s="40"/>
      <c r="O233" s="40"/>
      <c r="P233" s="40"/>
      <c r="Q233" s="40"/>
      <c r="R233" s="40"/>
      <c r="S233" s="40"/>
      <c r="T233" s="40"/>
      <c r="U233" s="40"/>
      <c r="V233" s="40"/>
    </row>
    <row r="234" spans="1:22" ht="12.5">
      <c r="A234" s="40"/>
      <c r="B234" s="111"/>
      <c r="C234" s="111"/>
      <c r="D234" s="111"/>
      <c r="E234" s="40"/>
      <c r="F234" s="40"/>
      <c r="G234" s="145"/>
      <c r="H234" s="40"/>
      <c r="I234" s="40"/>
      <c r="J234" s="40"/>
      <c r="K234" s="114"/>
      <c r="L234" s="114"/>
      <c r="M234" s="40"/>
      <c r="N234" s="40"/>
      <c r="O234" s="40"/>
      <c r="P234" s="40"/>
      <c r="Q234" s="40"/>
      <c r="R234" s="40"/>
      <c r="S234" s="40"/>
      <c r="T234" s="40"/>
      <c r="U234" s="40"/>
      <c r="V234" s="40"/>
    </row>
    <row r="235" spans="1:22" ht="12.5">
      <c r="A235" s="40"/>
      <c r="B235" s="111"/>
      <c r="C235" s="111"/>
      <c r="D235" s="111"/>
      <c r="E235" s="40"/>
      <c r="F235" s="40"/>
      <c r="G235" s="145"/>
      <c r="H235" s="40"/>
      <c r="I235" s="40"/>
      <c r="J235" s="40"/>
      <c r="K235" s="114"/>
      <c r="L235" s="114"/>
      <c r="M235" s="40"/>
      <c r="N235" s="40"/>
      <c r="O235" s="40"/>
      <c r="P235" s="40"/>
      <c r="Q235" s="40"/>
      <c r="R235" s="40"/>
      <c r="S235" s="40"/>
      <c r="T235" s="40"/>
      <c r="U235" s="40"/>
      <c r="V235" s="40"/>
    </row>
    <row r="236" spans="1:22" ht="12.5">
      <c r="A236" s="40"/>
      <c r="B236" s="111"/>
      <c r="C236" s="111"/>
      <c r="D236" s="111"/>
      <c r="E236" s="40"/>
      <c r="F236" s="40"/>
      <c r="G236" s="145"/>
      <c r="H236" s="40"/>
      <c r="I236" s="40"/>
      <c r="J236" s="40"/>
      <c r="K236" s="114"/>
      <c r="L236" s="114"/>
      <c r="M236" s="40"/>
      <c r="N236" s="40"/>
      <c r="O236" s="40"/>
      <c r="P236" s="40"/>
      <c r="Q236" s="40"/>
      <c r="R236" s="40"/>
      <c r="S236" s="40"/>
      <c r="T236" s="40"/>
      <c r="U236" s="40"/>
      <c r="V236" s="40"/>
    </row>
    <row r="237" spans="1:22" ht="12.5">
      <c r="A237" s="40"/>
      <c r="B237" s="111"/>
      <c r="C237" s="111"/>
      <c r="D237" s="111"/>
      <c r="E237" s="40"/>
      <c r="F237" s="40"/>
      <c r="G237" s="145"/>
      <c r="H237" s="40"/>
      <c r="I237" s="40"/>
      <c r="J237" s="40"/>
      <c r="K237" s="114"/>
      <c r="L237" s="114"/>
      <c r="M237" s="40"/>
      <c r="N237" s="40"/>
      <c r="O237" s="40"/>
      <c r="P237" s="40"/>
      <c r="Q237" s="40"/>
      <c r="R237" s="40"/>
      <c r="S237" s="40"/>
      <c r="T237" s="40"/>
      <c r="U237" s="40"/>
      <c r="V237" s="40"/>
    </row>
    <row r="238" spans="1:22" ht="12.5">
      <c r="A238" s="40"/>
      <c r="B238" s="111"/>
      <c r="C238" s="111"/>
      <c r="D238" s="111"/>
      <c r="E238" s="40"/>
      <c r="F238" s="40"/>
      <c r="G238" s="145"/>
      <c r="H238" s="40"/>
      <c r="I238" s="40"/>
      <c r="J238" s="40"/>
      <c r="K238" s="114"/>
      <c r="L238" s="114"/>
      <c r="M238" s="40"/>
      <c r="N238" s="40"/>
      <c r="O238" s="40"/>
      <c r="P238" s="40"/>
      <c r="Q238" s="40"/>
      <c r="R238" s="40"/>
      <c r="S238" s="40"/>
      <c r="T238" s="40"/>
      <c r="U238" s="40"/>
      <c r="V238" s="40"/>
    </row>
    <row r="239" spans="1:22" ht="12.5">
      <c r="A239" s="40"/>
      <c r="B239" s="111"/>
      <c r="C239" s="111"/>
      <c r="D239" s="111"/>
      <c r="E239" s="40"/>
      <c r="F239" s="40"/>
      <c r="G239" s="145"/>
      <c r="H239" s="40"/>
      <c r="I239" s="40"/>
      <c r="J239" s="40"/>
      <c r="K239" s="114"/>
      <c r="L239" s="114"/>
      <c r="M239" s="40"/>
      <c r="N239" s="40"/>
      <c r="O239" s="40"/>
      <c r="P239" s="40"/>
      <c r="Q239" s="40"/>
      <c r="R239" s="40"/>
      <c r="S239" s="40"/>
      <c r="T239" s="40"/>
      <c r="U239" s="40"/>
      <c r="V239" s="40"/>
    </row>
    <row r="240" spans="1:22" ht="12.5">
      <c r="A240" s="40"/>
      <c r="B240" s="111"/>
      <c r="C240" s="111"/>
      <c r="D240" s="111"/>
      <c r="E240" s="40"/>
      <c r="F240" s="40"/>
      <c r="G240" s="145"/>
      <c r="H240" s="40"/>
      <c r="I240" s="40"/>
      <c r="J240" s="40"/>
      <c r="K240" s="114"/>
      <c r="L240" s="114"/>
      <c r="M240" s="40"/>
      <c r="N240" s="40"/>
      <c r="O240" s="40"/>
      <c r="P240" s="40"/>
      <c r="Q240" s="40"/>
      <c r="R240" s="40"/>
      <c r="S240" s="40"/>
      <c r="T240" s="40"/>
      <c r="U240" s="40"/>
      <c r="V240" s="40"/>
    </row>
    <row r="241" spans="1:22" ht="12.5">
      <c r="A241" s="40"/>
      <c r="B241" s="111"/>
      <c r="C241" s="111"/>
      <c r="D241" s="111"/>
      <c r="E241" s="40"/>
      <c r="F241" s="40"/>
      <c r="G241" s="145"/>
      <c r="H241" s="40"/>
      <c r="I241" s="40"/>
      <c r="J241" s="40"/>
      <c r="K241" s="114"/>
      <c r="L241" s="114"/>
      <c r="M241" s="40"/>
      <c r="N241" s="40"/>
      <c r="O241" s="40"/>
      <c r="P241" s="40"/>
      <c r="Q241" s="40"/>
      <c r="R241" s="40"/>
      <c r="S241" s="40"/>
      <c r="T241" s="40"/>
      <c r="U241" s="40"/>
      <c r="V241" s="40"/>
    </row>
    <row r="242" spans="1:22" ht="12.5">
      <c r="A242" s="40"/>
      <c r="B242" s="111"/>
      <c r="C242" s="111"/>
      <c r="D242" s="111"/>
      <c r="E242" s="40"/>
      <c r="F242" s="40"/>
      <c r="G242" s="145"/>
      <c r="H242" s="40"/>
      <c r="I242" s="40"/>
      <c r="J242" s="40"/>
      <c r="K242" s="114"/>
      <c r="L242" s="114"/>
      <c r="M242" s="40"/>
      <c r="N242" s="40"/>
      <c r="O242" s="40"/>
      <c r="P242" s="40"/>
      <c r="Q242" s="40"/>
      <c r="R242" s="40"/>
      <c r="S242" s="40"/>
      <c r="T242" s="40"/>
      <c r="U242" s="40"/>
      <c r="V242" s="40"/>
    </row>
    <row r="243" spans="1:22" ht="12.5">
      <c r="A243" s="40"/>
      <c r="B243" s="111"/>
      <c r="C243" s="111"/>
      <c r="D243" s="111"/>
      <c r="E243" s="40"/>
      <c r="F243" s="40"/>
      <c r="G243" s="145"/>
      <c r="H243" s="40"/>
      <c r="I243" s="40"/>
      <c r="J243" s="40"/>
      <c r="K243" s="114"/>
      <c r="L243" s="114"/>
      <c r="M243" s="40"/>
      <c r="N243" s="40"/>
      <c r="O243" s="40"/>
      <c r="P243" s="40"/>
      <c r="Q243" s="40"/>
      <c r="R243" s="40"/>
      <c r="S243" s="40"/>
      <c r="T243" s="40"/>
      <c r="U243" s="40"/>
      <c r="V243" s="40"/>
    </row>
    <row r="244" spans="1:22" ht="12.5">
      <c r="A244" s="40"/>
      <c r="B244" s="111"/>
      <c r="C244" s="111"/>
      <c r="D244" s="111"/>
      <c r="E244" s="40"/>
      <c r="F244" s="40"/>
      <c r="G244" s="145"/>
      <c r="H244" s="40"/>
      <c r="I244" s="40"/>
      <c r="J244" s="40"/>
      <c r="K244" s="114"/>
      <c r="L244" s="114"/>
      <c r="M244" s="40"/>
      <c r="N244" s="40"/>
      <c r="O244" s="40"/>
      <c r="P244" s="40"/>
      <c r="Q244" s="40"/>
      <c r="R244" s="40"/>
      <c r="S244" s="40"/>
      <c r="T244" s="40"/>
      <c r="U244" s="40"/>
      <c r="V244" s="40"/>
    </row>
    <row r="245" spans="1:22" ht="12.5">
      <c r="A245" s="40"/>
      <c r="B245" s="111"/>
      <c r="C245" s="111"/>
      <c r="D245" s="111"/>
      <c r="E245" s="40"/>
      <c r="F245" s="40"/>
      <c r="G245" s="145"/>
      <c r="H245" s="40"/>
      <c r="I245" s="40"/>
      <c r="J245" s="40"/>
      <c r="K245" s="114"/>
      <c r="L245" s="114"/>
      <c r="M245" s="40"/>
      <c r="N245" s="40"/>
      <c r="O245" s="40"/>
      <c r="P245" s="40"/>
      <c r="Q245" s="40"/>
      <c r="R245" s="40"/>
      <c r="S245" s="40"/>
      <c r="T245" s="40"/>
      <c r="U245" s="40"/>
      <c r="V245" s="40"/>
    </row>
    <row r="246" spans="1:22" ht="12.5">
      <c r="A246" s="40"/>
      <c r="B246" s="111"/>
      <c r="C246" s="111"/>
      <c r="D246" s="111"/>
      <c r="E246" s="40"/>
      <c r="F246" s="40"/>
      <c r="G246" s="145"/>
      <c r="H246" s="40"/>
      <c r="I246" s="40"/>
      <c r="J246" s="40"/>
      <c r="K246" s="114"/>
      <c r="L246" s="114"/>
      <c r="M246" s="40"/>
      <c r="N246" s="40"/>
      <c r="O246" s="40"/>
      <c r="P246" s="40"/>
      <c r="Q246" s="40"/>
      <c r="R246" s="40"/>
      <c r="S246" s="40"/>
      <c r="T246" s="40"/>
      <c r="U246" s="40"/>
      <c r="V246" s="40"/>
    </row>
    <row r="247" spans="1:22" ht="12.5">
      <c r="A247" s="40"/>
      <c r="B247" s="111"/>
      <c r="C247" s="111"/>
      <c r="D247" s="111"/>
      <c r="E247" s="40"/>
      <c r="F247" s="40"/>
      <c r="G247" s="145"/>
      <c r="H247" s="40"/>
      <c r="I247" s="40"/>
      <c r="J247" s="40"/>
      <c r="K247" s="114"/>
      <c r="L247" s="114"/>
      <c r="M247" s="40"/>
      <c r="N247" s="40"/>
      <c r="O247" s="40"/>
      <c r="P247" s="40"/>
      <c r="Q247" s="40"/>
      <c r="R247" s="40"/>
      <c r="S247" s="40"/>
      <c r="T247" s="40"/>
      <c r="U247" s="40"/>
      <c r="V247" s="40"/>
    </row>
    <row r="248" spans="1:22" ht="12.5">
      <c r="A248" s="40"/>
      <c r="B248" s="111"/>
      <c r="C248" s="111"/>
      <c r="D248" s="111"/>
      <c r="E248" s="40"/>
      <c r="F248" s="40"/>
      <c r="G248" s="145"/>
      <c r="H248" s="40"/>
      <c r="I248" s="40"/>
      <c r="J248" s="40"/>
      <c r="K248" s="114"/>
      <c r="L248" s="114"/>
      <c r="M248" s="40"/>
      <c r="N248" s="40"/>
      <c r="O248" s="40"/>
      <c r="P248" s="40"/>
      <c r="Q248" s="40"/>
      <c r="R248" s="40"/>
      <c r="S248" s="40"/>
      <c r="T248" s="40"/>
      <c r="U248" s="40"/>
      <c r="V248" s="40"/>
    </row>
    <row r="249" spans="1:22" ht="12.5">
      <c r="A249" s="40"/>
      <c r="B249" s="111"/>
      <c r="C249" s="111"/>
      <c r="D249" s="111"/>
      <c r="E249" s="40"/>
      <c r="F249" s="40"/>
      <c r="G249" s="145"/>
      <c r="H249" s="40"/>
      <c r="I249" s="40"/>
      <c r="J249" s="40"/>
      <c r="K249" s="114"/>
      <c r="L249" s="114"/>
      <c r="M249" s="40"/>
      <c r="N249" s="40"/>
      <c r="O249" s="40"/>
      <c r="P249" s="40"/>
      <c r="Q249" s="40"/>
      <c r="R249" s="40"/>
      <c r="S249" s="40"/>
      <c r="T249" s="40"/>
      <c r="U249" s="40"/>
      <c r="V249" s="40"/>
    </row>
    <row r="250" spans="1:22" ht="12.5">
      <c r="A250" s="40"/>
      <c r="B250" s="111"/>
      <c r="C250" s="111"/>
      <c r="D250" s="111"/>
      <c r="E250" s="40"/>
      <c r="F250" s="40"/>
      <c r="G250" s="145"/>
      <c r="H250" s="40"/>
      <c r="I250" s="40"/>
      <c r="J250" s="40"/>
      <c r="K250" s="114"/>
      <c r="L250" s="114"/>
      <c r="M250" s="40"/>
      <c r="N250" s="40"/>
      <c r="O250" s="40"/>
      <c r="P250" s="40"/>
      <c r="Q250" s="40"/>
      <c r="R250" s="40"/>
      <c r="S250" s="40"/>
      <c r="T250" s="40"/>
      <c r="U250" s="40"/>
      <c r="V250" s="40"/>
    </row>
    <row r="251" spans="1:22" ht="12.5">
      <c r="A251" s="40"/>
      <c r="B251" s="111"/>
      <c r="C251" s="111"/>
      <c r="D251" s="111"/>
      <c r="E251" s="40"/>
      <c r="F251" s="40"/>
      <c r="G251" s="145"/>
      <c r="H251" s="40"/>
      <c r="I251" s="40"/>
      <c r="J251" s="40"/>
      <c r="K251" s="114"/>
      <c r="L251" s="114"/>
      <c r="M251" s="40"/>
      <c r="N251" s="40"/>
      <c r="O251" s="40"/>
      <c r="P251" s="40"/>
      <c r="Q251" s="40"/>
      <c r="R251" s="40"/>
      <c r="S251" s="40"/>
      <c r="T251" s="40"/>
      <c r="U251" s="40"/>
      <c r="V251" s="40"/>
    </row>
    <row r="252" spans="1:22" ht="12.5">
      <c r="A252" s="40"/>
      <c r="B252" s="111"/>
      <c r="C252" s="111"/>
      <c r="D252" s="111"/>
      <c r="E252" s="40"/>
      <c r="F252" s="40"/>
      <c r="G252" s="145"/>
      <c r="H252" s="40"/>
      <c r="I252" s="40"/>
      <c r="J252" s="40"/>
      <c r="K252" s="114"/>
      <c r="L252" s="114"/>
      <c r="M252" s="40"/>
      <c r="N252" s="40"/>
      <c r="O252" s="40"/>
      <c r="P252" s="40"/>
      <c r="Q252" s="40"/>
      <c r="R252" s="40"/>
      <c r="S252" s="40"/>
      <c r="T252" s="40"/>
      <c r="U252" s="40"/>
      <c r="V252" s="40"/>
    </row>
    <row r="253" spans="1:22" ht="12.5">
      <c r="A253" s="40"/>
      <c r="B253" s="111"/>
      <c r="C253" s="111"/>
      <c r="D253" s="111"/>
      <c r="E253" s="40"/>
      <c r="F253" s="40"/>
      <c r="G253" s="145"/>
      <c r="H253" s="40"/>
      <c r="I253" s="40"/>
      <c r="J253" s="40"/>
      <c r="K253" s="114"/>
      <c r="L253" s="114"/>
      <c r="M253" s="40"/>
      <c r="N253" s="40"/>
      <c r="O253" s="40"/>
      <c r="P253" s="40"/>
      <c r="Q253" s="40"/>
      <c r="R253" s="40"/>
      <c r="S253" s="40"/>
      <c r="T253" s="40"/>
      <c r="U253" s="40"/>
      <c r="V253" s="40"/>
    </row>
    <row r="254" spans="1:22" ht="12.5">
      <c r="A254" s="40"/>
      <c r="B254" s="111"/>
      <c r="C254" s="111"/>
      <c r="D254" s="111"/>
      <c r="E254" s="40"/>
      <c r="F254" s="40"/>
      <c r="G254" s="145"/>
      <c r="H254" s="40"/>
      <c r="I254" s="40"/>
      <c r="J254" s="40"/>
      <c r="K254" s="114"/>
      <c r="L254" s="114"/>
      <c r="M254" s="40"/>
      <c r="N254" s="40"/>
      <c r="O254" s="40"/>
      <c r="P254" s="40"/>
      <c r="Q254" s="40"/>
      <c r="R254" s="40"/>
      <c r="S254" s="40"/>
      <c r="T254" s="40"/>
      <c r="U254" s="40"/>
      <c r="V254" s="40"/>
    </row>
    <row r="255" spans="1:22" ht="12.5">
      <c r="A255" s="40"/>
      <c r="B255" s="111"/>
      <c r="C255" s="111"/>
      <c r="D255" s="111"/>
      <c r="E255" s="40"/>
      <c r="F255" s="40"/>
      <c r="G255" s="145"/>
      <c r="H255" s="40"/>
      <c r="I255" s="40"/>
      <c r="J255" s="40"/>
      <c r="K255" s="114"/>
      <c r="L255" s="114"/>
      <c r="M255" s="40"/>
      <c r="N255" s="40"/>
      <c r="O255" s="40"/>
      <c r="P255" s="40"/>
      <c r="Q255" s="40"/>
      <c r="R255" s="40"/>
      <c r="S255" s="40"/>
      <c r="T255" s="40"/>
      <c r="U255" s="40"/>
      <c r="V255" s="40"/>
    </row>
    <row r="256" spans="1:22" ht="12.5">
      <c r="A256" s="40"/>
      <c r="B256" s="111"/>
      <c r="C256" s="111"/>
      <c r="D256" s="111"/>
      <c r="E256" s="40"/>
      <c r="F256" s="40"/>
      <c r="G256" s="145"/>
      <c r="H256" s="40"/>
      <c r="I256" s="40"/>
      <c r="J256" s="40"/>
      <c r="K256" s="114"/>
      <c r="L256" s="114"/>
      <c r="M256" s="40"/>
      <c r="N256" s="40"/>
      <c r="O256" s="40"/>
      <c r="P256" s="40"/>
      <c r="Q256" s="40"/>
      <c r="R256" s="40"/>
      <c r="S256" s="40"/>
      <c r="T256" s="40"/>
      <c r="U256" s="40"/>
      <c r="V256" s="40"/>
    </row>
    <row r="257" spans="1:22" ht="12.5">
      <c r="A257" s="40"/>
      <c r="B257" s="111"/>
      <c r="C257" s="111"/>
      <c r="D257" s="111"/>
      <c r="E257" s="40"/>
      <c r="F257" s="40"/>
      <c r="G257" s="145"/>
      <c r="H257" s="40"/>
      <c r="I257" s="40"/>
      <c r="J257" s="40"/>
      <c r="K257" s="114"/>
      <c r="L257" s="114"/>
      <c r="M257" s="40"/>
      <c r="N257" s="40"/>
      <c r="O257" s="40"/>
      <c r="P257" s="40"/>
      <c r="Q257" s="40"/>
      <c r="R257" s="40"/>
      <c r="S257" s="40"/>
      <c r="T257" s="40"/>
      <c r="U257" s="40"/>
      <c r="V257" s="40"/>
    </row>
    <row r="258" spans="1:22" ht="12.5">
      <c r="A258" s="40"/>
      <c r="B258" s="111"/>
      <c r="C258" s="111"/>
      <c r="D258" s="111"/>
      <c r="E258" s="40"/>
      <c r="F258" s="40"/>
      <c r="G258" s="145"/>
      <c r="H258" s="40"/>
      <c r="I258" s="40"/>
      <c r="J258" s="40"/>
      <c r="K258" s="114"/>
      <c r="L258" s="114"/>
      <c r="M258" s="40"/>
      <c r="N258" s="40"/>
      <c r="O258" s="40"/>
      <c r="P258" s="40"/>
      <c r="Q258" s="40"/>
      <c r="R258" s="40"/>
      <c r="S258" s="40"/>
      <c r="T258" s="40"/>
      <c r="U258" s="40"/>
      <c r="V258" s="40"/>
    </row>
    <row r="259" spans="1:22" ht="12.5">
      <c r="A259" s="40"/>
      <c r="B259" s="111"/>
      <c r="C259" s="111"/>
      <c r="D259" s="111"/>
      <c r="E259" s="40"/>
      <c r="F259" s="40"/>
      <c r="G259" s="145"/>
      <c r="H259" s="40"/>
      <c r="I259" s="40"/>
      <c r="J259" s="40"/>
      <c r="K259" s="114"/>
      <c r="L259" s="114"/>
      <c r="M259" s="40"/>
      <c r="N259" s="40"/>
      <c r="O259" s="40"/>
      <c r="P259" s="40"/>
      <c r="Q259" s="40"/>
      <c r="R259" s="40"/>
      <c r="S259" s="40"/>
      <c r="T259" s="40"/>
      <c r="U259" s="40"/>
      <c r="V259" s="40"/>
    </row>
    <row r="260" spans="1:22" ht="12.5">
      <c r="A260" s="40"/>
      <c r="B260" s="111"/>
      <c r="C260" s="111"/>
      <c r="D260" s="111"/>
      <c r="E260" s="40"/>
      <c r="F260" s="40"/>
      <c r="G260" s="145"/>
      <c r="H260" s="40"/>
      <c r="I260" s="40"/>
      <c r="J260" s="40"/>
      <c r="K260" s="114"/>
      <c r="L260" s="114"/>
      <c r="M260" s="40"/>
      <c r="N260" s="40"/>
      <c r="O260" s="40"/>
      <c r="P260" s="40"/>
      <c r="Q260" s="40"/>
      <c r="R260" s="40"/>
      <c r="S260" s="40"/>
      <c r="T260" s="40"/>
      <c r="U260" s="40"/>
      <c r="V260" s="40"/>
    </row>
    <row r="261" spans="1:22" ht="12.5">
      <c r="A261" s="40"/>
      <c r="B261" s="111"/>
      <c r="C261" s="111"/>
      <c r="D261" s="111"/>
      <c r="E261" s="40"/>
      <c r="F261" s="40"/>
      <c r="G261" s="145"/>
      <c r="H261" s="40"/>
      <c r="I261" s="40"/>
      <c r="J261" s="40"/>
      <c r="K261" s="114"/>
      <c r="L261" s="114"/>
      <c r="M261" s="40"/>
      <c r="N261" s="40"/>
      <c r="O261" s="40"/>
      <c r="P261" s="40"/>
      <c r="Q261" s="40"/>
      <c r="R261" s="40"/>
      <c r="S261" s="40"/>
      <c r="T261" s="40"/>
      <c r="U261" s="40"/>
      <c r="V261" s="40"/>
    </row>
    <row r="262" spans="1:22" ht="12.5">
      <c r="A262" s="40"/>
      <c r="B262" s="111"/>
      <c r="C262" s="111"/>
      <c r="D262" s="111"/>
      <c r="E262" s="40"/>
      <c r="F262" s="40"/>
      <c r="G262" s="145"/>
      <c r="H262" s="40"/>
      <c r="I262" s="40"/>
      <c r="J262" s="40"/>
      <c r="K262" s="114"/>
      <c r="L262" s="114"/>
      <c r="M262" s="40"/>
      <c r="N262" s="40"/>
      <c r="O262" s="40"/>
      <c r="P262" s="40"/>
      <c r="Q262" s="40"/>
      <c r="R262" s="40"/>
      <c r="S262" s="40"/>
      <c r="T262" s="40"/>
      <c r="U262" s="40"/>
      <c r="V262" s="40"/>
    </row>
    <row r="263" spans="1:22" ht="12.5">
      <c r="A263" s="40"/>
      <c r="B263" s="111"/>
      <c r="C263" s="111"/>
      <c r="D263" s="111"/>
      <c r="E263" s="40"/>
      <c r="F263" s="40"/>
      <c r="G263" s="145"/>
      <c r="H263" s="40"/>
      <c r="I263" s="40"/>
      <c r="J263" s="40"/>
      <c r="K263" s="114"/>
      <c r="L263" s="114"/>
      <c r="M263" s="40"/>
      <c r="N263" s="40"/>
      <c r="O263" s="40"/>
      <c r="P263" s="40"/>
      <c r="Q263" s="40"/>
      <c r="R263" s="40"/>
      <c r="S263" s="40"/>
      <c r="T263" s="40"/>
      <c r="U263" s="40"/>
      <c r="V263" s="40"/>
    </row>
    <row r="264" spans="1:22" ht="12.5">
      <c r="A264" s="40"/>
      <c r="B264" s="111"/>
      <c r="C264" s="111"/>
      <c r="D264" s="111"/>
      <c r="E264" s="40"/>
      <c r="F264" s="40"/>
      <c r="G264" s="145"/>
      <c r="H264" s="40"/>
      <c r="I264" s="40"/>
      <c r="J264" s="40"/>
      <c r="K264" s="114"/>
      <c r="L264" s="114"/>
      <c r="M264" s="40"/>
      <c r="N264" s="40"/>
      <c r="O264" s="40"/>
      <c r="P264" s="40"/>
      <c r="Q264" s="40"/>
      <c r="R264" s="40"/>
      <c r="S264" s="40"/>
      <c r="T264" s="40"/>
      <c r="U264" s="40"/>
      <c r="V264" s="40"/>
    </row>
    <row r="265" spans="1:22" ht="12.5">
      <c r="A265" s="40"/>
      <c r="B265" s="111"/>
      <c r="C265" s="111"/>
      <c r="D265" s="111"/>
      <c r="E265" s="40"/>
      <c r="F265" s="40"/>
      <c r="G265" s="145"/>
      <c r="H265" s="40"/>
      <c r="I265" s="40"/>
      <c r="J265" s="40"/>
      <c r="K265" s="114"/>
      <c r="L265" s="114"/>
      <c r="M265" s="40"/>
      <c r="N265" s="40"/>
      <c r="O265" s="40"/>
      <c r="P265" s="40"/>
      <c r="Q265" s="40"/>
      <c r="R265" s="40"/>
      <c r="S265" s="40"/>
      <c r="T265" s="40"/>
      <c r="U265" s="40"/>
      <c r="V265" s="40"/>
    </row>
    <row r="266" spans="1:22" ht="12.5">
      <c r="A266" s="40"/>
      <c r="B266" s="111"/>
      <c r="C266" s="111"/>
      <c r="D266" s="111"/>
      <c r="E266" s="40"/>
      <c r="F266" s="40"/>
      <c r="G266" s="145"/>
      <c r="H266" s="40"/>
      <c r="I266" s="40"/>
      <c r="J266" s="40"/>
      <c r="K266" s="114"/>
      <c r="L266" s="114"/>
      <c r="M266" s="40"/>
      <c r="N266" s="40"/>
      <c r="O266" s="40"/>
      <c r="P266" s="40"/>
      <c r="Q266" s="40"/>
      <c r="R266" s="40"/>
      <c r="S266" s="40"/>
      <c r="T266" s="40"/>
      <c r="U266" s="40"/>
      <c r="V266" s="40"/>
    </row>
    <row r="267" spans="1:22" ht="12.5">
      <c r="A267" s="40"/>
      <c r="B267" s="111"/>
      <c r="C267" s="111"/>
      <c r="D267" s="111"/>
      <c r="E267" s="40"/>
      <c r="F267" s="40"/>
      <c r="G267" s="145"/>
      <c r="H267" s="40"/>
      <c r="I267" s="40"/>
      <c r="J267" s="40"/>
      <c r="K267" s="114"/>
      <c r="L267" s="114"/>
      <c r="M267" s="40"/>
      <c r="N267" s="40"/>
      <c r="O267" s="40"/>
      <c r="P267" s="40"/>
      <c r="Q267" s="40"/>
      <c r="R267" s="40"/>
      <c r="S267" s="40"/>
      <c r="T267" s="40"/>
      <c r="U267" s="40"/>
      <c r="V267" s="40"/>
    </row>
    <row r="268" spans="1:22" ht="12.5">
      <c r="A268" s="40"/>
      <c r="B268" s="111"/>
      <c r="C268" s="111"/>
      <c r="D268" s="111"/>
      <c r="E268" s="40"/>
      <c r="F268" s="40"/>
      <c r="G268" s="145"/>
      <c r="H268" s="40"/>
      <c r="I268" s="40"/>
      <c r="J268" s="40"/>
      <c r="K268" s="114"/>
      <c r="L268" s="114"/>
      <c r="M268" s="40"/>
      <c r="N268" s="40"/>
      <c r="O268" s="40"/>
      <c r="P268" s="40"/>
      <c r="Q268" s="40"/>
      <c r="R268" s="40"/>
      <c r="S268" s="40"/>
      <c r="T268" s="40"/>
      <c r="U268" s="40"/>
      <c r="V268" s="40"/>
    </row>
    <row r="269" spans="1:22" ht="12.5">
      <c r="A269" s="40"/>
      <c r="B269" s="111"/>
      <c r="C269" s="111"/>
      <c r="D269" s="111"/>
      <c r="E269" s="40"/>
      <c r="F269" s="40"/>
      <c r="G269" s="145"/>
      <c r="H269" s="40"/>
      <c r="I269" s="40"/>
      <c r="J269" s="40"/>
      <c r="K269" s="114"/>
      <c r="L269" s="114"/>
      <c r="M269" s="40"/>
      <c r="N269" s="40"/>
      <c r="O269" s="40"/>
      <c r="P269" s="40"/>
      <c r="Q269" s="40"/>
      <c r="R269" s="40"/>
      <c r="S269" s="40"/>
      <c r="T269" s="40"/>
      <c r="U269" s="40"/>
      <c r="V269" s="40"/>
    </row>
    <row r="270" spans="1:22" ht="12.5">
      <c r="A270" s="40"/>
      <c r="B270" s="111"/>
      <c r="C270" s="111"/>
      <c r="D270" s="111"/>
      <c r="E270" s="40"/>
      <c r="F270" s="40"/>
      <c r="G270" s="145"/>
      <c r="H270" s="40"/>
      <c r="I270" s="40"/>
      <c r="J270" s="40"/>
      <c r="K270" s="114"/>
      <c r="L270" s="114"/>
      <c r="M270" s="40"/>
      <c r="N270" s="40"/>
      <c r="O270" s="40"/>
      <c r="P270" s="40"/>
      <c r="Q270" s="40"/>
      <c r="R270" s="40"/>
      <c r="S270" s="40"/>
      <c r="T270" s="40"/>
      <c r="U270" s="40"/>
      <c r="V270" s="40"/>
    </row>
    <row r="271" spans="1:22" ht="12.5">
      <c r="A271" s="40"/>
      <c r="B271" s="111"/>
      <c r="C271" s="111"/>
      <c r="D271" s="111"/>
      <c r="E271" s="40"/>
      <c r="F271" s="40"/>
      <c r="G271" s="145"/>
      <c r="H271" s="40"/>
      <c r="I271" s="40"/>
      <c r="J271" s="40"/>
      <c r="K271" s="114"/>
      <c r="L271" s="114"/>
      <c r="M271" s="40"/>
      <c r="N271" s="40"/>
      <c r="O271" s="40"/>
      <c r="P271" s="40"/>
      <c r="Q271" s="40"/>
      <c r="R271" s="40"/>
      <c r="S271" s="40"/>
      <c r="T271" s="40"/>
      <c r="U271" s="40"/>
      <c r="V271" s="40"/>
    </row>
    <row r="272" spans="1:22" ht="12.5">
      <c r="A272" s="40"/>
      <c r="B272" s="111"/>
      <c r="C272" s="111"/>
      <c r="D272" s="111"/>
      <c r="E272" s="40"/>
      <c r="F272" s="40"/>
      <c r="G272" s="145"/>
      <c r="H272" s="40"/>
      <c r="I272" s="40"/>
      <c r="J272" s="40"/>
      <c r="K272" s="114"/>
      <c r="L272" s="114"/>
      <c r="M272" s="40"/>
      <c r="N272" s="40"/>
      <c r="O272" s="40"/>
      <c r="P272" s="40"/>
      <c r="Q272" s="40"/>
      <c r="R272" s="40"/>
      <c r="S272" s="40"/>
      <c r="T272" s="40"/>
      <c r="U272" s="40"/>
      <c r="V272" s="40"/>
    </row>
    <row r="273" spans="1:22" ht="12.5">
      <c r="A273" s="40"/>
      <c r="B273" s="111"/>
      <c r="C273" s="111"/>
      <c r="D273" s="111"/>
      <c r="E273" s="40"/>
      <c r="F273" s="40"/>
      <c r="G273" s="145"/>
      <c r="H273" s="40"/>
      <c r="I273" s="40"/>
      <c r="J273" s="40"/>
      <c r="K273" s="114"/>
      <c r="L273" s="114"/>
      <c r="M273" s="40"/>
      <c r="N273" s="40"/>
      <c r="O273" s="40"/>
      <c r="P273" s="40"/>
      <c r="Q273" s="40"/>
      <c r="R273" s="40"/>
      <c r="S273" s="40"/>
      <c r="T273" s="40"/>
      <c r="U273" s="40"/>
      <c r="V273" s="40"/>
    </row>
    <row r="274" spans="1:22" ht="12.5">
      <c r="A274" s="40"/>
      <c r="B274" s="111"/>
      <c r="C274" s="111"/>
      <c r="D274" s="111"/>
      <c r="E274" s="40"/>
      <c r="F274" s="40"/>
      <c r="G274" s="145"/>
      <c r="H274" s="40"/>
      <c r="I274" s="40"/>
      <c r="J274" s="40"/>
      <c r="K274" s="114"/>
      <c r="L274" s="114"/>
      <c r="M274" s="40"/>
      <c r="N274" s="40"/>
      <c r="O274" s="40"/>
      <c r="P274" s="40"/>
      <c r="Q274" s="40"/>
      <c r="R274" s="40"/>
      <c r="S274" s="40"/>
      <c r="T274" s="40"/>
      <c r="U274" s="40"/>
      <c r="V274" s="40"/>
    </row>
    <row r="275" spans="1:22" ht="12.5">
      <c r="A275" s="40"/>
      <c r="B275" s="111"/>
      <c r="C275" s="111"/>
      <c r="D275" s="111"/>
      <c r="E275" s="40"/>
      <c r="F275" s="40"/>
      <c r="G275" s="145"/>
      <c r="H275" s="40"/>
      <c r="I275" s="40"/>
      <c r="J275" s="40"/>
      <c r="K275" s="114"/>
      <c r="L275" s="114"/>
      <c r="M275" s="40"/>
      <c r="N275" s="40"/>
      <c r="O275" s="40"/>
      <c r="P275" s="40"/>
      <c r="Q275" s="40"/>
      <c r="R275" s="40"/>
      <c r="S275" s="40"/>
      <c r="T275" s="40"/>
      <c r="U275" s="40"/>
      <c r="V275" s="40"/>
    </row>
    <row r="276" spans="1:22" ht="12.5">
      <c r="A276" s="40"/>
      <c r="B276" s="111"/>
      <c r="C276" s="111"/>
      <c r="D276" s="111"/>
      <c r="E276" s="40"/>
      <c r="F276" s="40"/>
      <c r="G276" s="145"/>
      <c r="H276" s="40"/>
      <c r="I276" s="40"/>
      <c r="J276" s="40"/>
      <c r="K276" s="114"/>
      <c r="L276" s="114"/>
      <c r="M276" s="40"/>
      <c r="N276" s="40"/>
      <c r="O276" s="40"/>
      <c r="P276" s="40"/>
      <c r="Q276" s="40"/>
      <c r="R276" s="40"/>
      <c r="S276" s="40"/>
      <c r="T276" s="40"/>
      <c r="U276" s="40"/>
      <c r="V276" s="40"/>
    </row>
    <row r="277" spans="1:22" ht="12.5">
      <c r="A277" s="40"/>
      <c r="B277" s="111"/>
      <c r="C277" s="111"/>
      <c r="D277" s="111"/>
      <c r="E277" s="40"/>
      <c r="F277" s="40"/>
      <c r="G277" s="145"/>
      <c r="H277" s="40"/>
      <c r="I277" s="40"/>
      <c r="J277" s="40"/>
      <c r="K277" s="114"/>
      <c r="L277" s="114"/>
      <c r="M277" s="40"/>
      <c r="N277" s="40"/>
      <c r="O277" s="40"/>
      <c r="P277" s="40"/>
      <c r="Q277" s="40"/>
      <c r="R277" s="40"/>
      <c r="S277" s="40"/>
      <c r="T277" s="40"/>
      <c r="U277" s="40"/>
      <c r="V277" s="40"/>
    </row>
    <row r="278" spans="1:22" ht="12.5">
      <c r="A278" s="173"/>
      <c r="B278" s="174"/>
      <c r="C278" s="174"/>
      <c r="D278" s="173"/>
      <c r="E278" s="173"/>
      <c r="F278" s="173"/>
      <c r="G278" s="175"/>
      <c r="H278" s="173"/>
      <c r="I278" s="173"/>
      <c r="J278" s="173"/>
      <c r="K278" s="176"/>
      <c r="L278" s="176"/>
      <c r="M278" s="173"/>
      <c r="N278" s="173"/>
      <c r="O278" s="173"/>
      <c r="P278" s="173"/>
      <c r="Q278" s="173"/>
      <c r="R278" s="173"/>
      <c r="S278" s="173"/>
      <c r="T278" s="173"/>
      <c r="U278" s="173"/>
      <c r="V278" s="173"/>
    </row>
    <row r="279" spans="1:22" ht="12.5">
      <c r="A279" s="173"/>
      <c r="B279" s="174"/>
      <c r="C279" s="174"/>
      <c r="D279" s="173"/>
      <c r="E279" s="173"/>
      <c r="F279" s="173"/>
      <c r="G279" s="175"/>
      <c r="H279" s="173"/>
      <c r="I279" s="173"/>
      <c r="J279" s="173"/>
      <c r="K279" s="176"/>
      <c r="L279" s="176"/>
      <c r="M279" s="173"/>
      <c r="N279" s="173"/>
      <c r="O279" s="173"/>
      <c r="P279" s="173"/>
      <c r="Q279" s="173"/>
      <c r="R279" s="173"/>
      <c r="S279" s="173"/>
      <c r="T279" s="173"/>
      <c r="U279" s="173"/>
      <c r="V279" s="173"/>
    </row>
    <row r="280" spans="1:22" ht="12.5">
      <c r="A280" s="173"/>
      <c r="B280" s="174"/>
      <c r="C280" s="174"/>
      <c r="D280" s="173"/>
      <c r="E280" s="173"/>
      <c r="F280" s="173"/>
      <c r="G280" s="175"/>
      <c r="H280" s="173"/>
      <c r="I280" s="173"/>
      <c r="J280" s="173"/>
      <c r="K280" s="176"/>
      <c r="L280" s="176"/>
      <c r="M280" s="173"/>
      <c r="N280" s="173"/>
      <c r="O280" s="173"/>
      <c r="P280" s="173"/>
      <c r="Q280" s="173"/>
      <c r="R280" s="173"/>
      <c r="S280" s="173"/>
      <c r="T280" s="173"/>
      <c r="U280" s="173"/>
      <c r="V280" s="173"/>
    </row>
    <row r="281" spans="1:22" ht="12.5">
      <c r="A281" s="173"/>
      <c r="B281" s="174"/>
      <c r="C281" s="174"/>
      <c r="D281" s="173"/>
      <c r="E281" s="173"/>
      <c r="F281" s="173"/>
      <c r="G281" s="175"/>
      <c r="H281" s="173"/>
      <c r="I281" s="173"/>
      <c r="J281" s="173"/>
      <c r="K281" s="176"/>
      <c r="L281" s="176"/>
      <c r="M281" s="173"/>
      <c r="N281" s="173"/>
      <c r="O281" s="173"/>
      <c r="P281" s="173"/>
      <c r="Q281" s="173"/>
      <c r="R281" s="173"/>
      <c r="S281" s="173"/>
      <c r="T281" s="173"/>
      <c r="U281" s="173"/>
      <c r="V281" s="173"/>
    </row>
    <row r="282" spans="1:22" ht="12.5">
      <c r="A282" s="173"/>
      <c r="B282" s="174"/>
      <c r="C282" s="174"/>
      <c r="D282" s="173"/>
      <c r="E282" s="173"/>
      <c r="F282" s="173"/>
      <c r="G282" s="175"/>
      <c r="H282" s="173"/>
      <c r="I282" s="173"/>
      <c r="J282" s="173"/>
      <c r="K282" s="176"/>
      <c r="L282" s="176"/>
      <c r="M282" s="173"/>
      <c r="N282" s="173"/>
      <c r="O282" s="173"/>
      <c r="P282" s="173"/>
      <c r="Q282" s="173"/>
      <c r="R282" s="173"/>
      <c r="S282" s="173"/>
      <c r="T282" s="173"/>
      <c r="U282" s="173"/>
      <c r="V282" s="173"/>
    </row>
    <row r="283" spans="1:22" ht="12.5">
      <c r="A283" s="173"/>
      <c r="B283" s="174"/>
      <c r="C283" s="174"/>
      <c r="D283" s="173"/>
      <c r="E283" s="173"/>
      <c r="F283" s="173"/>
      <c r="G283" s="175"/>
      <c r="H283" s="173"/>
      <c r="I283" s="173"/>
      <c r="J283" s="173"/>
      <c r="K283" s="176"/>
      <c r="L283" s="176"/>
      <c r="M283" s="173"/>
      <c r="N283" s="173"/>
      <c r="O283" s="173"/>
      <c r="P283" s="173"/>
      <c r="Q283" s="173"/>
      <c r="R283" s="173"/>
      <c r="S283" s="173"/>
      <c r="T283" s="173"/>
      <c r="U283" s="173"/>
      <c r="V283" s="173"/>
    </row>
    <row r="284" spans="1:22" ht="12.5">
      <c r="A284" s="173"/>
      <c r="B284" s="174"/>
      <c r="C284" s="174"/>
      <c r="D284" s="173"/>
      <c r="E284" s="173"/>
      <c r="F284" s="173"/>
      <c r="G284" s="175"/>
      <c r="H284" s="173"/>
      <c r="I284" s="173"/>
      <c r="J284" s="173"/>
      <c r="K284" s="176"/>
      <c r="L284" s="176"/>
      <c r="M284" s="173"/>
      <c r="N284" s="173"/>
      <c r="O284" s="173"/>
      <c r="P284" s="173"/>
      <c r="Q284" s="173"/>
      <c r="R284" s="173"/>
      <c r="S284" s="173"/>
      <c r="T284" s="173"/>
      <c r="U284" s="173"/>
      <c r="V284" s="173"/>
    </row>
    <row r="285" spans="1:22" ht="12.5">
      <c r="A285" s="173"/>
      <c r="B285" s="174"/>
      <c r="C285" s="174"/>
      <c r="D285" s="173"/>
      <c r="E285" s="173"/>
      <c r="F285" s="173"/>
      <c r="G285" s="175"/>
      <c r="H285" s="173"/>
      <c r="I285" s="173"/>
      <c r="J285" s="173"/>
      <c r="K285" s="176"/>
      <c r="L285" s="176"/>
      <c r="M285" s="173"/>
      <c r="N285" s="173"/>
      <c r="O285" s="173"/>
      <c r="P285" s="173"/>
      <c r="Q285" s="173"/>
      <c r="R285" s="173"/>
      <c r="S285" s="173"/>
      <c r="T285" s="173"/>
      <c r="U285" s="173"/>
      <c r="V285" s="173"/>
    </row>
    <row r="286" spans="1:22" ht="12.5">
      <c r="A286" s="173"/>
      <c r="B286" s="174"/>
      <c r="C286" s="174"/>
      <c r="D286" s="173"/>
      <c r="E286" s="173"/>
      <c r="F286" s="173"/>
      <c r="G286" s="175"/>
      <c r="H286" s="173"/>
      <c r="I286" s="173"/>
      <c r="J286" s="173"/>
      <c r="K286" s="176"/>
      <c r="L286" s="176"/>
      <c r="M286" s="173"/>
      <c r="N286" s="173"/>
      <c r="O286" s="173"/>
      <c r="P286" s="173"/>
      <c r="Q286" s="173"/>
      <c r="R286" s="173"/>
      <c r="S286" s="173"/>
      <c r="T286" s="173"/>
      <c r="U286" s="173"/>
      <c r="V286" s="173"/>
    </row>
    <row r="287" spans="1:22" ht="12.5">
      <c r="A287" s="173"/>
      <c r="B287" s="174"/>
      <c r="C287" s="174"/>
      <c r="D287" s="173"/>
      <c r="E287" s="173"/>
      <c r="F287" s="173"/>
      <c r="G287" s="175"/>
      <c r="H287" s="173"/>
      <c r="I287" s="173"/>
      <c r="J287" s="173"/>
      <c r="K287" s="176"/>
      <c r="L287" s="176"/>
      <c r="M287" s="173"/>
      <c r="N287" s="173"/>
      <c r="O287" s="173"/>
      <c r="P287" s="173"/>
      <c r="Q287" s="173"/>
      <c r="R287" s="173"/>
      <c r="S287" s="173"/>
      <c r="T287" s="173"/>
      <c r="U287" s="173"/>
      <c r="V287" s="173"/>
    </row>
    <row r="288" spans="1:22" ht="12.5">
      <c r="A288" s="173"/>
      <c r="B288" s="174"/>
      <c r="C288" s="174"/>
      <c r="D288" s="173"/>
      <c r="E288" s="173"/>
      <c r="F288" s="173"/>
      <c r="G288" s="175"/>
      <c r="H288" s="173"/>
      <c r="I288" s="173"/>
      <c r="J288" s="173"/>
      <c r="K288" s="176"/>
      <c r="L288" s="176"/>
      <c r="M288" s="173"/>
      <c r="N288" s="173"/>
      <c r="O288" s="173"/>
      <c r="P288" s="173"/>
      <c r="Q288" s="173"/>
      <c r="R288" s="173"/>
      <c r="S288" s="173"/>
      <c r="T288" s="173"/>
      <c r="U288" s="173"/>
      <c r="V288" s="173"/>
    </row>
    <row r="289" spans="1:22" ht="12.5">
      <c r="A289" s="173"/>
      <c r="B289" s="174"/>
      <c r="C289" s="174"/>
      <c r="D289" s="173"/>
      <c r="E289" s="173"/>
      <c r="F289" s="173"/>
      <c r="G289" s="175"/>
      <c r="H289" s="173"/>
      <c r="I289" s="173"/>
      <c r="J289" s="173"/>
      <c r="K289" s="176"/>
      <c r="L289" s="176"/>
      <c r="M289" s="173"/>
      <c r="N289" s="173"/>
      <c r="O289" s="173"/>
      <c r="P289" s="173"/>
      <c r="Q289" s="173"/>
      <c r="R289" s="173"/>
      <c r="S289" s="173"/>
      <c r="T289" s="173"/>
      <c r="U289" s="173"/>
      <c r="V289" s="173"/>
    </row>
    <row r="290" spans="1:22" ht="12.5">
      <c r="A290" s="173"/>
      <c r="B290" s="174"/>
      <c r="C290" s="174"/>
      <c r="D290" s="173"/>
      <c r="E290" s="173"/>
      <c r="F290" s="173"/>
      <c r="G290" s="175"/>
      <c r="H290" s="173"/>
      <c r="I290" s="173"/>
      <c r="J290" s="173"/>
      <c r="K290" s="176"/>
      <c r="L290" s="176"/>
      <c r="M290" s="173"/>
      <c r="N290" s="173"/>
      <c r="O290" s="173"/>
      <c r="P290" s="173"/>
      <c r="Q290" s="173"/>
      <c r="R290" s="173"/>
      <c r="S290" s="173"/>
      <c r="T290" s="173"/>
      <c r="U290" s="173"/>
      <c r="V290" s="173"/>
    </row>
    <row r="291" spans="1:22" ht="12.5">
      <c r="A291" s="173"/>
      <c r="B291" s="174"/>
      <c r="C291" s="174"/>
      <c r="D291" s="173"/>
      <c r="E291" s="173"/>
      <c r="F291" s="173"/>
      <c r="G291" s="175"/>
      <c r="H291" s="173"/>
      <c r="I291" s="173"/>
      <c r="J291" s="173"/>
      <c r="K291" s="176"/>
      <c r="L291" s="176"/>
      <c r="M291" s="173"/>
      <c r="N291" s="173"/>
      <c r="O291" s="173"/>
      <c r="P291" s="173"/>
      <c r="Q291" s="173"/>
      <c r="R291" s="173"/>
      <c r="S291" s="173"/>
      <c r="T291" s="173"/>
      <c r="U291" s="173"/>
      <c r="V291" s="173"/>
    </row>
    <row r="292" spans="1:22" ht="12.5">
      <c r="A292" s="173"/>
      <c r="B292" s="174"/>
      <c r="C292" s="174"/>
      <c r="D292" s="173"/>
      <c r="E292" s="173"/>
      <c r="F292" s="173"/>
      <c r="G292" s="175"/>
      <c r="H292" s="173"/>
      <c r="I292" s="173"/>
      <c r="J292" s="173"/>
      <c r="K292" s="176"/>
      <c r="L292" s="176"/>
      <c r="M292" s="173"/>
      <c r="N292" s="173"/>
      <c r="O292" s="173"/>
      <c r="P292" s="173"/>
      <c r="Q292" s="173"/>
      <c r="R292" s="173"/>
      <c r="S292" s="173"/>
      <c r="T292" s="173"/>
      <c r="U292" s="173"/>
      <c r="V292" s="173"/>
    </row>
    <row r="293" spans="1:22" ht="12.5">
      <c r="A293" s="173"/>
      <c r="B293" s="174"/>
      <c r="C293" s="174"/>
      <c r="D293" s="173"/>
      <c r="E293" s="173"/>
      <c r="F293" s="173"/>
      <c r="G293" s="175"/>
      <c r="H293" s="173"/>
      <c r="I293" s="173"/>
      <c r="J293" s="173"/>
      <c r="K293" s="176"/>
      <c r="L293" s="176"/>
      <c r="M293" s="173"/>
      <c r="N293" s="173"/>
      <c r="O293" s="173"/>
      <c r="P293" s="173"/>
      <c r="Q293" s="173"/>
      <c r="R293" s="173"/>
      <c r="S293" s="173"/>
      <c r="T293" s="173"/>
      <c r="U293" s="173"/>
      <c r="V293" s="173"/>
    </row>
    <row r="294" spans="1:22" ht="12.5">
      <c r="A294" s="173"/>
      <c r="B294" s="174"/>
      <c r="C294" s="174"/>
      <c r="D294" s="173"/>
      <c r="E294" s="173"/>
      <c r="F294" s="173"/>
      <c r="G294" s="175"/>
      <c r="H294" s="173"/>
      <c r="I294" s="173"/>
      <c r="J294" s="173"/>
      <c r="K294" s="176"/>
      <c r="L294" s="176"/>
      <c r="M294" s="173"/>
      <c r="N294" s="173"/>
      <c r="O294" s="173"/>
      <c r="P294" s="173"/>
      <c r="Q294" s="173"/>
      <c r="R294" s="173"/>
      <c r="S294" s="173"/>
      <c r="T294" s="173"/>
      <c r="U294" s="173"/>
      <c r="V294" s="173"/>
    </row>
    <row r="295" spans="1:22" ht="12.5">
      <c r="A295" s="173"/>
      <c r="B295" s="174"/>
      <c r="C295" s="174"/>
      <c r="D295" s="173"/>
      <c r="E295" s="173"/>
      <c r="F295" s="173"/>
      <c r="G295" s="175"/>
      <c r="H295" s="173"/>
      <c r="I295" s="173"/>
      <c r="J295" s="173"/>
      <c r="K295" s="176"/>
      <c r="L295" s="176"/>
      <c r="M295" s="173"/>
      <c r="N295" s="173"/>
      <c r="O295" s="173"/>
      <c r="P295" s="173"/>
      <c r="Q295" s="173"/>
      <c r="R295" s="173"/>
      <c r="S295" s="173"/>
      <c r="T295" s="173"/>
      <c r="U295" s="173"/>
      <c r="V295" s="173"/>
    </row>
    <row r="296" spans="1:22" ht="12.5">
      <c r="A296" s="173"/>
      <c r="B296" s="174"/>
      <c r="C296" s="174"/>
      <c r="D296" s="173"/>
      <c r="E296" s="173"/>
      <c r="F296" s="173"/>
      <c r="G296" s="175"/>
      <c r="H296" s="173"/>
      <c r="I296" s="173"/>
      <c r="J296" s="173"/>
      <c r="K296" s="176"/>
      <c r="L296" s="176"/>
      <c r="M296" s="173"/>
      <c r="N296" s="173"/>
      <c r="O296" s="173"/>
      <c r="P296" s="173"/>
      <c r="Q296" s="173"/>
      <c r="R296" s="173"/>
      <c r="S296" s="173"/>
      <c r="T296" s="173"/>
      <c r="U296" s="173"/>
      <c r="V296" s="173"/>
    </row>
    <row r="297" spans="1:22" ht="12.5">
      <c r="A297" s="173"/>
      <c r="B297" s="174"/>
      <c r="C297" s="174"/>
      <c r="D297" s="173"/>
      <c r="E297" s="173"/>
      <c r="F297" s="173"/>
      <c r="G297" s="175"/>
      <c r="H297" s="173"/>
      <c r="I297" s="173"/>
      <c r="J297" s="173"/>
      <c r="K297" s="176"/>
      <c r="L297" s="176"/>
      <c r="M297" s="173"/>
      <c r="N297" s="173"/>
      <c r="O297" s="173"/>
      <c r="P297" s="173"/>
      <c r="Q297" s="173"/>
      <c r="R297" s="173"/>
      <c r="S297" s="173"/>
      <c r="T297" s="173"/>
      <c r="U297" s="173"/>
      <c r="V297" s="173"/>
    </row>
    <row r="298" spans="1:22" ht="12.5">
      <c r="A298" s="173"/>
      <c r="B298" s="174"/>
      <c r="C298" s="174"/>
      <c r="D298" s="173"/>
      <c r="E298" s="173"/>
      <c r="F298" s="173"/>
      <c r="G298" s="175"/>
      <c r="H298" s="173"/>
      <c r="I298" s="173"/>
      <c r="J298" s="173"/>
      <c r="K298" s="176"/>
      <c r="L298" s="176"/>
      <c r="M298" s="173"/>
      <c r="N298" s="173"/>
      <c r="O298" s="173"/>
      <c r="P298" s="173"/>
      <c r="Q298" s="173"/>
      <c r="R298" s="173"/>
      <c r="S298" s="173"/>
      <c r="T298" s="173"/>
      <c r="U298" s="173"/>
      <c r="V298" s="173"/>
    </row>
    <row r="299" spans="1:22" ht="12.5">
      <c r="A299" s="173"/>
      <c r="B299" s="174"/>
      <c r="C299" s="174"/>
      <c r="D299" s="173"/>
      <c r="E299" s="173"/>
      <c r="F299" s="173"/>
      <c r="G299" s="175"/>
      <c r="H299" s="173"/>
      <c r="I299" s="173"/>
      <c r="J299" s="173"/>
      <c r="K299" s="176"/>
      <c r="L299" s="176"/>
      <c r="M299" s="173"/>
      <c r="N299" s="173"/>
      <c r="O299" s="173"/>
      <c r="P299" s="173"/>
      <c r="Q299" s="173"/>
      <c r="R299" s="173"/>
      <c r="S299" s="173"/>
      <c r="T299" s="173"/>
      <c r="U299" s="173"/>
      <c r="V299" s="173"/>
    </row>
    <row r="300" spans="1:22" ht="12.5">
      <c r="A300" s="173"/>
      <c r="B300" s="174"/>
      <c r="C300" s="174"/>
      <c r="D300" s="173"/>
      <c r="E300" s="173"/>
      <c r="F300" s="173"/>
      <c r="G300" s="175"/>
      <c r="H300" s="173"/>
      <c r="I300" s="173"/>
      <c r="J300" s="173"/>
      <c r="K300" s="176"/>
      <c r="L300" s="176"/>
      <c r="M300" s="173"/>
      <c r="N300" s="173"/>
      <c r="O300" s="173"/>
      <c r="P300" s="173"/>
      <c r="Q300" s="173"/>
      <c r="R300" s="173"/>
      <c r="S300" s="173"/>
      <c r="T300" s="173"/>
      <c r="U300" s="173"/>
      <c r="V300" s="173"/>
    </row>
    <row r="301" spans="1:22" ht="12.5">
      <c r="A301" s="173"/>
      <c r="B301" s="174"/>
      <c r="C301" s="174"/>
      <c r="D301" s="173"/>
      <c r="E301" s="173"/>
      <c r="F301" s="173"/>
      <c r="G301" s="175"/>
      <c r="H301" s="173"/>
      <c r="I301" s="173"/>
      <c r="J301" s="173"/>
      <c r="K301" s="176"/>
      <c r="L301" s="176"/>
      <c r="M301" s="173"/>
      <c r="N301" s="173"/>
      <c r="O301" s="173"/>
      <c r="P301" s="173"/>
      <c r="Q301" s="173"/>
      <c r="R301" s="173"/>
      <c r="S301" s="173"/>
      <c r="T301" s="173"/>
      <c r="U301" s="173"/>
      <c r="V301" s="173"/>
    </row>
    <row r="302" spans="1:22" ht="12.5">
      <c r="A302" s="173"/>
      <c r="B302" s="174"/>
      <c r="C302" s="174"/>
      <c r="D302" s="173"/>
      <c r="E302" s="173"/>
      <c r="F302" s="173"/>
      <c r="G302" s="175"/>
      <c r="H302" s="173"/>
      <c r="I302" s="173"/>
      <c r="J302" s="173"/>
      <c r="K302" s="176"/>
      <c r="L302" s="176"/>
      <c r="M302" s="173"/>
      <c r="N302" s="173"/>
      <c r="O302" s="173"/>
      <c r="P302" s="173"/>
      <c r="Q302" s="173"/>
      <c r="R302" s="173"/>
      <c r="S302" s="173"/>
      <c r="T302" s="173"/>
      <c r="U302" s="173"/>
      <c r="V302" s="173"/>
    </row>
    <row r="303" spans="1:22" ht="12.5">
      <c r="A303" s="173"/>
      <c r="B303" s="174"/>
      <c r="C303" s="174"/>
      <c r="D303" s="173"/>
      <c r="E303" s="173"/>
      <c r="F303" s="173"/>
      <c r="G303" s="175"/>
      <c r="H303" s="173"/>
      <c r="I303" s="173"/>
      <c r="J303" s="173"/>
      <c r="K303" s="176"/>
      <c r="L303" s="176"/>
      <c r="M303" s="173"/>
      <c r="N303" s="173"/>
      <c r="O303" s="173"/>
      <c r="P303" s="173"/>
      <c r="Q303" s="173"/>
      <c r="R303" s="173"/>
      <c r="S303" s="173"/>
      <c r="T303" s="173"/>
      <c r="U303" s="173"/>
      <c r="V303" s="173"/>
    </row>
    <row r="304" spans="1:22" ht="12.5">
      <c r="A304" s="173"/>
      <c r="B304" s="174"/>
      <c r="C304" s="174"/>
      <c r="D304" s="173"/>
      <c r="E304" s="173"/>
      <c r="F304" s="173"/>
      <c r="G304" s="175"/>
      <c r="H304" s="173"/>
      <c r="I304" s="173"/>
      <c r="J304" s="173"/>
      <c r="K304" s="176"/>
      <c r="L304" s="176"/>
      <c r="M304" s="173"/>
      <c r="N304" s="173"/>
      <c r="O304" s="173"/>
      <c r="P304" s="173"/>
      <c r="Q304" s="173"/>
      <c r="R304" s="173"/>
      <c r="S304" s="173"/>
      <c r="T304" s="173"/>
      <c r="U304" s="173"/>
      <c r="V304" s="173"/>
    </row>
    <row r="305" spans="1:22" ht="12.5">
      <c r="A305" s="173"/>
      <c r="B305" s="174"/>
      <c r="C305" s="174"/>
      <c r="D305" s="173"/>
      <c r="E305" s="173"/>
      <c r="F305" s="173"/>
      <c r="G305" s="175"/>
      <c r="H305" s="173"/>
      <c r="I305" s="173"/>
      <c r="J305" s="173"/>
      <c r="K305" s="176"/>
      <c r="L305" s="176"/>
      <c r="M305" s="173"/>
      <c r="N305" s="173"/>
      <c r="O305" s="173"/>
      <c r="P305" s="173"/>
      <c r="Q305" s="173"/>
      <c r="R305" s="173"/>
      <c r="S305" s="173"/>
      <c r="T305" s="173"/>
      <c r="U305" s="173"/>
      <c r="V305" s="173"/>
    </row>
    <row r="306" spans="1:22" ht="12.5">
      <c r="A306" s="173"/>
      <c r="B306" s="174"/>
      <c r="C306" s="174"/>
      <c r="D306" s="173"/>
      <c r="E306" s="173"/>
      <c r="F306" s="173"/>
      <c r="G306" s="175"/>
      <c r="H306" s="173"/>
      <c r="I306" s="173"/>
      <c r="J306" s="173"/>
      <c r="K306" s="176"/>
      <c r="L306" s="176"/>
      <c r="M306" s="173"/>
      <c r="N306" s="173"/>
      <c r="O306" s="173"/>
      <c r="P306" s="173"/>
      <c r="Q306" s="173"/>
      <c r="R306" s="173"/>
      <c r="S306" s="173"/>
      <c r="T306" s="173"/>
      <c r="U306" s="173"/>
      <c r="V306" s="173"/>
    </row>
    <row r="307" spans="1:22" ht="12.5">
      <c r="A307" s="173"/>
      <c r="B307" s="174"/>
      <c r="C307" s="174"/>
      <c r="D307" s="173"/>
      <c r="E307" s="173"/>
      <c r="F307" s="173"/>
      <c r="G307" s="175"/>
      <c r="H307" s="173"/>
      <c r="I307" s="173"/>
      <c r="J307" s="173"/>
      <c r="K307" s="176"/>
      <c r="L307" s="176"/>
      <c r="M307" s="173"/>
      <c r="N307" s="173"/>
      <c r="O307" s="173"/>
      <c r="P307" s="173"/>
      <c r="Q307" s="173"/>
      <c r="R307" s="173"/>
      <c r="S307" s="173"/>
      <c r="T307" s="173"/>
      <c r="U307" s="173"/>
      <c r="V307" s="173"/>
    </row>
    <row r="308" spans="1:22" ht="12.5">
      <c r="A308" s="173"/>
      <c r="B308" s="174"/>
      <c r="C308" s="174"/>
      <c r="D308" s="173"/>
      <c r="E308" s="173"/>
      <c r="F308" s="173"/>
      <c r="G308" s="175"/>
      <c r="H308" s="173"/>
      <c r="I308" s="173"/>
      <c r="J308" s="173"/>
      <c r="K308" s="176"/>
      <c r="L308" s="176"/>
      <c r="M308" s="173"/>
      <c r="N308" s="173"/>
      <c r="O308" s="173"/>
      <c r="P308" s="173"/>
      <c r="Q308" s="173"/>
      <c r="R308" s="173"/>
      <c r="S308" s="173"/>
      <c r="T308" s="173"/>
      <c r="U308" s="173"/>
      <c r="V308" s="173"/>
    </row>
    <row r="309" spans="1:22" ht="12.5">
      <c r="A309" s="173"/>
      <c r="B309" s="174"/>
      <c r="C309" s="174"/>
      <c r="D309" s="173"/>
      <c r="E309" s="173"/>
      <c r="F309" s="173"/>
      <c r="G309" s="175"/>
      <c r="H309" s="173"/>
      <c r="I309" s="173"/>
      <c r="J309" s="173"/>
      <c r="K309" s="176"/>
      <c r="L309" s="176"/>
      <c r="M309" s="173"/>
      <c r="N309" s="173"/>
      <c r="O309" s="173"/>
      <c r="P309" s="173"/>
      <c r="Q309" s="173"/>
      <c r="R309" s="173"/>
      <c r="S309" s="173"/>
      <c r="T309" s="173"/>
      <c r="U309" s="173"/>
      <c r="V309" s="173"/>
    </row>
    <row r="310" spans="1:22" ht="12.5">
      <c r="A310" s="173"/>
      <c r="B310" s="174"/>
      <c r="C310" s="174"/>
      <c r="D310" s="173"/>
      <c r="E310" s="173"/>
      <c r="F310" s="173"/>
      <c r="G310" s="175"/>
      <c r="H310" s="173"/>
      <c r="I310" s="173"/>
      <c r="J310" s="173"/>
      <c r="K310" s="176"/>
      <c r="L310" s="176"/>
      <c r="M310" s="173"/>
      <c r="N310" s="173"/>
      <c r="O310" s="173"/>
      <c r="P310" s="173"/>
      <c r="Q310" s="173"/>
      <c r="R310" s="173"/>
      <c r="S310" s="173"/>
      <c r="T310" s="173"/>
      <c r="U310" s="173"/>
      <c r="V310" s="173"/>
    </row>
    <row r="311" spans="1:22" ht="12.5">
      <c r="A311" s="173"/>
      <c r="B311" s="174"/>
      <c r="C311" s="174"/>
      <c r="D311" s="173"/>
      <c r="E311" s="173"/>
      <c r="F311" s="173"/>
      <c r="G311" s="175"/>
      <c r="H311" s="173"/>
      <c r="I311" s="173"/>
      <c r="J311" s="173"/>
      <c r="K311" s="176"/>
      <c r="L311" s="176"/>
      <c r="M311" s="173"/>
      <c r="N311" s="173"/>
      <c r="O311" s="173"/>
      <c r="P311" s="173"/>
      <c r="Q311" s="173"/>
      <c r="R311" s="173"/>
      <c r="S311" s="173"/>
      <c r="T311" s="173"/>
      <c r="U311" s="173"/>
      <c r="V311" s="173"/>
    </row>
    <row r="312" spans="1:22" ht="12.5">
      <c r="A312" s="173"/>
      <c r="B312" s="174"/>
      <c r="C312" s="174"/>
      <c r="D312" s="173"/>
      <c r="E312" s="173"/>
      <c r="F312" s="173"/>
      <c r="G312" s="175"/>
      <c r="H312" s="173"/>
      <c r="I312" s="173"/>
      <c r="J312" s="173"/>
      <c r="K312" s="176"/>
      <c r="L312" s="176"/>
      <c r="M312" s="173"/>
      <c r="N312" s="173"/>
      <c r="O312" s="173"/>
      <c r="P312" s="173"/>
      <c r="Q312" s="173"/>
      <c r="R312" s="173"/>
      <c r="S312" s="173"/>
      <c r="T312" s="173"/>
      <c r="U312" s="173"/>
      <c r="V312" s="173"/>
    </row>
    <row r="313" spans="1:22" ht="12.5">
      <c r="A313" s="173"/>
      <c r="B313" s="174"/>
      <c r="C313" s="174"/>
      <c r="D313" s="173"/>
      <c r="E313" s="173"/>
      <c r="F313" s="173"/>
      <c r="G313" s="175"/>
      <c r="H313" s="173"/>
      <c r="I313" s="173"/>
      <c r="J313" s="173"/>
      <c r="K313" s="176"/>
      <c r="L313" s="176"/>
      <c r="M313" s="173"/>
      <c r="N313" s="173"/>
      <c r="O313" s="173"/>
      <c r="P313" s="173"/>
      <c r="Q313" s="173"/>
      <c r="R313" s="173"/>
      <c r="S313" s="173"/>
      <c r="T313" s="173"/>
      <c r="U313" s="173"/>
      <c r="V313" s="173"/>
    </row>
    <row r="314" spans="1:22" ht="12.5">
      <c r="A314" s="173"/>
      <c r="B314" s="174"/>
      <c r="C314" s="174"/>
      <c r="D314" s="173"/>
      <c r="E314" s="173"/>
      <c r="F314" s="173"/>
      <c r="G314" s="175"/>
      <c r="H314" s="173"/>
      <c r="I314" s="173"/>
      <c r="J314" s="173"/>
      <c r="K314" s="176"/>
      <c r="L314" s="176"/>
      <c r="M314" s="173"/>
      <c r="N314" s="173"/>
      <c r="O314" s="173"/>
      <c r="P314" s="173"/>
      <c r="Q314" s="173"/>
      <c r="R314" s="173"/>
      <c r="S314" s="173"/>
      <c r="T314" s="173"/>
      <c r="U314" s="173"/>
      <c r="V314" s="173"/>
    </row>
    <row r="315" spans="1:22" ht="12.5">
      <c r="A315" s="173"/>
      <c r="B315" s="174"/>
      <c r="C315" s="174"/>
      <c r="D315" s="173"/>
      <c r="E315" s="173"/>
      <c r="F315" s="173"/>
      <c r="G315" s="175"/>
      <c r="H315" s="173"/>
      <c r="I315" s="173"/>
      <c r="J315" s="173"/>
      <c r="K315" s="176"/>
      <c r="L315" s="176"/>
      <c r="M315" s="173"/>
      <c r="N315" s="173"/>
      <c r="O315" s="173"/>
      <c r="P315" s="173"/>
      <c r="Q315" s="173"/>
      <c r="R315" s="173"/>
      <c r="S315" s="173"/>
      <c r="T315" s="173"/>
      <c r="U315" s="173"/>
      <c r="V315" s="173"/>
    </row>
    <row r="316" spans="1:22" ht="12.5">
      <c r="A316" s="173"/>
      <c r="B316" s="174"/>
      <c r="C316" s="174"/>
      <c r="D316" s="173"/>
      <c r="E316" s="173"/>
      <c r="F316" s="173"/>
      <c r="G316" s="175"/>
      <c r="H316" s="173"/>
      <c r="I316" s="173"/>
      <c r="J316" s="173"/>
      <c r="K316" s="176"/>
      <c r="L316" s="176"/>
      <c r="M316" s="173"/>
      <c r="N316" s="173"/>
      <c r="O316" s="173"/>
      <c r="P316" s="173"/>
      <c r="Q316" s="173"/>
      <c r="R316" s="173"/>
      <c r="S316" s="173"/>
      <c r="T316" s="173"/>
      <c r="U316" s="173"/>
      <c r="V316" s="173"/>
    </row>
    <row r="317" spans="1:22" ht="12.5">
      <c r="A317" s="173"/>
      <c r="B317" s="174"/>
      <c r="C317" s="174"/>
      <c r="D317" s="173"/>
      <c r="E317" s="173"/>
      <c r="F317" s="173"/>
      <c r="G317" s="175"/>
      <c r="H317" s="173"/>
      <c r="I317" s="173"/>
      <c r="J317" s="173"/>
      <c r="K317" s="176"/>
      <c r="L317" s="176"/>
      <c r="M317" s="173"/>
      <c r="N317" s="173"/>
      <c r="O317" s="173"/>
      <c r="P317" s="173"/>
      <c r="Q317" s="173"/>
      <c r="R317" s="173"/>
      <c r="S317" s="173"/>
      <c r="T317" s="173"/>
      <c r="U317" s="173"/>
      <c r="V317" s="173"/>
    </row>
    <row r="318" spans="1:22" ht="12.5">
      <c r="A318" s="173"/>
      <c r="B318" s="174"/>
      <c r="C318" s="174"/>
      <c r="D318" s="173"/>
      <c r="E318" s="173"/>
      <c r="F318" s="173"/>
      <c r="G318" s="175"/>
      <c r="H318" s="173"/>
      <c r="I318" s="173"/>
      <c r="J318" s="173"/>
      <c r="K318" s="176"/>
      <c r="L318" s="176"/>
      <c r="M318" s="173"/>
      <c r="N318" s="173"/>
      <c r="O318" s="173"/>
      <c r="P318" s="173"/>
      <c r="Q318" s="173"/>
      <c r="R318" s="173"/>
      <c r="S318" s="173"/>
      <c r="T318" s="173"/>
      <c r="U318" s="173"/>
      <c r="V318" s="173"/>
    </row>
    <row r="319" spans="1:22" ht="12.5">
      <c r="A319" s="173"/>
      <c r="B319" s="174"/>
      <c r="C319" s="174"/>
      <c r="D319" s="173"/>
      <c r="E319" s="173"/>
      <c r="F319" s="173"/>
      <c r="G319" s="175"/>
      <c r="H319" s="173"/>
      <c r="I319" s="173"/>
      <c r="J319" s="173"/>
      <c r="K319" s="176"/>
      <c r="L319" s="176"/>
      <c r="M319" s="173"/>
      <c r="N319" s="173"/>
      <c r="O319" s="173"/>
      <c r="P319" s="173"/>
      <c r="Q319" s="173"/>
      <c r="R319" s="173"/>
      <c r="S319" s="173"/>
      <c r="T319" s="173"/>
      <c r="U319" s="173"/>
      <c r="V319" s="173"/>
    </row>
    <row r="320" spans="1:22" ht="12.5">
      <c r="A320" s="173"/>
      <c r="B320" s="174"/>
      <c r="C320" s="174"/>
      <c r="D320" s="173"/>
      <c r="E320" s="173"/>
      <c r="F320" s="173"/>
      <c r="G320" s="175"/>
      <c r="H320" s="173"/>
      <c r="I320" s="173"/>
      <c r="J320" s="173"/>
      <c r="K320" s="176"/>
      <c r="L320" s="176"/>
      <c r="M320" s="173"/>
      <c r="N320" s="173"/>
      <c r="O320" s="173"/>
      <c r="P320" s="173"/>
      <c r="Q320" s="173"/>
      <c r="R320" s="173"/>
      <c r="S320" s="173"/>
      <c r="T320" s="173"/>
      <c r="U320" s="173"/>
      <c r="V320" s="173"/>
    </row>
    <row r="321" spans="1:22" ht="12.5">
      <c r="A321" s="173"/>
      <c r="B321" s="174"/>
      <c r="C321" s="174"/>
      <c r="D321" s="173"/>
      <c r="E321" s="173"/>
      <c r="F321" s="173"/>
      <c r="G321" s="175"/>
      <c r="H321" s="173"/>
      <c r="I321" s="173"/>
      <c r="J321" s="173"/>
      <c r="K321" s="176"/>
      <c r="L321" s="176"/>
      <c r="M321" s="173"/>
      <c r="N321" s="173"/>
      <c r="O321" s="173"/>
      <c r="P321" s="173"/>
      <c r="Q321" s="173"/>
      <c r="R321" s="173"/>
      <c r="S321" s="173"/>
      <c r="T321" s="173"/>
      <c r="U321" s="173"/>
      <c r="V321" s="173"/>
    </row>
    <row r="322" spans="1:22" ht="12.5">
      <c r="A322" s="173"/>
      <c r="B322" s="174"/>
      <c r="C322" s="174"/>
      <c r="D322" s="173"/>
      <c r="E322" s="173"/>
      <c r="F322" s="173"/>
      <c r="G322" s="175"/>
      <c r="H322" s="173"/>
      <c r="I322" s="173"/>
      <c r="J322" s="173"/>
      <c r="K322" s="176"/>
      <c r="L322" s="176"/>
      <c r="M322" s="173"/>
      <c r="N322" s="173"/>
      <c r="O322" s="173"/>
      <c r="P322" s="173"/>
      <c r="Q322" s="173"/>
      <c r="R322" s="173"/>
      <c r="S322" s="173"/>
      <c r="T322" s="173"/>
      <c r="U322" s="173"/>
      <c r="V322" s="173"/>
    </row>
    <row r="323" spans="1:22" ht="12.5">
      <c r="A323" s="173"/>
      <c r="B323" s="174"/>
      <c r="C323" s="174"/>
      <c r="D323" s="173"/>
      <c r="E323" s="173"/>
      <c r="F323" s="173"/>
      <c r="G323" s="175"/>
      <c r="H323" s="173"/>
      <c r="I323" s="173"/>
      <c r="J323" s="173"/>
      <c r="K323" s="176"/>
      <c r="L323" s="176"/>
      <c r="M323" s="173"/>
      <c r="N323" s="173"/>
      <c r="O323" s="173"/>
      <c r="P323" s="173"/>
      <c r="Q323" s="173"/>
      <c r="R323" s="173"/>
      <c r="S323" s="173"/>
      <c r="T323" s="173"/>
      <c r="U323" s="173"/>
      <c r="V323" s="173"/>
    </row>
    <row r="324" spans="1:22" ht="12.5">
      <c r="A324" s="173"/>
      <c r="B324" s="174"/>
      <c r="C324" s="174"/>
      <c r="D324" s="173"/>
      <c r="E324" s="173"/>
      <c r="F324" s="173"/>
      <c r="G324" s="175"/>
      <c r="H324" s="173"/>
      <c r="I324" s="173"/>
      <c r="J324" s="173"/>
      <c r="K324" s="176"/>
      <c r="L324" s="176"/>
      <c r="M324" s="173"/>
      <c r="N324" s="173"/>
      <c r="O324" s="173"/>
      <c r="P324" s="173"/>
      <c r="Q324" s="173"/>
      <c r="R324" s="173"/>
      <c r="S324" s="173"/>
      <c r="T324" s="173"/>
      <c r="U324" s="173"/>
      <c r="V324" s="173"/>
    </row>
    <row r="325" spans="1:22" ht="12.5">
      <c r="A325" s="173"/>
      <c r="B325" s="174"/>
      <c r="C325" s="174"/>
      <c r="D325" s="173"/>
      <c r="E325" s="173"/>
      <c r="F325" s="173"/>
      <c r="G325" s="175"/>
      <c r="H325" s="173"/>
      <c r="I325" s="173"/>
      <c r="J325" s="173"/>
      <c r="K325" s="176"/>
      <c r="L325" s="176"/>
      <c r="M325" s="173"/>
      <c r="N325" s="173"/>
      <c r="O325" s="173"/>
      <c r="P325" s="173"/>
      <c r="Q325" s="173"/>
      <c r="R325" s="173"/>
      <c r="S325" s="173"/>
      <c r="T325" s="173"/>
      <c r="U325" s="173"/>
      <c r="V325" s="173"/>
    </row>
    <row r="326" spans="1:22" ht="12.5">
      <c r="A326" s="173"/>
      <c r="B326" s="174"/>
      <c r="C326" s="174"/>
      <c r="D326" s="173"/>
      <c r="E326" s="173"/>
      <c r="F326" s="173"/>
      <c r="G326" s="175"/>
      <c r="H326" s="173"/>
      <c r="I326" s="173"/>
      <c r="J326" s="173"/>
      <c r="K326" s="176"/>
      <c r="L326" s="176"/>
      <c r="M326" s="173"/>
      <c r="N326" s="173"/>
      <c r="O326" s="173"/>
      <c r="P326" s="173"/>
      <c r="Q326" s="173"/>
      <c r="R326" s="173"/>
      <c r="S326" s="173"/>
      <c r="T326" s="173"/>
      <c r="U326" s="173"/>
      <c r="V326" s="173"/>
    </row>
    <row r="327" spans="1:22" ht="12.5">
      <c r="A327" s="173"/>
      <c r="B327" s="174"/>
      <c r="C327" s="174"/>
      <c r="D327" s="173"/>
      <c r="E327" s="173"/>
      <c r="F327" s="173"/>
      <c r="G327" s="175"/>
      <c r="H327" s="173"/>
      <c r="I327" s="173"/>
      <c r="J327" s="173"/>
      <c r="K327" s="176"/>
      <c r="L327" s="176"/>
      <c r="M327" s="173"/>
      <c r="N327" s="173"/>
      <c r="O327" s="173"/>
      <c r="P327" s="173"/>
      <c r="Q327" s="173"/>
      <c r="R327" s="173"/>
      <c r="S327" s="173"/>
      <c r="T327" s="173"/>
      <c r="U327" s="173"/>
      <c r="V327" s="173"/>
    </row>
    <row r="328" spans="1:22" ht="12.5">
      <c r="A328" s="173"/>
      <c r="B328" s="174"/>
      <c r="C328" s="174"/>
      <c r="D328" s="173"/>
      <c r="E328" s="173"/>
      <c r="F328" s="173"/>
      <c r="G328" s="175"/>
      <c r="H328" s="173"/>
      <c r="I328" s="173"/>
      <c r="J328" s="173"/>
      <c r="K328" s="176"/>
      <c r="L328" s="176"/>
      <c r="M328" s="173"/>
      <c r="N328" s="173"/>
      <c r="O328" s="173"/>
      <c r="P328" s="173"/>
      <c r="Q328" s="173"/>
      <c r="R328" s="173"/>
      <c r="S328" s="173"/>
      <c r="T328" s="173"/>
      <c r="U328" s="173"/>
      <c r="V328" s="173"/>
    </row>
    <row r="329" spans="1:22" ht="12.5">
      <c r="A329" s="173"/>
      <c r="B329" s="174"/>
      <c r="C329" s="174"/>
      <c r="D329" s="173"/>
      <c r="E329" s="173"/>
      <c r="F329" s="173"/>
      <c r="G329" s="175"/>
      <c r="H329" s="173"/>
      <c r="I329" s="173"/>
      <c r="J329" s="173"/>
      <c r="K329" s="176"/>
      <c r="L329" s="176"/>
      <c r="M329" s="173"/>
      <c r="N329" s="173"/>
      <c r="O329" s="173"/>
      <c r="P329" s="173"/>
      <c r="Q329" s="173"/>
      <c r="R329" s="173"/>
      <c r="S329" s="173"/>
      <c r="T329" s="173"/>
      <c r="U329" s="173"/>
      <c r="V329" s="173"/>
    </row>
    <row r="330" spans="1:22" ht="12.5">
      <c r="A330" s="173"/>
      <c r="B330" s="174"/>
      <c r="C330" s="174"/>
      <c r="D330" s="173"/>
      <c r="E330" s="173"/>
      <c r="F330" s="173"/>
      <c r="G330" s="175"/>
      <c r="H330" s="173"/>
      <c r="I330" s="173"/>
      <c r="J330" s="173"/>
      <c r="K330" s="176"/>
      <c r="L330" s="176"/>
      <c r="M330" s="173"/>
      <c r="N330" s="173"/>
      <c r="O330" s="173"/>
      <c r="P330" s="173"/>
      <c r="Q330" s="173"/>
      <c r="R330" s="173"/>
      <c r="S330" s="173"/>
      <c r="T330" s="173"/>
      <c r="U330" s="173"/>
      <c r="V330" s="173"/>
    </row>
    <row r="331" spans="1:22" ht="12.5">
      <c r="A331" s="173"/>
      <c r="B331" s="174"/>
      <c r="C331" s="174"/>
      <c r="D331" s="173"/>
      <c r="E331" s="173"/>
      <c r="F331" s="173"/>
      <c r="G331" s="175"/>
      <c r="H331" s="173"/>
      <c r="I331" s="173"/>
      <c r="J331" s="173"/>
      <c r="K331" s="176"/>
      <c r="L331" s="176"/>
      <c r="M331" s="173"/>
      <c r="N331" s="173"/>
      <c r="O331" s="173"/>
      <c r="P331" s="173"/>
      <c r="Q331" s="173"/>
      <c r="R331" s="173"/>
      <c r="S331" s="173"/>
      <c r="T331" s="173"/>
      <c r="U331" s="173"/>
      <c r="V331" s="173"/>
    </row>
    <row r="332" spans="1:22" ht="12.5">
      <c r="A332" s="173"/>
      <c r="B332" s="174"/>
      <c r="C332" s="174"/>
      <c r="D332" s="173"/>
      <c r="E332" s="173"/>
      <c r="F332" s="173"/>
      <c r="G332" s="175"/>
      <c r="H332" s="173"/>
      <c r="I332" s="173"/>
      <c r="J332" s="173"/>
      <c r="K332" s="176"/>
      <c r="L332" s="176"/>
      <c r="M332" s="173"/>
      <c r="N332" s="173"/>
      <c r="O332" s="173"/>
      <c r="P332" s="173"/>
      <c r="Q332" s="173"/>
      <c r="R332" s="173"/>
      <c r="S332" s="173"/>
      <c r="T332" s="173"/>
      <c r="U332" s="173"/>
      <c r="V332" s="173"/>
    </row>
    <row r="333" spans="1:22" ht="12.5">
      <c r="A333" s="173"/>
      <c r="B333" s="174"/>
      <c r="C333" s="174"/>
      <c r="D333" s="173"/>
      <c r="E333" s="173"/>
      <c r="F333" s="173"/>
      <c r="G333" s="175"/>
      <c r="H333" s="173"/>
      <c r="I333" s="173"/>
      <c r="J333" s="173"/>
      <c r="K333" s="176"/>
      <c r="L333" s="176"/>
      <c r="M333" s="173"/>
      <c r="N333" s="173"/>
      <c r="O333" s="173"/>
      <c r="P333" s="173"/>
      <c r="Q333" s="173"/>
      <c r="R333" s="173"/>
      <c r="S333" s="173"/>
      <c r="T333" s="173"/>
      <c r="U333" s="173"/>
      <c r="V333" s="173"/>
    </row>
    <row r="334" spans="1:22" ht="12.5">
      <c r="A334" s="173"/>
      <c r="B334" s="174"/>
      <c r="C334" s="174"/>
      <c r="D334" s="173"/>
      <c r="E334" s="173"/>
      <c r="F334" s="173"/>
      <c r="G334" s="175"/>
      <c r="H334" s="173"/>
      <c r="I334" s="173"/>
      <c r="J334" s="173"/>
      <c r="K334" s="176"/>
      <c r="L334" s="176"/>
      <c r="M334" s="173"/>
      <c r="N334" s="173"/>
      <c r="O334" s="173"/>
      <c r="P334" s="173"/>
      <c r="Q334" s="173"/>
      <c r="R334" s="173"/>
      <c r="S334" s="173"/>
      <c r="T334" s="173"/>
      <c r="U334" s="173"/>
      <c r="V334" s="173"/>
    </row>
    <row r="335" spans="1:22" ht="12.5">
      <c r="A335" s="173"/>
      <c r="B335" s="174"/>
      <c r="C335" s="174"/>
      <c r="D335" s="173"/>
      <c r="E335" s="173"/>
      <c r="F335" s="173"/>
      <c r="G335" s="175"/>
      <c r="H335" s="173"/>
      <c r="I335" s="173"/>
      <c r="J335" s="173"/>
      <c r="K335" s="176"/>
      <c r="L335" s="176"/>
      <c r="M335" s="173"/>
      <c r="N335" s="173"/>
      <c r="O335" s="173"/>
      <c r="P335" s="173"/>
      <c r="Q335" s="173"/>
      <c r="R335" s="173"/>
      <c r="S335" s="173"/>
      <c r="T335" s="173"/>
      <c r="U335" s="173"/>
      <c r="V335" s="173"/>
    </row>
    <row r="336" spans="1:22" ht="12.5">
      <c r="A336" s="173"/>
      <c r="B336" s="174"/>
      <c r="C336" s="174"/>
      <c r="D336" s="173"/>
      <c r="E336" s="173"/>
      <c r="F336" s="173"/>
      <c r="G336" s="175"/>
      <c r="H336" s="173"/>
      <c r="I336" s="173"/>
      <c r="J336" s="173"/>
      <c r="K336" s="176"/>
      <c r="L336" s="176"/>
      <c r="M336" s="173"/>
      <c r="N336" s="173"/>
      <c r="O336" s="173"/>
      <c r="P336" s="173"/>
      <c r="Q336" s="173"/>
      <c r="R336" s="173"/>
      <c r="S336" s="173"/>
      <c r="T336" s="173"/>
      <c r="U336" s="173"/>
      <c r="V336" s="173"/>
    </row>
    <row r="337" spans="1:22" ht="12.5">
      <c r="A337" s="173"/>
      <c r="B337" s="174"/>
      <c r="C337" s="174"/>
      <c r="D337" s="173"/>
      <c r="E337" s="173"/>
      <c r="F337" s="173"/>
      <c r="G337" s="175"/>
      <c r="H337" s="173"/>
      <c r="I337" s="173"/>
      <c r="J337" s="173"/>
      <c r="K337" s="176"/>
      <c r="L337" s="176"/>
      <c r="M337" s="173"/>
      <c r="N337" s="173"/>
      <c r="O337" s="173"/>
      <c r="P337" s="173"/>
      <c r="Q337" s="173"/>
      <c r="R337" s="173"/>
      <c r="S337" s="173"/>
      <c r="T337" s="173"/>
      <c r="U337" s="173"/>
      <c r="V337" s="173"/>
    </row>
    <row r="338" spans="1:22" ht="12.5">
      <c r="A338" s="173"/>
      <c r="B338" s="174"/>
      <c r="C338" s="174"/>
      <c r="D338" s="173"/>
      <c r="E338" s="173"/>
      <c r="F338" s="173"/>
      <c r="G338" s="175"/>
      <c r="H338" s="173"/>
      <c r="I338" s="173"/>
      <c r="J338" s="173"/>
      <c r="K338" s="176"/>
      <c r="L338" s="176"/>
      <c r="M338" s="173"/>
      <c r="N338" s="173"/>
      <c r="O338" s="173"/>
      <c r="P338" s="173"/>
      <c r="Q338" s="173"/>
      <c r="R338" s="173"/>
      <c r="S338" s="173"/>
      <c r="T338" s="173"/>
      <c r="U338" s="173"/>
      <c r="V338" s="173"/>
    </row>
    <row r="339" spans="1:22" ht="12.5">
      <c r="A339" s="173"/>
      <c r="B339" s="174"/>
      <c r="C339" s="174"/>
      <c r="D339" s="173"/>
      <c r="E339" s="173"/>
      <c r="F339" s="173"/>
      <c r="G339" s="175"/>
      <c r="H339" s="173"/>
      <c r="I339" s="173"/>
      <c r="J339" s="173"/>
      <c r="K339" s="176"/>
      <c r="L339" s="176"/>
      <c r="M339" s="173"/>
      <c r="N339" s="173"/>
      <c r="O339" s="173"/>
      <c r="P339" s="173"/>
      <c r="Q339" s="173"/>
      <c r="R339" s="173"/>
      <c r="S339" s="173"/>
      <c r="T339" s="173"/>
      <c r="U339" s="173"/>
      <c r="V339" s="173"/>
    </row>
    <row r="340" spans="1:22" ht="12.5">
      <c r="A340" s="173"/>
      <c r="B340" s="174"/>
      <c r="C340" s="174"/>
      <c r="D340" s="173"/>
      <c r="E340" s="173"/>
      <c r="F340" s="173"/>
      <c r="G340" s="175"/>
      <c r="H340" s="173"/>
      <c r="I340" s="173"/>
      <c r="J340" s="173"/>
      <c r="K340" s="176"/>
      <c r="L340" s="176"/>
      <c r="M340" s="173"/>
      <c r="N340" s="173"/>
      <c r="O340" s="173"/>
      <c r="P340" s="173"/>
      <c r="Q340" s="173"/>
      <c r="R340" s="173"/>
      <c r="S340" s="173"/>
      <c r="T340" s="173"/>
      <c r="U340" s="173"/>
      <c r="V340" s="173"/>
    </row>
    <row r="341" spans="1:22" ht="12.5">
      <c r="A341" s="173"/>
      <c r="B341" s="174"/>
      <c r="C341" s="174"/>
      <c r="D341" s="173"/>
      <c r="E341" s="173"/>
      <c r="F341" s="173"/>
      <c r="G341" s="175"/>
      <c r="H341" s="173"/>
      <c r="I341" s="173"/>
      <c r="J341" s="173"/>
      <c r="K341" s="176"/>
      <c r="L341" s="176"/>
      <c r="M341" s="173"/>
      <c r="N341" s="173"/>
      <c r="O341" s="173"/>
      <c r="P341" s="173"/>
      <c r="Q341" s="173"/>
      <c r="R341" s="173"/>
      <c r="S341" s="173"/>
      <c r="T341" s="173"/>
      <c r="U341" s="173"/>
      <c r="V341" s="173"/>
    </row>
    <row r="342" spans="1:22" ht="12.5">
      <c r="A342" s="173"/>
      <c r="B342" s="174"/>
      <c r="C342" s="174"/>
      <c r="D342" s="173"/>
      <c r="E342" s="173"/>
      <c r="F342" s="173"/>
      <c r="G342" s="175"/>
      <c r="H342" s="173"/>
      <c r="I342" s="173"/>
      <c r="J342" s="173"/>
      <c r="K342" s="176"/>
      <c r="L342" s="176"/>
      <c r="M342" s="173"/>
      <c r="N342" s="173"/>
      <c r="O342" s="173"/>
      <c r="P342" s="173"/>
      <c r="Q342" s="173"/>
      <c r="R342" s="173"/>
      <c r="S342" s="173"/>
      <c r="T342" s="173"/>
      <c r="U342" s="173"/>
      <c r="V342" s="173"/>
    </row>
    <row r="343" spans="1:22" ht="12.5">
      <c r="A343" s="173"/>
      <c r="B343" s="174"/>
      <c r="C343" s="174"/>
      <c r="D343" s="173"/>
      <c r="E343" s="173"/>
      <c r="F343" s="173"/>
      <c r="G343" s="175"/>
      <c r="H343" s="173"/>
      <c r="I343" s="173"/>
      <c r="J343" s="173"/>
      <c r="K343" s="176"/>
      <c r="L343" s="176"/>
      <c r="M343" s="173"/>
      <c r="N343" s="173"/>
      <c r="O343" s="173"/>
      <c r="P343" s="173"/>
      <c r="Q343" s="173"/>
      <c r="R343" s="173"/>
      <c r="S343" s="173"/>
      <c r="T343" s="173"/>
      <c r="U343" s="173"/>
      <c r="V343" s="173"/>
    </row>
    <row r="344" spans="1:22" ht="12.5">
      <c r="A344" s="173"/>
      <c r="B344" s="174"/>
      <c r="C344" s="174"/>
      <c r="D344" s="173"/>
      <c r="E344" s="173"/>
      <c r="F344" s="173"/>
      <c r="G344" s="175"/>
      <c r="H344" s="173"/>
      <c r="I344" s="173"/>
      <c r="J344" s="173"/>
      <c r="K344" s="176"/>
      <c r="L344" s="176"/>
      <c r="M344" s="173"/>
      <c r="N344" s="173"/>
      <c r="O344" s="173"/>
      <c r="P344" s="173"/>
      <c r="Q344" s="173"/>
      <c r="R344" s="173"/>
      <c r="S344" s="173"/>
      <c r="T344" s="173"/>
      <c r="U344" s="173"/>
      <c r="V344" s="173"/>
    </row>
    <row r="345" spans="1:22" ht="12.5">
      <c r="A345" s="173"/>
      <c r="B345" s="174"/>
      <c r="C345" s="174"/>
      <c r="D345" s="173"/>
      <c r="E345" s="173"/>
      <c r="F345" s="173"/>
      <c r="G345" s="175"/>
      <c r="H345" s="173"/>
      <c r="I345" s="173"/>
      <c r="J345" s="173"/>
      <c r="K345" s="176"/>
      <c r="L345" s="176"/>
      <c r="M345" s="173"/>
      <c r="N345" s="173"/>
      <c r="O345" s="173"/>
      <c r="P345" s="173"/>
      <c r="Q345" s="173"/>
      <c r="R345" s="173"/>
      <c r="S345" s="173"/>
      <c r="T345" s="173"/>
      <c r="U345" s="173"/>
      <c r="V345" s="173"/>
    </row>
    <row r="346" spans="1:22" ht="12.5">
      <c r="A346" s="173"/>
      <c r="B346" s="174"/>
      <c r="C346" s="174"/>
      <c r="D346" s="173"/>
      <c r="E346" s="173"/>
      <c r="F346" s="173"/>
      <c r="G346" s="175"/>
      <c r="H346" s="173"/>
      <c r="I346" s="173"/>
      <c r="J346" s="173"/>
      <c r="K346" s="176"/>
      <c r="L346" s="176"/>
      <c r="M346" s="173"/>
      <c r="N346" s="173"/>
      <c r="O346" s="173"/>
      <c r="P346" s="173"/>
      <c r="Q346" s="173"/>
      <c r="R346" s="173"/>
      <c r="S346" s="173"/>
      <c r="T346" s="173"/>
      <c r="U346" s="173"/>
      <c r="V346" s="173"/>
    </row>
    <row r="347" spans="1:22" ht="12.5">
      <c r="A347" s="173"/>
      <c r="B347" s="174"/>
      <c r="C347" s="174"/>
      <c r="D347" s="173"/>
      <c r="E347" s="173"/>
      <c r="F347" s="173"/>
      <c r="G347" s="175"/>
      <c r="H347" s="173"/>
      <c r="I347" s="173"/>
      <c r="J347" s="173"/>
      <c r="K347" s="176"/>
      <c r="L347" s="176"/>
      <c r="M347" s="173"/>
      <c r="N347" s="173"/>
      <c r="O347" s="173"/>
      <c r="P347" s="173"/>
      <c r="Q347" s="173"/>
      <c r="R347" s="173"/>
      <c r="S347" s="173"/>
      <c r="T347" s="173"/>
      <c r="U347" s="173"/>
      <c r="V347" s="173"/>
    </row>
    <row r="348" spans="1:22" ht="12.5">
      <c r="A348" s="173"/>
      <c r="B348" s="174"/>
      <c r="C348" s="174"/>
      <c r="D348" s="173"/>
      <c r="E348" s="173"/>
      <c r="F348" s="173"/>
      <c r="G348" s="175"/>
      <c r="H348" s="173"/>
      <c r="I348" s="173"/>
      <c r="J348" s="173"/>
      <c r="K348" s="176"/>
      <c r="L348" s="176"/>
      <c r="M348" s="173"/>
      <c r="N348" s="173"/>
      <c r="O348" s="173"/>
      <c r="P348" s="173"/>
      <c r="Q348" s="173"/>
      <c r="R348" s="173"/>
      <c r="S348" s="173"/>
      <c r="T348" s="173"/>
      <c r="U348" s="173"/>
      <c r="V348" s="173"/>
    </row>
    <row r="349" spans="1:22" ht="12.5">
      <c r="A349" s="173"/>
      <c r="B349" s="174"/>
      <c r="C349" s="174"/>
      <c r="D349" s="173"/>
      <c r="E349" s="173"/>
      <c r="F349" s="173"/>
      <c r="G349" s="175"/>
      <c r="H349" s="173"/>
      <c r="I349" s="173"/>
      <c r="J349" s="173"/>
      <c r="K349" s="176"/>
      <c r="L349" s="176"/>
      <c r="M349" s="173"/>
      <c r="N349" s="173"/>
      <c r="O349" s="173"/>
      <c r="P349" s="173"/>
      <c r="Q349" s="173"/>
      <c r="R349" s="173"/>
      <c r="S349" s="173"/>
      <c r="T349" s="173"/>
      <c r="U349" s="173"/>
      <c r="V349" s="173"/>
    </row>
    <row r="350" spans="1:22" ht="12.5">
      <c r="A350" s="173"/>
      <c r="B350" s="174"/>
      <c r="C350" s="174"/>
      <c r="D350" s="173"/>
      <c r="E350" s="173"/>
      <c r="F350" s="173"/>
      <c r="G350" s="175"/>
      <c r="H350" s="173"/>
      <c r="I350" s="173"/>
      <c r="J350" s="173"/>
      <c r="K350" s="176"/>
      <c r="L350" s="176"/>
      <c r="M350" s="173"/>
      <c r="N350" s="173"/>
      <c r="O350" s="173"/>
      <c r="P350" s="173"/>
      <c r="Q350" s="173"/>
      <c r="R350" s="173"/>
      <c r="S350" s="173"/>
      <c r="T350" s="173"/>
      <c r="U350" s="173"/>
      <c r="V350" s="173"/>
    </row>
    <row r="351" spans="1:22" ht="12.5">
      <c r="A351" s="173"/>
      <c r="B351" s="174"/>
      <c r="C351" s="174"/>
      <c r="D351" s="173"/>
      <c r="E351" s="173"/>
      <c r="F351" s="173"/>
      <c r="G351" s="175"/>
      <c r="H351" s="173"/>
      <c r="I351" s="173"/>
      <c r="J351" s="173"/>
      <c r="K351" s="176"/>
      <c r="L351" s="176"/>
      <c r="M351" s="173"/>
      <c r="N351" s="173"/>
      <c r="O351" s="173"/>
      <c r="P351" s="173"/>
      <c r="Q351" s="173"/>
      <c r="R351" s="173"/>
      <c r="S351" s="173"/>
      <c r="T351" s="173"/>
      <c r="U351" s="173"/>
      <c r="V351" s="173"/>
    </row>
    <row r="352" spans="1:22" ht="12.5">
      <c r="A352" s="173"/>
      <c r="B352" s="174"/>
      <c r="C352" s="174"/>
      <c r="D352" s="173"/>
      <c r="E352" s="173"/>
      <c r="F352" s="173"/>
      <c r="G352" s="175"/>
      <c r="H352" s="173"/>
      <c r="I352" s="173"/>
      <c r="J352" s="173"/>
      <c r="K352" s="176"/>
      <c r="L352" s="176"/>
      <c r="M352" s="173"/>
      <c r="N352" s="173"/>
      <c r="O352" s="173"/>
      <c r="P352" s="173"/>
      <c r="Q352" s="173"/>
      <c r="R352" s="173"/>
      <c r="S352" s="173"/>
      <c r="T352" s="173"/>
      <c r="U352" s="173"/>
      <c r="V352" s="173"/>
    </row>
    <row r="353" spans="1:22" ht="12.5">
      <c r="A353" s="173"/>
      <c r="B353" s="174"/>
      <c r="C353" s="174"/>
      <c r="D353" s="173"/>
      <c r="E353" s="173"/>
      <c r="F353" s="173"/>
      <c r="G353" s="175"/>
      <c r="H353" s="173"/>
      <c r="I353" s="173"/>
      <c r="J353" s="173"/>
      <c r="K353" s="176"/>
      <c r="L353" s="176"/>
      <c r="M353" s="173"/>
      <c r="N353" s="173"/>
      <c r="O353" s="173"/>
      <c r="P353" s="173"/>
      <c r="Q353" s="173"/>
      <c r="R353" s="173"/>
      <c r="S353" s="173"/>
      <c r="T353" s="173"/>
      <c r="U353" s="173"/>
      <c r="V353" s="173"/>
    </row>
    <row r="354" spans="1:22" ht="12.5">
      <c r="A354" s="173"/>
      <c r="B354" s="174"/>
      <c r="C354" s="174"/>
      <c r="D354" s="173"/>
      <c r="E354" s="173"/>
      <c r="F354" s="173"/>
      <c r="G354" s="175"/>
      <c r="H354" s="173"/>
      <c r="I354" s="173"/>
      <c r="J354" s="173"/>
      <c r="K354" s="176"/>
      <c r="L354" s="176"/>
      <c r="M354" s="173"/>
      <c r="N354" s="173"/>
      <c r="O354" s="173"/>
      <c r="P354" s="173"/>
      <c r="Q354" s="173"/>
      <c r="R354" s="173"/>
      <c r="S354" s="173"/>
      <c r="T354" s="173"/>
      <c r="U354" s="173"/>
      <c r="V354" s="173"/>
    </row>
    <row r="355" spans="1:22" ht="12.5">
      <c r="A355" s="173"/>
      <c r="B355" s="174"/>
      <c r="C355" s="174"/>
      <c r="D355" s="173"/>
      <c r="E355" s="173"/>
      <c r="F355" s="173"/>
      <c r="G355" s="175"/>
      <c r="H355" s="173"/>
      <c r="I355" s="173"/>
      <c r="J355" s="173"/>
      <c r="K355" s="176"/>
      <c r="L355" s="176"/>
      <c r="M355" s="173"/>
      <c r="N355" s="173"/>
      <c r="O355" s="173"/>
      <c r="P355" s="173"/>
      <c r="Q355" s="173"/>
      <c r="R355" s="173"/>
      <c r="S355" s="173"/>
      <c r="T355" s="173"/>
      <c r="U355" s="173"/>
      <c r="V355" s="173"/>
    </row>
    <row r="356" spans="1:22" ht="12.5">
      <c r="A356" s="173"/>
      <c r="B356" s="174"/>
      <c r="C356" s="174"/>
      <c r="D356" s="173"/>
      <c r="E356" s="173"/>
      <c r="F356" s="173"/>
      <c r="G356" s="175"/>
      <c r="H356" s="173"/>
      <c r="I356" s="173"/>
      <c r="J356" s="173"/>
      <c r="K356" s="176"/>
      <c r="L356" s="176"/>
      <c r="M356" s="173"/>
      <c r="N356" s="173"/>
      <c r="O356" s="173"/>
      <c r="P356" s="173"/>
      <c r="Q356" s="173"/>
      <c r="R356" s="173"/>
      <c r="S356" s="173"/>
      <c r="T356" s="173"/>
      <c r="U356" s="173"/>
      <c r="V356" s="173"/>
    </row>
    <row r="357" spans="1:22" ht="12.5">
      <c r="A357" s="173"/>
      <c r="B357" s="174"/>
      <c r="C357" s="174"/>
      <c r="D357" s="173"/>
      <c r="E357" s="173"/>
      <c r="F357" s="173"/>
      <c r="G357" s="175"/>
      <c r="H357" s="173"/>
      <c r="I357" s="173"/>
      <c r="J357" s="173"/>
      <c r="K357" s="176"/>
      <c r="L357" s="176"/>
      <c r="M357" s="173"/>
      <c r="N357" s="173"/>
      <c r="O357" s="173"/>
      <c r="P357" s="173"/>
      <c r="Q357" s="173"/>
      <c r="R357" s="173"/>
      <c r="S357" s="173"/>
      <c r="T357" s="173"/>
      <c r="U357" s="173"/>
      <c r="V357" s="173"/>
    </row>
    <row r="358" spans="1:22" ht="12.5">
      <c r="A358" s="173"/>
      <c r="B358" s="174"/>
      <c r="C358" s="174"/>
      <c r="D358" s="173"/>
      <c r="E358" s="173"/>
      <c r="F358" s="173"/>
      <c r="G358" s="175"/>
      <c r="H358" s="173"/>
      <c r="I358" s="173"/>
      <c r="J358" s="173"/>
      <c r="K358" s="176"/>
      <c r="L358" s="176"/>
      <c r="M358" s="173"/>
      <c r="N358" s="173"/>
      <c r="O358" s="173"/>
      <c r="P358" s="173"/>
      <c r="Q358" s="173"/>
      <c r="R358" s="173"/>
      <c r="S358" s="173"/>
      <c r="T358" s="173"/>
      <c r="U358" s="173"/>
      <c r="V358" s="173"/>
    </row>
    <row r="359" spans="1:22" ht="12.5">
      <c r="A359" s="173"/>
      <c r="B359" s="174"/>
      <c r="C359" s="174"/>
      <c r="D359" s="173"/>
      <c r="E359" s="173"/>
      <c r="F359" s="173"/>
      <c r="G359" s="175"/>
      <c r="H359" s="173"/>
      <c r="I359" s="173"/>
      <c r="J359" s="173"/>
      <c r="K359" s="176"/>
      <c r="L359" s="176"/>
      <c r="M359" s="173"/>
      <c r="N359" s="173"/>
      <c r="O359" s="173"/>
      <c r="P359" s="173"/>
      <c r="Q359" s="173"/>
      <c r="R359" s="173"/>
      <c r="S359" s="173"/>
      <c r="T359" s="173"/>
      <c r="U359" s="173"/>
      <c r="V359" s="173"/>
    </row>
    <row r="360" spans="1:22" ht="12.5">
      <c r="A360" s="173"/>
      <c r="B360" s="174"/>
      <c r="C360" s="174"/>
      <c r="D360" s="173"/>
      <c r="E360" s="173"/>
      <c r="F360" s="173"/>
      <c r="G360" s="175"/>
      <c r="H360" s="173"/>
      <c r="I360" s="173"/>
      <c r="J360" s="173"/>
      <c r="K360" s="176"/>
      <c r="L360" s="176"/>
      <c r="M360" s="173"/>
      <c r="N360" s="173"/>
      <c r="O360" s="173"/>
      <c r="P360" s="173"/>
      <c r="Q360" s="173"/>
      <c r="R360" s="173"/>
      <c r="S360" s="173"/>
      <c r="T360" s="173"/>
      <c r="U360" s="173"/>
      <c r="V360" s="173"/>
    </row>
    <row r="361" spans="1:22" ht="12.5">
      <c r="A361" s="173"/>
      <c r="B361" s="174"/>
      <c r="C361" s="174"/>
      <c r="D361" s="173"/>
      <c r="E361" s="173"/>
      <c r="F361" s="173"/>
      <c r="G361" s="175"/>
      <c r="H361" s="173"/>
      <c r="I361" s="173"/>
      <c r="J361" s="173"/>
      <c r="K361" s="176"/>
      <c r="L361" s="176"/>
      <c r="M361" s="173"/>
      <c r="N361" s="173"/>
      <c r="O361" s="173"/>
      <c r="P361" s="173"/>
      <c r="Q361" s="173"/>
      <c r="R361" s="173"/>
      <c r="S361" s="173"/>
      <c r="T361" s="173"/>
      <c r="U361" s="173"/>
      <c r="V361" s="173"/>
    </row>
    <row r="362" spans="1:22" ht="12.5">
      <c r="A362" s="173"/>
      <c r="B362" s="174"/>
      <c r="C362" s="174"/>
      <c r="D362" s="173"/>
      <c r="E362" s="173"/>
      <c r="F362" s="173"/>
      <c r="G362" s="175"/>
      <c r="H362" s="173"/>
      <c r="I362" s="173"/>
      <c r="J362" s="173"/>
      <c r="K362" s="176"/>
      <c r="L362" s="176"/>
      <c r="M362" s="173"/>
      <c r="N362" s="173"/>
      <c r="O362" s="173"/>
      <c r="P362" s="173"/>
      <c r="Q362" s="173"/>
      <c r="R362" s="173"/>
      <c r="S362" s="173"/>
      <c r="T362" s="173"/>
      <c r="U362" s="173"/>
      <c r="V362" s="173"/>
    </row>
    <row r="363" spans="1:22" ht="12.5">
      <c r="A363" s="173"/>
      <c r="B363" s="174"/>
      <c r="C363" s="174"/>
      <c r="D363" s="173"/>
      <c r="E363" s="173"/>
      <c r="F363" s="173"/>
      <c r="G363" s="175"/>
      <c r="H363" s="173"/>
      <c r="I363" s="173"/>
      <c r="J363" s="173"/>
      <c r="K363" s="176"/>
      <c r="L363" s="176"/>
      <c r="M363" s="173"/>
      <c r="N363" s="173"/>
      <c r="O363" s="173"/>
      <c r="P363" s="173"/>
      <c r="Q363" s="173"/>
      <c r="R363" s="173"/>
      <c r="S363" s="173"/>
      <c r="T363" s="173"/>
      <c r="U363" s="173"/>
      <c r="V363" s="173"/>
    </row>
    <row r="364" spans="1:22" ht="12.5">
      <c r="A364" s="173"/>
      <c r="B364" s="174"/>
      <c r="C364" s="174"/>
      <c r="D364" s="173"/>
      <c r="E364" s="173"/>
      <c r="F364" s="173"/>
      <c r="G364" s="175"/>
      <c r="H364" s="173"/>
      <c r="I364" s="173"/>
      <c r="J364" s="173"/>
      <c r="K364" s="176"/>
      <c r="L364" s="176"/>
      <c r="M364" s="173"/>
      <c r="N364" s="173"/>
      <c r="O364" s="173"/>
      <c r="P364" s="173"/>
      <c r="Q364" s="173"/>
      <c r="R364" s="173"/>
      <c r="S364" s="173"/>
      <c r="T364" s="173"/>
      <c r="U364" s="173"/>
      <c r="V364" s="173"/>
    </row>
    <row r="365" spans="1:22" ht="12.5">
      <c r="A365" s="173"/>
      <c r="B365" s="174"/>
      <c r="C365" s="174"/>
      <c r="D365" s="173"/>
      <c r="E365" s="173"/>
      <c r="F365" s="173"/>
      <c r="G365" s="175"/>
      <c r="H365" s="173"/>
      <c r="I365" s="173"/>
      <c r="J365" s="173"/>
      <c r="K365" s="176"/>
      <c r="L365" s="176"/>
      <c r="M365" s="173"/>
      <c r="N365" s="173"/>
      <c r="O365" s="173"/>
      <c r="P365" s="173"/>
      <c r="Q365" s="173"/>
      <c r="R365" s="173"/>
      <c r="S365" s="173"/>
      <c r="T365" s="173"/>
      <c r="U365" s="173"/>
      <c r="V365" s="173"/>
    </row>
    <row r="366" spans="1:22" ht="12.5">
      <c r="A366" s="173"/>
      <c r="B366" s="174"/>
      <c r="C366" s="174"/>
      <c r="D366" s="173"/>
      <c r="E366" s="173"/>
      <c r="F366" s="173"/>
      <c r="G366" s="175"/>
      <c r="H366" s="173"/>
      <c r="I366" s="173"/>
      <c r="J366" s="173"/>
      <c r="K366" s="176"/>
      <c r="L366" s="176"/>
      <c r="M366" s="173"/>
      <c r="N366" s="173"/>
      <c r="O366" s="173"/>
      <c r="P366" s="173"/>
      <c r="Q366" s="173"/>
      <c r="R366" s="173"/>
      <c r="S366" s="173"/>
      <c r="T366" s="173"/>
      <c r="U366" s="173"/>
      <c r="V366" s="173"/>
    </row>
    <row r="367" spans="1:22" ht="12.5">
      <c r="A367" s="173"/>
      <c r="B367" s="174"/>
      <c r="C367" s="174"/>
      <c r="D367" s="173"/>
      <c r="E367" s="173"/>
      <c r="F367" s="173"/>
      <c r="G367" s="175"/>
      <c r="H367" s="173"/>
      <c r="I367" s="173"/>
      <c r="J367" s="173"/>
      <c r="K367" s="176"/>
      <c r="L367" s="176"/>
      <c r="M367" s="173"/>
      <c r="N367" s="173"/>
      <c r="O367" s="173"/>
      <c r="P367" s="173"/>
      <c r="Q367" s="173"/>
      <c r="R367" s="173"/>
      <c r="S367" s="173"/>
      <c r="T367" s="173"/>
      <c r="U367" s="173"/>
      <c r="V367" s="173"/>
    </row>
    <row r="368" spans="1:22" ht="12.5">
      <c r="A368" s="173"/>
      <c r="B368" s="174"/>
      <c r="C368" s="174"/>
      <c r="D368" s="173"/>
      <c r="E368" s="173"/>
      <c r="F368" s="173"/>
      <c r="G368" s="175"/>
      <c r="H368" s="173"/>
      <c r="I368" s="173"/>
      <c r="J368" s="173"/>
      <c r="K368" s="176"/>
      <c r="L368" s="176"/>
      <c r="M368" s="173"/>
      <c r="N368" s="173"/>
      <c r="O368" s="173"/>
      <c r="P368" s="173"/>
      <c r="Q368" s="173"/>
      <c r="R368" s="173"/>
      <c r="S368" s="173"/>
      <c r="T368" s="173"/>
      <c r="U368" s="173"/>
      <c r="V368" s="173"/>
    </row>
    <row r="369" spans="1:22" ht="12.5">
      <c r="A369" s="173"/>
      <c r="B369" s="174"/>
      <c r="C369" s="174"/>
      <c r="D369" s="173"/>
      <c r="E369" s="173"/>
      <c r="F369" s="173"/>
      <c r="G369" s="175"/>
      <c r="H369" s="173"/>
      <c r="I369" s="173"/>
      <c r="J369" s="173"/>
      <c r="K369" s="176"/>
      <c r="L369" s="176"/>
      <c r="M369" s="173"/>
      <c r="N369" s="173"/>
      <c r="O369" s="173"/>
      <c r="P369" s="173"/>
      <c r="Q369" s="173"/>
      <c r="R369" s="173"/>
      <c r="S369" s="173"/>
      <c r="T369" s="173"/>
      <c r="U369" s="173"/>
      <c r="V369" s="173"/>
    </row>
    <row r="370" spans="1:22" ht="12.5">
      <c r="A370" s="173"/>
      <c r="B370" s="174"/>
      <c r="C370" s="174"/>
      <c r="D370" s="173"/>
      <c r="E370" s="173"/>
      <c r="F370" s="173"/>
      <c r="G370" s="175"/>
      <c r="H370" s="173"/>
      <c r="I370" s="173"/>
      <c r="J370" s="173"/>
      <c r="K370" s="176"/>
      <c r="L370" s="176"/>
      <c r="M370" s="173"/>
      <c r="N370" s="173"/>
      <c r="O370" s="173"/>
      <c r="P370" s="173"/>
      <c r="Q370" s="173"/>
      <c r="R370" s="173"/>
      <c r="S370" s="173"/>
      <c r="T370" s="173"/>
      <c r="U370" s="173"/>
      <c r="V370" s="173"/>
    </row>
    <row r="371" spans="1:22" ht="12.5">
      <c r="A371" s="173"/>
      <c r="B371" s="174"/>
      <c r="C371" s="174"/>
      <c r="D371" s="173"/>
      <c r="E371" s="173"/>
      <c r="F371" s="173"/>
      <c r="G371" s="175"/>
      <c r="H371" s="173"/>
      <c r="I371" s="173"/>
      <c r="J371" s="173"/>
      <c r="K371" s="176"/>
      <c r="L371" s="176"/>
      <c r="M371" s="173"/>
      <c r="N371" s="173"/>
      <c r="O371" s="173"/>
      <c r="P371" s="173"/>
      <c r="Q371" s="173"/>
      <c r="R371" s="173"/>
      <c r="S371" s="173"/>
      <c r="T371" s="173"/>
      <c r="U371" s="173"/>
      <c r="V371" s="173"/>
    </row>
    <row r="372" spans="1:22" ht="12.5">
      <c r="A372" s="173"/>
      <c r="B372" s="174"/>
      <c r="C372" s="174"/>
      <c r="D372" s="173"/>
      <c r="E372" s="173"/>
      <c r="F372" s="173"/>
      <c r="G372" s="175"/>
      <c r="H372" s="173"/>
      <c r="I372" s="173"/>
      <c r="J372" s="173"/>
      <c r="K372" s="176"/>
      <c r="L372" s="176"/>
      <c r="M372" s="173"/>
      <c r="N372" s="173"/>
      <c r="O372" s="173"/>
      <c r="P372" s="173"/>
      <c r="Q372" s="173"/>
      <c r="R372" s="173"/>
      <c r="S372" s="173"/>
      <c r="T372" s="173"/>
      <c r="U372" s="173"/>
      <c r="V372" s="173"/>
    </row>
    <row r="373" spans="1:22" ht="12.5">
      <c r="A373" s="173"/>
      <c r="B373" s="174"/>
      <c r="C373" s="174"/>
      <c r="D373" s="173"/>
      <c r="E373" s="173"/>
      <c r="F373" s="173"/>
      <c r="G373" s="175"/>
      <c r="H373" s="173"/>
      <c r="I373" s="173"/>
      <c r="J373" s="173"/>
      <c r="K373" s="176"/>
      <c r="L373" s="176"/>
      <c r="M373" s="173"/>
      <c r="N373" s="173"/>
      <c r="O373" s="173"/>
      <c r="P373" s="173"/>
      <c r="Q373" s="173"/>
      <c r="R373" s="173"/>
      <c r="S373" s="173"/>
      <c r="T373" s="173"/>
      <c r="U373" s="173"/>
      <c r="V373" s="173"/>
    </row>
    <row r="374" spans="1:22" ht="12.5">
      <c r="A374" s="173"/>
      <c r="B374" s="174"/>
      <c r="C374" s="174"/>
      <c r="D374" s="173"/>
      <c r="E374" s="173"/>
      <c r="F374" s="173"/>
      <c r="G374" s="175"/>
      <c r="H374" s="173"/>
      <c r="I374" s="173"/>
      <c r="J374" s="173"/>
      <c r="K374" s="176"/>
      <c r="L374" s="176"/>
      <c r="M374" s="173"/>
      <c r="N374" s="173"/>
      <c r="O374" s="173"/>
      <c r="P374" s="173"/>
      <c r="Q374" s="173"/>
      <c r="R374" s="173"/>
      <c r="S374" s="173"/>
      <c r="T374" s="173"/>
      <c r="U374" s="173"/>
      <c r="V374" s="173"/>
    </row>
    <row r="375" spans="1:22" ht="12.5">
      <c r="A375" s="173"/>
      <c r="B375" s="174"/>
      <c r="C375" s="174"/>
      <c r="D375" s="173"/>
      <c r="E375" s="173"/>
      <c r="F375" s="173"/>
      <c r="G375" s="175"/>
      <c r="H375" s="173"/>
      <c r="I375" s="173"/>
      <c r="J375" s="173"/>
      <c r="K375" s="176"/>
      <c r="L375" s="176"/>
      <c r="M375" s="173"/>
      <c r="N375" s="173"/>
      <c r="O375" s="173"/>
      <c r="P375" s="173"/>
      <c r="Q375" s="173"/>
      <c r="R375" s="173"/>
      <c r="S375" s="173"/>
      <c r="T375" s="173"/>
      <c r="U375" s="173"/>
      <c r="V375" s="173"/>
    </row>
    <row r="376" spans="1:22" ht="12.5">
      <c r="A376" s="173"/>
      <c r="B376" s="174"/>
      <c r="C376" s="174"/>
      <c r="D376" s="173"/>
      <c r="E376" s="173"/>
      <c r="F376" s="173"/>
      <c r="G376" s="175"/>
      <c r="H376" s="173"/>
      <c r="I376" s="173"/>
      <c r="J376" s="173"/>
      <c r="K376" s="176"/>
      <c r="L376" s="176"/>
      <c r="M376" s="173"/>
      <c r="N376" s="173"/>
      <c r="O376" s="173"/>
      <c r="P376" s="173"/>
      <c r="Q376" s="173"/>
      <c r="R376" s="173"/>
      <c r="S376" s="173"/>
      <c r="T376" s="173"/>
      <c r="U376" s="173"/>
      <c r="V376" s="173"/>
    </row>
    <row r="377" spans="1:22" ht="12.5">
      <c r="A377" s="173"/>
      <c r="B377" s="174"/>
      <c r="C377" s="174"/>
      <c r="D377" s="173"/>
      <c r="E377" s="173"/>
      <c r="F377" s="173"/>
      <c r="G377" s="175"/>
      <c r="H377" s="173"/>
      <c r="I377" s="173"/>
      <c r="J377" s="173"/>
      <c r="K377" s="176"/>
      <c r="L377" s="176"/>
      <c r="M377" s="173"/>
      <c r="N377" s="173"/>
      <c r="O377" s="173"/>
      <c r="P377" s="173"/>
      <c r="Q377" s="173"/>
      <c r="R377" s="173"/>
      <c r="S377" s="173"/>
      <c r="T377" s="173"/>
      <c r="U377" s="173"/>
      <c r="V377" s="173"/>
    </row>
    <row r="378" spans="1:22" ht="12.5">
      <c r="A378" s="173"/>
      <c r="B378" s="174"/>
      <c r="C378" s="174"/>
      <c r="D378" s="173"/>
      <c r="E378" s="173"/>
      <c r="F378" s="173"/>
      <c r="G378" s="175"/>
      <c r="H378" s="173"/>
      <c r="I378" s="173"/>
      <c r="J378" s="173"/>
      <c r="K378" s="176"/>
      <c r="L378" s="176"/>
      <c r="M378" s="173"/>
      <c r="N378" s="173"/>
      <c r="O378" s="173"/>
      <c r="P378" s="173"/>
      <c r="Q378" s="173"/>
      <c r="R378" s="173"/>
      <c r="S378" s="173"/>
      <c r="T378" s="173"/>
      <c r="U378" s="173"/>
      <c r="V378" s="173"/>
    </row>
    <row r="379" spans="1:22" ht="12.5">
      <c r="A379" s="173"/>
      <c r="B379" s="174"/>
      <c r="C379" s="174"/>
      <c r="D379" s="173"/>
      <c r="E379" s="173"/>
      <c r="F379" s="173"/>
      <c r="G379" s="175"/>
      <c r="H379" s="173"/>
      <c r="I379" s="173"/>
      <c r="J379" s="173"/>
      <c r="K379" s="176"/>
      <c r="L379" s="176"/>
      <c r="M379" s="173"/>
      <c r="N379" s="173"/>
      <c r="O379" s="173"/>
      <c r="P379" s="173"/>
      <c r="Q379" s="173"/>
      <c r="R379" s="173"/>
      <c r="S379" s="173"/>
      <c r="T379" s="173"/>
      <c r="U379" s="173"/>
      <c r="V379" s="173"/>
    </row>
    <row r="380" spans="1:22" ht="12.5">
      <c r="A380" s="173"/>
      <c r="B380" s="174"/>
      <c r="C380" s="174"/>
      <c r="D380" s="173"/>
      <c r="E380" s="173"/>
      <c r="F380" s="173"/>
      <c r="G380" s="175"/>
      <c r="H380" s="173"/>
      <c r="I380" s="173"/>
      <c r="J380" s="173"/>
      <c r="K380" s="176"/>
      <c r="L380" s="176"/>
      <c r="M380" s="173"/>
      <c r="N380" s="173"/>
      <c r="O380" s="173"/>
      <c r="P380" s="173"/>
      <c r="Q380" s="173"/>
      <c r="R380" s="173"/>
      <c r="S380" s="173"/>
      <c r="T380" s="173"/>
      <c r="U380" s="173"/>
      <c r="V380" s="173"/>
    </row>
    <row r="381" spans="1:22" ht="12.5">
      <c r="A381" s="173"/>
      <c r="B381" s="174"/>
      <c r="C381" s="174"/>
      <c r="D381" s="173"/>
      <c r="E381" s="173"/>
      <c r="F381" s="173"/>
      <c r="G381" s="175"/>
      <c r="H381" s="173"/>
      <c r="I381" s="173"/>
      <c r="J381" s="173"/>
      <c r="K381" s="176"/>
      <c r="L381" s="176"/>
      <c r="M381" s="173"/>
      <c r="N381" s="173"/>
      <c r="O381" s="173"/>
      <c r="P381" s="173"/>
      <c r="Q381" s="173"/>
      <c r="R381" s="173"/>
      <c r="S381" s="173"/>
      <c r="T381" s="173"/>
      <c r="U381" s="173"/>
      <c r="V381" s="173"/>
    </row>
    <row r="382" spans="1:22" ht="12.5">
      <c r="A382" s="173"/>
      <c r="B382" s="174"/>
      <c r="C382" s="174"/>
      <c r="D382" s="173"/>
      <c r="E382" s="173"/>
      <c r="F382" s="173"/>
      <c r="G382" s="175"/>
      <c r="H382" s="173"/>
      <c r="I382" s="173"/>
      <c r="J382" s="173"/>
      <c r="K382" s="176"/>
      <c r="L382" s="176"/>
      <c r="M382" s="173"/>
      <c r="N382" s="173"/>
      <c r="O382" s="173"/>
      <c r="P382" s="173"/>
      <c r="Q382" s="173"/>
      <c r="R382" s="173"/>
      <c r="S382" s="173"/>
      <c r="T382" s="173"/>
      <c r="U382" s="173"/>
      <c r="V382" s="173"/>
    </row>
    <row r="383" spans="1:22" ht="12.5">
      <c r="A383" s="173"/>
      <c r="B383" s="174"/>
      <c r="C383" s="174"/>
      <c r="D383" s="173"/>
      <c r="E383" s="173"/>
      <c r="F383" s="173"/>
      <c r="G383" s="175"/>
      <c r="H383" s="173"/>
      <c r="I383" s="173"/>
      <c r="J383" s="173"/>
      <c r="K383" s="176"/>
      <c r="L383" s="176"/>
      <c r="M383" s="173"/>
      <c r="N383" s="173"/>
      <c r="O383" s="173"/>
      <c r="P383" s="173"/>
      <c r="Q383" s="173"/>
      <c r="R383" s="173"/>
      <c r="S383" s="173"/>
      <c r="T383" s="173"/>
      <c r="U383" s="173"/>
      <c r="V383" s="173"/>
    </row>
    <row r="384" spans="1:22" ht="12.5">
      <c r="A384" s="173"/>
      <c r="B384" s="174"/>
      <c r="C384" s="174"/>
      <c r="D384" s="173"/>
      <c r="E384" s="173"/>
      <c r="F384" s="173"/>
      <c r="G384" s="175"/>
      <c r="H384" s="173"/>
      <c r="I384" s="173"/>
      <c r="J384" s="173"/>
      <c r="K384" s="176"/>
      <c r="L384" s="176"/>
      <c r="M384" s="173"/>
      <c r="N384" s="173"/>
      <c r="O384" s="173"/>
      <c r="P384" s="173"/>
      <c r="Q384" s="173"/>
      <c r="R384" s="173"/>
      <c r="S384" s="173"/>
      <c r="T384" s="173"/>
      <c r="U384" s="173"/>
      <c r="V384" s="173"/>
    </row>
    <row r="385" spans="1:22" ht="12.5">
      <c r="A385" s="173"/>
      <c r="B385" s="174"/>
      <c r="C385" s="174"/>
      <c r="D385" s="173"/>
      <c r="E385" s="173"/>
      <c r="F385" s="173"/>
      <c r="G385" s="175"/>
      <c r="H385" s="173"/>
      <c r="I385" s="173"/>
      <c r="J385" s="173"/>
      <c r="K385" s="176"/>
      <c r="L385" s="176"/>
      <c r="M385" s="173"/>
      <c r="N385" s="173"/>
      <c r="O385" s="173"/>
      <c r="P385" s="173"/>
      <c r="Q385" s="173"/>
      <c r="R385" s="173"/>
      <c r="S385" s="173"/>
      <c r="T385" s="173"/>
      <c r="U385" s="173"/>
      <c r="V385" s="173"/>
    </row>
    <row r="386" spans="1:22" ht="12.5">
      <c r="A386" s="173"/>
      <c r="B386" s="174"/>
      <c r="C386" s="174"/>
      <c r="D386" s="173"/>
      <c r="E386" s="173"/>
      <c r="F386" s="173"/>
      <c r="G386" s="175"/>
      <c r="H386" s="173"/>
      <c r="I386" s="173"/>
      <c r="J386" s="173"/>
      <c r="K386" s="176"/>
      <c r="L386" s="176"/>
      <c r="M386" s="173"/>
      <c r="N386" s="173"/>
      <c r="O386" s="173"/>
      <c r="P386" s="173"/>
      <c r="Q386" s="173"/>
      <c r="R386" s="173"/>
      <c r="S386" s="173"/>
      <c r="T386" s="173"/>
      <c r="U386" s="173"/>
      <c r="V386" s="173"/>
    </row>
    <row r="387" spans="1:22" ht="12.5">
      <c r="A387" s="173"/>
      <c r="B387" s="174"/>
      <c r="C387" s="174"/>
      <c r="D387" s="173"/>
      <c r="E387" s="173"/>
      <c r="F387" s="173"/>
      <c r="G387" s="175"/>
      <c r="H387" s="173"/>
      <c r="I387" s="173"/>
      <c r="J387" s="173"/>
      <c r="K387" s="176"/>
      <c r="L387" s="176"/>
      <c r="M387" s="173"/>
      <c r="N387" s="173"/>
      <c r="O387" s="173"/>
      <c r="P387" s="173"/>
      <c r="Q387" s="173"/>
      <c r="R387" s="173"/>
      <c r="S387" s="173"/>
      <c r="T387" s="173"/>
      <c r="U387" s="173"/>
      <c r="V387" s="173"/>
    </row>
    <row r="388" spans="1:22" ht="12.5">
      <c r="A388" s="173"/>
      <c r="B388" s="174"/>
      <c r="C388" s="174"/>
      <c r="D388" s="173"/>
      <c r="E388" s="173"/>
      <c r="F388" s="173"/>
      <c r="G388" s="175"/>
      <c r="H388" s="173"/>
      <c r="I388" s="173"/>
      <c r="J388" s="173"/>
      <c r="K388" s="176"/>
      <c r="L388" s="176"/>
      <c r="M388" s="173"/>
      <c r="N388" s="173"/>
      <c r="O388" s="173"/>
      <c r="P388" s="173"/>
      <c r="Q388" s="173"/>
      <c r="R388" s="173"/>
      <c r="S388" s="173"/>
      <c r="T388" s="173"/>
      <c r="U388" s="173"/>
      <c r="V388" s="173"/>
    </row>
    <row r="389" spans="1:22" ht="12.5">
      <c r="A389" s="173"/>
      <c r="B389" s="174"/>
      <c r="C389" s="174"/>
      <c r="D389" s="173"/>
      <c r="E389" s="173"/>
      <c r="F389" s="173"/>
      <c r="G389" s="175"/>
      <c r="H389" s="173"/>
      <c r="I389" s="173"/>
      <c r="J389" s="173"/>
      <c r="K389" s="176"/>
      <c r="L389" s="176"/>
      <c r="M389" s="173"/>
      <c r="N389" s="173"/>
      <c r="O389" s="173"/>
      <c r="P389" s="173"/>
      <c r="Q389" s="173"/>
      <c r="R389" s="173"/>
      <c r="S389" s="173"/>
      <c r="T389" s="173"/>
      <c r="U389" s="173"/>
      <c r="V389" s="173"/>
    </row>
    <row r="390" spans="1:22" ht="12.5">
      <c r="A390" s="173"/>
      <c r="B390" s="174"/>
      <c r="C390" s="174"/>
      <c r="D390" s="173"/>
      <c r="E390" s="173"/>
      <c r="F390" s="173"/>
      <c r="G390" s="175"/>
      <c r="H390" s="173"/>
      <c r="I390" s="173"/>
      <c r="J390" s="173"/>
      <c r="K390" s="176"/>
      <c r="L390" s="176"/>
      <c r="M390" s="173"/>
      <c r="N390" s="173"/>
      <c r="O390" s="173"/>
      <c r="P390" s="173"/>
      <c r="Q390" s="173"/>
      <c r="R390" s="173"/>
      <c r="S390" s="173"/>
      <c r="T390" s="173"/>
      <c r="U390" s="173"/>
      <c r="V390" s="173"/>
    </row>
    <row r="391" spans="1:22" ht="12.5">
      <c r="A391" s="173"/>
      <c r="B391" s="174"/>
      <c r="C391" s="174"/>
      <c r="D391" s="173"/>
      <c r="E391" s="173"/>
      <c r="F391" s="173"/>
      <c r="G391" s="175"/>
      <c r="H391" s="173"/>
      <c r="I391" s="173"/>
      <c r="J391" s="173"/>
      <c r="K391" s="176"/>
      <c r="L391" s="176"/>
      <c r="M391" s="173"/>
      <c r="N391" s="173"/>
      <c r="O391" s="173"/>
      <c r="P391" s="173"/>
      <c r="Q391" s="173"/>
      <c r="R391" s="173"/>
      <c r="S391" s="173"/>
      <c r="T391" s="173"/>
      <c r="U391" s="173"/>
      <c r="V391" s="173"/>
    </row>
    <row r="392" spans="1:22" ht="12.5">
      <c r="A392" s="173"/>
      <c r="B392" s="174"/>
      <c r="C392" s="174"/>
      <c r="D392" s="173"/>
      <c r="E392" s="173"/>
      <c r="F392" s="173"/>
      <c r="G392" s="175"/>
      <c r="H392" s="173"/>
      <c r="I392" s="173"/>
      <c r="J392" s="173"/>
      <c r="K392" s="176"/>
      <c r="L392" s="176"/>
      <c r="M392" s="173"/>
      <c r="N392" s="173"/>
      <c r="O392" s="173"/>
      <c r="P392" s="173"/>
      <c r="Q392" s="173"/>
      <c r="R392" s="173"/>
      <c r="S392" s="173"/>
      <c r="T392" s="173"/>
      <c r="U392" s="173"/>
      <c r="V392" s="173"/>
    </row>
    <row r="393" spans="1:22" ht="12.5">
      <c r="A393" s="173"/>
      <c r="B393" s="174"/>
      <c r="C393" s="174"/>
      <c r="D393" s="173"/>
      <c r="E393" s="173"/>
      <c r="F393" s="173"/>
      <c r="G393" s="175"/>
      <c r="H393" s="173"/>
      <c r="I393" s="173"/>
      <c r="J393" s="173"/>
      <c r="K393" s="176"/>
      <c r="L393" s="176"/>
      <c r="M393" s="173"/>
      <c r="N393" s="173"/>
      <c r="O393" s="173"/>
      <c r="P393" s="173"/>
      <c r="Q393" s="173"/>
      <c r="R393" s="173"/>
      <c r="S393" s="173"/>
      <c r="T393" s="173"/>
      <c r="U393" s="173"/>
      <c r="V393" s="173"/>
    </row>
    <row r="394" spans="1:22" ht="12.5">
      <c r="A394" s="173"/>
      <c r="B394" s="174"/>
      <c r="C394" s="174"/>
      <c r="D394" s="173"/>
      <c r="E394" s="173"/>
      <c r="F394" s="173"/>
      <c r="G394" s="175"/>
      <c r="H394" s="173"/>
      <c r="I394" s="173"/>
      <c r="J394" s="173"/>
      <c r="K394" s="176"/>
      <c r="L394" s="176"/>
      <c r="M394" s="173"/>
      <c r="N394" s="173"/>
      <c r="O394" s="173"/>
      <c r="P394" s="173"/>
      <c r="Q394" s="173"/>
      <c r="R394" s="173"/>
      <c r="S394" s="173"/>
      <c r="T394" s="173"/>
      <c r="U394" s="173"/>
      <c r="V394" s="173"/>
    </row>
    <row r="395" spans="1:22" ht="12.5">
      <c r="A395" s="173"/>
      <c r="B395" s="174"/>
      <c r="C395" s="174"/>
      <c r="D395" s="173"/>
      <c r="E395" s="173"/>
      <c r="F395" s="173"/>
      <c r="G395" s="175"/>
      <c r="H395" s="173"/>
      <c r="I395" s="173"/>
      <c r="J395" s="173"/>
      <c r="K395" s="176"/>
      <c r="L395" s="176"/>
      <c r="M395" s="173"/>
      <c r="N395" s="173"/>
      <c r="O395" s="173"/>
      <c r="P395" s="173"/>
      <c r="Q395" s="173"/>
      <c r="R395" s="173"/>
      <c r="S395" s="173"/>
      <c r="T395" s="173"/>
      <c r="U395" s="173"/>
      <c r="V395" s="173"/>
    </row>
    <row r="396" spans="1:22" ht="12.5">
      <c r="A396" s="173"/>
      <c r="B396" s="174"/>
      <c r="C396" s="174"/>
      <c r="D396" s="173"/>
      <c r="E396" s="173"/>
      <c r="F396" s="173"/>
      <c r="G396" s="175"/>
      <c r="H396" s="173"/>
      <c r="I396" s="173"/>
      <c r="J396" s="173"/>
      <c r="K396" s="176"/>
      <c r="L396" s="176"/>
      <c r="M396" s="173"/>
      <c r="N396" s="173"/>
      <c r="O396" s="173"/>
      <c r="P396" s="173"/>
      <c r="Q396" s="173"/>
      <c r="R396" s="173"/>
      <c r="S396" s="173"/>
      <c r="T396" s="173"/>
      <c r="U396" s="173"/>
      <c r="V396" s="173"/>
    </row>
    <row r="397" spans="1:22" ht="12.5">
      <c r="A397" s="173"/>
      <c r="B397" s="174"/>
      <c r="C397" s="174"/>
      <c r="D397" s="173"/>
      <c r="E397" s="173"/>
      <c r="F397" s="173"/>
      <c r="G397" s="175"/>
      <c r="H397" s="173"/>
      <c r="I397" s="173"/>
      <c r="J397" s="173"/>
      <c r="K397" s="176"/>
      <c r="L397" s="176"/>
      <c r="M397" s="173"/>
      <c r="N397" s="173"/>
      <c r="O397" s="173"/>
      <c r="P397" s="173"/>
      <c r="Q397" s="173"/>
      <c r="R397" s="173"/>
      <c r="S397" s="173"/>
      <c r="T397" s="173"/>
      <c r="U397" s="173"/>
      <c r="V397" s="173"/>
    </row>
    <row r="398" spans="1:22" ht="12.5">
      <c r="A398" s="173"/>
      <c r="B398" s="174"/>
      <c r="C398" s="174"/>
      <c r="D398" s="173"/>
      <c r="E398" s="173"/>
      <c r="F398" s="173"/>
      <c r="G398" s="175"/>
      <c r="H398" s="173"/>
      <c r="I398" s="173"/>
      <c r="J398" s="173"/>
      <c r="K398" s="176"/>
      <c r="L398" s="176"/>
      <c r="M398" s="173"/>
      <c r="N398" s="173"/>
      <c r="O398" s="173"/>
      <c r="P398" s="173"/>
      <c r="Q398" s="173"/>
      <c r="R398" s="173"/>
      <c r="S398" s="173"/>
      <c r="T398" s="173"/>
      <c r="U398" s="173"/>
      <c r="V398" s="173"/>
    </row>
    <row r="399" spans="1:22" ht="12.5">
      <c r="A399" s="173"/>
      <c r="B399" s="174"/>
      <c r="C399" s="174"/>
      <c r="D399" s="173"/>
      <c r="E399" s="173"/>
      <c r="F399" s="173"/>
      <c r="G399" s="175"/>
      <c r="H399" s="173"/>
      <c r="I399" s="173"/>
      <c r="J399" s="173"/>
      <c r="K399" s="176"/>
      <c r="L399" s="176"/>
      <c r="M399" s="173"/>
      <c r="N399" s="173"/>
      <c r="O399" s="173"/>
      <c r="P399" s="173"/>
      <c r="Q399" s="173"/>
      <c r="R399" s="173"/>
      <c r="S399" s="173"/>
      <c r="T399" s="173"/>
      <c r="U399" s="173"/>
      <c r="V399" s="173"/>
    </row>
    <row r="400" spans="1:22" ht="12.5">
      <c r="A400" s="173"/>
      <c r="B400" s="174"/>
      <c r="C400" s="174"/>
      <c r="D400" s="173"/>
      <c r="E400" s="173"/>
      <c r="F400" s="173"/>
      <c r="G400" s="175"/>
      <c r="H400" s="173"/>
      <c r="I400" s="173"/>
      <c r="J400" s="173"/>
      <c r="K400" s="176"/>
      <c r="L400" s="176"/>
      <c r="M400" s="173"/>
      <c r="N400" s="173"/>
      <c r="O400" s="173"/>
      <c r="P400" s="173"/>
      <c r="Q400" s="173"/>
      <c r="R400" s="173"/>
      <c r="S400" s="173"/>
      <c r="T400" s="173"/>
      <c r="U400" s="173"/>
      <c r="V400" s="173"/>
    </row>
    <row r="401" spans="1:22" ht="12.5">
      <c r="A401" s="173"/>
      <c r="B401" s="174"/>
      <c r="C401" s="174"/>
      <c r="D401" s="173"/>
      <c r="E401" s="173"/>
      <c r="F401" s="173"/>
      <c r="G401" s="175"/>
      <c r="H401" s="173"/>
      <c r="I401" s="173"/>
      <c r="J401" s="173"/>
      <c r="K401" s="176"/>
      <c r="L401" s="176"/>
      <c r="M401" s="173"/>
      <c r="N401" s="173"/>
      <c r="O401" s="173"/>
      <c r="P401" s="173"/>
      <c r="Q401" s="173"/>
      <c r="R401" s="173"/>
      <c r="S401" s="173"/>
      <c r="T401" s="173"/>
      <c r="U401" s="173"/>
      <c r="V401" s="173"/>
    </row>
    <row r="402" spans="1:22" ht="12.5">
      <c r="A402" s="173"/>
      <c r="B402" s="174"/>
      <c r="C402" s="174"/>
      <c r="D402" s="173"/>
      <c r="E402" s="173"/>
      <c r="F402" s="173"/>
      <c r="G402" s="175"/>
      <c r="H402" s="173"/>
      <c r="I402" s="173"/>
      <c r="J402" s="173"/>
      <c r="K402" s="176"/>
      <c r="L402" s="176"/>
      <c r="M402" s="173"/>
      <c r="N402" s="173"/>
      <c r="O402" s="173"/>
      <c r="P402" s="173"/>
      <c r="Q402" s="173"/>
      <c r="R402" s="173"/>
      <c r="S402" s="173"/>
      <c r="T402" s="173"/>
      <c r="U402" s="173"/>
      <c r="V402" s="173"/>
    </row>
    <row r="403" spans="1:22" ht="12.5">
      <c r="A403" s="173"/>
      <c r="B403" s="174"/>
      <c r="C403" s="174"/>
      <c r="D403" s="173"/>
      <c r="E403" s="173"/>
      <c r="F403" s="173"/>
      <c r="G403" s="175"/>
      <c r="H403" s="173"/>
      <c r="I403" s="173"/>
      <c r="J403" s="173"/>
      <c r="K403" s="176"/>
      <c r="L403" s="176"/>
      <c r="M403" s="173"/>
      <c r="N403" s="173"/>
      <c r="O403" s="173"/>
      <c r="P403" s="173"/>
      <c r="Q403" s="173"/>
      <c r="R403" s="173"/>
      <c r="S403" s="173"/>
      <c r="T403" s="173"/>
      <c r="U403" s="173"/>
      <c r="V403" s="173"/>
    </row>
    <row r="404" spans="1:22" ht="12.5">
      <c r="A404" s="173"/>
      <c r="B404" s="174"/>
      <c r="C404" s="174"/>
      <c r="D404" s="173"/>
      <c r="E404" s="173"/>
      <c r="F404" s="173"/>
      <c r="G404" s="175"/>
      <c r="H404" s="173"/>
      <c r="I404" s="173"/>
      <c r="J404" s="173"/>
      <c r="K404" s="176"/>
      <c r="L404" s="176"/>
      <c r="M404" s="173"/>
      <c r="N404" s="173"/>
      <c r="O404" s="173"/>
      <c r="P404" s="173"/>
      <c r="Q404" s="173"/>
      <c r="R404" s="173"/>
      <c r="S404" s="173"/>
      <c r="T404" s="173"/>
      <c r="U404" s="173"/>
      <c r="V404" s="173"/>
    </row>
    <row r="405" spans="1:22" ht="12.5">
      <c r="A405" s="173"/>
      <c r="B405" s="174"/>
      <c r="C405" s="174"/>
      <c r="D405" s="173"/>
      <c r="E405" s="173"/>
      <c r="F405" s="173"/>
      <c r="G405" s="175"/>
      <c r="H405" s="173"/>
      <c r="I405" s="173"/>
      <c r="J405" s="173"/>
      <c r="K405" s="176"/>
      <c r="L405" s="176"/>
      <c r="M405" s="173"/>
      <c r="N405" s="173"/>
      <c r="O405" s="173"/>
      <c r="P405" s="173"/>
      <c r="Q405" s="173"/>
      <c r="R405" s="173"/>
      <c r="S405" s="173"/>
      <c r="T405" s="173"/>
      <c r="U405" s="173"/>
      <c r="V405" s="173"/>
    </row>
    <row r="406" spans="1:22" ht="12.5">
      <c r="A406" s="173"/>
      <c r="B406" s="174"/>
      <c r="C406" s="174"/>
      <c r="D406" s="173"/>
      <c r="E406" s="173"/>
      <c r="F406" s="173"/>
      <c r="G406" s="175"/>
      <c r="H406" s="173"/>
      <c r="I406" s="173"/>
      <c r="J406" s="173"/>
      <c r="K406" s="176"/>
      <c r="L406" s="176"/>
      <c r="M406" s="173"/>
      <c r="N406" s="173"/>
      <c r="O406" s="173"/>
      <c r="P406" s="173"/>
      <c r="Q406" s="173"/>
      <c r="R406" s="173"/>
      <c r="S406" s="173"/>
      <c r="T406" s="173"/>
      <c r="U406" s="173"/>
      <c r="V406" s="173"/>
    </row>
    <row r="407" spans="1:22" ht="12.5">
      <c r="A407" s="173"/>
      <c r="B407" s="174"/>
      <c r="C407" s="174"/>
      <c r="D407" s="173"/>
      <c r="E407" s="173"/>
      <c r="F407" s="173"/>
      <c r="G407" s="175"/>
      <c r="H407" s="173"/>
      <c r="I407" s="173"/>
      <c r="J407" s="173"/>
      <c r="K407" s="176"/>
      <c r="L407" s="176"/>
      <c r="M407" s="173"/>
      <c r="N407" s="173"/>
      <c r="O407" s="173"/>
      <c r="P407" s="173"/>
      <c r="Q407" s="173"/>
      <c r="R407" s="173"/>
      <c r="S407" s="173"/>
      <c r="T407" s="173"/>
      <c r="U407" s="173"/>
      <c r="V407" s="173"/>
    </row>
    <row r="408" spans="1:22" ht="12.5">
      <c r="A408" s="173"/>
      <c r="B408" s="174"/>
      <c r="C408" s="174"/>
      <c r="D408" s="173"/>
      <c r="E408" s="173"/>
      <c r="F408" s="173"/>
      <c r="G408" s="175"/>
      <c r="H408" s="173"/>
      <c r="I408" s="173"/>
      <c r="J408" s="173"/>
      <c r="K408" s="176"/>
      <c r="L408" s="176"/>
      <c r="M408" s="173"/>
      <c r="N408" s="173"/>
      <c r="O408" s="173"/>
      <c r="P408" s="173"/>
      <c r="Q408" s="173"/>
      <c r="R408" s="173"/>
      <c r="S408" s="173"/>
      <c r="T408" s="173"/>
      <c r="U408" s="173"/>
      <c r="V408" s="173"/>
    </row>
    <row r="409" spans="1:22" ht="12.5">
      <c r="A409" s="173"/>
      <c r="B409" s="174"/>
      <c r="C409" s="174"/>
      <c r="D409" s="173"/>
      <c r="E409" s="173"/>
      <c r="F409" s="173"/>
      <c r="G409" s="175"/>
      <c r="H409" s="173"/>
      <c r="I409" s="173"/>
      <c r="J409" s="173"/>
      <c r="K409" s="176"/>
      <c r="L409" s="176"/>
      <c r="M409" s="173"/>
      <c r="N409" s="173"/>
      <c r="O409" s="173"/>
      <c r="P409" s="173"/>
      <c r="Q409" s="173"/>
      <c r="R409" s="173"/>
      <c r="S409" s="173"/>
      <c r="T409" s="173"/>
      <c r="U409" s="173"/>
      <c r="V409" s="173"/>
    </row>
    <row r="410" spans="1:22" ht="12.5">
      <c r="A410" s="173"/>
      <c r="B410" s="174"/>
      <c r="C410" s="174"/>
      <c r="D410" s="173"/>
      <c r="E410" s="173"/>
      <c r="F410" s="173"/>
      <c r="G410" s="175"/>
      <c r="H410" s="173"/>
      <c r="I410" s="173"/>
      <c r="J410" s="173"/>
      <c r="K410" s="176"/>
      <c r="L410" s="176"/>
      <c r="M410" s="173"/>
      <c r="N410" s="173"/>
      <c r="O410" s="173"/>
      <c r="P410" s="173"/>
      <c r="Q410" s="173"/>
      <c r="R410" s="173"/>
      <c r="S410" s="173"/>
      <c r="T410" s="173"/>
      <c r="U410" s="173"/>
      <c r="V410" s="173"/>
    </row>
    <row r="411" spans="1:22" ht="12.5">
      <c r="A411" s="173"/>
      <c r="B411" s="174"/>
      <c r="C411" s="174"/>
      <c r="D411" s="173"/>
      <c r="E411" s="173"/>
      <c r="F411" s="173"/>
      <c r="G411" s="175"/>
      <c r="H411" s="173"/>
      <c r="I411" s="173"/>
      <c r="J411" s="173"/>
      <c r="K411" s="176"/>
      <c r="L411" s="176"/>
      <c r="M411" s="173"/>
      <c r="N411" s="173"/>
      <c r="O411" s="173"/>
      <c r="P411" s="173"/>
      <c r="Q411" s="173"/>
      <c r="R411" s="173"/>
      <c r="S411" s="173"/>
      <c r="T411" s="173"/>
      <c r="U411" s="173"/>
      <c r="V411" s="173"/>
    </row>
    <row r="412" spans="1:22" ht="12.5">
      <c r="A412" s="173"/>
      <c r="B412" s="174"/>
      <c r="C412" s="174"/>
      <c r="D412" s="173"/>
      <c r="E412" s="173"/>
      <c r="F412" s="173"/>
      <c r="G412" s="175"/>
      <c r="H412" s="173"/>
      <c r="I412" s="173"/>
      <c r="J412" s="173"/>
      <c r="K412" s="176"/>
      <c r="L412" s="176"/>
      <c r="M412" s="173"/>
      <c r="N412" s="173"/>
      <c r="O412" s="173"/>
      <c r="P412" s="173"/>
      <c r="Q412" s="173"/>
      <c r="R412" s="173"/>
      <c r="S412" s="173"/>
      <c r="T412" s="173"/>
      <c r="U412" s="173"/>
      <c r="V412" s="173"/>
    </row>
    <row r="413" spans="1:22" ht="12.5">
      <c r="A413" s="173"/>
      <c r="B413" s="174"/>
      <c r="C413" s="174"/>
      <c r="D413" s="173"/>
      <c r="E413" s="173"/>
      <c r="F413" s="173"/>
      <c r="G413" s="175"/>
      <c r="H413" s="173"/>
      <c r="I413" s="173"/>
      <c r="J413" s="173"/>
      <c r="K413" s="176"/>
      <c r="L413" s="176"/>
      <c r="M413" s="173"/>
      <c r="N413" s="173"/>
      <c r="O413" s="173"/>
      <c r="P413" s="173"/>
      <c r="Q413" s="173"/>
      <c r="R413" s="173"/>
      <c r="S413" s="173"/>
      <c r="T413" s="173"/>
      <c r="U413" s="173"/>
      <c r="V413" s="173"/>
    </row>
    <row r="414" spans="1:22" ht="12.5">
      <c r="A414" s="173"/>
      <c r="B414" s="174"/>
      <c r="C414" s="174"/>
      <c r="D414" s="173"/>
      <c r="E414" s="173"/>
      <c r="F414" s="173"/>
      <c r="G414" s="175"/>
      <c r="H414" s="173"/>
      <c r="I414" s="173"/>
      <c r="J414" s="173"/>
      <c r="K414" s="176"/>
      <c r="L414" s="176"/>
      <c r="M414" s="173"/>
      <c r="N414" s="173"/>
      <c r="O414" s="173"/>
      <c r="P414" s="173"/>
      <c r="Q414" s="173"/>
      <c r="R414" s="173"/>
      <c r="S414" s="173"/>
      <c r="T414" s="173"/>
      <c r="U414" s="173"/>
      <c r="V414" s="173"/>
    </row>
    <row r="415" spans="1:22" ht="12.5">
      <c r="A415" s="173"/>
      <c r="B415" s="174"/>
      <c r="C415" s="174"/>
      <c r="D415" s="173"/>
      <c r="E415" s="173"/>
      <c r="F415" s="173"/>
      <c r="G415" s="175"/>
      <c r="H415" s="173"/>
      <c r="I415" s="173"/>
      <c r="J415" s="173"/>
      <c r="K415" s="176"/>
      <c r="L415" s="176"/>
      <c r="M415" s="173"/>
      <c r="N415" s="173"/>
      <c r="O415" s="173"/>
      <c r="P415" s="173"/>
      <c r="Q415" s="173"/>
      <c r="R415" s="173"/>
      <c r="S415" s="173"/>
      <c r="T415" s="173"/>
      <c r="U415" s="173"/>
      <c r="V415" s="173"/>
    </row>
    <row r="416" spans="1:22" ht="12.5">
      <c r="A416" s="173"/>
      <c r="B416" s="174"/>
      <c r="C416" s="174"/>
      <c r="D416" s="173"/>
      <c r="E416" s="173"/>
      <c r="F416" s="173"/>
      <c r="G416" s="175"/>
      <c r="H416" s="173"/>
      <c r="I416" s="173"/>
      <c r="J416" s="173"/>
      <c r="K416" s="176"/>
      <c r="L416" s="176"/>
      <c r="M416" s="173"/>
      <c r="N416" s="173"/>
      <c r="O416" s="173"/>
      <c r="P416" s="173"/>
      <c r="Q416" s="173"/>
      <c r="R416" s="173"/>
      <c r="S416" s="173"/>
      <c r="T416" s="173"/>
      <c r="U416" s="173"/>
      <c r="V416" s="173"/>
    </row>
    <row r="417" spans="1:22" ht="12.5">
      <c r="A417" s="173"/>
      <c r="B417" s="174"/>
      <c r="C417" s="174"/>
      <c r="D417" s="173"/>
      <c r="E417" s="173"/>
      <c r="F417" s="173"/>
      <c r="G417" s="175"/>
      <c r="H417" s="173"/>
      <c r="I417" s="173"/>
      <c r="J417" s="173"/>
      <c r="K417" s="176"/>
      <c r="L417" s="176"/>
      <c r="M417" s="173"/>
      <c r="N417" s="173"/>
      <c r="O417" s="173"/>
      <c r="P417" s="173"/>
      <c r="Q417" s="173"/>
      <c r="R417" s="173"/>
      <c r="S417" s="173"/>
      <c r="T417" s="173"/>
      <c r="U417" s="173"/>
      <c r="V417" s="173"/>
    </row>
    <row r="418" spans="1:22" ht="12.5">
      <c r="A418" s="173"/>
      <c r="B418" s="174"/>
      <c r="C418" s="174"/>
      <c r="D418" s="173"/>
      <c r="E418" s="173"/>
      <c r="F418" s="173"/>
      <c r="G418" s="175"/>
      <c r="H418" s="173"/>
      <c r="I418" s="173"/>
      <c r="J418" s="173"/>
      <c r="K418" s="176"/>
      <c r="L418" s="176"/>
      <c r="M418" s="173"/>
      <c r="N418" s="173"/>
      <c r="O418" s="173"/>
      <c r="P418" s="173"/>
      <c r="Q418" s="173"/>
      <c r="R418" s="173"/>
      <c r="S418" s="173"/>
      <c r="T418" s="173"/>
      <c r="U418" s="173"/>
      <c r="V418" s="173"/>
    </row>
    <row r="419" spans="1:22" ht="12.5">
      <c r="A419" s="173"/>
      <c r="B419" s="174"/>
      <c r="C419" s="174"/>
      <c r="D419" s="173"/>
      <c r="E419" s="173"/>
      <c r="F419" s="173"/>
      <c r="G419" s="175"/>
      <c r="H419" s="173"/>
      <c r="I419" s="173"/>
      <c r="J419" s="173"/>
      <c r="K419" s="176"/>
      <c r="L419" s="176"/>
      <c r="M419" s="173"/>
      <c r="N419" s="173"/>
      <c r="O419" s="173"/>
      <c r="P419" s="173"/>
      <c r="Q419" s="173"/>
      <c r="R419" s="173"/>
      <c r="S419" s="173"/>
      <c r="T419" s="173"/>
      <c r="U419" s="173"/>
      <c r="V419" s="173"/>
    </row>
    <row r="420" spans="1:22" ht="12.5">
      <c r="A420" s="173"/>
      <c r="B420" s="174"/>
      <c r="C420" s="174"/>
      <c r="D420" s="173"/>
      <c r="E420" s="173"/>
      <c r="F420" s="173"/>
      <c r="G420" s="175"/>
      <c r="H420" s="173"/>
      <c r="I420" s="173"/>
      <c r="J420" s="173"/>
      <c r="K420" s="176"/>
      <c r="L420" s="176"/>
      <c r="M420" s="173"/>
      <c r="N420" s="173"/>
      <c r="O420" s="173"/>
      <c r="P420" s="173"/>
      <c r="Q420" s="173"/>
      <c r="R420" s="173"/>
      <c r="S420" s="173"/>
      <c r="T420" s="173"/>
      <c r="U420" s="173"/>
      <c r="V420" s="173"/>
    </row>
    <row r="421" spans="1:22" ht="12.5">
      <c r="A421" s="173"/>
      <c r="B421" s="174"/>
      <c r="C421" s="174"/>
      <c r="D421" s="173"/>
      <c r="E421" s="173"/>
      <c r="F421" s="173"/>
      <c r="G421" s="175"/>
      <c r="H421" s="173"/>
      <c r="I421" s="173"/>
      <c r="J421" s="173"/>
      <c r="K421" s="176"/>
      <c r="L421" s="176"/>
      <c r="M421" s="173"/>
      <c r="N421" s="173"/>
      <c r="O421" s="173"/>
      <c r="P421" s="173"/>
      <c r="Q421" s="173"/>
      <c r="R421" s="173"/>
      <c r="S421" s="173"/>
      <c r="T421" s="173"/>
      <c r="U421" s="173"/>
      <c r="V421" s="173"/>
    </row>
    <row r="422" spans="1:22" ht="12.5">
      <c r="A422" s="173"/>
      <c r="B422" s="174"/>
      <c r="C422" s="174"/>
      <c r="D422" s="173"/>
      <c r="E422" s="173"/>
      <c r="F422" s="173"/>
      <c r="G422" s="175"/>
      <c r="H422" s="173"/>
      <c r="I422" s="173"/>
      <c r="J422" s="173"/>
      <c r="K422" s="176"/>
      <c r="L422" s="176"/>
      <c r="M422" s="173"/>
      <c r="N422" s="173"/>
      <c r="O422" s="173"/>
      <c r="P422" s="173"/>
      <c r="Q422" s="173"/>
      <c r="R422" s="173"/>
      <c r="S422" s="173"/>
      <c r="T422" s="173"/>
      <c r="U422" s="173"/>
      <c r="V422" s="173"/>
    </row>
    <row r="423" spans="1:22" ht="12.5">
      <c r="A423" s="173"/>
      <c r="B423" s="174"/>
      <c r="C423" s="174"/>
      <c r="D423" s="173"/>
      <c r="E423" s="173"/>
      <c r="F423" s="173"/>
      <c r="G423" s="175"/>
      <c r="H423" s="173"/>
      <c r="I423" s="173"/>
      <c r="J423" s="173"/>
      <c r="K423" s="176"/>
      <c r="L423" s="176"/>
      <c r="M423" s="173"/>
      <c r="N423" s="173"/>
      <c r="O423" s="173"/>
      <c r="P423" s="173"/>
      <c r="Q423" s="173"/>
      <c r="R423" s="173"/>
      <c r="S423" s="173"/>
      <c r="T423" s="173"/>
      <c r="U423" s="173"/>
      <c r="V423" s="173"/>
    </row>
    <row r="424" spans="1:22" ht="12.5">
      <c r="A424" s="173"/>
      <c r="B424" s="174"/>
      <c r="C424" s="174"/>
      <c r="D424" s="173"/>
      <c r="E424" s="173"/>
      <c r="F424" s="173"/>
      <c r="G424" s="175"/>
      <c r="H424" s="173"/>
      <c r="I424" s="173"/>
      <c r="J424" s="173"/>
      <c r="K424" s="176"/>
      <c r="L424" s="176"/>
      <c r="M424" s="173"/>
      <c r="N424" s="173"/>
      <c r="O424" s="173"/>
      <c r="P424" s="173"/>
      <c r="Q424" s="173"/>
      <c r="R424" s="173"/>
      <c r="S424" s="173"/>
      <c r="T424" s="173"/>
      <c r="U424" s="173"/>
      <c r="V424" s="173"/>
    </row>
    <row r="425" spans="1:22" ht="12.5">
      <c r="A425" s="173"/>
      <c r="B425" s="174"/>
      <c r="C425" s="174"/>
      <c r="D425" s="173"/>
      <c r="E425" s="173"/>
      <c r="F425" s="173"/>
      <c r="G425" s="175"/>
      <c r="H425" s="173"/>
      <c r="I425" s="173"/>
      <c r="J425" s="173"/>
      <c r="K425" s="176"/>
      <c r="L425" s="176"/>
      <c r="M425" s="173"/>
      <c r="N425" s="173"/>
      <c r="O425" s="173"/>
      <c r="P425" s="173"/>
      <c r="Q425" s="173"/>
      <c r="R425" s="173"/>
      <c r="S425" s="173"/>
      <c r="T425" s="173"/>
      <c r="U425" s="173"/>
      <c r="V425" s="173"/>
    </row>
    <row r="426" spans="1:22" ht="12.5">
      <c r="A426" s="173"/>
      <c r="B426" s="174"/>
      <c r="C426" s="174"/>
      <c r="D426" s="173"/>
      <c r="E426" s="173"/>
      <c r="F426" s="173"/>
      <c r="G426" s="175"/>
      <c r="H426" s="173"/>
      <c r="I426" s="173"/>
      <c r="J426" s="173"/>
      <c r="K426" s="176"/>
      <c r="L426" s="176"/>
      <c r="M426" s="173"/>
      <c r="N426" s="173"/>
      <c r="O426" s="173"/>
      <c r="P426" s="173"/>
      <c r="Q426" s="173"/>
      <c r="R426" s="173"/>
      <c r="S426" s="173"/>
      <c r="T426" s="173"/>
      <c r="U426" s="173"/>
      <c r="V426" s="173"/>
    </row>
    <row r="427" spans="1:22" ht="12.5">
      <c r="A427" s="173"/>
      <c r="B427" s="174"/>
      <c r="C427" s="174"/>
      <c r="D427" s="173"/>
      <c r="E427" s="173"/>
      <c r="F427" s="173"/>
      <c r="G427" s="175"/>
      <c r="H427" s="173"/>
      <c r="I427" s="173"/>
      <c r="J427" s="173"/>
      <c r="K427" s="176"/>
      <c r="L427" s="176"/>
      <c r="M427" s="173"/>
      <c r="N427" s="173"/>
      <c r="O427" s="173"/>
      <c r="P427" s="173"/>
      <c r="Q427" s="173"/>
      <c r="R427" s="173"/>
      <c r="S427" s="173"/>
      <c r="T427" s="173"/>
      <c r="U427" s="173"/>
      <c r="V427" s="173"/>
    </row>
    <row r="428" spans="1:22" ht="12.5">
      <c r="A428" s="173"/>
      <c r="B428" s="174"/>
      <c r="C428" s="174"/>
      <c r="D428" s="173"/>
      <c r="E428" s="173"/>
      <c r="F428" s="173"/>
      <c r="G428" s="175"/>
      <c r="H428" s="173"/>
      <c r="I428" s="173"/>
      <c r="J428" s="173"/>
      <c r="K428" s="176"/>
      <c r="L428" s="176"/>
      <c r="M428" s="173"/>
      <c r="N428" s="173"/>
      <c r="O428" s="173"/>
      <c r="P428" s="173"/>
      <c r="Q428" s="173"/>
      <c r="R428" s="173"/>
      <c r="S428" s="173"/>
      <c r="T428" s="173"/>
      <c r="U428" s="173"/>
      <c r="V428" s="173"/>
    </row>
    <row r="429" spans="1:22" ht="12.5">
      <c r="A429" s="173"/>
      <c r="B429" s="174"/>
      <c r="C429" s="174"/>
      <c r="D429" s="173"/>
      <c r="E429" s="173"/>
      <c r="F429" s="173"/>
      <c r="G429" s="175"/>
      <c r="H429" s="173"/>
      <c r="I429" s="173"/>
      <c r="J429" s="173"/>
      <c r="K429" s="176"/>
      <c r="L429" s="176"/>
      <c r="M429" s="173"/>
      <c r="N429" s="173"/>
      <c r="O429" s="173"/>
      <c r="P429" s="173"/>
      <c r="Q429" s="173"/>
      <c r="R429" s="173"/>
      <c r="S429" s="173"/>
      <c r="T429" s="173"/>
      <c r="U429" s="173"/>
      <c r="V429" s="173"/>
    </row>
    <row r="430" spans="1:22" ht="12.5">
      <c r="A430" s="173"/>
      <c r="B430" s="174"/>
      <c r="C430" s="174"/>
      <c r="D430" s="173"/>
      <c r="E430" s="173"/>
      <c r="F430" s="173"/>
      <c r="G430" s="175"/>
      <c r="H430" s="173"/>
      <c r="I430" s="173"/>
      <c r="J430" s="173"/>
      <c r="K430" s="176"/>
      <c r="L430" s="176"/>
      <c r="M430" s="173"/>
      <c r="N430" s="173"/>
      <c r="O430" s="173"/>
      <c r="P430" s="173"/>
      <c r="Q430" s="173"/>
      <c r="R430" s="173"/>
      <c r="S430" s="173"/>
      <c r="T430" s="173"/>
      <c r="U430" s="173"/>
      <c r="V430" s="173"/>
    </row>
    <row r="431" spans="1:22" ht="12.5">
      <c r="A431" s="173"/>
      <c r="B431" s="174"/>
      <c r="C431" s="174"/>
      <c r="D431" s="173"/>
      <c r="E431" s="173"/>
      <c r="F431" s="173"/>
      <c r="G431" s="175"/>
      <c r="H431" s="173"/>
      <c r="I431" s="173"/>
      <c r="J431" s="173"/>
      <c r="K431" s="176"/>
      <c r="L431" s="176"/>
      <c r="M431" s="173"/>
      <c r="N431" s="173"/>
      <c r="O431" s="173"/>
      <c r="P431" s="173"/>
      <c r="Q431" s="173"/>
      <c r="R431" s="173"/>
      <c r="S431" s="173"/>
      <c r="T431" s="173"/>
      <c r="U431" s="173"/>
      <c r="V431" s="173"/>
    </row>
    <row r="432" spans="1:22" ht="12.5">
      <c r="A432" s="173"/>
      <c r="B432" s="174"/>
      <c r="C432" s="174"/>
      <c r="D432" s="173"/>
      <c r="E432" s="173"/>
      <c r="F432" s="173"/>
      <c r="G432" s="175"/>
      <c r="H432" s="173"/>
      <c r="I432" s="173"/>
      <c r="J432" s="173"/>
      <c r="K432" s="176"/>
      <c r="L432" s="176"/>
      <c r="M432" s="173"/>
      <c r="N432" s="173"/>
      <c r="O432" s="173"/>
      <c r="P432" s="173"/>
      <c r="Q432" s="173"/>
      <c r="R432" s="173"/>
      <c r="S432" s="173"/>
      <c r="T432" s="173"/>
      <c r="U432" s="173"/>
      <c r="V432" s="173"/>
    </row>
    <row r="433" spans="1:22" ht="12.5">
      <c r="A433" s="173"/>
      <c r="B433" s="174"/>
      <c r="C433" s="174"/>
      <c r="D433" s="173"/>
      <c r="E433" s="173"/>
      <c r="F433" s="173"/>
      <c r="G433" s="175"/>
      <c r="H433" s="173"/>
      <c r="I433" s="173"/>
      <c r="J433" s="173"/>
      <c r="K433" s="176"/>
      <c r="L433" s="176"/>
      <c r="M433" s="173"/>
      <c r="N433" s="173"/>
      <c r="O433" s="173"/>
      <c r="P433" s="173"/>
      <c r="Q433" s="173"/>
      <c r="R433" s="173"/>
      <c r="S433" s="173"/>
      <c r="T433" s="173"/>
      <c r="U433" s="173"/>
      <c r="V433" s="173"/>
    </row>
    <row r="434" spans="1:22" ht="12.5">
      <c r="A434" s="173"/>
      <c r="B434" s="174"/>
      <c r="C434" s="174"/>
      <c r="D434" s="173"/>
      <c r="E434" s="173"/>
      <c r="F434" s="173"/>
      <c r="G434" s="175"/>
      <c r="H434" s="173"/>
      <c r="I434" s="173"/>
      <c r="J434" s="173"/>
      <c r="K434" s="176"/>
      <c r="L434" s="176"/>
      <c r="M434" s="173"/>
      <c r="N434" s="173"/>
      <c r="O434" s="173"/>
      <c r="P434" s="173"/>
      <c r="Q434" s="173"/>
      <c r="R434" s="173"/>
      <c r="S434" s="173"/>
      <c r="T434" s="173"/>
      <c r="U434" s="173"/>
      <c r="V434" s="173"/>
    </row>
    <row r="435" spans="1:22" ht="12.5">
      <c r="A435" s="173"/>
      <c r="B435" s="174"/>
      <c r="C435" s="174"/>
      <c r="D435" s="173"/>
      <c r="E435" s="173"/>
      <c r="F435" s="173"/>
      <c r="G435" s="175"/>
      <c r="H435" s="173"/>
      <c r="I435" s="173"/>
      <c r="J435" s="173"/>
      <c r="K435" s="176"/>
      <c r="L435" s="176"/>
      <c r="M435" s="173"/>
      <c r="N435" s="173"/>
      <c r="O435" s="173"/>
      <c r="P435" s="173"/>
      <c r="Q435" s="173"/>
      <c r="R435" s="173"/>
      <c r="S435" s="173"/>
      <c r="T435" s="173"/>
      <c r="U435" s="173"/>
      <c r="V435" s="173"/>
    </row>
    <row r="436" spans="1:22" ht="12.5">
      <c r="A436" s="173"/>
      <c r="B436" s="174"/>
      <c r="C436" s="174"/>
      <c r="D436" s="173"/>
      <c r="E436" s="173"/>
      <c r="F436" s="173"/>
      <c r="G436" s="175"/>
      <c r="H436" s="173"/>
      <c r="I436" s="173"/>
      <c r="J436" s="173"/>
      <c r="K436" s="176"/>
      <c r="L436" s="176"/>
      <c r="M436" s="173"/>
      <c r="N436" s="173"/>
      <c r="O436" s="173"/>
      <c r="P436" s="173"/>
      <c r="Q436" s="173"/>
      <c r="R436" s="173"/>
      <c r="S436" s="173"/>
      <c r="T436" s="173"/>
      <c r="U436" s="173"/>
      <c r="V436" s="173"/>
    </row>
    <row r="437" spans="1:22" ht="12.5">
      <c r="A437" s="173"/>
      <c r="B437" s="174"/>
      <c r="C437" s="174"/>
      <c r="D437" s="173"/>
      <c r="E437" s="173"/>
      <c r="F437" s="173"/>
      <c r="G437" s="175"/>
      <c r="H437" s="173"/>
      <c r="I437" s="173"/>
      <c r="J437" s="173"/>
      <c r="K437" s="176"/>
      <c r="L437" s="176"/>
      <c r="M437" s="173"/>
      <c r="N437" s="173"/>
      <c r="O437" s="173"/>
      <c r="P437" s="173"/>
      <c r="Q437" s="173"/>
      <c r="R437" s="173"/>
      <c r="S437" s="173"/>
      <c r="T437" s="173"/>
      <c r="U437" s="173"/>
      <c r="V437" s="173"/>
    </row>
    <row r="438" spans="1:22" ht="12.5">
      <c r="A438" s="173"/>
      <c r="B438" s="174"/>
      <c r="C438" s="174"/>
      <c r="D438" s="173"/>
      <c r="E438" s="173"/>
      <c r="F438" s="173"/>
      <c r="G438" s="175"/>
      <c r="H438" s="173"/>
      <c r="I438" s="173"/>
      <c r="J438" s="173"/>
      <c r="K438" s="176"/>
      <c r="L438" s="176"/>
      <c r="M438" s="173"/>
      <c r="N438" s="173"/>
      <c r="O438" s="173"/>
      <c r="P438" s="173"/>
      <c r="Q438" s="173"/>
      <c r="R438" s="173"/>
      <c r="S438" s="173"/>
      <c r="T438" s="173"/>
      <c r="U438" s="173"/>
      <c r="V438" s="173"/>
    </row>
    <row r="439" spans="1:22" ht="12.5">
      <c r="A439" s="173"/>
      <c r="B439" s="174"/>
      <c r="C439" s="174"/>
      <c r="D439" s="173"/>
      <c r="E439" s="173"/>
      <c r="F439" s="173"/>
      <c r="G439" s="175"/>
      <c r="H439" s="173"/>
      <c r="I439" s="173"/>
      <c r="J439" s="173"/>
      <c r="K439" s="176"/>
      <c r="L439" s="176"/>
      <c r="M439" s="173"/>
      <c r="N439" s="173"/>
      <c r="O439" s="173"/>
      <c r="P439" s="173"/>
      <c r="Q439" s="173"/>
      <c r="R439" s="173"/>
      <c r="S439" s="173"/>
      <c r="T439" s="173"/>
      <c r="U439" s="173"/>
      <c r="V439" s="173"/>
    </row>
    <row r="440" spans="1:22" ht="12.5">
      <c r="A440" s="173"/>
      <c r="B440" s="174"/>
      <c r="C440" s="174"/>
      <c r="D440" s="173"/>
      <c r="E440" s="173"/>
      <c r="F440" s="173"/>
      <c r="G440" s="175"/>
      <c r="H440" s="173"/>
      <c r="I440" s="173"/>
      <c r="J440" s="173"/>
      <c r="K440" s="176"/>
      <c r="L440" s="176"/>
      <c r="M440" s="173"/>
      <c r="N440" s="173"/>
      <c r="O440" s="173"/>
      <c r="P440" s="173"/>
      <c r="Q440" s="173"/>
      <c r="R440" s="173"/>
      <c r="S440" s="173"/>
      <c r="T440" s="173"/>
      <c r="U440" s="173"/>
      <c r="V440" s="173"/>
    </row>
    <row r="441" spans="1:22" ht="12.5">
      <c r="A441" s="173"/>
      <c r="B441" s="174"/>
      <c r="C441" s="174"/>
      <c r="D441" s="173"/>
      <c r="E441" s="173"/>
      <c r="F441" s="173"/>
      <c r="G441" s="175"/>
      <c r="H441" s="173"/>
      <c r="I441" s="173"/>
      <c r="J441" s="173"/>
      <c r="K441" s="176"/>
      <c r="L441" s="176"/>
      <c r="M441" s="173"/>
      <c r="N441" s="173"/>
      <c r="O441" s="173"/>
      <c r="P441" s="173"/>
      <c r="Q441" s="173"/>
      <c r="R441" s="173"/>
      <c r="S441" s="173"/>
      <c r="T441" s="173"/>
      <c r="U441" s="173"/>
      <c r="V441" s="173"/>
    </row>
    <row r="442" spans="1:22" ht="12.5">
      <c r="A442" s="173"/>
      <c r="B442" s="174"/>
      <c r="C442" s="174"/>
      <c r="D442" s="173"/>
      <c r="E442" s="173"/>
      <c r="F442" s="173"/>
      <c r="G442" s="175"/>
      <c r="H442" s="173"/>
      <c r="I442" s="173"/>
      <c r="J442" s="173"/>
      <c r="K442" s="176"/>
      <c r="L442" s="176"/>
      <c r="M442" s="173"/>
      <c r="N442" s="173"/>
      <c r="O442" s="173"/>
      <c r="P442" s="173"/>
      <c r="Q442" s="173"/>
      <c r="R442" s="173"/>
      <c r="S442" s="173"/>
      <c r="T442" s="173"/>
      <c r="U442" s="173"/>
      <c r="V442" s="173"/>
    </row>
    <row r="443" spans="1:22" ht="12.5">
      <c r="A443" s="173"/>
      <c r="B443" s="174"/>
      <c r="C443" s="174"/>
      <c r="D443" s="173"/>
      <c r="E443" s="173"/>
      <c r="F443" s="173"/>
      <c r="G443" s="175"/>
      <c r="H443" s="173"/>
      <c r="I443" s="173"/>
      <c r="J443" s="173"/>
      <c r="K443" s="176"/>
      <c r="L443" s="176"/>
      <c r="M443" s="173"/>
      <c r="N443" s="173"/>
      <c r="O443" s="173"/>
      <c r="P443" s="173"/>
      <c r="Q443" s="173"/>
      <c r="R443" s="173"/>
      <c r="S443" s="173"/>
      <c r="T443" s="173"/>
      <c r="U443" s="173"/>
      <c r="V443" s="173"/>
    </row>
    <row r="444" spans="1:22" ht="12.5">
      <c r="A444" s="173"/>
      <c r="B444" s="174"/>
      <c r="C444" s="174"/>
      <c r="D444" s="173"/>
      <c r="E444" s="173"/>
      <c r="F444" s="173"/>
      <c r="G444" s="175"/>
      <c r="H444" s="173"/>
      <c r="I444" s="173"/>
      <c r="J444" s="173"/>
      <c r="K444" s="176"/>
      <c r="L444" s="176"/>
      <c r="M444" s="173"/>
      <c r="N444" s="173"/>
      <c r="O444" s="173"/>
      <c r="P444" s="173"/>
      <c r="Q444" s="173"/>
      <c r="R444" s="173"/>
      <c r="S444" s="173"/>
      <c r="T444" s="173"/>
      <c r="U444" s="173"/>
      <c r="V444" s="173"/>
    </row>
    <row r="445" spans="1:22" ht="12.5">
      <c r="A445" s="173"/>
      <c r="B445" s="174"/>
      <c r="C445" s="174"/>
      <c r="D445" s="173"/>
      <c r="E445" s="173"/>
      <c r="F445" s="173"/>
      <c r="G445" s="175"/>
      <c r="H445" s="173"/>
      <c r="I445" s="173"/>
      <c r="J445" s="173"/>
      <c r="K445" s="176"/>
      <c r="L445" s="176"/>
      <c r="M445" s="173"/>
      <c r="N445" s="173"/>
      <c r="O445" s="173"/>
      <c r="P445" s="173"/>
      <c r="Q445" s="173"/>
      <c r="R445" s="173"/>
      <c r="S445" s="173"/>
      <c r="T445" s="173"/>
      <c r="U445" s="173"/>
      <c r="V445" s="173"/>
    </row>
    <row r="446" spans="1:22" ht="12.5">
      <c r="A446" s="173"/>
      <c r="B446" s="174"/>
      <c r="C446" s="174"/>
      <c r="D446" s="173"/>
      <c r="E446" s="173"/>
      <c r="F446" s="173"/>
      <c r="G446" s="175"/>
      <c r="H446" s="173"/>
      <c r="I446" s="173"/>
      <c r="J446" s="173"/>
      <c r="K446" s="176"/>
      <c r="L446" s="176"/>
      <c r="M446" s="173"/>
      <c r="N446" s="173"/>
      <c r="O446" s="173"/>
      <c r="P446" s="173"/>
      <c r="Q446" s="173"/>
      <c r="R446" s="173"/>
      <c r="S446" s="173"/>
      <c r="T446" s="173"/>
      <c r="U446" s="173"/>
      <c r="V446" s="173"/>
    </row>
    <row r="447" spans="1:22" ht="12.5">
      <c r="A447" s="173"/>
      <c r="B447" s="174"/>
      <c r="C447" s="174"/>
      <c r="D447" s="173"/>
      <c r="E447" s="173"/>
      <c r="F447" s="173"/>
      <c r="G447" s="175"/>
      <c r="H447" s="173"/>
      <c r="I447" s="173"/>
      <c r="J447" s="173"/>
      <c r="K447" s="176"/>
      <c r="L447" s="176"/>
      <c r="M447" s="173"/>
      <c r="N447" s="173"/>
      <c r="O447" s="173"/>
      <c r="P447" s="173"/>
      <c r="Q447" s="173"/>
      <c r="R447" s="173"/>
      <c r="S447" s="173"/>
      <c r="T447" s="173"/>
      <c r="U447" s="173"/>
      <c r="V447" s="173"/>
    </row>
    <row r="448" spans="1:22" ht="12.5">
      <c r="A448" s="173"/>
      <c r="B448" s="174"/>
      <c r="C448" s="174"/>
      <c r="D448" s="173"/>
      <c r="E448" s="173"/>
      <c r="F448" s="173"/>
      <c r="G448" s="175"/>
      <c r="H448" s="173"/>
      <c r="I448" s="173"/>
      <c r="J448" s="173"/>
      <c r="K448" s="176"/>
      <c r="L448" s="176"/>
      <c r="M448" s="173"/>
      <c r="N448" s="173"/>
      <c r="O448" s="173"/>
      <c r="P448" s="173"/>
      <c r="Q448" s="173"/>
      <c r="R448" s="173"/>
      <c r="S448" s="173"/>
      <c r="T448" s="173"/>
      <c r="U448" s="173"/>
      <c r="V448" s="173"/>
    </row>
    <row r="449" spans="1:22" ht="12.5">
      <c r="A449" s="173"/>
      <c r="B449" s="174"/>
      <c r="C449" s="174"/>
      <c r="D449" s="173"/>
      <c r="E449" s="173"/>
      <c r="F449" s="173"/>
      <c r="G449" s="175"/>
      <c r="H449" s="173"/>
      <c r="I449" s="173"/>
      <c r="J449" s="173"/>
      <c r="K449" s="176"/>
      <c r="L449" s="176"/>
      <c r="M449" s="173"/>
      <c r="N449" s="173"/>
      <c r="O449" s="173"/>
      <c r="P449" s="173"/>
      <c r="Q449" s="173"/>
      <c r="R449" s="173"/>
      <c r="S449" s="173"/>
      <c r="T449" s="173"/>
      <c r="U449" s="173"/>
      <c r="V449" s="173"/>
    </row>
    <row r="450" spans="1:22" ht="12.5">
      <c r="A450" s="173"/>
      <c r="B450" s="174"/>
      <c r="C450" s="174"/>
      <c r="D450" s="173"/>
      <c r="E450" s="173"/>
      <c r="F450" s="173"/>
      <c r="G450" s="175"/>
      <c r="H450" s="173"/>
      <c r="I450" s="173"/>
      <c r="J450" s="173"/>
      <c r="K450" s="176"/>
      <c r="L450" s="176"/>
      <c r="M450" s="173"/>
      <c r="N450" s="173"/>
      <c r="O450" s="173"/>
      <c r="P450" s="173"/>
      <c r="Q450" s="173"/>
      <c r="R450" s="173"/>
      <c r="S450" s="173"/>
      <c r="T450" s="173"/>
      <c r="U450" s="173"/>
      <c r="V450" s="173"/>
    </row>
    <row r="451" spans="1:22" ht="12.5">
      <c r="A451" s="173"/>
      <c r="B451" s="174"/>
      <c r="C451" s="174"/>
      <c r="D451" s="173"/>
      <c r="E451" s="173"/>
      <c r="F451" s="173"/>
      <c r="G451" s="175"/>
      <c r="H451" s="173"/>
      <c r="I451" s="173"/>
      <c r="J451" s="173"/>
      <c r="K451" s="176"/>
      <c r="L451" s="176"/>
      <c r="M451" s="173"/>
      <c r="N451" s="173"/>
      <c r="O451" s="173"/>
      <c r="P451" s="173"/>
      <c r="Q451" s="173"/>
      <c r="R451" s="173"/>
      <c r="S451" s="173"/>
      <c r="T451" s="173"/>
      <c r="U451" s="173"/>
      <c r="V451" s="173"/>
    </row>
    <row r="452" spans="1:22" ht="12.5">
      <c r="A452" s="173"/>
      <c r="B452" s="174"/>
      <c r="C452" s="174"/>
      <c r="D452" s="173"/>
      <c r="E452" s="173"/>
      <c r="F452" s="173"/>
      <c r="G452" s="175"/>
      <c r="H452" s="173"/>
      <c r="I452" s="173"/>
      <c r="J452" s="173"/>
      <c r="K452" s="176"/>
      <c r="L452" s="176"/>
      <c r="M452" s="173"/>
      <c r="N452" s="173"/>
      <c r="O452" s="173"/>
      <c r="P452" s="173"/>
      <c r="Q452" s="173"/>
      <c r="R452" s="173"/>
      <c r="S452" s="173"/>
      <c r="T452" s="173"/>
      <c r="U452" s="173"/>
      <c r="V452" s="173"/>
    </row>
    <row r="453" spans="1:22" ht="12.5">
      <c r="A453" s="173"/>
      <c r="B453" s="174"/>
      <c r="C453" s="174"/>
      <c r="D453" s="173"/>
      <c r="E453" s="173"/>
      <c r="F453" s="173"/>
      <c r="G453" s="175"/>
      <c r="H453" s="173"/>
      <c r="I453" s="173"/>
      <c r="J453" s="173"/>
      <c r="K453" s="176"/>
      <c r="L453" s="176"/>
      <c r="M453" s="173"/>
      <c r="N453" s="173"/>
      <c r="O453" s="173"/>
      <c r="P453" s="173"/>
      <c r="Q453" s="173"/>
      <c r="R453" s="173"/>
      <c r="S453" s="173"/>
      <c r="T453" s="173"/>
      <c r="U453" s="173"/>
      <c r="V453" s="173"/>
    </row>
    <row r="454" spans="1:22" ht="12.5">
      <c r="A454" s="173"/>
      <c r="B454" s="174"/>
      <c r="C454" s="174"/>
      <c r="D454" s="173"/>
      <c r="E454" s="173"/>
      <c r="F454" s="173"/>
      <c r="G454" s="175"/>
      <c r="H454" s="173"/>
      <c r="I454" s="173"/>
      <c r="J454" s="173"/>
      <c r="K454" s="176"/>
      <c r="L454" s="176"/>
      <c r="M454" s="173"/>
      <c r="N454" s="173"/>
      <c r="O454" s="173"/>
      <c r="P454" s="173"/>
      <c r="Q454" s="173"/>
      <c r="R454" s="173"/>
      <c r="S454" s="173"/>
      <c r="T454" s="173"/>
      <c r="U454" s="173"/>
      <c r="V454" s="173"/>
    </row>
    <row r="455" spans="1:22" ht="12.5">
      <c r="A455" s="173"/>
      <c r="B455" s="174"/>
      <c r="C455" s="174"/>
      <c r="D455" s="173"/>
      <c r="E455" s="173"/>
      <c r="F455" s="173"/>
      <c r="G455" s="175"/>
      <c r="H455" s="173"/>
      <c r="I455" s="173"/>
      <c r="J455" s="173"/>
      <c r="K455" s="176"/>
      <c r="L455" s="176"/>
      <c r="M455" s="173"/>
      <c r="N455" s="173"/>
      <c r="O455" s="173"/>
      <c r="P455" s="173"/>
      <c r="Q455" s="173"/>
      <c r="R455" s="173"/>
      <c r="S455" s="173"/>
      <c r="T455" s="173"/>
      <c r="U455" s="173"/>
      <c r="V455" s="173"/>
    </row>
    <row r="456" spans="1:22" ht="12.5">
      <c r="A456" s="173"/>
      <c r="B456" s="174"/>
      <c r="C456" s="174"/>
      <c r="D456" s="173"/>
      <c r="E456" s="173"/>
      <c r="F456" s="173"/>
      <c r="G456" s="175"/>
      <c r="H456" s="173"/>
      <c r="I456" s="173"/>
      <c r="J456" s="173"/>
      <c r="K456" s="176"/>
      <c r="L456" s="176"/>
      <c r="M456" s="173"/>
      <c r="N456" s="173"/>
      <c r="O456" s="173"/>
      <c r="P456" s="173"/>
      <c r="Q456" s="173"/>
      <c r="R456" s="173"/>
      <c r="S456" s="173"/>
      <c r="T456" s="173"/>
      <c r="U456" s="173"/>
      <c r="V456" s="173"/>
    </row>
    <row r="457" spans="1:22" ht="12.5">
      <c r="A457" s="173"/>
      <c r="B457" s="174"/>
      <c r="C457" s="174"/>
      <c r="D457" s="173"/>
      <c r="E457" s="173"/>
      <c r="F457" s="173"/>
      <c r="G457" s="175"/>
      <c r="H457" s="173"/>
      <c r="I457" s="173"/>
      <c r="J457" s="173"/>
      <c r="K457" s="176"/>
      <c r="L457" s="176"/>
      <c r="M457" s="173"/>
      <c r="N457" s="173"/>
      <c r="O457" s="173"/>
      <c r="P457" s="173"/>
      <c r="Q457" s="173"/>
      <c r="R457" s="173"/>
      <c r="S457" s="173"/>
      <c r="T457" s="173"/>
      <c r="U457" s="173"/>
      <c r="V457" s="173"/>
    </row>
    <row r="458" spans="1:22" ht="12.5">
      <c r="A458" s="173"/>
      <c r="B458" s="174"/>
      <c r="C458" s="174"/>
      <c r="D458" s="173"/>
      <c r="E458" s="173"/>
      <c r="F458" s="173"/>
      <c r="G458" s="175"/>
      <c r="H458" s="173"/>
      <c r="I458" s="173"/>
      <c r="J458" s="173"/>
      <c r="K458" s="176"/>
      <c r="L458" s="176"/>
      <c r="M458" s="173"/>
      <c r="N458" s="173"/>
      <c r="O458" s="173"/>
      <c r="P458" s="173"/>
      <c r="Q458" s="173"/>
      <c r="R458" s="173"/>
      <c r="S458" s="173"/>
      <c r="T458" s="173"/>
      <c r="U458" s="173"/>
      <c r="V458" s="173"/>
    </row>
    <row r="459" spans="1:22" ht="12.5">
      <c r="A459" s="173"/>
      <c r="B459" s="174"/>
      <c r="C459" s="174"/>
      <c r="D459" s="173"/>
      <c r="E459" s="173"/>
      <c r="F459" s="173"/>
      <c r="G459" s="175"/>
      <c r="H459" s="173"/>
      <c r="I459" s="173"/>
      <c r="J459" s="173"/>
      <c r="K459" s="176"/>
      <c r="L459" s="176"/>
      <c r="M459" s="173"/>
      <c r="N459" s="173"/>
      <c r="O459" s="173"/>
      <c r="P459" s="173"/>
      <c r="Q459" s="173"/>
      <c r="R459" s="173"/>
      <c r="S459" s="173"/>
      <c r="T459" s="173"/>
      <c r="U459" s="173"/>
      <c r="V459" s="173"/>
    </row>
    <row r="460" spans="1:22" ht="12.5">
      <c r="A460" s="173"/>
      <c r="B460" s="174"/>
      <c r="C460" s="174"/>
      <c r="D460" s="173"/>
      <c r="E460" s="173"/>
      <c r="F460" s="173"/>
      <c r="G460" s="175"/>
      <c r="H460" s="173"/>
      <c r="I460" s="173"/>
      <c r="J460" s="173"/>
      <c r="K460" s="176"/>
      <c r="L460" s="176"/>
      <c r="M460" s="173"/>
      <c r="N460" s="173"/>
      <c r="O460" s="173"/>
      <c r="P460" s="173"/>
      <c r="Q460" s="173"/>
      <c r="R460" s="173"/>
      <c r="S460" s="173"/>
      <c r="T460" s="173"/>
      <c r="U460" s="173"/>
      <c r="V460" s="173"/>
    </row>
    <row r="461" spans="1:22" ht="12.5">
      <c r="A461" s="173"/>
      <c r="B461" s="174"/>
      <c r="C461" s="174"/>
      <c r="D461" s="173"/>
      <c r="E461" s="173"/>
      <c r="F461" s="173"/>
      <c r="G461" s="175"/>
      <c r="H461" s="173"/>
      <c r="I461" s="173"/>
      <c r="J461" s="173"/>
      <c r="K461" s="176"/>
      <c r="L461" s="176"/>
      <c r="M461" s="173"/>
      <c r="N461" s="173"/>
      <c r="O461" s="173"/>
      <c r="P461" s="173"/>
      <c r="Q461" s="173"/>
      <c r="R461" s="173"/>
      <c r="S461" s="173"/>
      <c r="T461" s="173"/>
      <c r="U461" s="173"/>
      <c r="V461" s="173"/>
    </row>
    <row r="462" spans="1:22" ht="12.5">
      <c r="A462" s="173"/>
      <c r="B462" s="174"/>
      <c r="C462" s="174"/>
      <c r="D462" s="173"/>
      <c r="E462" s="173"/>
      <c r="F462" s="173"/>
      <c r="G462" s="175"/>
      <c r="H462" s="173"/>
      <c r="I462" s="173"/>
      <c r="J462" s="173"/>
      <c r="K462" s="176"/>
      <c r="L462" s="176"/>
      <c r="M462" s="173"/>
      <c r="N462" s="173"/>
      <c r="O462" s="173"/>
      <c r="P462" s="173"/>
      <c r="Q462" s="173"/>
      <c r="R462" s="173"/>
      <c r="S462" s="173"/>
      <c r="T462" s="173"/>
      <c r="U462" s="173"/>
      <c r="V462" s="173"/>
    </row>
    <row r="463" spans="1:22" ht="12.5">
      <c r="A463" s="173"/>
      <c r="B463" s="174"/>
      <c r="C463" s="174"/>
      <c r="D463" s="173"/>
      <c r="E463" s="173"/>
      <c r="F463" s="173"/>
      <c r="G463" s="175"/>
      <c r="H463" s="173"/>
      <c r="I463" s="173"/>
      <c r="J463" s="173"/>
      <c r="K463" s="176"/>
      <c r="L463" s="176"/>
      <c r="M463" s="173"/>
      <c r="N463" s="173"/>
      <c r="O463" s="173"/>
      <c r="P463" s="173"/>
      <c r="Q463" s="173"/>
      <c r="R463" s="173"/>
      <c r="S463" s="173"/>
      <c r="T463" s="173"/>
      <c r="U463" s="173"/>
      <c r="V463" s="173"/>
    </row>
    <row r="464" spans="1:22" ht="12.5">
      <c r="A464" s="173"/>
      <c r="B464" s="174"/>
      <c r="C464" s="174"/>
      <c r="D464" s="173"/>
      <c r="E464" s="173"/>
      <c r="F464" s="173"/>
      <c r="G464" s="175"/>
      <c r="H464" s="173"/>
      <c r="I464" s="173"/>
      <c r="J464" s="173"/>
      <c r="K464" s="176"/>
      <c r="L464" s="176"/>
      <c r="M464" s="173"/>
      <c r="N464" s="173"/>
      <c r="O464" s="173"/>
      <c r="P464" s="173"/>
      <c r="Q464" s="173"/>
      <c r="R464" s="173"/>
      <c r="S464" s="173"/>
      <c r="T464" s="173"/>
      <c r="U464" s="173"/>
      <c r="V464" s="173"/>
    </row>
    <row r="465" spans="1:22" ht="12.5">
      <c r="A465" s="173"/>
      <c r="B465" s="174"/>
      <c r="C465" s="174"/>
      <c r="D465" s="173"/>
      <c r="E465" s="173"/>
      <c r="F465" s="173"/>
      <c r="G465" s="175"/>
      <c r="H465" s="173"/>
      <c r="I465" s="173"/>
      <c r="J465" s="173"/>
      <c r="K465" s="176"/>
      <c r="L465" s="176"/>
      <c r="M465" s="173"/>
      <c r="N465" s="173"/>
      <c r="O465" s="173"/>
      <c r="P465" s="173"/>
      <c r="Q465" s="173"/>
      <c r="R465" s="173"/>
      <c r="S465" s="173"/>
      <c r="T465" s="173"/>
      <c r="U465" s="173"/>
      <c r="V465" s="173"/>
    </row>
    <row r="466" spans="1:22" ht="12.5">
      <c r="A466" s="173"/>
      <c r="B466" s="174"/>
      <c r="C466" s="174"/>
      <c r="D466" s="173"/>
      <c r="E466" s="173"/>
      <c r="F466" s="173"/>
      <c r="G466" s="175"/>
      <c r="H466" s="173"/>
      <c r="I466" s="173"/>
      <c r="J466" s="173"/>
      <c r="K466" s="176"/>
      <c r="L466" s="176"/>
      <c r="M466" s="173"/>
      <c r="N466" s="173"/>
      <c r="O466" s="173"/>
      <c r="P466" s="173"/>
      <c r="Q466" s="173"/>
      <c r="R466" s="173"/>
      <c r="S466" s="173"/>
      <c r="T466" s="173"/>
      <c r="U466" s="173"/>
      <c r="V466" s="173"/>
    </row>
    <row r="467" spans="1:22" ht="12.5">
      <c r="A467" s="173"/>
      <c r="B467" s="174"/>
      <c r="C467" s="174"/>
      <c r="D467" s="173"/>
      <c r="E467" s="173"/>
      <c r="F467" s="173"/>
      <c r="G467" s="175"/>
      <c r="H467" s="173"/>
      <c r="I467" s="173"/>
      <c r="J467" s="173"/>
      <c r="K467" s="176"/>
      <c r="L467" s="176"/>
      <c r="M467" s="173"/>
      <c r="N467" s="173"/>
      <c r="O467" s="173"/>
      <c r="P467" s="173"/>
      <c r="Q467" s="173"/>
      <c r="R467" s="173"/>
      <c r="S467" s="173"/>
      <c r="T467" s="173"/>
      <c r="U467" s="173"/>
      <c r="V467" s="173"/>
    </row>
    <row r="468" spans="1:22" ht="12.5">
      <c r="A468" s="173"/>
      <c r="B468" s="174"/>
      <c r="C468" s="174"/>
      <c r="D468" s="173"/>
      <c r="E468" s="173"/>
      <c r="F468" s="173"/>
      <c r="G468" s="175"/>
      <c r="H468" s="173"/>
      <c r="I468" s="173"/>
      <c r="J468" s="173"/>
      <c r="K468" s="176"/>
      <c r="L468" s="176"/>
      <c r="M468" s="173"/>
      <c r="N468" s="173"/>
      <c r="O468" s="173"/>
      <c r="P468" s="173"/>
      <c r="Q468" s="173"/>
      <c r="R468" s="173"/>
      <c r="S468" s="173"/>
      <c r="T468" s="173"/>
      <c r="U468" s="173"/>
      <c r="V468" s="173"/>
    </row>
    <row r="469" spans="1:22" ht="12.5">
      <c r="A469" s="173"/>
      <c r="B469" s="174"/>
      <c r="C469" s="174"/>
      <c r="D469" s="173"/>
      <c r="E469" s="173"/>
      <c r="F469" s="173"/>
      <c r="G469" s="175"/>
      <c r="H469" s="173"/>
      <c r="I469" s="173"/>
      <c r="J469" s="173"/>
      <c r="K469" s="176"/>
      <c r="L469" s="176"/>
      <c r="M469" s="173"/>
      <c r="N469" s="173"/>
      <c r="O469" s="173"/>
      <c r="P469" s="173"/>
      <c r="Q469" s="173"/>
      <c r="R469" s="173"/>
      <c r="S469" s="173"/>
      <c r="T469" s="173"/>
      <c r="U469" s="173"/>
      <c r="V469" s="173"/>
    </row>
    <row r="470" spans="1:22" ht="12.5">
      <c r="A470" s="173"/>
      <c r="B470" s="174"/>
      <c r="C470" s="174"/>
      <c r="D470" s="173"/>
      <c r="E470" s="173"/>
      <c r="F470" s="173"/>
      <c r="G470" s="175"/>
      <c r="H470" s="173"/>
      <c r="I470" s="173"/>
      <c r="J470" s="173"/>
      <c r="K470" s="176"/>
      <c r="L470" s="176"/>
      <c r="M470" s="173"/>
      <c r="N470" s="173"/>
      <c r="O470" s="173"/>
      <c r="P470" s="173"/>
      <c r="Q470" s="173"/>
      <c r="R470" s="173"/>
      <c r="S470" s="173"/>
      <c r="T470" s="173"/>
      <c r="U470" s="173"/>
      <c r="V470" s="173"/>
    </row>
    <row r="471" spans="1:22" ht="12.5">
      <c r="A471" s="173"/>
      <c r="B471" s="174"/>
      <c r="C471" s="174"/>
      <c r="D471" s="173"/>
      <c r="E471" s="173"/>
      <c r="F471" s="173"/>
      <c r="G471" s="175"/>
      <c r="H471" s="173"/>
      <c r="I471" s="173"/>
      <c r="J471" s="173"/>
      <c r="K471" s="176"/>
      <c r="L471" s="176"/>
      <c r="M471" s="173"/>
      <c r="N471" s="173"/>
      <c r="O471" s="173"/>
      <c r="P471" s="173"/>
      <c r="Q471" s="173"/>
      <c r="R471" s="173"/>
      <c r="S471" s="173"/>
      <c r="T471" s="173"/>
      <c r="U471" s="173"/>
      <c r="V471" s="173"/>
    </row>
    <row r="472" spans="1:22" ht="12.5">
      <c r="A472" s="173"/>
      <c r="B472" s="174"/>
      <c r="C472" s="174"/>
      <c r="D472" s="173"/>
      <c r="E472" s="173"/>
      <c r="F472" s="173"/>
      <c r="G472" s="175"/>
      <c r="H472" s="173"/>
      <c r="I472" s="173"/>
      <c r="J472" s="173"/>
      <c r="K472" s="176"/>
      <c r="L472" s="176"/>
      <c r="M472" s="173"/>
      <c r="N472" s="173"/>
      <c r="O472" s="173"/>
      <c r="P472" s="173"/>
      <c r="Q472" s="173"/>
      <c r="R472" s="173"/>
      <c r="S472" s="173"/>
      <c r="T472" s="173"/>
      <c r="U472" s="173"/>
      <c r="V472" s="173"/>
    </row>
    <row r="473" spans="1:22" ht="12.5">
      <c r="A473" s="173"/>
      <c r="B473" s="174"/>
      <c r="C473" s="174"/>
      <c r="D473" s="173"/>
      <c r="E473" s="173"/>
      <c r="F473" s="173"/>
      <c r="G473" s="175"/>
      <c r="H473" s="173"/>
      <c r="I473" s="173"/>
      <c r="J473" s="173"/>
      <c r="K473" s="176"/>
      <c r="L473" s="176"/>
      <c r="M473" s="173"/>
      <c r="N473" s="173"/>
      <c r="O473" s="173"/>
      <c r="P473" s="173"/>
      <c r="Q473" s="173"/>
      <c r="R473" s="173"/>
      <c r="S473" s="173"/>
      <c r="T473" s="173"/>
      <c r="U473" s="173"/>
      <c r="V473" s="173"/>
    </row>
    <row r="474" spans="1:22" ht="12.5">
      <c r="A474" s="173"/>
      <c r="B474" s="174"/>
      <c r="C474" s="174"/>
      <c r="D474" s="173"/>
      <c r="E474" s="173"/>
      <c r="F474" s="173"/>
      <c r="G474" s="175"/>
      <c r="H474" s="173"/>
      <c r="I474" s="173"/>
      <c r="J474" s="173"/>
      <c r="K474" s="176"/>
      <c r="L474" s="176"/>
      <c r="M474" s="173"/>
      <c r="N474" s="173"/>
      <c r="O474" s="173"/>
      <c r="P474" s="173"/>
      <c r="Q474" s="173"/>
      <c r="R474" s="173"/>
      <c r="S474" s="173"/>
      <c r="T474" s="173"/>
      <c r="U474" s="173"/>
      <c r="V474" s="173"/>
    </row>
    <row r="475" spans="1:22" ht="12.5">
      <c r="A475" s="173"/>
      <c r="B475" s="174"/>
      <c r="C475" s="174"/>
      <c r="D475" s="173"/>
      <c r="E475" s="173"/>
      <c r="F475" s="173"/>
      <c r="G475" s="175"/>
      <c r="H475" s="173"/>
      <c r="I475" s="173"/>
      <c r="J475" s="173"/>
      <c r="K475" s="176"/>
      <c r="L475" s="176"/>
      <c r="M475" s="173"/>
      <c r="N475" s="173"/>
      <c r="O475" s="173"/>
      <c r="P475" s="173"/>
      <c r="Q475" s="173"/>
      <c r="R475" s="173"/>
      <c r="S475" s="173"/>
      <c r="T475" s="173"/>
      <c r="U475" s="173"/>
      <c r="V475" s="173"/>
    </row>
    <row r="476" spans="1:22" ht="12.5">
      <c r="A476" s="173"/>
      <c r="B476" s="174"/>
      <c r="C476" s="174"/>
      <c r="D476" s="173"/>
      <c r="E476" s="173"/>
      <c r="F476" s="173"/>
      <c r="G476" s="175"/>
      <c r="H476" s="173"/>
      <c r="I476" s="173"/>
      <c r="J476" s="173"/>
      <c r="K476" s="176"/>
      <c r="L476" s="176"/>
      <c r="M476" s="173"/>
      <c r="N476" s="173"/>
      <c r="O476" s="173"/>
      <c r="P476" s="173"/>
      <c r="Q476" s="173"/>
      <c r="R476" s="173"/>
      <c r="S476" s="173"/>
      <c r="T476" s="173"/>
      <c r="U476" s="173"/>
      <c r="V476" s="173"/>
    </row>
    <row r="477" spans="1:22" ht="12.5">
      <c r="A477" s="173"/>
      <c r="B477" s="174"/>
      <c r="C477" s="174"/>
      <c r="D477" s="173"/>
      <c r="E477" s="173"/>
      <c r="F477" s="173"/>
      <c r="G477" s="175"/>
      <c r="H477" s="173"/>
      <c r="I477" s="173"/>
      <c r="J477" s="173"/>
      <c r="K477" s="176"/>
      <c r="L477" s="176"/>
      <c r="M477" s="173"/>
      <c r="N477" s="173"/>
      <c r="O477" s="173"/>
      <c r="P477" s="173"/>
      <c r="Q477" s="173"/>
      <c r="R477" s="173"/>
      <c r="S477" s="173"/>
      <c r="T477" s="173"/>
      <c r="U477" s="173"/>
      <c r="V477" s="173"/>
    </row>
    <row r="478" spans="1:22" ht="12.5">
      <c r="A478" s="173"/>
      <c r="B478" s="174"/>
      <c r="C478" s="174"/>
      <c r="D478" s="173"/>
      <c r="E478" s="173"/>
      <c r="F478" s="173"/>
      <c r="G478" s="175"/>
      <c r="H478" s="173"/>
      <c r="I478" s="173"/>
      <c r="J478" s="173"/>
      <c r="K478" s="176"/>
      <c r="L478" s="176"/>
      <c r="M478" s="173"/>
      <c r="N478" s="173"/>
      <c r="O478" s="173"/>
      <c r="P478" s="173"/>
      <c r="Q478" s="173"/>
      <c r="R478" s="173"/>
      <c r="S478" s="173"/>
      <c r="T478" s="173"/>
      <c r="U478" s="173"/>
      <c r="V478" s="173"/>
    </row>
    <row r="479" spans="1:22" ht="12.5">
      <c r="A479" s="173"/>
      <c r="B479" s="174"/>
      <c r="C479" s="174"/>
      <c r="D479" s="173"/>
      <c r="E479" s="173"/>
      <c r="F479" s="173"/>
      <c r="G479" s="175"/>
      <c r="H479" s="173"/>
      <c r="I479" s="173"/>
      <c r="J479" s="173"/>
      <c r="K479" s="176"/>
      <c r="L479" s="176"/>
      <c r="M479" s="173"/>
      <c r="N479" s="173"/>
      <c r="O479" s="173"/>
      <c r="P479" s="173"/>
      <c r="Q479" s="173"/>
      <c r="R479" s="173"/>
      <c r="S479" s="173"/>
      <c r="T479" s="173"/>
      <c r="U479" s="173"/>
      <c r="V479" s="173"/>
    </row>
    <row r="480" spans="1:22" ht="12.5">
      <c r="A480" s="173"/>
      <c r="B480" s="174"/>
      <c r="C480" s="174"/>
      <c r="D480" s="173"/>
      <c r="E480" s="173"/>
      <c r="F480" s="173"/>
      <c r="G480" s="175"/>
      <c r="H480" s="173"/>
      <c r="I480" s="173"/>
      <c r="J480" s="173"/>
      <c r="K480" s="176"/>
      <c r="L480" s="176"/>
      <c r="M480" s="173"/>
      <c r="N480" s="173"/>
      <c r="O480" s="173"/>
      <c r="P480" s="173"/>
      <c r="Q480" s="173"/>
      <c r="R480" s="173"/>
      <c r="S480" s="173"/>
      <c r="T480" s="173"/>
      <c r="U480" s="173"/>
      <c r="V480" s="173"/>
    </row>
    <row r="481" spans="1:22" ht="12.5">
      <c r="A481" s="173"/>
      <c r="B481" s="174"/>
      <c r="C481" s="174"/>
      <c r="D481" s="173"/>
      <c r="E481" s="173"/>
      <c r="F481" s="173"/>
      <c r="G481" s="175"/>
      <c r="H481" s="173"/>
      <c r="I481" s="173"/>
      <c r="J481" s="173"/>
      <c r="K481" s="176"/>
      <c r="L481" s="176"/>
      <c r="M481" s="173"/>
      <c r="N481" s="173"/>
      <c r="O481" s="173"/>
      <c r="P481" s="173"/>
      <c r="Q481" s="173"/>
      <c r="R481" s="173"/>
      <c r="S481" s="173"/>
      <c r="T481" s="173"/>
      <c r="U481" s="173"/>
      <c r="V481" s="173"/>
    </row>
    <row r="482" spans="1:22" ht="12.5">
      <c r="A482" s="173"/>
      <c r="B482" s="174"/>
      <c r="C482" s="174"/>
      <c r="D482" s="173"/>
      <c r="E482" s="173"/>
      <c r="F482" s="173"/>
      <c r="G482" s="175"/>
      <c r="H482" s="173"/>
      <c r="I482" s="173"/>
      <c r="J482" s="173"/>
      <c r="K482" s="176"/>
      <c r="L482" s="176"/>
      <c r="M482" s="173"/>
      <c r="N482" s="173"/>
      <c r="O482" s="173"/>
      <c r="P482" s="173"/>
      <c r="Q482" s="173"/>
      <c r="R482" s="173"/>
      <c r="S482" s="173"/>
      <c r="T482" s="173"/>
      <c r="U482" s="173"/>
      <c r="V482" s="173"/>
    </row>
    <row r="483" spans="1:22" ht="12.5">
      <c r="A483" s="173"/>
      <c r="B483" s="174"/>
      <c r="C483" s="174"/>
      <c r="D483" s="173"/>
      <c r="E483" s="173"/>
      <c r="F483" s="173"/>
      <c r="G483" s="175"/>
      <c r="H483" s="173"/>
      <c r="I483" s="173"/>
      <c r="J483" s="173"/>
      <c r="K483" s="176"/>
      <c r="L483" s="176"/>
      <c r="M483" s="173"/>
      <c r="N483" s="173"/>
      <c r="O483" s="173"/>
      <c r="P483" s="173"/>
      <c r="Q483" s="173"/>
      <c r="R483" s="173"/>
      <c r="S483" s="173"/>
      <c r="T483" s="173"/>
      <c r="U483" s="173"/>
      <c r="V483" s="173"/>
    </row>
    <row r="484" spans="1:22" ht="12.5">
      <c r="A484" s="173"/>
      <c r="B484" s="174"/>
      <c r="C484" s="174"/>
      <c r="D484" s="173"/>
      <c r="E484" s="173"/>
      <c r="F484" s="173"/>
      <c r="G484" s="175"/>
      <c r="H484" s="173"/>
      <c r="I484" s="173"/>
      <c r="J484" s="173"/>
      <c r="K484" s="176"/>
      <c r="L484" s="176"/>
      <c r="M484" s="173"/>
      <c r="N484" s="173"/>
      <c r="O484" s="173"/>
      <c r="P484" s="173"/>
      <c r="Q484" s="173"/>
      <c r="R484" s="173"/>
      <c r="S484" s="173"/>
      <c r="T484" s="173"/>
      <c r="U484" s="173"/>
      <c r="V484" s="173"/>
    </row>
    <row r="485" spans="1:22" ht="12.5">
      <c r="A485" s="173"/>
      <c r="B485" s="174"/>
      <c r="C485" s="174"/>
      <c r="D485" s="173"/>
      <c r="E485" s="173"/>
      <c r="F485" s="173"/>
      <c r="G485" s="175"/>
      <c r="H485" s="173"/>
      <c r="I485" s="173"/>
      <c r="J485" s="173"/>
      <c r="K485" s="176"/>
      <c r="L485" s="176"/>
      <c r="M485" s="173"/>
      <c r="N485" s="173"/>
      <c r="O485" s="173"/>
      <c r="P485" s="173"/>
      <c r="Q485" s="173"/>
      <c r="R485" s="173"/>
      <c r="S485" s="173"/>
      <c r="T485" s="173"/>
      <c r="U485" s="173"/>
      <c r="V485" s="173"/>
    </row>
    <row r="486" spans="1:22" ht="12.5">
      <c r="A486" s="173"/>
      <c r="B486" s="174"/>
      <c r="C486" s="174"/>
      <c r="D486" s="173"/>
      <c r="E486" s="173"/>
      <c r="F486" s="173"/>
      <c r="G486" s="175"/>
      <c r="H486" s="173"/>
      <c r="I486" s="173"/>
      <c r="J486" s="173"/>
      <c r="K486" s="176"/>
      <c r="L486" s="176"/>
      <c r="M486" s="173"/>
      <c r="N486" s="173"/>
      <c r="O486" s="173"/>
      <c r="P486" s="173"/>
      <c r="Q486" s="173"/>
      <c r="R486" s="173"/>
      <c r="S486" s="173"/>
      <c r="T486" s="173"/>
      <c r="U486" s="173"/>
      <c r="V486" s="173"/>
    </row>
    <row r="487" spans="1:22" ht="12.5">
      <c r="A487" s="173"/>
      <c r="B487" s="174"/>
      <c r="C487" s="174"/>
      <c r="D487" s="173"/>
      <c r="E487" s="173"/>
      <c r="F487" s="173"/>
      <c r="G487" s="175"/>
      <c r="H487" s="173"/>
      <c r="I487" s="173"/>
      <c r="J487" s="173"/>
      <c r="K487" s="176"/>
      <c r="L487" s="176"/>
      <c r="M487" s="173"/>
      <c r="N487" s="173"/>
      <c r="O487" s="173"/>
      <c r="P487" s="173"/>
      <c r="Q487" s="173"/>
      <c r="R487" s="173"/>
      <c r="S487" s="173"/>
      <c r="T487" s="173"/>
      <c r="U487" s="173"/>
      <c r="V487" s="173"/>
    </row>
    <row r="488" spans="1:22" ht="12.5">
      <c r="A488" s="173"/>
      <c r="B488" s="174"/>
      <c r="C488" s="174"/>
      <c r="D488" s="173"/>
      <c r="E488" s="173"/>
      <c r="F488" s="173"/>
      <c r="G488" s="175"/>
      <c r="H488" s="173"/>
      <c r="I488" s="173"/>
      <c r="J488" s="173"/>
      <c r="K488" s="176"/>
      <c r="L488" s="176"/>
      <c r="M488" s="173"/>
      <c r="N488" s="173"/>
      <c r="O488" s="173"/>
      <c r="P488" s="173"/>
      <c r="Q488" s="173"/>
      <c r="R488" s="173"/>
      <c r="S488" s="173"/>
      <c r="T488" s="173"/>
      <c r="U488" s="173"/>
      <c r="V488" s="173"/>
    </row>
    <row r="489" spans="1:22" ht="12.5">
      <c r="A489" s="173"/>
      <c r="B489" s="174"/>
      <c r="C489" s="174"/>
      <c r="D489" s="173"/>
      <c r="E489" s="173"/>
      <c r="F489" s="173"/>
      <c r="G489" s="175"/>
      <c r="H489" s="173"/>
      <c r="I489" s="173"/>
      <c r="J489" s="173"/>
      <c r="K489" s="176"/>
      <c r="L489" s="176"/>
      <c r="M489" s="173"/>
      <c r="N489" s="173"/>
      <c r="O489" s="173"/>
      <c r="P489" s="173"/>
      <c r="Q489" s="173"/>
      <c r="R489" s="173"/>
      <c r="S489" s="173"/>
      <c r="T489" s="173"/>
      <c r="U489" s="173"/>
      <c r="V489" s="173"/>
    </row>
    <row r="490" spans="1:22" ht="12.5">
      <c r="A490" s="173"/>
      <c r="B490" s="174"/>
      <c r="C490" s="174"/>
      <c r="D490" s="173"/>
      <c r="E490" s="173"/>
      <c r="F490" s="173"/>
      <c r="G490" s="175"/>
      <c r="H490" s="173"/>
      <c r="I490" s="173"/>
      <c r="J490" s="173"/>
      <c r="K490" s="176"/>
      <c r="L490" s="176"/>
      <c r="M490" s="173"/>
      <c r="N490" s="173"/>
      <c r="O490" s="173"/>
      <c r="P490" s="173"/>
      <c r="Q490" s="173"/>
      <c r="R490" s="173"/>
      <c r="S490" s="173"/>
      <c r="T490" s="173"/>
      <c r="U490" s="173"/>
      <c r="V490" s="173"/>
    </row>
    <row r="491" spans="1:22" ht="12.5">
      <c r="A491" s="173"/>
      <c r="B491" s="174"/>
      <c r="C491" s="174"/>
      <c r="D491" s="173"/>
      <c r="E491" s="173"/>
      <c r="F491" s="173"/>
      <c r="G491" s="175"/>
      <c r="H491" s="173"/>
      <c r="I491" s="173"/>
      <c r="J491" s="173"/>
      <c r="K491" s="176"/>
      <c r="L491" s="176"/>
      <c r="M491" s="173"/>
      <c r="N491" s="173"/>
      <c r="O491" s="173"/>
      <c r="P491" s="173"/>
      <c r="Q491" s="173"/>
      <c r="R491" s="173"/>
      <c r="S491" s="173"/>
      <c r="T491" s="173"/>
      <c r="U491" s="173"/>
      <c r="V491" s="173"/>
    </row>
    <row r="492" spans="1:22" ht="12.5">
      <c r="A492" s="173"/>
      <c r="B492" s="174"/>
      <c r="C492" s="174"/>
      <c r="D492" s="173"/>
      <c r="E492" s="173"/>
      <c r="F492" s="173"/>
      <c r="G492" s="175"/>
      <c r="H492" s="173"/>
      <c r="I492" s="173"/>
      <c r="J492" s="173"/>
      <c r="K492" s="176"/>
      <c r="L492" s="176"/>
      <c r="M492" s="173"/>
      <c r="N492" s="173"/>
      <c r="O492" s="173"/>
      <c r="P492" s="173"/>
      <c r="Q492" s="173"/>
      <c r="R492" s="173"/>
      <c r="S492" s="173"/>
      <c r="T492" s="173"/>
      <c r="U492" s="173"/>
      <c r="V492" s="173"/>
    </row>
    <row r="493" spans="1:22" ht="12.5">
      <c r="A493" s="173"/>
      <c r="B493" s="174"/>
      <c r="C493" s="174"/>
      <c r="D493" s="173"/>
      <c r="E493" s="173"/>
      <c r="F493" s="173"/>
      <c r="G493" s="175"/>
      <c r="H493" s="173"/>
      <c r="I493" s="173"/>
      <c r="J493" s="173"/>
      <c r="K493" s="176"/>
      <c r="L493" s="176"/>
      <c r="M493" s="173"/>
      <c r="N493" s="173"/>
      <c r="O493" s="173"/>
      <c r="P493" s="173"/>
      <c r="Q493" s="173"/>
      <c r="R493" s="173"/>
      <c r="S493" s="173"/>
      <c r="T493" s="173"/>
      <c r="U493" s="173"/>
      <c r="V493" s="173"/>
    </row>
    <row r="494" spans="1:22" ht="12.5">
      <c r="A494" s="173"/>
      <c r="B494" s="174"/>
      <c r="C494" s="174"/>
      <c r="D494" s="173"/>
      <c r="E494" s="173"/>
      <c r="F494" s="173"/>
      <c r="G494" s="175"/>
      <c r="H494" s="173"/>
      <c r="I494" s="173"/>
      <c r="J494" s="173"/>
      <c r="K494" s="176"/>
      <c r="L494" s="176"/>
      <c r="M494" s="173"/>
      <c r="N494" s="173"/>
      <c r="O494" s="173"/>
      <c r="P494" s="173"/>
      <c r="Q494" s="173"/>
      <c r="R494" s="173"/>
      <c r="S494" s="173"/>
      <c r="T494" s="173"/>
      <c r="U494" s="173"/>
      <c r="V494" s="173"/>
    </row>
    <row r="495" spans="1:22" ht="12.5">
      <c r="A495" s="173"/>
      <c r="B495" s="174"/>
      <c r="C495" s="174"/>
      <c r="D495" s="173"/>
      <c r="E495" s="173"/>
      <c r="F495" s="173"/>
      <c r="G495" s="175"/>
      <c r="H495" s="173"/>
      <c r="I495" s="173"/>
      <c r="J495" s="173"/>
      <c r="K495" s="176"/>
      <c r="L495" s="176"/>
      <c r="M495" s="173"/>
      <c r="N495" s="173"/>
      <c r="O495" s="173"/>
      <c r="P495" s="173"/>
      <c r="Q495" s="173"/>
      <c r="R495" s="173"/>
      <c r="S495" s="173"/>
      <c r="T495" s="173"/>
      <c r="U495" s="173"/>
      <c r="V495" s="173"/>
    </row>
    <row r="496" spans="1:22" ht="12.5">
      <c r="A496" s="173"/>
      <c r="B496" s="174"/>
      <c r="C496" s="174"/>
      <c r="D496" s="173"/>
      <c r="E496" s="173"/>
      <c r="F496" s="173"/>
      <c r="G496" s="175"/>
      <c r="H496" s="173"/>
      <c r="I496" s="173"/>
      <c r="J496" s="173"/>
      <c r="K496" s="176"/>
      <c r="L496" s="176"/>
      <c r="M496" s="173"/>
      <c r="N496" s="173"/>
      <c r="O496" s="173"/>
      <c r="P496" s="173"/>
      <c r="Q496" s="173"/>
      <c r="R496" s="173"/>
      <c r="S496" s="173"/>
      <c r="T496" s="173"/>
      <c r="U496" s="173"/>
      <c r="V496" s="173"/>
    </row>
    <row r="497" spans="1:22" ht="12.5">
      <c r="A497" s="173"/>
      <c r="B497" s="174"/>
      <c r="C497" s="174"/>
      <c r="D497" s="173"/>
      <c r="E497" s="173"/>
      <c r="F497" s="173"/>
      <c r="G497" s="175"/>
      <c r="H497" s="173"/>
      <c r="I497" s="173"/>
      <c r="J497" s="173"/>
      <c r="K497" s="176"/>
      <c r="L497" s="176"/>
      <c r="M497" s="173"/>
      <c r="N497" s="173"/>
      <c r="O497" s="173"/>
      <c r="P497" s="173"/>
      <c r="Q497" s="173"/>
      <c r="R497" s="173"/>
      <c r="S497" s="173"/>
      <c r="T497" s="173"/>
      <c r="U497" s="173"/>
      <c r="V497" s="173"/>
    </row>
    <row r="498" spans="1:22" ht="12.5">
      <c r="A498" s="173"/>
      <c r="B498" s="174"/>
      <c r="C498" s="174"/>
      <c r="D498" s="173"/>
      <c r="E498" s="173"/>
      <c r="F498" s="173"/>
      <c r="G498" s="175"/>
      <c r="H498" s="173"/>
      <c r="I498" s="173"/>
      <c r="J498" s="173"/>
      <c r="K498" s="176"/>
      <c r="L498" s="176"/>
      <c r="M498" s="173"/>
      <c r="N498" s="173"/>
      <c r="O498" s="173"/>
      <c r="P498" s="173"/>
      <c r="Q498" s="173"/>
      <c r="R498" s="173"/>
      <c r="S498" s="173"/>
      <c r="T498" s="173"/>
      <c r="U498" s="173"/>
      <c r="V498" s="173"/>
    </row>
    <row r="499" spans="1:22" ht="12.5">
      <c r="A499" s="173"/>
      <c r="B499" s="174"/>
      <c r="C499" s="174"/>
      <c r="D499" s="173"/>
      <c r="E499" s="173"/>
      <c r="F499" s="173"/>
      <c r="G499" s="175"/>
      <c r="H499" s="173"/>
      <c r="I499" s="173"/>
      <c r="J499" s="173"/>
      <c r="K499" s="176"/>
      <c r="L499" s="176"/>
      <c r="M499" s="173"/>
      <c r="N499" s="173"/>
      <c r="O499" s="173"/>
      <c r="P499" s="173"/>
      <c r="Q499" s="173"/>
      <c r="R499" s="173"/>
      <c r="S499" s="173"/>
      <c r="T499" s="173"/>
      <c r="U499" s="173"/>
      <c r="V499" s="173"/>
    </row>
    <row r="500" spans="1:22" ht="12.5">
      <c r="A500" s="173"/>
      <c r="B500" s="174"/>
      <c r="C500" s="174"/>
      <c r="D500" s="173"/>
      <c r="E500" s="173"/>
      <c r="F500" s="173"/>
      <c r="G500" s="175"/>
      <c r="H500" s="173"/>
      <c r="I500" s="173"/>
      <c r="J500" s="173"/>
      <c r="K500" s="176"/>
      <c r="L500" s="176"/>
      <c r="M500" s="173"/>
      <c r="N500" s="173"/>
      <c r="O500" s="173"/>
      <c r="P500" s="173"/>
      <c r="Q500" s="173"/>
      <c r="R500" s="173"/>
      <c r="S500" s="173"/>
      <c r="T500" s="173"/>
      <c r="U500" s="173"/>
      <c r="V500" s="173"/>
    </row>
    <row r="501" spans="1:22" ht="12.5">
      <c r="A501" s="173"/>
      <c r="B501" s="174"/>
      <c r="C501" s="174"/>
      <c r="D501" s="173"/>
      <c r="E501" s="173"/>
      <c r="F501" s="173"/>
      <c r="G501" s="175"/>
      <c r="H501" s="173"/>
      <c r="I501" s="173"/>
      <c r="J501" s="173"/>
      <c r="K501" s="176"/>
      <c r="L501" s="176"/>
      <c r="M501" s="173"/>
      <c r="N501" s="173"/>
      <c r="O501" s="173"/>
      <c r="P501" s="173"/>
      <c r="Q501" s="173"/>
      <c r="R501" s="173"/>
      <c r="S501" s="173"/>
      <c r="T501" s="173"/>
      <c r="U501" s="173"/>
      <c r="V501" s="173"/>
    </row>
    <row r="502" spans="1:22" ht="12.5">
      <c r="A502" s="173"/>
      <c r="B502" s="174"/>
      <c r="C502" s="174"/>
      <c r="D502" s="173"/>
      <c r="E502" s="173"/>
      <c r="F502" s="173"/>
      <c r="G502" s="175"/>
      <c r="H502" s="173"/>
      <c r="I502" s="173"/>
      <c r="J502" s="173"/>
      <c r="K502" s="176"/>
      <c r="L502" s="176"/>
      <c r="M502" s="173"/>
      <c r="N502" s="173"/>
      <c r="O502" s="173"/>
      <c r="P502" s="173"/>
      <c r="Q502" s="173"/>
      <c r="R502" s="173"/>
      <c r="S502" s="173"/>
      <c r="T502" s="173"/>
      <c r="U502" s="173"/>
      <c r="V502" s="173"/>
    </row>
    <row r="503" spans="1:22" ht="12.5">
      <c r="A503" s="173"/>
      <c r="B503" s="174"/>
      <c r="C503" s="174"/>
      <c r="D503" s="173"/>
      <c r="E503" s="173"/>
      <c r="F503" s="173"/>
      <c r="G503" s="175"/>
      <c r="H503" s="173"/>
      <c r="I503" s="173"/>
      <c r="J503" s="173"/>
      <c r="K503" s="176"/>
      <c r="L503" s="176"/>
      <c r="M503" s="173"/>
      <c r="N503" s="173"/>
      <c r="O503" s="173"/>
      <c r="P503" s="173"/>
      <c r="Q503" s="173"/>
      <c r="R503" s="173"/>
      <c r="S503" s="173"/>
      <c r="T503" s="173"/>
      <c r="U503" s="173"/>
      <c r="V503" s="173"/>
    </row>
    <row r="504" spans="1:22" ht="12.5">
      <c r="A504" s="173"/>
      <c r="B504" s="174"/>
      <c r="C504" s="174"/>
      <c r="D504" s="173"/>
      <c r="E504" s="173"/>
      <c r="F504" s="173"/>
      <c r="G504" s="175"/>
      <c r="H504" s="173"/>
      <c r="I504" s="173"/>
      <c r="J504" s="173"/>
      <c r="K504" s="176"/>
      <c r="L504" s="176"/>
      <c r="M504" s="173"/>
      <c r="N504" s="173"/>
      <c r="O504" s="173"/>
      <c r="P504" s="173"/>
      <c r="Q504" s="173"/>
      <c r="R504" s="173"/>
      <c r="S504" s="173"/>
      <c r="T504" s="173"/>
      <c r="U504" s="173"/>
      <c r="V504" s="173"/>
    </row>
    <row r="505" spans="1:22" ht="12.5">
      <c r="A505" s="173"/>
      <c r="B505" s="174"/>
      <c r="C505" s="174"/>
      <c r="D505" s="173"/>
      <c r="E505" s="173"/>
      <c r="F505" s="173"/>
      <c r="G505" s="175"/>
      <c r="H505" s="173"/>
      <c r="I505" s="173"/>
      <c r="J505" s="173"/>
      <c r="K505" s="176"/>
      <c r="L505" s="176"/>
      <c r="M505" s="173"/>
      <c r="N505" s="173"/>
      <c r="O505" s="173"/>
      <c r="P505" s="173"/>
      <c r="Q505" s="173"/>
      <c r="R505" s="173"/>
      <c r="S505" s="173"/>
      <c r="T505" s="173"/>
      <c r="U505" s="173"/>
      <c r="V505" s="173"/>
    </row>
    <row r="506" spans="1:22" ht="12.5">
      <c r="A506" s="173"/>
      <c r="B506" s="174"/>
      <c r="C506" s="174"/>
      <c r="D506" s="173"/>
      <c r="E506" s="173"/>
      <c r="F506" s="173"/>
      <c r="G506" s="175"/>
      <c r="H506" s="173"/>
      <c r="I506" s="173"/>
      <c r="J506" s="173"/>
      <c r="K506" s="176"/>
      <c r="L506" s="176"/>
      <c r="M506" s="173"/>
      <c r="N506" s="173"/>
      <c r="O506" s="173"/>
      <c r="P506" s="173"/>
      <c r="Q506" s="173"/>
      <c r="R506" s="173"/>
      <c r="S506" s="173"/>
      <c r="T506" s="173"/>
      <c r="U506" s="173"/>
      <c r="V506" s="173"/>
    </row>
    <row r="507" spans="1:22" ht="12.5">
      <c r="A507" s="173"/>
      <c r="B507" s="174"/>
      <c r="C507" s="174"/>
      <c r="D507" s="173"/>
      <c r="E507" s="173"/>
      <c r="F507" s="173"/>
      <c r="G507" s="175"/>
      <c r="H507" s="173"/>
      <c r="I507" s="173"/>
      <c r="J507" s="173"/>
      <c r="K507" s="176"/>
      <c r="L507" s="176"/>
      <c r="M507" s="173"/>
      <c r="N507" s="173"/>
      <c r="O507" s="173"/>
      <c r="P507" s="173"/>
      <c r="Q507" s="173"/>
      <c r="R507" s="173"/>
      <c r="S507" s="173"/>
      <c r="T507" s="173"/>
      <c r="U507" s="173"/>
      <c r="V507" s="173"/>
    </row>
    <row r="508" spans="1:22" ht="12.5">
      <c r="A508" s="173"/>
      <c r="B508" s="174"/>
      <c r="C508" s="174"/>
      <c r="D508" s="173"/>
      <c r="E508" s="173"/>
      <c r="F508" s="173"/>
      <c r="G508" s="175"/>
      <c r="H508" s="173"/>
      <c r="I508" s="173"/>
      <c r="J508" s="173"/>
      <c r="K508" s="176"/>
      <c r="L508" s="176"/>
      <c r="M508" s="173"/>
      <c r="N508" s="173"/>
      <c r="O508" s="173"/>
      <c r="P508" s="173"/>
      <c r="Q508" s="173"/>
      <c r="R508" s="173"/>
      <c r="S508" s="173"/>
      <c r="T508" s="173"/>
      <c r="U508" s="173"/>
      <c r="V508" s="173"/>
    </row>
    <row r="509" spans="1:22" ht="12.5">
      <c r="A509" s="173"/>
      <c r="B509" s="174"/>
      <c r="C509" s="174"/>
      <c r="D509" s="173"/>
      <c r="E509" s="173"/>
      <c r="F509" s="173"/>
      <c r="G509" s="175"/>
      <c r="H509" s="173"/>
      <c r="I509" s="173"/>
      <c r="J509" s="173"/>
      <c r="K509" s="176"/>
      <c r="L509" s="176"/>
      <c r="M509" s="173"/>
      <c r="N509" s="173"/>
      <c r="O509" s="173"/>
      <c r="P509" s="173"/>
      <c r="Q509" s="173"/>
      <c r="R509" s="173"/>
      <c r="S509" s="173"/>
      <c r="T509" s="173"/>
      <c r="U509" s="173"/>
      <c r="V509" s="173"/>
    </row>
    <row r="510" spans="1:22" ht="12.5">
      <c r="A510" s="173"/>
      <c r="B510" s="174"/>
      <c r="C510" s="174"/>
      <c r="D510" s="173"/>
      <c r="E510" s="173"/>
      <c r="F510" s="173"/>
      <c r="G510" s="175"/>
      <c r="H510" s="173"/>
      <c r="I510" s="173"/>
      <c r="J510" s="173"/>
      <c r="K510" s="176"/>
      <c r="L510" s="176"/>
      <c r="M510" s="173"/>
      <c r="N510" s="173"/>
      <c r="O510" s="173"/>
      <c r="P510" s="173"/>
      <c r="Q510" s="173"/>
      <c r="R510" s="173"/>
      <c r="S510" s="173"/>
      <c r="T510" s="173"/>
      <c r="U510" s="173"/>
      <c r="V510" s="173"/>
    </row>
    <row r="511" spans="1:22" ht="12.5">
      <c r="A511" s="173"/>
      <c r="B511" s="174"/>
      <c r="C511" s="174"/>
      <c r="D511" s="173"/>
      <c r="E511" s="173"/>
      <c r="F511" s="173"/>
      <c r="G511" s="175"/>
      <c r="H511" s="173"/>
      <c r="I511" s="173"/>
      <c r="J511" s="173"/>
      <c r="K511" s="176"/>
      <c r="L511" s="176"/>
      <c r="M511" s="173"/>
      <c r="N511" s="173"/>
      <c r="O511" s="173"/>
      <c r="P511" s="173"/>
      <c r="Q511" s="173"/>
      <c r="R511" s="173"/>
      <c r="S511" s="173"/>
      <c r="T511" s="173"/>
      <c r="U511" s="173"/>
      <c r="V511" s="173"/>
    </row>
    <row r="512" spans="1:22" ht="12.5">
      <c r="A512" s="173"/>
      <c r="B512" s="174"/>
      <c r="C512" s="174"/>
      <c r="D512" s="173"/>
      <c r="E512" s="173"/>
      <c r="F512" s="173"/>
      <c r="G512" s="175"/>
      <c r="H512" s="173"/>
      <c r="I512" s="173"/>
      <c r="J512" s="173"/>
      <c r="K512" s="176"/>
      <c r="L512" s="176"/>
      <c r="M512" s="173"/>
      <c r="N512" s="173"/>
      <c r="O512" s="173"/>
      <c r="P512" s="173"/>
      <c r="Q512" s="173"/>
      <c r="R512" s="173"/>
      <c r="S512" s="173"/>
      <c r="T512" s="173"/>
      <c r="U512" s="173"/>
      <c r="V512" s="173"/>
    </row>
    <row r="513" spans="1:22" ht="12.5">
      <c r="A513" s="173"/>
      <c r="B513" s="174"/>
      <c r="C513" s="174"/>
      <c r="D513" s="173"/>
      <c r="E513" s="173"/>
      <c r="F513" s="173"/>
      <c r="G513" s="175"/>
      <c r="H513" s="173"/>
      <c r="I513" s="173"/>
      <c r="J513" s="173"/>
      <c r="K513" s="176"/>
      <c r="L513" s="176"/>
      <c r="M513" s="173"/>
      <c r="N513" s="173"/>
      <c r="O513" s="173"/>
      <c r="P513" s="173"/>
      <c r="Q513" s="173"/>
      <c r="R513" s="173"/>
      <c r="S513" s="173"/>
      <c r="T513" s="173"/>
      <c r="U513" s="173"/>
      <c r="V513" s="173"/>
    </row>
    <row r="514" spans="1:22" ht="12.5">
      <c r="A514" s="173"/>
      <c r="B514" s="174"/>
      <c r="C514" s="174"/>
      <c r="D514" s="173"/>
      <c r="E514" s="173"/>
      <c r="F514" s="173"/>
      <c r="G514" s="175"/>
      <c r="H514" s="173"/>
      <c r="I514" s="173"/>
      <c r="J514" s="173"/>
      <c r="K514" s="176"/>
      <c r="L514" s="176"/>
      <c r="M514" s="173"/>
      <c r="N514" s="173"/>
      <c r="O514" s="173"/>
      <c r="P514" s="173"/>
      <c r="Q514" s="173"/>
      <c r="R514" s="173"/>
      <c r="S514" s="173"/>
      <c r="T514" s="173"/>
      <c r="U514" s="173"/>
      <c r="V514" s="173"/>
    </row>
    <row r="515" spans="1:22" ht="12.5">
      <c r="A515" s="173"/>
      <c r="B515" s="174"/>
      <c r="C515" s="174"/>
      <c r="D515" s="173"/>
      <c r="E515" s="173"/>
      <c r="F515" s="173"/>
      <c r="G515" s="175"/>
      <c r="H515" s="173"/>
      <c r="I515" s="173"/>
      <c r="J515" s="173"/>
      <c r="K515" s="176"/>
      <c r="L515" s="176"/>
      <c r="M515" s="173"/>
      <c r="N515" s="173"/>
      <c r="O515" s="173"/>
      <c r="P515" s="173"/>
      <c r="Q515" s="173"/>
      <c r="R515" s="173"/>
      <c r="S515" s="173"/>
      <c r="T515" s="173"/>
      <c r="U515" s="173"/>
      <c r="V515" s="173"/>
    </row>
    <row r="516" spans="1:22" ht="12.5">
      <c r="A516" s="173"/>
      <c r="B516" s="174"/>
      <c r="C516" s="174"/>
      <c r="D516" s="173"/>
      <c r="E516" s="173"/>
      <c r="F516" s="173"/>
      <c r="G516" s="175"/>
      <c r="H516" s="173"/>
      <c r="I516" s="173"/>
      <c r="J516" s="173"/>
      <c r="K516" s="176"/>
      <c r="L516" s="176"/>
      <c r="M516" s="173"/>
      <c r="N516" s="173"/>
      <c r="O516" s="173"/>
      <c r="P516" s="173"/>
      <c r="Q516" s="173"/>
      <c r="R516" s="173"/>
      <c r="S516" s="173"/>
      <c r="T516" s="173"/>
      <c r="U516" s="173"/>
      <c r="V516" s="173"/>
    </row>
    <row r="517" spans="1:22" ht="12.5">
      <c r="A517" s="173"/>
      <c r="B517" s="174"/>
      <c r="C517" s="174"/>
      <c r="D517" s="173"/>
      <c r="E517" s="173"/>
      <c r="F517" s="173"/>
      <c r="G517" s="175"/>
      <c r="H517" s="173"/>
      <c r="I517" s="173"/>
      <c r="J517" s="173"/>
      <c r="K517" s="176"/>
      <c r="L517" s="176"/>
      <c r="M517" s="173"/>
      <c r="N517" s="173"/>
      <c r="O517" s="173"/>
      <c r="P517" s="173"/>
      <c r="Q517" s="173"/>
      <c r="R517" s="173"/>
      <c r="S517" s="173"/>
      <c r="T517" s="173"/>
      <c r="U517" s="173"/>
      <c r="V517" s="173"/>
    </row>
    <row r="518" spans="1:22" ht="12.5">
      <c r="A518" s="173"/>
      <c r="B518" s="174"/>
      <c r="C518" s="174"/>
      <c r="D518" s="173"/>
      <c r="E518" s="173"/>
      <c r="F518" s="173"/>
      <c r="G518" s="175"/>
      <c r="H518" s="173"/>
      <c r="I518" s="173"/>
      <c r="J518" s="173"/>
      <c r="K518" s="176"/>
      <c r="L518" s="176"/>
      <c r="M518" s="173"/>
      <c r="N518" s="173"/>
      <c r="O518" s="173"/>
      <c r="P518" s="173"/>
      <c r="Q518" s="173"/>
      <c r="R518" s="173"/>
      <c r="S518" s="173"/>
      <c r="T518" s="173"/>
      <c r="U518" s="173"/>
      <c r="V518" s="173"/>
    </row>
    <row r="519" spans="1:22" ht="12.5">
      <c r="A519" s="173"/>
      <c r="B519" s="174"/>
      <c r="C519" s="174"/>
      <c r="D519" s="173"/>
      <c r="E519" s="173"/>
      <c r="F519" s="173"/>
      <c r="G519" s="175"/>
      <c r="H519" s="173"/>
      <c r="I519" s="173"/>
      <c r="J519" s="173"/>
      <c r="K519" s="176"/>
      <c r="L519" s="176"/>
      <c r="M519" s="173"/>
      <c r="N519" s="173"/>
      <c r="O519" s="173"/>
      <c r="P519" s="173"/>
      <c r="Q519" s="173"/>
      <c r="R519" s="173"/>
      <c r="S519" s="173"/>
      <c r="T519" s="173"/>
      <c r="U519" s="173"/>
      <c r="V519" s="173"/>
    </row>
    <row r="520" spans="1:22" ht="12.5">
      <c r="A520" s="173"/>
      <c r="B520" s="174"/>
      <c r="C520" s="174"/>
      <c r="D520" s="173"/>
      <c r="E520" s="173"/>
      <c r="F520" s="173"/>
      <c r="G520" s="175"/>
      <c r="H520" s="173"/>
      <c r="I520" s="173"/>
      <c r="J520" s="173"/>
      <c r="K520" s="176"/>
      <c r="L520" s="176"/>
      <c r="M520" s="173"/>
      <c r="N520" s="173"/>
      <c r="O520" s="173"/>
      <c r="P520" s="173"/>
      <c r="Q520" s="173"/>
      <c r="R520" s="173"/>
      <c r="S520" s="173"/>
      <c r="T520" s="173"/>
      <c r="U520" s="173"/>
      <c r="V520" s="173"/>
    </row>
    <row r="521" spans="1:22" ht="12.5">
      <c r="A521" s="173"/>
      <c r="B521" s="174"/>
      <c r="C521" s="174"/>
      <c r="D521" s="173"/>
      <c r="E521" s="173"/>
      <c r="F521" s="173"/>
      <c r="G521" s="175"/>
      <c r="H521" s="173"/>
      <c r="I521" s="173"/>
      <c r="J521" s="173"/>
      <c r="K521" s="176"/>
      <c r="L521" s="176"/>
      <c r="M521" s="173"/>
      <c r="N521" s="173"/>
      <c r="O521" s="173"/>
      <c r="P521" s="173"/>
      <c r="Q521" s="173"/>
      <c r="R521" s="173"/>
      <c r="S521" s="173"/>
      <c r="T521" s="173"/>
      <c r="U521" s="173"/>
      <c r="V521" s="173"/>
    </row>
    <row r="522" spans="1:22" ht="12.5">
      <c r="A522" s="173"/>
      <c r="B522" s="174"/>
      <c r="C522" s="174"/>
      <c r="D522" s="173"/>
      <c r="E522" s="173"/>
      <c r="F522" s="173"/>
      <c r="G522" s="175"/>
      <c r="H522" s="173"/>
      <c r="I522" s="173"/>
      <c r="J522" s="173"/>
      <c r="K522" s="176"/>
      <c r="L522" s="176"/>
      <c r="M522" s="173"/>
      <c r="N522" s="173"/>
      <c r="O522" s="173"/>
      <c r="P522" s="173"/>
      <c r="Q522" s="173"/>
      <c r="R522" s="173"/>
      <c r="S522" s="173"/>
      <c r="T522" s="173"/>
      <c r="U522" s="173"/>
      <c r="V522" s="173"/>
    </row>
    <row r="523" spans="1:22" ht="12.5">
      <c r="A523" s="173"/>
      <c r="B523" s="174"/>
      <c r="C523" s="174"/>
      <c r="D523" s="173"/>
      <c r="E523" s="173"/>
      <c r="F523" s="173"/>
      <c r="G523" s="175"/>
      <c r="H523" s="173"/>
      <c r="I523" s="173"/>
      <c r="J523" s="173"/>
      <c r="K523" s="176"/>
      <c r="L523" s="176"/>
      <c r="M523" s="173"/>
      <c r="N523" s="173"/>
      <c r="O523" s="173"/>
      <c r="P523" s="173"/>
      <c r="Q523" s="173"/>
      <c r="R523" s="173"/>
      <c r="S523" s="173"/>
      <c r="T523" s="173"/>
      <c r="U523" s="173"/>
      <c r="V523" s="173"/>
    </row>
    <row r="524" spans="1:22" ht="12.5">
      <c r="A524" s="173"/>
      <c r="B524" s="174"/>
      <c r="C524" s="174"/>
      <c r="D524" s="173"/>
      <c r="E524" s="173"/>
      <c r="F524" s="173"/>
      <c r="G524" s="175"/>
      <c r="H524" s="173"/>
      <c r="I524" s="173"/>
      <c r="J524" s="173"/>
      <c r="K524" s="176"/>
      <c r="L524" s="176"/>
      <c r="M524" s="173"/>
      <c r="N524" s="173"/>
      <c r="O524" s="173"/>
      <c r="P524" s="173"/>
      <c r="Q524" s="173"/>
      <c r="R524" s="173"/>
      <c r="S524" s="173"/>
      <c r="T524" s="173"/>
      <c r="U524" s="173"/>
      <c r="V524" s="173"/>
    </row>
    <row r="525" spans="1:22" ht="12.5">
      <c r="A525" s="173"/>
      <c r="B525" s="174"/>
      <c r="C525" s="174"/>
      <c r="D525" s="173"/>
      <c r="E525" s="173"/>
      <c r="F525" s="173"/>
      <c r="G525" s="175"/>
      <c r="H525" s="173"/>
      <c r="I525" s="173"/>
      <c r="J525" s="173"/>
      <c r="K525" s="176"/>
      <c r="L525" s="176"/>
      <c r="M525" s="173"/>
      <c r="N525" s="173"/>
      <c r="O525" s="173"/>
      <c r="P525" s="173"/>
      <c r="Q525" s="173"/>
      <c r="R525" s="173"/>
      <c r="S525" s="173"/>
      <c r="T525" s="173"/>
      <c r="U525" s="173"/>
      <c r="V525" s="173"/>
    </row>
    <row r="526" spans="1:22" ht="12.5">
      <c r="A526" s="173"/>
      <c r="B526" s="174"/>
      <c r="C526" s="174"/>
      <c r="D526" s="173"/>
      <c r="E526" s="173"/>
      <c r="F526" s="173"/>
      <c r="G526" s="175"/>
      <c r="H526" s="173"/>
      <c r="I526" s="173"/>
      <c r="J526" s="173"/>
      <c r="K526" s="176"/>
      <c r="L526" s="176"/>
      <c r="M526" s="173"/>
      <c r="N526" s="173"/>
      <c r="O526" s="173"/>
      <c r="P526" s="173"/>
      <c r="Q526" s="173"/>
      <c r="R526" s="173"/>
      <c r="S526" s="173"/>
      <c r="T526" s="173"/>
      <c r="U526" s="173"/>
      <c r="V526" s="173"/>
    </row>
    <row r="527" spans="1:22" ht="12.5">
      <c r="A527" s="173"/>
      <c r="B527" s="174"/>
      <c r="C527" s="174"/>
      <c r="D527" s="173"/>
      <c r="E527" s="173"/>
      <c r="F527" s="173"/>
      <c r="G527" s="175"/>
      <c r="H527" s="173"/>
      <c r="I527" s="173"/>
      <c r="J527" s="173"/>
      <c r="K527" s="176"/>
      <c r="L527" s="176"/>
      <c r="M527" s="173"/>
      <c r="N527" s="173"/>
      <c r="O527" s="173"/>
      <c r="P527" s="173"/>
      <c r="Q527" s="173"/>
      <c r="R527" s="173"/>
      <c r="S527" s="173"/>
      <c r="T527" s="173"/>
      <c r="U527" s="173"/>
      <c r="V527" s="173"/>
    </row>
    <row r="528" spans="1:22" ht="12.5">
      <c r="A528" s="173"/>
      <c r="B528" s="174"/>
      <c r="C528" s="174"/>
      <c r="D528" s="173"/>
      <c r="E528" s="173"/>
      <c r="F528" s="173"/>
      <c r="G528" s="175"/>
      <c r="H528" s="173"/>
      <c r="I528" s="173"/>
      <c r="J528" s="173"/>
      <c r="K528" s="176"/>
      <c r="L528" s="176"/>
      <c r="M528" s="173"/>
      <c r="N528" s="173"/>
      <c r="O528" s="173"/>
      <c r="P528" s="173"/>
      <c r="Q528" s="173"/>
      <c r="R528" s="173"/>
      <c r="S528" s="173"/>
      <c r="T528" s="173"/>
      <c r="U528" s="173"/>
      <c r="V528" s="173"/>
    </row>
    <row r="529" spans="1:22" ht="12.5">
      <c r="A529" s="173"/>
      <c r="B529" s="174"/>
      <c r="C529" s="174"/>
      <c r="D529" s="173"/>
      <c r="E529" s="173"/>
      <c r="F529" s="173"/>
      <c r="G529" s="175"/>
      <c r="H529" s="173"/>
      <c r="I529" s="173"/>
      <c r="J529" s="173"/>
      <c r="K529" s="176"/>
      <c r="L529" s="176"/>
      <c r="M529" s="173"/>
      <c r="N529" s="173"/>
      <c r="O529" s="173"/>
      <c r="P529" s="173"/>
      <c r="Q529" s="173"/>
      <c r="R529" s="173"/>
      <c r="S529" s="173"/>
      <c r="T529" s="173"/>
      <c r="U529" s="173"/>
      <c r="V529" s="173"/>
    </row>
    <row r="530" spans="1:22" ht="12.5">
      <c r="A530" s="173"/>
      <c r="B530" s="174"/>
      <c r="C530" s="174"/>
      <c r="D530" s="173"/>
      <c r="E530" s="173"/>
      <c r="F530" s="173"/>
      <c r="G530" s="175"/>
      <c r="H530" s="173"/>
      <c r="I530" s="173"/>
      <c r="J530" s="173"/>
      <c r="K530" s="176"/>
      <c r="L530" s="176"/>
      <c r="M530" s="173"/>
      <c r="N530" s="173"/>
      <c r="O530" s="173"/>
      <c r="P530" s="173"/>
      <c r="Q530" s="173"/>
      <c r="R530" s="173"/>
      <c r="S530" s="173"/>
      <c r="T530" s="173"/>
      <c r="U530" s="173"/>
      <c r="V530" s="173"/>
    </row>
    <row r="531" spans="1:22" ht="12.5">
      <c r="A531" s="173"/>
      <c r="B531" s="174"/>
      <c r="C531" s="174"/>
      <c r="D531" s="173"/>
      <c r="E531" s="173"/>
      <c r="F531" s="173"/>
      <c r="G531" s="175"/>
      <c r="H531" s="173"/>
      <c r="I531" s="173"/>
      <c r="J531" s="173"/>
      <c r="K531" s="176"/>
      <c r="L531" s="176"/>
      <c r="M531" s="173"/>
      <c r="N531" s="173"/>
      <c r="O531" s="173"/>
      <c r="P531" s="173"/>
      <c r="Q531" s="173"/>
      <c r="R531" s="173"/>
      <c r="S531" s="173"/>
      <c r="T531" s="173"/>
      <c r="U531" s="173"/>
      <c r="V531" s="173"/>
    </row>
    <row r="532" spans="1:22" ht="12.5">
      <c r="A532" s="173"/>
      <c r="B532" s="174"/>
      <c r="C532" s="174"/>
      <c r="D532" s="173"/>
      <c r="E532" s="173"/>
      <c r="F532" s="173"/>
      <c r="G532" s="175"/>
      <c r="H532" s="173"/>
      <c r="I532" s="173"/>
      <c r="J532" s="173"/>
      <c r="K532" s="176"/>
      <c r="L532" s="176"/>
      <c r="M532" s="173"/>
      <c r="N532" s="173"/>
      <c r="O532" s="173"/>
      <c r="P532" s="173"/>
      <c r="Q532" s="173"/>
      <c r="R532" s="173"/>
      <c r="S532" s="173"/>
      <c r="T532" s="173"/>
      <c r="U532" s="173"/>
      <c r="V532" s="173"/>
    </row>
    <row r="533" spans="1:22" ht="12.5">
      <c r="A533" s="173"/>
      <c r="B533" s="174"/>
      <c r="C533" s="174"/>
      <c r="D533" s="173"/>
      <c r="E533" s="173"/>
      <c r="F533" s="173"/>
      <c r="G533" s="175"/>
      <c r="H533" s="173"/>
      <c r="I533" s="173"/>
      <c r="J533" s="173"/>
      <c r="K533" s="176"/>
      <c r="L533" s="176"/>
      <c r="M533" s="173"/>
      <c r="N533" s="173"/>
      <c r="O533" s="173"/>
      <c r="P533" s="173"/>
      <c r="Q533" s="173"/>
      <c r="R533" s="173"/>
      <c r="S533" s="173"/>
      <c r="T533" s="173"/>
      <c r="U533" s="173"/>
      <c r="V533" s="173"/>
    </row>
    <row r="534" spans="1:22" ht="12.5">
      <c r="A534" s="173"/>
      <c r="B534" s="174"/>
      <c r="C534" s="174"/>
      <c r="D534" s="173"/>
      <c r="E534" s="173"/>
      <c r="F534" s="173"/>
      <c r="G534" s="175"/>
      <c r="H534" s="173"/>
      <c r="I534" s="173"/>
      <c r="J534" s="173"/>
      <c r="K534" s="176"/>
      <c r="L534" s="176"/>
      <c r="M534" s="173"/>
      <c r="N534" s="173"/>
      <c r="O534" s="173"/>
      <c r="P534" s="173"/>
      <c r="Q534" s="173"/>
      <c r="R534" s="173"/>
      <c r="S534" s="173"/>
      <c r="T534" s="173"/>
      <c r="U534" s="173"/>
      <c r="V534" s="173"/>
    </row>
    <row r="535" spans="1:22" ht="12.5">
      <c r="A535" s="173"/>
      <c r="B535" s="174"/>
      <c r="C535" s="174"/>
      <c r="D535" s="173"/>
      <c r="E535" s="173"/>
      <c r="F535" s="173"/>
      <c r="G535" s="175"/>
      <c r="H535" s="173"/>
      <c r="I535" s="173"/>
      <c r="J535" s="173"/>
      <c r="K535" s="176"/>
      <c r="L535" s="176"/>
      <c r="M535" s="173"/>
      <c r="N535" s="173"/>
      <c r="O535" s="173"/>
      <c r="P535" s="173"/>
      <c r="Q535" s="173"/>
      <c r="R535" s="173"/>
      <c r="S535" s="173"/>
      <c r="T535" s="173"/>
      <c r="U535" s="173"/>
      <c r="V535" s="173"/>
    </row>
    <row r="536" spans="1:22" ht="12.5">
      <c r="A536" s="173"/>
      <c r="B536" s="174"/>
      <c r="C536" s="174"/>
      <c r="D536" s="173"/>
      <c r="E536" s="173"/>
      <c r="F536" s="173"/>
      <c r="G536" s="175"/>
      <c r="H536" s="173"/>
      <c r="I536" s="173"/>
      <c r="J536" s="173"/>
      <c r="K536" s="176"/>
      <c r="L536" s="176"/>
      <c r="M536" s="173"/>
      <c r="N536" s="173"/>
      <c r="O536" s="173"/>
      <c r="P536" s="173"/>
      <c r="Q536" s="173"/>
      <c r="R536" s="173"/>
      <c r="S536" s="173"/>
      <c r="T536" s="173"/>
      <c r="U536" s="173"/>
      <c r="V536" s="173"/>
    </row>
    <row r="537" spans="1:22" ht="12.5">
      <c r="A537" s="173"/>
      <c r="B537" s="174"/>
      <c r="C537" s="174"/>
      <c r="D537" s="173"/>
      <c r="E537" s="173"/>
      <c r="F537" s="173"/>
      <c r="G537" s="175"/>
      <c r="H537" s="173"/>
      <c r="I537" s="173"/>
      <c r="J537" s="173"/>
      <c r="K537" s="176"/>
      <c r="L537" s="176"/>
      <c r="M537" s="173"/>
      <c r="N537" s="173"/>
      <c r="O537" s="173"/>
      <c r="P537" s="173"/>
      <c r="Q537" s="173"/>
      <c r="R537" s="173"/>
      <c r="S537" s="173"/>
      <c r="T537" s="173"/>
      <c r="U537" s="173"/>
      <c r="V537" s="173"/>
    </row>
    <row r="538" spans="1:22" ht="12.5">
      <c r="A538" s="173"/>
      <c r="B538" s="174"/>
      <c r="C538" s="174"/>
      <c r="D538" s="173"/>
      <c r="E538" s="173"/>
      <c r="F538" s="173"/>
      <c r="G538" s="175"/>
      <c r="H538" s="173"/>
      <c r="I538" s="173"/>
      <c r="J538" s="173"/>
      <c r="K538" s="176"/>
      <c r="L538" s="176"/>
      <c r="M538" s="173"/>
      <c r="N538" s="173"/>
      <c r="O538" s="173"/>
      <c r="P538" s="173"/>
      <c r="Q538" s="173"/>
      <c r="R538" s="173"/>
      <c r="S538" s="173"/>
      <c r="T538" s="173"/>
      <c r="U538" s="173"/>
      <c r="V538" s="173"/>
    </row>
    <row r="539" spans="1:22" ht="12.5">
      <c r="A539" s="173"/>
      <c r="B539" s="174"/>
      <c r="C539" s="174"/>
      <c r="D539" s="173"/>
      <c r="E539" s="173"/>
      <c r="F539" s="173"/>
      <c r="G539" s="175"/>
      <c r="H539" s="173"/>
      <c r="I539" s="173"/>
      <c r="J539" s="173"/>
      <c r="K539" s="176"/>
      <c r="L539" s="176"/>
      <c r="M539" s="173"/>
      <c r="N539" s="173"/>
      <c r="O539" s="173"/>
      <c r="P539" s="173"/>
      <c r="Q539" s="173"/>
      <c r="R539" s="173"/>
      <c r="S539" s="173"/>
      <c r="T539" s="173"/>
      <c r="U539" s="173"/>
      <c r="V539" s="173"/>
    </row>
    <row r="540" spans="1:22" ht="12.5">
      <c r="A540" s="173"/>
      <c r="B540" s="174"/>
      <c r="C540" s="174"/>
      <c r="D540" s="173"/>
      <c r="E540" s="173"/>
      <c r="F540" s="173"/>
      <c r="G540" s="175"/>
      <c r="H540" s="173"/>
      <c r="I540" s="173"/>
      <c r="J540" s="173"/>
      <c r="K540" s="176"/>
      <c r="L540" s="176"/>
      <c r="M540" s="173"/>
      <c r="N540" s="173"/>
      <c r="O540" s="173"/>
      <c r="P540" s="173"/>
      <c r="Q540" s="173"/>
      <c r="R540" s="173"/>
      <c r="S540" s="173"/>
      <c r="T540" s="173"/>
      <c r="U540" s="173"/>
      <c r="V540" s="173"/>
    </row>
    <row r="541" spans="1:22" ht="12.5">
      <c r="A541" s="173"/>
      <c r="B541" s="174"/>
      <c r="C541" s="174"/>
      <c r="D541" s="173"/>
      <c r="E541" s="173"/>
      <c r="F541" s="173"/>
      <c r="G541" s="175"/>
      <c r="H541" s="173"/>
      <c r="I541" s="173"/>
      <c r="J541" s="173"/>
      <c r="K541" s="176"/>
      <c r="L541" s="176"/>
      <c r="M541" s="173"/>
      <c r="N541" s="173"/>
      <c r="O541" s="173"/>
      <c r="P541" s="173"/>
      <c r="Q541" s="173"/>
      <c r="R541" s="173"/>
      <c r="S541" s="173"/>
      <c r="T541" s="173"/>
      <c r="U541" s="173"/>
      <c r="V541" s="173"/>
    </row>
    <row r="542" spans="1:22" ht="12.5">
      <c r="A542" s="173"/>
      <c r="B542" s="174"/>
      <c r="C542" s="174"/>
      <c r="D542" s="173"/>
      <c r="E542" s="173"/>
      <c r="F542" s="173"/>
      <c r="G542" s="175"/>
      <c r="H542" s="173"/>
      <c r="I542" s="173"/>
      <c r="J542" s="173"/>
      <c r="K542" s="176"/>
      <c r="L542" s="176"/>
      <c r="M542" s="173"/>
      <c r="N542" s="173"/>
      <c r="O542" s="173"/>
      <c r="P542" s="173"/>
      <c r="Q542" s="173"/>
      <c r="R542" s="173"/>
      <c r="S542" s="173"/>
      <c r="T542" s="173"/>
      <c r="U542" s="173"/>
      <c r="V542" s="173"/>
    </row>
    <row r="543" spans="1:22" ht="12.5">
      <c r="A543" s="173"/>
      <c r="B543" s="174"/>
      <c r="C543" s="174"/>
      <c r="D543" s="173"/>
      <c r="E543" s="173"/>
      <c r="F543" s="173"/>
      <c r="G543" s="175"/>
      <c r="H543" s="173"/>
      <c r="I543" s="173"/>
      <c r="J543" s="173"/>
      <c r="K543" s="176"/>
      <c r="L543" s="176"/>
      <c r="M543" s="173"/>
      <c r="N543" s="173"/>
      <c r="O543" s="173"/>
      <c r="P543" s="173"/>
      <c r="Q543" s="173"/>
      <c r="R543" s="173"/>
      <c r="S543" s="173"/>
      <c r="T543" s="173"/>
      <c r="U543" s="173"/>
      <c r="V543" s="173"/>
    </row>
    <row r="544" spans="1:22" ht="12.5">
      <c r="A544" s="173"/>
      <c r="B544" s="174"/>
      <c r="C544" s="174"/>
      <c r="D544" s="173"/>
      <c r="E544" s="173"/>
      <c r="F544" s="173"/>
      <c r="G544" s="175"/>
      <c r="H544" s="173"/>
      <c r="I544" s="173"/>
      <c r="J544" s="173"/>
      <c r="K544" s="176"/>
      <c r="L544" s="176"/>
      <c r="M544" s="173"/>
      <c r="N544" s="173"/>
      <c r="O544" s="173"/>
      <c r="P544" s="173"/>
      <c r="Q544" s="173"/>
      <c r="R544" s="173"/>
      <c r="S544" s="173"/>
      <c r="T544" s="173"/>
      <c r="U544" s="173"/>
      <c r="V544" s="173"/>
    </row>
    <row r="545" spans="1:22" ht="12.5">
      <c r="A545" s="173"/>
      <c r="B545" s="174"/>
      <c r="C545" s="174"/>
      <c r="D545" s="173"/>
      <c r="E545" s="173"/>
      <c r="F545" s="173"/>
      <c r="G545" s="175"/>
      <c r="H545" s="173"/>
      <c r="I545" s="173"/>
      <c r="J545" s="173"/>
      <c r="K545" s="176"/>
      <c r="L545" s="176"/>
      <c r="M545" s="173"/>
      <c r="N545" s="173"/>
      <c r="O545" s="173"/>
      <c r="P545" s="173"/>
      <c r="Q545" s="173"/>
      <c r="R545" s="173"/>
      <c r="S545" s="173"/>
      <c r="T545" s="173"/>
      <c r="U545" s="173"/>
      <c r="V545" s="173"/>
    </row>
    <row r="546" spans="1:22" ht="12.5">
      <c r="A546" s="173"/>
      <c r="B546" s="174"/>
      <c r="C546" s="174"/>
      <c r="D546" s="173"/>
      <c r="E546" s="173"/>
      <c r="F546" s="173"/>
      <c r="G546" s="175"/>
      <c r="H546" s="173"/>
      <c r="I546" s="173"/>
      <c r="J546" s="173"/>
      <c r="K546" s="176"/>
      <c r="L546" s="176"/>
      <c r="M546" s="173"/>
      <c r="N546" s="173"/>
      <c r="O546" s="173"/>
      <c r="P546" s="173"/>
      <c r="Q546" s="173"/>
      <c r="R546" s="173"/>
      <c r="S546" s="173"/>
      <c r="T546" s="173"/>
      <c r="U546" s="173"/>
      <c r="V546" s="173"/>
    </row>
    <row r="547" spans="1:22" ht="12.5">
      <c r="A547" s="173"/>
      <c r="B547" s="174"/>
      <c r="C547" s="174"/>
      <c r="D547" s="173"/>
      <c r="E547" s="173"/>
      <c r="F547" s="173"/>
      <c r="G547" s="175"/>
      <c r="H547" s="173"/>
      <c r="I547" s="173"/>
      <c r="J547" s="173"/>
      <c r="K547" s="176"/>
      <c r="L547" s="176"/>
      <c r="M547" s="173"/>
      <c r="N547" s="173"/>
      <c r="O547" s="173"/>
      <c r="P547" s="173"/>
      <c r="Q547" s="173"/>
      <c r="R547" s="173"/>
      <c r="S547" s="173"/>
      <c r="T547" s="173"/>
      <c r="U547" s="173"/>
      <c r="V547" s="173"/>
    </row>
    <row r="548" spans="1:22" ht="12.5">
      <c r="A548" s="173"/>
      <c r="B548" s="174"/>
      <c r="C548" s="174"/>
      <c r="D548" s="173"/>
      <c r="E548" s="173"/>
      <c r="F548" s="173"/>
      <c r="G548" s="175"/>
      <c r="H548" s="173"/>
      <c r="I548" s="173"/>
      <c r="J548" s="173"/>
      <c r="K548" s="176"/>
      <c r="L548" s="176"/>
      <c r="M548" s="173"/>
      <c r="N548" s="173"/>
      <c r="O548" s="173"/>
      <c r="P548" s="173"/>
      <c r="Q548" s="173"/>
      <c r="R548" s="173"/>
      <c r="S548" s="173"/>
      <c r="T548" s="173"/>
      <c r="U548" s="173"/>
      <c r="V548" s="173"/>
    </row>
    <row r="549" spans="1:22" ht="12.5">
      <c r="A549" s="173"/>
      <c r="B549" s="174"/>
      <c r="C549" s="174"/>
      <c r="D549" s="173"/>
      <c r="E549" s="173"/>
      <c r="F549" s="173"/>
      <c r="G549" s="175"/>
      <c r="H549" s="173"/>
      <c r="I549" s="173"/>
      <c r="J549" s="173"/>
      <c r="K549" s="176"/>
      <c r="L549" s="176"/>
      <c r="M549" s="173"/>
      <c r="N549" s="173"/>
      <c r="O549" s="173"/>
      <c r="P549" s="173"/>
      <c r="Q549" s="173"/>
      <c r="R549" s="173"/>
      <c r="S549" s="173"/>
      <c r="T549" s="173"/>
      <c r="U549" s="173"/>
      <c r="V549" s="173"/>
    </row>
    <row r="550" spans="1:22" ht="12.5">
      <c r="A550" s="173"/>
      <c r="B550" s="174"/>
      <c r="C550" s="174"/>
      <c r="D550" s="173"/>
      <c r="E550" s="173"/>
      <c r="F550" s="173"/>
      <c r="G550" s="175"/>
      <c r="H550" s="173"/>
      <c r="I550" s="173"/>
      <c r="J550" s="173"/>
      <c r="K550" s="176"/>
      <c r="L550" s="176"/>
      <c r="M550" s="173"/>
      <c r="N550" s="173"/>
      <c r="O550" s="173"/>
      <c r="P550" s="173"/>
      <c r="Q550" s="173"/>
      <c r="R550" s="173"/>
      <c r="S550" s="173"/>
      <c r="T550" s="173"/>
      <c r="U550" s="173"/>
      <c r="V550" s="173"/>
    </row>
    <row r="551" spans="1:22" ht="12.5">
      <c r="A551" s="173"/>
      <c r="B551" s="174"/>
      <c r="C551" s="174"/>
      <c r="D551" s="173"/>
      <c r="E551" s="173"/>
      <c r="F551" s="173"/>
      <c r="G551" s="175"/>
      <c r="H551" s="173"/>
      <c r="I551" s="173"/>
      <c r="J551" s="173"/>
      <c r="K551" s="176"/>
      <c r="L551" s="176"/>
      <c r="M551" s="173"/>
      <c r="N551" s="173"/>
      <c r="O551" s="173"/>
      <c r="P551" s="173"/>
      <c r="Q551" s="173"/>
      <c r="R551" s="173"/>
      <c r="S551" s="173"/>
      <c r="T551" s="173"/>
      <c r="U551" s="173"/>
      <c r="V551" s="173"/>
    </row>
    <row r="552" spans="1:22" ht="12.5">
      <c r="A552" s="173"/>
      <c r="B552" s="174"/>
      <c r="C552" s="174"/>
      <c r="D552" s="173"/>
      <c r="E552" s="173"/>
      <c r="F552" s="173"/>
      <c r="G552" s="175"/>
      <c r="H552" s="173"/>
      <c r="I552" s="173"/>
      <c r="J552" s="173"/>
      <c r="K552" s="176"/>
      <c r="L552" s="176"/>
      <c r="M552" s="173"/>
      <c r="N552" s="173"/>
      <c r="O552" s="173"/>
      <c r="P552" s="173"/>
      <c r="Q552" s="173"/>
      <c r="R552" s="173"/>
      <c r="S552" s="173"/>
      <c r="T552" s="173"/>
      <c r="U552" s="173"/>
      <c r="V552" s="173"/>
    </row>
    <row r="553" spans="1:22" ht="12.5">
      <c r="A553" s="173"/>
      <c r="B553" s="174"/>
      <c r="C553" s="174"/>
      <c r="D553" s="173"/>
      <c r="E553" s="173"/>
      <c r="F553" s="173"/>
      <c r="G553" s="175"/>
      <c r="H553" s="173"/>
      <c r="I553" s="173"/>
      <c r="J553" s="173"/>
      <c r="K553" s="176"/>
      <c r="L553" s="176"/>
      <c r="M553" s="173"/>
      <c r="N553" s="173"/>
      <c r="O553" s="173"/>
      <c r="P553" s="173"/>
      <c r="Q553" s="173"/>
      <c r="R553" s="173"/>
      <c r="S553" s="173"/>
      <c r="T553" s="173"/>
      <c r="U553" s="173"/>
      <c r="V553" s="173"/>
    </row>
    <row r="554" spans="1:22" ht="12.5">
      <c r="A554" s="173"/>
      <c r="B554" s="174"/>
      <c r="C554" s="174"/>
      <c r="D554" s="173"/>
      <c r="E554" s="173"/>
      <c r="F554" s="173"/>
      <c r="G554" s="175"/>
      <c r="H554" s="173"/>
      <c r="I554" s="173"/>
      <c r="J554" s="173"/>
      <c r="K554" s="176"/>
      <c r="L554" s="176"/>
      <c r="M554" s="173"/>
      <c r="N554" s="173"/>
      <c r="O554" s="173"/>
      <c r="P554" s="173"/>
      <c r="Q554" s="173"/>
      <c r="R554" s="173"/>
      <c r="S554" s="173"/>
      <c r="T554" s="173"/>
      <c r="U554" s="173"/>
      <c r="V554" s="173"/>
    </row>
    <row r="555" spans="1:22" ht="12.5">
      <c r="A555" s="173"/>
      <c r="B555" s="174"/>
      <c r="C555" s="174"/>
      <c r="D555" s="173"/>
      <c r="E555" s="173"/>
      <c r="F555" s="173"/>
      <c r="G555" s="175"/>
      <c r="H555" s="173"/>
      <c r="I555" s="173"/>
      <c r="J555" s="173"/>
      <c r="K555" s="176"/>
      <c r="L555" s="176"/>
      <c r="M555" s="173"/>
      <c r="N555" s="173"/>
      <c r="O555" s="173"/>
      <c r="P555" s="173"/>
      <c r="Q555" s="173"/>
      <c r="R555" s="173"/>
      <c r="S555" s="173"/>
      <c r="T555" s="173"/>
      <c r="U555" s="173"/>
      <c r="V555" s="173"/>
    </row>
    <row r="556" spans="1:22" ht="12.5">
      <c r="A556" s="173"/>
      <c r="B556" s="174"/>
      <c r="C556" s="174"/>
      <c r="D556" s="173"/>
      <c r="E556" s="173"/>
      <c r="F556" s="173"/>
      <c r="G556" s="175"/>
      <c r="H556" s="173"/>
      <c r="I556" s="173"/>
      <c r="J556" s="173"/>
      <c r="K556" s="176"/>
      <c r="L556" s="176"/>
      <c r="M556" s="173"/>
      <c r="N556" s="173"/>
      <c r="O556" s="173"/>
      <c r="P556" s="173"/>
      <c r="Q556" s="173"/>
      <c r="R556" s="173"/>
      <c r="S556" s="173"/>
      <c r="T556" s="173"/>
      <c r="U556" s="173"/>
      <c r="V556" s="173"/>
    </row>
    <row r="557" spans="1:22" ht="12.5">
      <c r="A557" s="173"/>
      <c r="B557" s="174"/>
      <c r="C557" s="174"/>
      <c r="D557" s="173"/>
      <c r="E557" s="173"/>
      <c r="F557" s="173"/>
      <c r="G557" s="175"/>
      <c r="H557" s="173"/>
      <c r="I557" s="173"/>
      <c r="J557" s="173"/>
      <c r="K557" s="176"/>
      <c r="L557" s="176"/>
      <c r="M557" s="173"/>
      <c r="N557" s="173"/>
      <c r="O557" s="173"/>
      <c r="P557" s="173"/>
      <c r="Q557" s="173"/>
      <c r="R557" s="173"/>
      <c r="S557" s="173"/>
      <c r="T557" s="173"/>
      <c r="U557" s="173"/>
      <c r="V557" s="173"/>
    </row>
    <row r="558" spans="1:22" ht="12.5">
      <c r="A558" s="173"/>
      <c r="B558" s="174"/>
      <c r="C558" s="174"/>
      <c r="D558" s="173"/>
      <c r="E558" s="173"/>
      <c r="F558" s="173"/>
      <c r="G558" s="175"/>
      <c r="H558" s="173"/>
      <c r="I558" s="173"/>
      <c r="J558" s="173"/>
      <c r="K558" s="176"/>
      <c r="L558" s="176"/>
      <c r="M558" s="173"/>
      <c r="N558" s="173"/>
      <c r="O558" s="173"/>
      <c r="P558" s="173"/>
      <c r="Q558" s="173"/>
      <c r="R558" s="173"/>
      <c r="S558" s="173"/>
      <c r="T558" s="173"/>
      <c r="U558" s="173"/>
      <c r="V558" s="173"/>
    </row>
    <row r="559" spans="1:22" ht="12.5">
      <c r="A559" s="173"/>
      <c r="B559" s="174"/>
      <c r="C559" s="174"/>
      <c r="D559" s="173"/>
      <c r="E559" s="173"/>
      <c r="F559" s="173"/>
      <c r="G559" s="175"/>
      <c r="H559" s="173"/>
      <c r="I559" s="173"/>
      <c r="J559" s="173"/>
      <c r="K559" s="176"/>
      <c r="L559" s="176"/>
      <c r="M559" s="173"/>
      <c r="N559" s="173"/>
      <c r="O559" s="173"/>
      <c r="P559" s="173"/>
      <c r="Q559" s="173"/>
      <c r="R559" s="173"/>
      <c r="S559" s="173"/>
      <c r="T559" s="173"/>
      <c r="U559" s="173"/>
      <c r="V559" s="173"/>
    </row>
    <row r="560" spans="1:22" ht="12.5">
      <c r="A560" s="173"/>
      <c r="B560" s="174"/>
      <c r="C560" s="174"/>
      <c r="D560" s="173"/>
      <c r="E560" s="173"/>
      <c r="F560" s="173"/>
      <c r="G560" s="175"/>
      <c r="H560" s="173"/>
      <c r="I560" s="173"/>
      <c r="J560" s="173"/>
      <c r="K560" s="176"/>
      <c r="L560" s="176"/>
      <c r="M560" s="173"/>
      <c r="N560" s="173"/>
      <c r="O560" s="173"/>
      <c r="P560" s="173"/>
      <c r="Q560" s="173"/>
      <c r="R560" s="173"/>
      <c r="S560" s="173"/>
      <c r="T560" s="173"/>
      <c r="U560" s="173"/>
      <c r="V560" s="173"/>
    </row>
    <row r="561" spans="1:22" ht="12.5">
      <c r="A561" s="173"/>
      <c r="B561" s="174"/>
      <c r="C561" s="174"/>
      <c r="D561" s="173"/>
      <c r="E561" s="173"/>
      <c r="F561" s="173"/>
      <c r="G561" s="175"/>
      <c r="H561" s="173"/>
      <c r="I561" s="173"/>
      <c r="J561" s="173"/>
      <c r="K561" s="176"/>
      <c r="L561" s="176"/>
      <c r="M561" s="173"/>
      <c r="N561" s="173"/>
      <c r="O561" s="173"/>
      <c r="P561" s="173"/>
      <c r="Q561" s="173"/>
      <c r="R561" s="173"/>
      <c r="S561" s="173"/>
      <c r="T561" s="173"/>
      <c r="U561" s="173"/>
      <c r="V561" s="173"/>
    </row>
    <row r="562" spans="1:22" ht="12.5">
      <c r="A562" s="173"/>
      <c r="B562" s="174"/>
      <c r="C562" s="174"/>
      <c r="D562" s="173"/>
      <c r="E562" s="173"/>
      <c r="F562" s="173"/>
      <c r="G562" s="175"/>
      <c r="H562" s="173"/>
      <c r="I562" s="173"/>
      <c r="J562" s="173"/>
      <c r="K562" s="176"/>
      <c r="L562" s="176"/>
      <c r="M562" s="173"/>
      <c r="N562" s="173"/>
      <c r="O562" s="173"/>
      <c r="P562" s="173"/>
      <c r="Q562" s="173"/>
      <c r="R562" s="173"/>
      <c r="S562" s="173"/>
      <c r="T562" s="173"/>
      <c r="U562" s="173"/>
      <c r="V562" s="173"/>
    </row>
    <row r="563" spans="1:22" ht="12.5">
      <c r="A563" s="173"/>
      <c r="B563" s="174"/>
      <c r="C563" s="174"/>
      <c r="D563" s="173"/>
      <c r="E563" s="173"/>
      <c r="F563" s="173"/>
      <c r="G563" s="175"/>
      <c r="H563" s="173"/>
      <c r="I563" s="173"/>
      <c r="J563" s="173"/>
      <c r="K563" s="176"/>
      <c r="L563" s="176"/>
      <c r="M563" s="173"/>
      <c r="N563" s="173"/>
      <c r="O563" s="173"/>
      <c r="P563" s="173"/>
      <c r="Q563" s="173"/>
      <c r="R563" s="173"/>
      <c r="S563" s="173"/>
      <c r="T563" s="173"/>
      <c r="U563" s="173"/>
      <c r="V563" s="173"/>
    </row>
    <row r="564" spans="1:22" ht="12.5">
      <c r="A564" s="173"/>
      <c r="B564" s="174"/>
      <c r="C564" s="174"/>
      <c r="D564" s="173"/>
      <c r="E564" s="173"/>
      <c r="F564" s="173"/>
      <c r="G564" s="175"/>
      <c r="H564" s="173"/>
      <c r="I564" s="173"/>
      <c r="J564" s="173"/>
      <c r="K564" s="176"/>
      <c r="L564" s="176"/>
      <c r="M564" s="173"/>
      <c r="N564" s="173"/>
      <c r="O564" s="173"/>
      <c r="P564" s="173"/>
      <c r="Q564" s="173"/>
      <c r="R564" s="173"/>
      <c r="S564" s="173"/>
      <c r="T564" s="173"/>
      <c r="U564" s="173"/>
      <c r="V564" s="173"/>
    </row>
    <row r="565" spans="1:22" ht="12.5">
      <c r="A565" s="173"/>
      <c r="B565" s="174"/>
      <c r="C565" s="174"/>
      <c r="D565" s="173"/>
      <c r="E565" s="173"/>
      <c r="F565" s="173"/>
      <c r="G565" s="175"/>
      <c r="H565" s="173"/>
      <c r="I565" s="173"/>
      <c r="J565" s="173"/>
      <c r="K565" s="176"/>
      <c r="L565" s="176"/>
      <c r="M565" s="173"/>
      <c r="N565" s="173"/>
      <c r="O565" s="173"/>
      <c r="P565" s="173"/>
      <c r="Q565" s="173"/>
      <c r="R565" s="173"/>
      <c r="S565" s="173"/>
      <c r="T565" s="173"/>
      <c r="U565" s="173"/>
      <c r="V565" s="173"/>
    </row>
    <row r="566" spans="1:22" ht="12.5">
      <c r="A566" s="173"/>
      <c r="B566" s="174"/>
      <c r="C566" s="174"/>
      <c r="D566" s="173"/>
      <c r="E566" s="173"/>
      <c r="F566" s="173"/>
      <c r="G566" s="175"/>
      <c r="H566" s="173"/>
      <c r="I566" s="173"/>
      <c r="J566" s="173"/>
      <c r="K566" s="176"/>
      <c r="L566" s="176"/>
      <c r="M566" s="173"/>
      <c r="N566" s="173"/>
      <c r="O566" s="173"/>
      <c r="P566" s="173"/>
      <c r="Q566" s="173"/>
      <c r="R566" s="173"/>
      <c r="S566" s="173"/>
      <c r="T566" s="173"/>
      <c r="U566" s="173"/>
      <c r="V566" s="173"/>
    </row>
    <row r="567" spans="1:22" ht="12.5">
      <c r="A567" s="173"/>
      <c r="B567" s="174"/>
      <c r="C567" s="174"/>
      <c r="D567" s="173"/>
      <c r="E567" s="173"/>
      <c r="F567" s="173"/>
      <c r="G567" s="175"/>
      <c r="H567" s="173"/>
      <c r="I567" s="173"/>
      <c r="J567" s="173"/>
      <c r="K567" s="176"/>
      <c r="L567" s="176"/>
      <c r="M567" s="173"/>
      <c r="N567" s="173"/>
      <c r="O567" s="173"/>
      <c r="P567" s="173"/>
      <c r="Q567" s="173"/>
      <c r="R567" s="173"/>
      <c r="S567" s="173"/>
      <c r="T567" s="173"/>
      <c r="U567" s="173"/>
      <c r="V567" s="173"/>
    </row>
    <row r="568" spans="1:22" ht="12.5">
      <c r="A568" s="173"/>
      <c r="B568" s="174"/>
      <c r="C568" s="174"/>
      <c r="D568" s="173"/>
      <c r="E568" s="173"/>
      <c r="F568" s="173"/>
      <c r="G568" s="175"/>
      <c r="H568" s="173"/>
      <c r="I568" s="173"/>
      <c r="J568" s="173"/>
      <c r="K568" s="176"/>
      <c r="L568" s="176"/>
      <c r="M568" s="173"/>
      <c r="N568" s="173"/>
      <c r="O568" s="173"/>
      <c r="P568" s="173"/>
      <c r="Q568" s="173"/>
      <c r="R568" s="173"/>
      <c r="S568" s="173"/>
      <c r="T568" s="173"/>
      <c r="U568" s="173"/>
      <c r="V568" s="173"/>
    </row>
    <row r="569" spans="1:22" ht="12.5">
      <c r="A569" s="173"/>
      <c r="B569" s="174"/>
      <c r="C569" s="174"/>
      <c r="D569" s="173"/>
      <c r="E569" s="173"/>
      <c r="F569" s="173"/>
      <c r="G569" s="175"/>
      <c r="H569" s="173"/>
      <c r="I569" s="173"/>
      <c r="J569" s="173"/>
      <c r="K569" s="176"/>
      <c r="L569" s="176"/>
      <c r="M569" s="173"/>
      <c r="N569" s="173"/>
      <c r="O569" s="173"/>
      <c r="P569" s="173"/>
      <c r="Q569" s="173"/>
      <c r="R569" s="173"/>
      <c r="S569" s="173"/>
      <c r="T569" s="173"/>
      <c r="U569" s="173"/>
      <c r="V569" s="173"/>
    </row>
    <row r="570" spans="1:22" ht="12.5">
      <c r="A570" s="173"/>
      <c r="B570" s="174"/>
      <c r="C570" s="174"/>
      <c r="D570" s="173"/>
      <c r="E570" s="173"/>
      <c r="F570" s="173"/>
      <c r="G570" s="175"/>
      <c r="H570" s="173"/>
      <c r="I570" s="173"/>
      <c r="J570" s="173"/>
      <c r="K570" s="176"/>
      <c r="L570" s="176"/>
      <c r="M570" s="173"/>
      <c r="N570" s="173"/>
      <c r="O570" s="173"/>
      <c r="P570" s="173"/>
      <c r="Q570" s="173"/>
      <c r="R570" s="173"/>
      <c r="S570" s="173"/>
      <c r="T570" s="173"/>
      <c r="U570" s="173"/>
      <c r="V570" s="173"/>
    </row>
    <row r="571" spans="1:22" ht="12.5">
      <c r="A571" s="173"/>
      <c r="B571" s="174"/>
      <c r="C571" s="174"/>
      <c r="D571" s="173"/>
      <c r="E571" s="173"/>
      <c r="F571" s="173"/>
      <c r="G571" s="175"/>
      <c r="H571" s="173"/>
      <c r="I571" s="173"/>
      <c r="J571" s="173"/>
      <c r="K571" s="176"/>
      <c r="L571" s="176"/>
      <c r="M571" s="173"/>
      <c r="N571" s="173"/>
      <c r="O571" s="173"/>
      <c r="P571" s="173"/>
      <c r="Q571" s="173"/>
      <c r="R571" s="173"/>
      <c r="S571" s="173"/>
      <c r="T571" s="173"/>
      <c r="U571" s="173"/>
      <c r="V571" s="173"/>
    </row>
    <row r="572" spans="1:22" ht="12.5">
      <c r="A572" s="173"/>
      <c r="B572" s="174"/>
      <c r="C572" s="174"/>
      <c r="D572" s="173"/>
      <c r="E572" s="173"/>
      <c r="F572" s="173"/>
      <c r="G572" s="175"/>
      <c r="H572" s="173"/>
      <c r="I572" s="173"/>
      <c r="J572" s="173"/>
      <c r="K572" s="176"/>
      <c r="L572" s="176"/>
      <c r="M572" s="173"/>
      <c r="N572" s="173"/>
      <c r="O572" s="173"/>
      <c r="P572" s="173"/>
      <c r="Q572" s="173"/>
      <c r="R572" s="173"/>
      <c r="S572" s="173"/>
      <c r="T572" s="173"/>
      <c r="U572" s="173"/>
      <c r="V572" s="173"/>
    </row>
    <row r="573" spans="1:22" ht="12.5">
      <c r="A573" s="173"/>
      <c r="B573" s="174"/>
      <c r="C573" s="174"/>
      <c r="D573" s="173"/>
      <c r="E573" s="173"/>
      <c r="F573" s="173"/>
      <c r="G573" s="175"/>
      <c r="H573" s="173"/>
      <c r="I573" s="173"/>
      <c r="J573" s="173"/>
      <c r="K573" s="176"/>
      <c r="L573" s="176"/>
      <c r="M573" s="173"/>
      <c r="N573" s="173"/>
      <c r="O573" s="173"/>
      <c r="P573" s="173"/>
      <c r="Q573" s="173"/>
      <c r="R573" s="173"/>
      <c r="S573" s="173"/>
      <c r="T573" s="173"/>
      <c r="U573" s="173"/>
      <c r="V573" s="173"/>
    </row>
    <row r="574" spans="1:22" ht="12.5">
      <c r="A574" s="173"/>
      <c r="B574" s="174"/>
      <c r="C574" s="174"/>
      <c r="D574" s="173"/>
      <c r="E574" s="173"/>
      <c r="F574" s="173"/>
      <c r="G574" s="175"/>
      <c r="H574" s="173"/>
      <c r="I574" s="173"/>
      <c r="J574" s="173"/>
      <c r="K574" s="176"/>
      <c r="L574" s="176"/>
      <c r="M574" s="173"/>
      <c r="N574" s="173"/>
      <c r="O574" s="173"/>
      <c r="P574" s="173"/>
      <c r="Q574" s="173"/>
      <c r="R574" s="173"/>
      <c r="S574" s="173"/>
      <c r="T574" s="173"/>
      <c r="U574" s="173"/>
      <c r="V574" s="173"/>
    </row>
    <row r="575" spans="1:22" ht="12.5">
      <c r="A575" s="173"/>
      <c r="B575" s="174"/>
      <c r="C575" s="174"/>
      <c r="D575" s="173"/>
      <c r="E575" s="173"/>
      <c r="F575" s="173"/>
      <c r="G575" s="175"/>
      <c r="H575" s="173"/>
      <c r="I575" s="173"/>
      <c r="J575" s="173"/>
      <c r="K575" s="176"/>
      <c r="L575" s="176"/>
      <c r="M575" s="173"/>
      <c r="N575" s="173"/>
      <c r="O575" s="173"/>
      <c r="P575" s="173"/>
      <c r="Q575" s="173"/>
      <c r="R575" s="173"/>
      <c r="S575" s="173"/>
      <c r="T575" s="173"/>
      <c r="U575" s="173"/>
      <c r="V575" s="173"/>
    </row>
    <row r="576" spans="1:22" ht="12.5">
      <c r="A576" s="173"/>
      <c r="B576" s="174"/>
      <c r="C576" s="174"/>
      <c r="D576" s="173"/>
      <c r="E576" s="173"/>
      <c r="F576" s="173"/>
      <c r="G576" s="175"/>
      <c r="H576" s="173"/>
      <c r="I576" s="173"/>
      <c r="J576" s="173"/>
      <c r="K576" s="176"/>
      <c r="L576" s="176"/>
      <c r="M576" s="173"/>
      <c r="N576" s="173"/>
      <c r="O576" s="173"/>
      <c r="P576" s="173"/>
      <c r="Q576" s="173"/>
      <c r="R576" s="173"/>
      <c r="S576" s="173"/>
      <c r="T576" s="173"/>
      <c r="U576" s="173"/>
      <c r="V576" s="173"/>
    </row>
    <row r="577" spans="1:22" ht="12.5">
      <c r="A577" s="173"/>
      <c r="B577" s="174"/>
      <c r="C577" s="174"/>
      <c r="D577" s="173"/>
      <c r="E577" s="173"/>
      <c r="F577" s="173"/>
      <c r="G577" s="175"/>
      <c r="H577" s="173"/>
      <c r="I577" s="173"/>
      <c r="J577" s="173"/>
      <c r="K577" s="176"/>
      <c r="L577" s="176"/>
      <c r="M577" s="173"/>
      <c r="N577" s="173"/>
      <c r="O577" s="173"/>
      <c r="P577" s="173"/>
      <c r="Q577" s="173"/>
      <c r="R577" s="173"/>
      <c r="S577" s="173"/>
      <c r="T577" s="173"/>
      <c r="U577" s="173"/>
      <c r="V577" s="173"/>
    </row>
    <row r="578" spans="1:22" ht="12.5">
      <c r="A578" s="173"/>
      <c r="B578" s="174"/>
      <c r="C578" s="174"/>
      <c r="D578" s="173"/>
      <c r="E578" s="173"/>
      <c r="F578" s="173"/>
      <c r="G578" s="175"/>
      <c r="H578" s="173"/>
      <c r="I578" s="173"/>
      <c r="J578" s="173"/>
      <c r="K578" s="176"/>
      <c r="L578" s="176"/>
      <c r="M578" s="173"/>
      <c r="N578" s="173"/>
      <c r="O578" s="173"/>
      <c r="P578" s="173"/>
      <c r="Q578" s="173"/>
      <c r="R578" s="173"/>
      <c r="S578" s="173"/>
      <c r="T578" s="173"/>
      <c r="U578" s="173"/>
      <c r="V578" s="173"/>
    </row>
    <row r="579" spans="1:22" ht="12.5">
      <c r="A579" s="173"/>
      <c r="B579" s="174"/>
      <c r="C579" s="174"/>
      <c r="D579" s="173"/>
      <c r="E579" s="173"/>
      <c r="F579" s="173"/>
      <c r="G579" s="175"/>
      <c r="H579" s="173"/>
      <c r="I579" s="173"/>
      <c r="J579" s="173"/>
      <c r="K579" s="176"/>
      <c r="L579" s="176"/>
      <c r="M579" s="173"/>
      <c r="N579" s="173"/>
      <c r="O579" s="173"/>
      <c r="P579" s="173"/>
      <c r="Q579" s="173"/>
      <c r="R579" s="173"/>
      <c r="S579" s="173"/>
      <c r="T579" s="173"/>
      <c r="U579" s="173"/>
      <c r="V579" s="173"/>
    </row>
    <row r="580" spans="1:22" ht="12.5">
      <c r="A580" s="173"/>
      <c r="B580" s="174"/>
      <c r="C580" s="174"/>
      <c r="D580" s="173"/>
      <c r="E580" s="173"/>
      <c r="F580" s="173"/>
      <c r="G580" s="175"/>
      <c r="H580" s="173"/>
      <c r="I580" s="173"/>
      <c r="J580" s="173"/>
      <c r="K580" s="176"/>
      <c r="L580" s="176"/>
      <c r="M580" s="173"/>
      <c r="N580" s="173"/>
      <c r="O580" s="173"/>
      <c r="P580" s="173"/>
      <c r="Q580" s="173"/>
      <c r="R580" s="173"/>
      <c r="S580" s="173"/>
      <c r="T580" s="173"/>
      <c r="U580" s="173"/>
      <c r="V580" s="173"/>
    </row>
    <row r="581" spans="1:22" ht="12.5">
      <c r="A581" s="173"/>
      <c r="B581" s="174"/>
      <c r="C581" s="174"/>
      <c r="D581" s="173"/>
      <c r="E581" s="173"/>
      <c r="F581" s="173"/>
      <c r="G581" s="175"/>
      <c r="H581" s="173"/>
      <c r="I581" s="173"/>
      <c r="J581" s="173"/>
      <c r="K581" s="176"/>
      <c r="L581" s="176"/>
      <c r="M581" s="173"/>
      <c r="N581" s="173"/>
      <c r="O581" s="173"/>
      <c r="P581" s="173"/>
      <c r="Q581" s="173"/>
      <c r="R581" s="173"/>
      <c r="S581" s="173"/>
      <c r="T581" s="173"/>
      <c r="U581" s="173"/>
      <c r="V581" s="173"/>
    </row>
    <row r="582" spans="1:22" ht="12.5">
      <c r="A582" s="173"/>
      <c r="B582" s="174"/>
      <c r="C582" s="174"/>
      <c r="D582" s="173"/>
      <c r="E582" s="173"/>
      <c r="F582" s="173"/>
      <c r="G582" s="175"/>
      <c r="H582" s="173"/>
      <c r="I582" s="173"/>
      <c r="J582" s="173"/>
      <c r="K582" s="176"/>
      <c r="L582" s="176"/>
      <c r="M582" s="173"/>
      <c r="N582" s="173"/>
      <c r="O582" s="173"/>
      <c r="P582" s="173"/>
      <c r="Q582" s="173"/>
      <c r="R582" s="173"/>
      <c r="S582" s="173"/>
      <c r="T582" s="173"/>
      <c r="U582" s="173"/>
      <c r="V582" s="173"/>
    </row>
    <row r="583" spans="1:22" ht="12.5">
      <c r="A583" s="173"/>
      <c r="B583" s="174"/>
      <c r="C583" s="174"/>
      <c r="D583" s="173"/>
      <c r="E583" s="173"/>
      <c r="F583" s="173"/>
      <c r="G583" s="175"/>
      <c r="H583" s="173"/>
      <c r="I583" s="173"/>
      <c r="J583" s="173"/>
      <c r="K583" s="176"/>
      <c r="L583" s="176"/>
      <c r="M583" s="173"/>
      <c r="N583" s="173"/>
      <c r="O583" s="173"/>
      <c r="P583" s="173"/>
      <c r="Q583" s="173"/>
      <c r="R583" s="173"/>
      <c r="S583" s="173"/>
      <c r="T583" s="173"/>
      <c r="U583" s="173"/>
      <c r="V583" s="173"/>
    </row>
    <row r="584" spans="1:22" ht="12.5">
      <c r="A584" s="173"/>
      <c r="B584" s="174"/>
      <c r="C584" s="174"/>
      <c r="D584" s="173"/>
      <c r="E584" s="173"/>
      <c r="F584" s="173"/>
      <c r="G584" s="175"/>
      <c r="H584" s="173"/>
      <c r="I584" s="173"/>
      <c r="J584" s="173"/>
      <c r="K584" s="176"/>
      <c r="L584" s="176"/>
      <c r="M584" s="173"/>
      <c r="N584" s="173"/>
      <c r="O584" s="173"/>
      <c r="P584" s="173"/>
      <c r="Q584" s="173"/>
      <c r="R584" s="173"/>
      <c r="S584" s="173"/>
      <c r="T584" s="173"/>
      <c r="U584" s="173"/>
      <c r="V584" s="173"/>
    </row>
    <row r="585" spans="1:22" ht="12.5">
      <c r="A585" s="173"/>
      <c r="B585" s="174"/>
      <c r="C585" s="174"/>
      <c r="D585" s="173"/>
      <c r="E585" s="173"/>
      <c r="F585" s="173"/>
      <c r="G585" s="175"/>
      <c r="H585" s="173"/>
      <c r="I585" s="173"/>
      <c r="J585" s="173"/>
      <c r="K585" s="176"/>
      <c r="L585" s="176"/>
      <c r="M585" s="173"/>
      <c r="N585" s="173"/>
      <c r="O585" s="173"/>
      <c r="P585" s="173"/>
      <c r="Q585" s="173"/>
      <c r="R585" s="173"/>
      <c r="S585" s="173"/>
      <c r="T585" s="173"/>
      <c r="U585" s="173"/>
      <c r="V585" s="173"/>
    </row>
    <row r="586" spans="1:22" ht="12.5">
      <c r="A586" s="173"/>
      <c r="B586" s="174"/>
      <c r="C586" s="174"/>
      <c r="D586" s="173"/>
      <c r="E586" s="173"/>
      <c r="F586" s="173"/>
      <c r="G586" s="175"/>
      <c r="H586" s="173"/>
      <c r="I586" s="173"/>
      <c r="J586" s="173"/>
      <c r="K586" s="176"/>
      <c r="L586" s="176"/>
      <c r="M586" s="173"/>
      <c r="N586" s="173"/>
      <c r="O586" s="173"/>
      <c r="P586" s="173"/>
      <c r="Q586" s="173"/>
      <c r="R586" s="173"/>
      <c r="S586" s="173"/>
      <c r="T586" s="173"/>
      <c r="U586" s="173"/>
      <c r="V586" s="173"/>
    </row>
    <row r="587" spans="1:22" ht="12.5">
      <c r="A587" s="173"/>
      <c r="B587" s="174"/>
      <c r="C587" s="174"/>
      <c r="D587" s="173"/>
      <c r="E587" s="173"/>
      <c r="F587" s="173"/>
      <c r="G587" s="175"/>
      <c r="H587" s="173"/>
      <c r="I587" s="173"/>
      <c r="J587" s="173"/>
      <c r="K587" s="176"/>
      <c r="L587" s="176"/>
      <c r="M587" s="173"/>
      <c r="N587" s="173"/>
      <c r="O587" s="173"/>
      <c r="P587" s="173"/>
      <c r="Q587" s="173"/>
      <c r="R587" s="173"/>
      <c r="S587" s="173"/>
      <c r="T587" s="173"/>
      <c r="U587" s="173"/>
      <c r="V587" s="173"/>
    </row>
    <row r="588" spans="1:22" ht="12.5">
      <c r="A588" s="173"/>
      <c r="B588" s="174"/>
      <c r="C588" s="174"/>
      <c r="D588" s="173"/>
      <c r="E588" s="173"/>
      <c r="F588" s="173"/>
      <c r="G588" s="175"/>
      <c r="H588" s="173"/>
      <c r="I588" s="173"/>
      <c r="J588" s="173"/>
      <c r="K588" s="176"/>
      <c r="L588" s="176"/>
      <c r="M588" s="173"/>
      <c r="N588" s="173"/>
      <c r="O588" s="173"/>
      <c r="P588" s="173"/>
      <c r="Q588" s="173"/>
      <c r="R588" s="173"/>
      <c r="S588" s="173"/>
      <c r="T588" s="173"/>
      <c r="U588" s="173"/>
      <c r="V588" s="173"/>
    </row>
    <row r="589" spans="1:22" ht="12.5">
      <c r="A589" s="173"/>
      <c r="B589" s="174"/>
      <c r="C589" s="174"/>
      <c r="D589" s="173"/>
      <c r="E589" s="173"/>
      <c r="F589" s="173"/>
      <c r="G589" s="175"/>
      <c r="H589" s="173"/>
      <c r="I589" s="173"/>
      <c r="J589" s="173"/>
      <c r="K589" s="176"/>
      <c r="L589" s="176"/>
      <c r="M589" s="173"/>
      <c r="N589" s="173"/>
      <c r="O589" s="173"/>
      <c r="P589" s="173"/>
      <c r="Q589" s="173"/>
      <c r="R589" s="173"/>
      <c r="S589" s="173"/>
      <c r="T589" s="173"/>
      <c r="U589" s="173"/>
      <c r="V589" s="173"/>
    </row>
    <row r="590" spans="1:22" ht="12.5">
      <c r="A590" s="173"/>
      <c r="B590" s="174"/>
      <c r="C590" s="174"/>
      <c r="D590" s="173"/>
      <c r="E590" s="173"/>
      <c r="F590" s="173"/>
      <c r="G590" s="175"/>
      <c r="H590" s="173"/>
      <c r="I590" s="173"/>
      <c r="J590" s="173"/>
      <c r="K590" s="176"/>
      <c r="L590" s="176"/>
      <c r="M590" s="173"/>
      <c r="N590" s="173"/>
      <c r="O590" s="173"/>
      <c r="P590" s="173"/>
      <c r="Q590" s="173"/>
      <c r="R590" s="173"/>
      <c r="S590" s="173"/>
      <c r="T590" s="173"/>
      <c r="U590" s="173"/>
      <c r="V590" s="173"/>
    </row>
    <row r="591" spans="1:22" ht="12.5">
      <c r="A591" s="173"/>
      <c r="B591" s="174"/>
      <c r="C591" s="174"/>
      <c r="D591" s="173"/>
      <c r="E591" s="173"/>
      <c r="F591" s="173"/>
      <c r="G591" s="175"/>
      <c r="H591" s="173"/>
      <c r="I591" s="173"/>
      <c r="J591" s="173"/>
      <c r="K591" s="176"/>
      <c r="L591" s="176"/>
      <c r="M591" s="173"/>
      <c r="N591" s="173"/>
      <c r="O591" s="173"/>
      <c r="P591" s="173"/>
      <c r="Q591" s="173"/>
      <c r="R591" s="173"/>
      <c r="S591" s="173"/>
      <c r="T591" s="173"/>
      <c r="U591" s="173"/>
      <c r="V591" s="173"/>
    </row>
    <row r="592" spans="1:22" ht="12.5">
      <c r="A592" s="173"/>
      <c r="B592" s="174"/>
      <c r="C592" s="174"/>
      <c r="D592" s="173"/>
      <c r="E592" s="173"/>
      <c r="F592" s="173"/>
      <c r="G592" s="175"/>
      <c r="H592" s="173"/>
      <c r="I592" s="173"/>
      <c r="J592" s="173"/>
      <c r="K592" s="176"/>
      <c r="L592" s="176"/>
      <c r="M592" s="173"/>
      <c r="N592" s="173"/>
      <c r="O592" s="173"/>
      <c r="P592" s="173"/>
      <c r="Q592" s="173"/>
      <c r="R592" s="173"/>
      <c r="S592" s="173"/>
      <c r="T592" s="173"/>
      <c r="U592" s="173"/>
      <c r="V592" s="173"/>
    </row>
    <row r="593" spans="1:22" ht="12.5">
      <c r="A593" s="173"/>
      <c r="B593" s="174"/>
      <c r="C593" s="174"/>
      <c r="D593" s="173"/>
      <c r="E593" s="173"/>
      <c r="F593" s="173"/>
      <c r="G593" s="175"/>
      <c r="H593" s="173"/>
      <c r="I593" s="173"/>
      <c r="J593" s="173"/>
      <c r="K593" s="176"/>
      <c r="L593" s="176"/>
      <c r="M593" s="173"/>
      <c r="N593" s="173"/>
      <c r="O593" s="173"/>
      <c r="P593" s="173"/>
      <c r="Q593" s="173"/>
      <c r="R593" s="173"/>
      <c r="S593" s="173"/>
      <c r="T593" s="173"/>
      <c r="U593" s="173"/>
      <c r="V593" s="173"/>
    </row>
    <row r="594" spans="1:22" ht="12.5">
      <c r="A594" s="173"/>
      <c r="B594" s="174"/>
      <c r="C594" s="174"/>
      <c r="D594" s="173"/>
      <c r="E594" s="173"/>
      <c r="F594" s="173"/>
      <c r="G594" s="175"/>
      <c r="H594" s="173"/>
      <c r="I594" s="173"/>
      <c r="J594" s="173"/>
      <c r="K594" s="176"/>
      <c r="L594" s="176"/>
      <c r="M594" s="173"/>
      <c r="N594" s="173"/>
      <c r="O594" s="173"/>
      <c r="P594" s="173"/>
      <c r="Q594" s="173"/>
      <c r="R594" s="173"/>
      <c r="S594" s="173"/>
      <c r="T594" s="173"/>
      <c r="U594" s="173"/>
      <c r="V594" s="173"/>
    </row>
    <row r="595" spans="1:22" ht="12.5">
      <c r="A595" s="173"/>
      <c r="B595" s="174"/>
      <c r="C595" s="174"/>
      <c r="D595" s="173"/>
      <c r="E595" s="173"/>
      <c r="F595" s="173"/>
      <c r="G595" s="175"/>
      <c r="H595" s="173"/>
      <c r="I595" s="173"/>
      <c r="J595" s="173"/>
      <c r="K595" s="176"/>
      <c r="L595" s="176"/>
      <c r="M595" s="173"/>
      <c r="N595" s="173"/>
      <c r="O595" s="173"/>
      <c r="P595" s="173"/>
      <c r="Q595" s="173"/>
      <c r="R595" s="173"/>
      <c r="S595" s="173"/>
      <c r="T595" s="173"/>
      <c r="U595" s="173"/>
      <c r="V595" s="173"/>
    </row>
    <row r="596" spans="1:22" ht="12.5">
      <c r="A596" s="173"/>
      <c r="B596" s="174"/>
      <c r="C596" s="174"/>
      <c r="D596" s="173"/>
      <c r="E596" s="173"/>
      <c r="F596" s="173"/>
      <c r="G596" s="175"/>
      <c r="H596" s="173"/>
      <c r="I596" s="173"/>
      <c r="J596" s="173"/>
      <c r="K596" s="176"/>
      <c r="L596" s="176"/>
      <c r="M596" s="173"/>
      <c r="N596" s="173"/>
      <c r="O596" s="173"/>
      <c r="P596" s="173"/>
      <c r="Q596" s="173"/>
      <c r="R596" s="173"/>
      <c r="S596" s="173"/>
      <c r="T596" s="173"/>
      <c r="U596" s="173"/>
      <c r="V596" s="173"/>
    </row>
    <row r="597" spans="1:22" ht="12.5">
      <c r="A597" s="173"/>
      <c r="B597" s="174"/>
      <c r="C597" s="174"/>
      <c r="D597" s="173"/>
      <c r="E597" s="173"/>
      <c r="F597" s="173"/>
      <c r="G597" s="175"/>
      <c r="H597" s="173"/>
      <c r="I597" s="173"/>
      <c r="J597" s="173"/>
      <c r="K597" s="176"/>
      <c r="L597" s="176"/>
      <c r="M597" s="173"/>
      <c r="N597" s="173"/>
      <c r="O597" s="173"/>
      <c r="P597" s="173"/>
      <c r="Q597" s="173"/>
      <c r="R597" s="173"/>
      <c r="S597" s="173"/>
      <c r="T597" s="173"/>
      <c r="U597" s="173"/>
      <c r="V597" s="173"/>
    </row>
    <row r="598" spans="1:22" ht="12.5">
      <c r="A598" s="173"/>
      <c r="B598" s="174"/>
      <c r="C598" s="174"/>
      <c r="D598" s="173"/>
      <c r="E598" s="173"/>
      <c r="F598" s="173"/>
      <c r="G598" s="175"/>
      <c r="H598" s="173"/>
      <c r="I598" s="173"/>
      <c r="J598" s="173"/>
      <c r="K598" s="176"/>
      <c r="L598" s="176"/>
      <c r="M598" s="173"/>
      <c r="N598" s="173"/>
      <c r="O598" s="173"/>
      <c r="P598" s="173"/>
      <c r="Q598" s="173"/>
      <c r="R598" s="173"/>
      <c r="S598" s="173"/>
      <c r="T598" s="173"/>
      <c r="U598" s="173"/>
      <c r="V598" s="173"/>
    </row>
    <row r="599" spans="1:22" ht="12.5">
      <c r="A599" s="173"/>
      <c r="B599" s="174"/>
      <c r="C599" s="174"/>
      <c r="D599" s="173"/>
      <c r="E599" s="173"/>
      <c r="F599" s="173"/>
      <c r="G599" s="175"/>
      <c r="H599" s="173"/>
      <c r="I599" s="173"/>
      <c r="J599" s="173"/>
      <c r="K599" s="176"/>
      <c r="L599" s="176"/>
      <c r="M599" s="173"/>
      <c r="N599" s="173"/>
      <c r="O599" s="173"/>
      <c r="P599" s="173"/>
      <c r="Q599" s="173"/>
      <c r="R599" s="173"/>
      <c r="S599" s="173"/>
      <c r="T599" s="173"/>
      <c r="U599" s="173"/>
      <c r="V599" s="173"/>
    </row>
    <row r="600" spans="1:22" ht="12.5">
      <c r="A600" s="173"/>
      <c r="B600" s="174"/>
      <c r="C600" s="174"/>
      <c r="D600" s="173"/>
      <c r="E600" s="173"/>
      <c r="F600" s="173"/>
      <c r="G600" s="175"/>
      <c r="H600" s="173"/>
      <c r="I600" s="173"/>
      <c r="J600" s="173"/>
      <c r="K600" s="176"/>
      <c r="L600" s="176"/>
      <c r="M600" s="173"/>
      <c r="N600" s="173"/>
      <c r="O600" s="173"/>
      <c r="P600" s="173"/>
      <c r="Q600" s="173"/>
      <c r="R600" s="173"/>
      <c r="S600" s="173"/>
      <c r="T600" s="173"/>
      <c r="U600" s="173"/>
      <c r="V600" s="173"/>
    </row>
    <row r="601" spans="1:22" ht="12.5">
      <c r="A601" s="173"/>
      <c r="B601" s="174"/>
      <c r="C601" s="174"/>
      <c r="D601" s="173"/>
      <c r="E601" s="173"/>
      <c r="F601" s="173"/>
      <c r="G601" s="175"/>
      <c r="H601" s="173"/>
      <c r="I601" s="173"/>
      <c r="J601" s="173"/>
      <c r="K601" s="176"/>
      <c r="L601" s="176"/>
      <c r="M601" s="173"/>
      <c r="N601" s="173"/>
      <c r="O601" s="173"/>
      <c r="P601" s="173"/>
      <c r="Q601" s="173"/>
      <c r="R601" s="173"/>
      <c r="S601" s="173"/>
      <c r="T601" s="173"/>
      <c r="U601" s="173"/>
      <c r="V601" s="173"/>
    </row>
    <row r="602" spans="1:22" ht="12.5">
      <c r="A602" s="173"/>
      <c r="B602" s="174"/>
      <c r="C602" s="174"/>
      <c r="D602" s="173"/>
      <c r="E602" s="173"/>
      <c r="F602" s="173"/>
      <c r="G602" s="175"/>
      <c r="H602" s="173"/>
      <c r="I602" s="173"/>
      <c r="J602" s="173"/>
      <c r="K602" s="176"/>
      <c r="L602" s="176"/>
      <c r="M602" s="173"/>
      <c r="N602" s="173"/>
      <c r="O602" s="173"/>
      <c r="P602" s="173"/>
      <c r="Q602" s="173"/>
      <c r="R602" s="173"/>
      <c r="S602" s="173"/>
      <c r="T602" s="173"/>
      <c r="U602" s="173"/>
      <c r="V602" s="173"/>
    </row>
    <row r="603" spans="1:22" ht="12.5">
      <c r="A603" s="173"/>
      <c r="B603" s="174"/>
      <c r="C603" s="174"/>
      <c r="D603" s="173"/>
      <c r="E603" s="173"/>
      <c r="F603" s="173"/>
      <c r="G603" s="175"/>
      <c r="H603" s="173"/>
      <c r="I603" s="173"/>
      <c r="J603" s="173"/>
      <c r="K603" s="176"/>
      <c r="L603" s="176"/>
      <c r="M603" s="173"/>
      <c r="N603" s="173"/>
      <c r="O603" s="173"/>
      <c r="P603" s="173"/>
      <c r="Q603" s="173"/>
      <c r="R603" s="173"/>
      <c r="S603" s="173"/>
      <c r="T603" s="173"/>
      <c r="U603" s="173"/>
      <c r="V603" s="173"/>
    </row>
    <row r="604" spans="1:22" ht="12.5">
      <c r="A604" s="173"/>
      <c r="B604" s="174"/>
      <c r="C604" s="174"/>
      <c r="D604" s="173"/>
      <c r="E604" s="173"/>
      <c r="F604" s="173"/>
      <c r="G604" s="175"/>
      <c r="H604" s="173"/>
      <c r="I604" s="173"/>
      <c r="J604" s="173"/>
      <c r="K604" s="176"/>
      <c r="L604" s="176"/>
      <c r="M604" s="173"/>
      <c r="N604" s="173"/>
      <c r="O604" s="173"/>
      <c r="P604" s="173"/>
      <c r="Q604" s="173"/>
      <c r="R604" s="173"/>
      <c r="S604" s="173"/>
      <c r="T604" s="173"/>
      <c r="U604" s="173"/>
      <c r="V604" s="173"/>
    </row>
    <row r="605" spans="1:22" ht="12.5">
      <c r="A605" s="173"/>
      <c r="B605" s="174"/>
      <c r="C605" s="174"/>
      <c r="D605" s="173"/>
      <c r="E605" s="173"/>
      <c r="F605" s="173"/>
      <c r="G605" s="175"/>
      <c r="H605" s="173"/>
      <c r="I605" s="173"/>
      <c r="J605" s="173"/>
      <c r="K605" s="176"/>
      <c r="L605" s="176"/>
      <c r="M605" s="173"/>
      <c r="N605" s="173"/>
      <c r="O605" s="173"/>
      <c r="P605" s="173"/>
      <c r="Q605" s="173"/>
      <c r="R605" s="173"/>
      <c r="S605" s="173"/>
      <c r="T605" s="173"/>
      <c r="U605" s="173"/>
      <c r="V605" s="173"/>
    </row>
    <row r="606" spans="1:22" ht="12.5">
      <c r="A606" s="173"/>
      <c r="B606" s="174"/>
      <c r="C606" s="174"/>
      <c r="D606" s="173"/>
      <c r="E606" s="173"/>
      <c r="F606" s="173"/>
      <c r="G606" s="175"/>
      <c r="H606" s="173"/>
      <c r="I606" s="173"/>
      <c r="J606" s="173"/>
      <c r="K606" s="176"/>
      <c r="L606" s="176"/>
      <c r="M606" s="173"/>
      <c r="N606" s="173"/>
      <c r="O606" s="173"/>
      <c r="P606" s="173"/>
      <c r="Q606" s="173"/>
      <c r="R606" s="173"/>
      <c r="S606" s="173"/>
      <c r="T606" s="173"/>
      <c r="U606" s="173"/>
      <c r="V606" s="173"/>
    </row>
    <row r="607" spans="1:22" ht="12.5">
      <c r="A607" s="173"/>
      <c r="B607" s="174"/>
      <c r="C607" s="174"/>
      <c r="D607" s="173"/>
      <c r="E607" s="173"/>
      <c r="F607" s="173"/>
      <c r="G607" s="175"/>
      <c r="H607" s="173"/>
      <c r="I607" s="173"/>
      <c r="J607" s="173"/>
      <c r="K607" s="176"/>
      <c r="L607" s="176"/>
      <c r="M607" s="173"/>
      <c r="N607" s="173"/>
      <c r="O607" s="173"/>
      <c r="P607" s="173"/>
      <c r="Q607" s="173"/>
      <c r="R607" s="173"/>
      <c r="S607" s="173"/>
      <c r="T607" s="173"/>
      <c r="U607" s="173"/>
      <c r="V607" s="173"/>
    </row>
    <row r="608" spans="1:22" ht="12.5">
      <c r="A608" s="173"/>
      <c r="B608" s="174"/>
      <c r="C608" s="174"/>
      <c r="D608" s="173"/>
      <c r="E608" s="173"/>
      <c r="F608" s="173"/>
      <c r="G608" s="175"/>
      <c r="H608" s="173"/>
      <c r="I608" s="173"/>
      <c r="J608" s="173"/>
      <c r="K608" s="176"/>
      <c r="L608" s="176"/>
      <c r="M608" s="173"/>
      <c r="N608" s="173"/>
      <c r="O608" s="173"/>
      <c r="P608" s="173"/>
      <c r="Q608" s="173"/>
      <c r="R608" s="173"/>
      <c r="S608" s="173"/>
      <c r="T608" s="173"/>
      <c r="U608" s="173"/>
      <c r="V608" s="173"/>
    </row>
    <row r="609" spans="1:22" ht="12.5">
      <c r="A609" s="173"/>
      <c r="B609" s="174"/>
      <c r="C609" s="174"/>
      <c r="D609" s="173"/>
      <c r="E609" s="173"/>
      <c r="F609" s="173"/>
      <c r="G609" s="175"/>
      <c r="H609" s="173"/>
      <c r="I609" s="173"/>
      <c r="J609" s="173"/>
      <c r="K609" s="176"/>
      <c r="L609" s="176"/>
      <c r="M609" s="173"/>
      <c r="N609" s="173"/>
      <c r="O609" s="173"/>
      <c r="P609" s="173"/>
      <c r="Q609" s="173"/>
      <c r="R609" s="173"/>
      <c r="S609" s="173"/>
      <c r="T609" s="173"/>
      <c r="U609" s="173"/>
      <c r="V609" s="173"/>
    </row>
    <row r="610" spans="1:22" ht="12.5">
      <c r="A610" s="173"/>
      <c r="B610" s="174"/>
      <c r="C610" s="174"/>
      <c r="D610" s="173"/>
      <c r="E610" s="173"/>
      <c r="F610" s="173"/>
      <c r="G610" s="175"/>
      <c r="H610" s="173"/>
      <c r="I610" s="173"/>
      <c r="J610" s="173"/>
      <c r="K610" s="176"/>
      <c r="L610" s="176"/>
      <c r="M610" s="173"/>
      <c r="N610" s="173"/>
      <c r="O610" s="173"/>
      <c r="P610" s="173"/>
      <c r="Q610" s="173"/>
      <c r="R610" s="173"/>
      <c r="S610" s="173"/>
      <c r="T610" s="173"/>
      <c r="U610" s="173"/>
      <c r="V610" s="173"/>
    </row>
    <row r="611" spans="1:22" ht="12.5">
      <c r="A611" s="173"/>
      <c r="B611" s="174"/>
      <c r="C611" s="174"/>
      <c r="D611" s="173"/>
      <c r="E611" s="173"/>
      <c r="F611" s="173"/>
      <c r="G611" s="175"/>
      <c r="H611" s="173"/>
      <c r="I611" s="173"/>
      <c r="J611" s="173"/>
      <c r="K611" s="176"/>
      <c r="L611" s="176"/>
      <c r="M611" s="173"/>
      <c r="N611" s="173"/>
      <c r="O611" s="173"/>
      <c r="P611" s="173"/>
      <c r="Q611" s="173"/>
      <c r="R611" s="173"/>
      <c r="S611" s="173"/>
      <c r="T611" s="173"/>
      <c r="U611" s="173"/>
      <c r="V611" s="173"/>
    </row>
    <row r="612" spans="1:22" ht="12.5">
      <c r="A612" s="173"/>
      <c r="B612" s="174"/>
      <c r="C612" s="174"/>
      <c r="D612" s="173"/>
      <c r="E612" s="173"/>
      <c r="F612" s="173"/>
      <c r="G612" s="175"/>
      <c r="H612" s="173"/>
      <c r="I612" s="173"/>
      <c r="J612" s="173"/>
      <c r="K612" s="176"/>
      <c r="L612" s="176"/>
      <c r="M612" s="173"/>
      <c r="N612" s="173"/>
      <c r="O612" s="173"/>
      <c r="P612" s="173"/>
      <c r="Q612" s="173"/>
      <c r="R612" s="173"/>
      <c r="S612" s="173"/>
      <c r="T612" s="173"/>
      <c r="U612" s="173"/>
      <c r="V612" s="173"/>
    </row>
    <row r="613" spans="1:22" ht="12.5">
      <c r="A613" s="173"/>
      <c r="B613" s="174"/>
      <c r="C613" s="174"/>
      <c r="D613" s="173"/>
      <c r="E613" s="173"/>
      <c r="F613" s="173"/>
      <c r="G613" s="175"/>
      <c r="H613" s="173"/>
      <c r="I613" s="173"/>
      <c r="J613" s="173"/>
      <c r="K613" s="176"/>
      <c r="L613" s="176"/>
      <c r="M613" s="173"/>
      <c r="N613" s="173"/>
      <c r="O613" s="173"/>
      <c r="P613" s="173"/>
      <c r="Q613" s="173"/>
      <c r="R613" s="173"/>
      <c r="S613" s="173"/>
      <c r="T613" s="173"/>
      <c r="U613" s="173"/>
      <c r="V613" s="173"/>
    </row>
    <row r="614" spans="1:22" ht="12.5">
      <c r="A614" s="173"/>
      <c r="B614" s="174"/>
      <c r="C614" s="174"/>
      <c r="D614" s="173"/>
      <c r="E614" s="173"/>
      <c r="F614" s="173"/>
      <c r="G614" s="175"/>
      <c r="H614" s="173"/>
      <c r="I614" s="173"/>
      <c r="J614" s="173"/>
      <c r="K614" s="176"/>
      <c r="L614" s="176"/>
      <c r="M614" s="173"/>
      <c r="N614" s="173"/>
      <c r="O614" s="173"/>
      <c r="P614" s="173"/>
      <c r="Q614" s="173"/>
      <c r="R614" s="173"/>
      <c r="S614" s="173"/>
      <c r="T614" s="173"/>
      <c r="U614" s="173"/>
      <c r="V614" s="173"/>
    </row>
    <row r="615" spans="1:22" ht="12.5">
      <c r="A615" s="173"/>
      <c r="B615" s="174"/>
      <c r="C615" s="174"/>
      <c r="D615" s="173"/>
      <c r="E615" s="173"/>
      <c r="F615" s="173"/>
      <c r="G615" s="175"/>
      <c r="H615" s="173"/>
      <c r="I615" s="173"/>
      <c r="J615" s="173"/>
      <c r="K615" s="176"/>
      <c r="L615" s="176"/>
      <c r="M615" s="173"/>
      <c r="N615" s="173"/>
      <c r="O615" s="173"/>
      <c r="P615" s="173"/>
      <c r="Q615" s="173"/>
      <c r="R615" s="173"/>
      <c r="S615" s="173"/>
      <c r="T615" s="173"/>
      <c r="U615" s="173"/>
      <c r="V615" s="173"/>
    </row>
    <row r="616" spans="1:22" ht="12.5">
      <c r="A616" s="173"/>
      <c r="B616" s="174"/>
      <c r="C616" s="174"/>
      <c r="D616" s="173"/>
      <c r="E616" s="173"/>
      <c r="F616" s="173"/>
      <c r="G616" s="175"/>
      <c r="H616" s="173"/>
      <c r="I616" s="173"/>
      <c r="J616" s="173"/>
      <c r="K616" s="176"/>
      <c r="L616" s="176"/>
      <c r="M616" s="173"/>
      <c r="N616" s="173"/>
      <c r="O616" s="173"/>
      <c r="P616" s="173"/>
      <c r="Q616" s="173"/>
      <c r="R616" s="173"/>
      <c r="S616" s="173"/>
      <c r="T616" s="173"/>
      <c r="U616" s="173"/>
      <c r="V616" s="173"/>
    </row>
    <row r="617" spans="1:22" ht="12.5">
      <c r="A617" s="173"/>
      <c r="B617" s="174"/>
      <c r="C617" s="174"/>
      <c r="D617" s="173"/>
      <c r="E617" s="173"/>
      <c r="F617" s="173"/>
      <c r="G617" s="175"/>
      <c r="H617" s="173"/>
      <c r="I617" s="173"/>
      <c r="J617" s="173"/>
      <c r="K617" s="176"/>
      <c r="L617" s="176"/>
      <c r="M617" s="173"/>
      <c r="N617" s="173"/>
      <c r="O617" s="173"/>
      <c r="P617" s="173"/>
      <c r="Q617" s="173"/>
      <c r="R617" s="173"/>
      <c r="S617" s="173"/>
      <c r="T617" s="173"/>
      <c r="U617" s="173"/>
      <c r="V617" s="173"/>
    </row>
    <row r="618" spans="1:22" ht="12.5">
      <c r="A618" s="173"/>
      <c r="B618" s="174"/>
      <c r="C618" s="174"/>
      <c r="D618" s="173"/>
      <c r="E618" s="173"/>
      <c r="F618" s="173"/>
      <c r="G618" s="175"/>
      <c r="H618" s="173"/>
      <c r="I618" s="173"/>
      <c r="J618" s="173"/>
      <c r="K618" s="176"/>
      <c r="L618" s="176"/>
      <c r="M618" s="173"/>
      <c r="N618" s="173"/>
      <c r="O618" s="173"/>
      <c r="P618" s="173"/>
      <c r="Q618" s="173"/>
      <c r="R618" s="173"/>
      <c r="S618" s="173"/>
      <c r="T618" s="173"/>
      <c r="U618" s="173"/>
      <c r="V618" s="173"/>
    </row>
    <row r="619" spans="1:22" ht="12.5">
      <c r="A619" s="173"/>
      <c r="B619" s="174"/>
      <c r="C619" s="174"/>
      <c r="D619" s="173"/>
      <c r="E619" s="173"/>
      <c r="F619" s="173"/>
      <c r="G619" s="175"/>
      <c r="H619" s="173"/>
      <c r="I619" s="173"/>
      <c r="J619" s="173"/>
      <c r="K619" s="176"/>
      <c r="L619" s="176"/>
      <c r="M619" s="173"/>
      <c r="N619" s="173"/>
      <c r="O619" s="173"/>
      <c r="P619" s="173"/>
      <c r="Q619" s="173"/>
      <c r="R619" s="173"/>
      <c r="S619" s="173"/>
      <c r="T619" s="173"/>
      <c r="U619" s="173"/>
      <c r="V619" s="173"/>
    </row>
    <row r="620" spans="1:22" ht="12.5">
      <c r="A620" s="173"/>
      <c r="B620" s="174"/>
      <c r="C620" s="174"/>
      <c r="D620" s="173"/>
      <c r="E620" s="173"/>
      <c r="F620" s="173"/>
      <c r="G620" s="175"/>
      <c r="H620" s="173"/>
      <c r="I620" s="173"/>
      <c r="J620" s="173"/>
      <c r="K620" s="176"/>
      <c r="L620" s="176"/>
      <c r="M620" s="173"/>
      <c r="N620" s="173"/>
      <c r="O620" s="173"/>
      <c r="P620" s="173"/>
      <c r="Q620" s="173"/>
      <c r="R620" s="173"/>
      <c r="S620" s="173"/>
      <c r="T620" s="173"/>
      <c r="U620" s="173"/>
      <c r="V620" s="173"/>
    </row>
    <row r="621" spans="1:22" ht="12.5">
      <c r="A621" s="173"/>
      <c r="B621" s="174"/>
      <c r="C621" s="174"/>
      <c r="D621" s="173"/>
      <c r="E621" s="173"/>
      <c r="F621" s="173"/>
      <c r="G621" s="175"/>
      <c r="H621" s="173"/>
      <c r="I621" s="173"/>
      <c r="J621" s="173"/>
      <c r="K621" s="176"/>
      <c r="L621" s="176"/>
      <c r="M621" s="173"/>
      <c r="N621" s="173"/>
      <c r="O621" s="173"/>
      <c r="P621" s="173"/>
      <c r="Q621" s="173"/>
      <c r="R621" s="173"/>
      <c r="S621" s="173"/>
      <c r="T621" s="173"/>
      <c r="U621" s="173"/>
      <c r="V621" s="173"/>
    </row>
    <row r="622" spans="1:22" ht="12.5">
      <c r="A622" s="173"/>
      <c r="B622" s="174"/>
      <c r="C622" s="174"/>
      <c r="D622" s="173"/>
      <c r="E622" s="173"/>
      <c r="F622" s="173"/>
      <c r="G622" s="175"/>
      <c r="H622" s="173"/>
      <c r="I622" s="173"/>
      <c r="J622" s="173"/>
      <c r="K622" s="176"/>
      <c r="L622" s="176"/>
      <c r="M622" s="173"/>
      <c r="N622" s="173"/>
      <c r="O622" s="173"/>
      <c r="P622" s="173"/>
      <c r="Q622" s="173"/>
      <c r="R622" s="173"/>
      <c r="S622" s="173"/>
      <c r="T622" s="173"/>
      <c r="U622" s="173"/>
      <c r="V622" s="173"/>
    </row>
    <row r="623" spans="1:22" ht="12.5">
      <c r="A623" s="173"/>
      <c r="B623" s="174"/>
      <c r="C623" s="174"/>
      <c r="D623" s="173"/>
      <c r="E623" s="173"/>
      <c r="F623" s="173"/>
      <c r="G623" s="175"/>
      <c r="H623" s="173"/>
      <c r="I623" s="173"/>
      <c r="J623" s="173"/>
      <c r="K623" s="176"/>
      <c r="L623" s="176"/>
      <c r="M623" s="173"/>
      <c r="N623" s="173"/>
      <c r="O623" s="173"/>
      <c r="P623" s="173"/>
      <c r="Q623" s="173"/>
      <c r="R623" s="173"/>
      <c r="S623" s="173"/>
      <c r="T623" s="173"/>
      <c r="U623" s="173"/>
      <c r="V623" s="173"/>
    </row>
    <row r="624" spans="1:22" ht="12.5">
      <c r="A624" s="173"/>
      <c r="B624" s="174"/>
      <c r="C624" s="174"/>
      <c r="D624" s="173"/>
      <c r="E624" s="173"/>
      <c r="F624" s="173"/>
      <c r="G624" s="175"/>
      <c r="H624" s="173"/>
      <c r="I624" s="173"/>
      <c r="J624" s="173"/>
      <c r="K624" s="176"/>
      <c r="L624" s="176"/>
      <c r="M624" s="173"/>
      <c r="N624" s="173"/>
      <c r="O624" s="173"/>
      <c r="P624" s="173"/>
      <c r="Q624" s="173"/>
      <c r="R624" s="173"/>
      <c r="S624" s="173"/>
      <c r="T624" s="173"/>
      <c r="U624" s="173"/>
      <c r="V624" s="173"/>
    </row>
    <row r="625" spans="1:22" ht="12.5">
      <c r="A625" s="173"/>
      <c r="B625" s="174"/>
      <c r="C625" s="174"/>
      <c r="D625" s="173"/>
      <c r="E625" s="173"/>
      <c r="F625" s="173"/>
      <c r="G625" s="175"/>
      <c r="H625" s="173"/>
      <c r="I625" s="173"/>
      <c r="J625" s="173"/>
      <c r="K625" s="176"/>
      <c r="L625" s="176"/>
      <c r="M625" s="173"/>
      <c r="N625" s="173"/>
      <c r="O625" s="173"/>
      <c r="P625" s="173"/>
      <c r="Q625" s="173"/>
      <c r="R625" s="173"/>
      <c r="S625" s="173"/>
      <c r="T625" s="173"/>
      <c r="U625" s="173"/>
      <c r="V625" s="173"/>
    </row>
    <row r="626" spans="1:22" ht="12.5">
      <c r="A626" s="173"/>
      <c r="B626" s="174"/>
      <c r="C626" s="174"/>
      <c r="D626" s="173"/>
      <c r="E626" s="173"/>
      <c r="F626" s="173"/>
      <c r="G626" s="175"/>
      <c r="H626" s="173"/>
      <c r="I626" s="173"/>
      <c r="J626" s="173"/>
      <c r="K626" s="176"/>
      <c r="L626" s="176"/>
      <c r="M626" s="173"/>
      <c r="N626" s="173"/>
      <c r="O626" s="173"/>
      <c r="P626" s="173"/>
      <c r="Q626" s="173"/>
      <c r="R626" s="173"/>
      <c r="S626" s="173"/>
      <c r="T626" s="173"/>
      <c r="U626" s="173"/>
      <c r="V626" s="173"/>
    </row>
    <row r="627" spans="1:22" ht="12.5">
      <c r="A627" s="173"/>
      <c r="B627" s="174"/>
      <c r="C627" s="174"/>
      <c r="D627" s="173"/>
      <c r="E627" s="173"/>
      <c r="F627" s="173"/>
      <c r="G627" s="175"/>
      <c r="H627" s="173"/>
      <c r="I627" s="173"/>
      <c r="J627" s="173"/>
      <c r="K627" s="176"/>
      <c r="L627" s="176"/>
      <c r="M627" s="173"/>
      <c r="N627" s="173"/>
      <c r="O627" s="173"/>
      <c r="P627" s="173"/>
      <c r="Q627" s="173"/>
      <c r="R627" s="173"/>
      <c r="S627" s="173"/>
      <c r="T627" s="173"/>
      <c r="U627" s="173"/>
      <c r="V627" s="173"/>
    </row>
    <row r="628" spans="1:22" ht="12.5">
      <c r="A628" s="173"/>
      <c r="B628" s="174"/>
      <c r="C628" s="174"/>
      <c r="D628" s="173"/>
      <c r="E628" s="173"/>
      <c r="F628" s="173"/>
      <c r="G628" s="175"/>
      <c r="H628" s="173"/>
      <c r="I628" s="173"/>
      <c r="J628" s="173"/>
      <c r="K628" s="176"/>
      <c r="L628" s="176"/>
      <c r="M628" s="173"/>
      <c r="N628" s="173"/>
      <c r="O628" s="173"/>
      <c r="P628" s="173"/>
      <c r="Q628" s="173"/>
      <c r="R628" s="173"/>
      <c r="S628" s="173"/>
      <c r="T628" s="173"/>
      <c r="U628" s="173"/>
      <c r="V628" s="173"/>
    </row>
    <row r="629" spans="1:22" ht="12.5">
      <c r="A629" s="173"/>
      <c r="B629" s="174"/>
      <c r="C629" s="174"/>
      <c r="D629" s="173"/>
      <c r="E629" s="173"/>
      <c r="F629" s="173"/>
      <c r="G629" s="175"/>
      <c r="H629" s="173"/>
      <c r="I629" s="173"/>
      <c r="J629" s="173"/>
      <c r="K629" s="176"/>
      <c r="L629" s="176"/>
      <c r="M629" s="173"/>
      <c r="N629" s="173"/>
      <c r="O629" s="173"/>
      <c r="P629" s="173"/>
      <c r="Q629" s="173"/>
      <c r="R629" s="173"/>
      <c r="S629" s="173"/>
      <c r="T629" s="173"/>
      <c r="U629" s="173"/>
      <c r="V629" s="173"/>
    </row>
    <row r="630" spans="1:22" ht="12.5">
      <c r="A630" s="173"/>
      <c r="B630" s="174"/>
      <c r="C630" s="174"/>
      <c r="D630" s="173"/>
      <c r="E630" s="173"/>
      <c r="F630" s="173"/>
      <c r="G630" s="175"/>
      <c r="H630" s="173"/>
      <c r="I630" s="173"/>
      <c r="J630" s="173"/>
      <c r="K630" s="176"/>
      <c r="L630" s="176"/>
      <c r="M630" s="173"/>
      <c r="N630" s="173"/>
      <c r="O630" s="173"/>
      <c r="P630" s="173"/>
      <c r="Q630" s="173"/>
      <c r="R630" s="173"/>
      <c r="S630" s="173"/>
      <c r="T630" s="173"/>
      <c r="U630" s="173"/>
      <c r="V630" s="173"/>
    </row>
    <row r="631" spans="1:22" ht="12.5">
      <c r="A631" s="173"/>
      <c r="B631" s="174"/>
      <c r="C631" s="174"/>
      <c r="D631" s="173"/>
      <c r="E631" s="173"/>
      <c r="F631" s="173"/>
      <c r="G631" s="175"/>
      <c r="H631" s="173"/>
      <c r="I631" s="173"/>
      <c r="J631" s="173"/>
      <c r="K631" s="176"/>
      <c r="L631" s="176"/>
      <c r="M631" s="173"/>
      <c r="N631" s="173"/>
      <c r="O631" s="173"/>
      <c r="P631" s="173"/>
      <c r="Q631" s="173"/>
      <c r="R631" s="173"/>
      <c r="S631" s="173"/>
      <c r="T631" s="173"/>
      <c r="U631" s="173"/>
      <c r="V631" s="173"/>
    </row>
    <row r="632" spans="1:22" ht="12.5">
      <c r="A632" s="173"/>
      <c r="B632" s="174"/>
      <c r="C632" s="174"/>
      <c r="D632" s="173"/>
      <c r="E632" s="173"/>
      <c r="F632" s="173"/>
      <c r="G632" s="175"/>
      <c r="H632" s="173"/>
      <c r="I632" s="173"/>
      <c r="J632" s="173"/>
      <c r="K632" s="176"/>
      <c r="L632" s="176"/>
      <c r="M632" s="173"/>
      <c r="N632" s="173"/>
      <c r="O632" s="173"/>
      <c r="P632" s="173"/>
      <c r="Q632" s="173"/>
      <c r="R632" s="173"/>
      <c r="S632" s="173"/>
      <c r="T632" s="173"/>
      <c r="U632" s="173"/>
      <c r="V632" s="173"/>
    </row>
    <row r="633" spans="1:22" ht="12.5">
      <c r="A633" s="173"/>
      <c r="B633" s="174"/>
      <c r="C633" s="174"/>
      <c r="D633" s="173"/>
      <c r="E633" s="173"/>
      <c r="F633" s="173"/>
      <c r="G633" s="175"/>
      <c r="H633" s="173"/>
      <c r="I633" s="173"/>
      <c r="J633" s="173"/>
      <c r="K633" s="176"/>
      <c r="L633" s="176"/>
      <c r="M633" s="173"/>
      <c r="N633" s="173"/>
      <c r="O633" s="173"/>
      <c r="P633" s="173"/>
      <c r="Q633" s="173"/>
      <c r="R633" s="173"/>
      <c r="S633" s="173"/>
      <c r="T633" s="173"/>
      <c r="U633" s="173"/>
      <c r="V633" s="173"/>
    </row>
    <row r="634" spans="1:22" ht="12.5">
      <c r="A634" s="173"/>
      <c r="B634" s="174"/>
      <c r="C634" s="174"/>
      <c r="D634" s="173"/>
      <c r="E634" s="173"/>
      <c r="F634" s="173"/>
      <c r="G634" s="175"/>
      <c r="H634" s="173"/>
      <c r="I634" s="173"/>
      <c r="J634" s="173"/>
      <c r="K634" s="176"/>
      <c r="L634" s="176"/>
      <c r="M634" s="173"/>
      <c r="N634" s="173"/>
      <c r="O634" s="173"/>
      <c r="P634" s="173"/>
      <c r="Q634" s="173"/>
      <c r="R634" s="173"/>
      <c r="S634" s="173"/>
      <c r="T634" s="173"/>
      <c r="U634" s="173"/>
      <c r="V634" s="173"/>
    </row>
    <row r="635" spans="1:22" ht="12.5">
      <c r="A635" s="173"/>
      <c r="B635" s="174"/>
      <c r="C635" s="174"/>
      <c r="D635" s="173"/>
      <c r="E635" s="173"/>
      <c r="F635" s="173"/>
      <c r="G635" s="175"/>
      <c r="H635" s="173"/>
      <c r="I635" s="173"/>
      <c r="J635" s="173"/>
      <c r="K635" s="176"/>
      <c r="L635" s="176"/>
      <c r="M635" s="173"/>
      <c r="N635" s="173"/>
      <c r="O635" s="173"/>
      <c r="P635" s="173"/>
      <c r="Q635" s="173"/>
      <c r="R635" s="173"/>
      <c r="S635" s="173"/>
      <c r="T635" s="173"/>
      <c r="U635" s="173"/>
      <c r="V635" s="173"/>
    </row>
    <row r="636" spans="1:22" ht="12.5">
      <c r="A636" s="173"/>
      <c r="B636" s="174"/>
      <c r="C636" s="174"/>
      <c r="D636" s="173"/>
      <c r="E636" s="173"/>
      <c r="F636" s="173"/>
      <c r="G636" s="175"/>
      <c r="H636" s="173"/>
      <c r="I636" s="173"/>
      <c r="J636" s="173"/>
      <c r="K636" s="176"/>
      <c r="L636" s="176"/>
      <c r="M636" s="173"/>
      <c r="N636" s="173"/>
      <c r="O636" s="173"/>
      <c r="P636" s="173"/>
      <c r="Q636" s="173"/>
      <c r="R636" s="173"/>
      <c r="S636" s="173"/>
      <c r="T636" s="173"/>
      <c r="U636" s="173"/>
      <c r="V636" s="173"/>
    </row>
    <row r="637" spans="1:22" ht="12.5">
      <c r="A637" s="173"/>
      <c r="B637" s="174"/>
      <c r="C637" s="174"/>
      <c r="D637" s="173"/>
      <c r="E637" s="173"/>
      <c r="F637" s="173"/>
      <c r="G637" s="175"/>
      <c r="H637" s="173"/>
      <c r="I637" s="173"/>
      <c r="J637" s="173"/>
      <c r="K637" s="176"/>
      <c r="L637" s="176"/>
      <c r="M637" s="173"/>
      <c r="N637" s="173"/>
      <c r="O637" s="173"/>
      <c r="P637" s="173"/>
      <c r="Q637" s="173"/>
      <c r="R637" s="173"/>
      <c r="S637" s="173"/>
      <c r="T637" s="173"/>
      <c r="U637" s="173"/>
      <c r="V637" s="173"/>
    </row>
    <row r="638" spans="1:22" ht="12.5">
      <c r="A638" s="173"/>
      <c r="B638" s="174"/>
      <c r="C638" s="174"/>
      <c r="D638" s="173"/>
      <c r="E638" s="173"/>
      <c r="F638" s="173"/>
      <c r="G638" s="175"/>
      <c r="H638" s="173"/>
      <c r="I638" s="173"/>
      <c r="J638" s="173"/>
      <c r="K638" s="176"/>
      <c r="L638" s="176"/>
      <c r="M638" s="173"/>
      <c r="N638" s="173"/>
      <c r="O638" s="173"/>
      <c r="P638" s="173"/>
      <c r="Q638" s="173"/>
      <c r="R638" s="173"/>
      <c r="S638" s="173"/>
      <c r="T638" s="173"/>
      <c r="U638" s="173"/>
      <c r="V638" s="173"/>
    </row>
    <row r="639" spans="1:22" ht="12.5">
      <c r="A639" s="173"/>
      <c r="B639" s="174"/>
      <c r="C639" s="174"/>
      <c r="D639" s="173"/>
      <c r="E639" s="173"/>
      <c r="F639" s="173"/>
      <c r="G639" s="175"/>
      <c r="H639" s="173"/>
      <c r="I639" s="173"/>
      <c r="J639" s="173"/>
      <c r="K639" s="176"/>
      <c r="L639" s="176"/>
      <c r="M639" s="173"/>
      <c r="N639" s="173"/>
      <c r="O639" s="173"/>
      <c r="P639" s="173"/>
      <c r="Q639" s="173"/>
      <c r="R639" s="173"/>
      <c r="S639" s="173"/>
      <c r="T639" s="173"/>
      <c r="U639" s="173"/>
      <c r="V639" s="173"/>
    </row>
    <row r="640" spans="1:22" ht="12.5">
      <c r="A640" s="173"/>
      <c r="B640" s="174"/>
      <c r="C640" s="174"/>
      <c r="D640" s="173"/>
      <c r="E640" s="173"/>
      <c r="F640" s="173"/>
      <c r="G640" s="175"/>
      <c r="H640" s="173"/>
      <c r="I640" s="173"/>
      <c r="J640" s="173"/>
      <c r="K640" s="176"/>
      <c r="L640" s="176"/>
      <c r="M640" s="173"/>
      <c r="N640" s="173"/>
      <c r="O640" s="173"/>
      <c r="P640" s="173"/>
      <c r="Q640" s="173"/>
      <c r="R640" s="173"/>
      <c r="S640" s="173"/>
      <c r="T640" s="173"/>
      <c r="U640" s="173"/>
      <c r="V640" s="173"/>
    </row>
    <row r="641" spans="1:22" ht="12.5">
      <c r="A641" s="173"/>
      <c r="B641" s="174"/>
      <c r="C641" s="174"/>
      <c r="D641" s="173"/>
      <c r="E641" s="173"/>
      <c r="F641" s="173"/>
      <c r="G641" s="175"/>
      <c r="H641" s="173"/>
      <c r="I641" s="173"/>
      <c r="J641" s="173"/>
      <c r="K641" s="176"/>
      <c r="L641" s="176"/>
      <c r="M641" s="173"/>
      <c r="N641" s="173"/>
      <c r="O641" s="173"/>
      <c r="P641" s="173"/>
      <c r="Q641" s="173"/>
      <c r="R641" s="173"/>
      <c r="S641" s="173"/>
      <c r="T641" s="173"/>
      <c r="U641" s="173"/>
      <c r="V641" s="173"/>
    </row>
    <row r="642" spans="1:22" ht="12.5">
      <c r="A642" s="173"/>
      <c r="B642" s="174"/>
      <c r="C642" s="174"/>
      <c r="D642" s="173"/>
      <c r="E642" s="173"/>
      <c r="F642" s="173"/>
      <c r="G642" s="175"/>
      <c r="H642" s="173"/>
      <c r="I642" s="173"/>
      <c r="J642" s="173"/>
      <c r="K642" s="176"/>
      <c r="L642" s="176"/>
      <c r="M642" s="173"/>
      <c r="N642" s="173"/>
      <c r="O642" s="173"/>
      <c r="P642" s="173"/>
      <c r="Q642" s="173"/>
      <c r="R642" s="173"/>
      <c r="S642" s="173"/>
      <c r="T642" s="173"/>
      <c r="U642" s="173"/>
      <c r="V642" s="173"/>
    </row>
    <row r="643" spans="1:22" ht="12.5">
      <c r="A643" s="173"/>
      <c r="B643" s="174"/>
      <c r="C643" s="174"/>
      <c r="D643" s="173"/>
      <c r="E643" s="173"/>
      <c r="F643" s="173"/>
      <c r="G643" s="175"/>
      <c r="H643" s="173"/>
      <c r="I643" s="173"/>
      <c r="J643" s="173"/>
      <c r="K643" s="176"/>
      <c r="L643" s="176"/>
      <c r="M643" s="173"/>
      <c r="N643" s="173"/>
      <c r="O643" s="173"/>
      <c r="P643" s="173"/>
      <c r="Q643" s="173"/>
      <c r="R643" s="173"/>
      <c r="S643" s="173"/>
      <c r="T643" s="173"/>
      <c r="U643" s="173"/>
      <c r="V643" s="173"/>
    </row>
    <row r="644" spans="1:22" ht="12.5">
      <c r="A644" s="173"/>
      <c r="B644" s="174"/>
      <c r="C644" s="174"/>
      <c r="D644" s="173"/>
      <c r="E644" s="173"/>
      <c r="F644" s="173"/>
      <c r="G644" s="175"/>
      <c r="H644" s="173"/>
      <c r="I644" s="173"/>
      <c r="J644" s="173"/>
      <c r="K644" s="176"/>
      <c r="L644" s="176"/>
      <c r="M644" s="173"/>
      <c r="N644" s="173"/>
      <c r="O644" s="173"/>
      <c r="P644" s="173"/>
      <c r="Q644" s="173"/>
      <c r="R644" s="173"/>
      <c r="S644" s="173"/>
      <c r="T644" s="173"/>
      <c r="U644" s="173"/>
      <c r="V644" s="173"/>
    </row>
    <row r="645" spans="1:22" ht="12.5">
      <c r="A645" s="173"/>
      <c r="B645" s="174"/>
      <c r="C645" s="174"/>
      <c r="D645" s="173"/>
      <c r="E645" s="173"/>
      <c r="F645" s="173"/>
      <c r="G645" s="175"/>
      <c r="H645" s="173"/>
      <c r="I645" s="173"/>
      <c r="J645" s="173"/>
      <c r="K645" s="176"/>
      <c r="L645" s="176"/>
      <c r="M645" s="173"/>
      <c r="N645" s="173"/>
      <c r="O645" s="173"/>
      <c r="P645" s="173"/>
      <c r="Q645" s="173"/>
      <c r="R645" s="173"/>
      <c r="S645" s="173"/>
      <c r="T645" s="173"/>
      <c r="U645" s="173"/>
      <c r="V645" s="173"/>
    </row>
    <row r="646" spans="1:22" ht="12.5">
      <c r="A646" s="173"/>
      <c r="B646" s="174"/>
      <c r="C646" s="174"/>
      <c r="D646" s="173"/>
      <c r="E646" s="173"/>
      <c r="F646" s="173"/>
      <c r="G646" s="175"/>
      <c r="H646" s="173"/>
      <c r="I646" s="173"/>
      <c r="J646" s="173"/>
      <c r="K646" s="176"/>
      <c r="L646" s="176"/>
      <c r="M646" s="173"/>
      <c r="N646" s="173"/>
      <c r="O646" s="173"/>
      <c r="P646" s="173"/>
      <c r="Q646" s="173"/>
      <c r="R646" s="173"/>
      <c r="S646" s="173"/>
      <c r="T646" s="173"/>
      <c r="U646" s="173"/>
      <c r="V646" s="173"/>
    </row>
    <row r="647" spans="1:22" ht="12.5">
      <c r="A647" s="173"/>
      <c r="B647" s="174"/>
      <c r="C647" s="174"/>
      <c r="D647" s="173"/>
      <c r="E647" s="173"/>
      <c r="F647" s="173"/>
      <c r="G647" s="175"/>
      <c r="H647" s="173"/>
      <c r="I647" s="173"/>
      <c r="J647" s="173"/>
      <c r="K647" s="176"/>
      <c r="L647" s="176"/>
      <c r="M647" s="173"/>
      <c r="N647" s="173"/>
      <c r="O647" s="173"/>
      <c r="P647" s="173"/>
      <c r="Q647" s="173"/>
      <c r="R647" s="173"/>
      <c r="S647" s="173"/>
      <c r="T647" s="173"/>
      <c r="U647" s="173"/>
      <c r="V647" s="173"/>
    </row>
    <row r="648" spans="1:22" ht="12.5">
      <c r="A648" s="173"/>
      <c r="B648" s="174"/>
      <c r="C648" s="174"/>
      <c r="D648" s="173"/>
      <c r="E648" s="173"/>
      <c r="F648" s="173"/>
      <c r="G648" s="175"/>
      <c r="H648" s="173"/>
      <c r="I648" s="173"/>
      <c r="J648" s="173"/>
      <c r="K648" s="176"/>
      <c r="L648" s="176"/>
      <c r="M648" s="173"/>
      <c r="N648" s="173"/>
      <c r="O648" s="173"/>
      <c r="P648" s="173"/>
      <c r="Q648" s="173"/>
      <c r="R648" s="173"/>
      <c r="S648" s="173"/>
      <c r="T648" s="173"/>
      <c r="U648" s="173"/>
      <c r="V648" s="173"/>
    </row>
    <row r="649" spans="1:22" ht="12.5">
      <c r="A649" s="173"/>
      <c r="B649" s="174"/>
      <c r="C649" s="174"/>
      <c r="D649" s="173"/>
      <c r="E649" s="173"/>
      <c r="F649" s="173"/>
      <c r="G649" s="175"/>
      <c r="H649" s="173"/>
      <c r="I649" s="173"/>
      <c r="J649" s="173"/>
      <c r="K649" s="176"/>
      <c r="L649" s="176"/>
      <c r="M649" s="173"/>
      <c r="N649" s="173"/>
      <c r="O649" s="173"/>
      <c r="P649" s="173"/>
      <c r="Q649" s="173"/>
      <c r="R649" s="173"/>
      <c r="S649" s="173"/>
      <c r="T649" s="173"/>
      <c r="U649" s="173"/>
      <c r="V649" s="173"/>
    </row>
    <row r="650" spans="1:22" ht="12.5">
      <c r="A650" s="173"/>
      <c r="B650" s="174"/>
      <c r="C650" s="174"/>
      <c r="D650" s="173"/>
      <c r="E650" s="173"/>
      <c r="F650" s="173"/>
      <c r="G650" s="175"/>
      <c r="H650" s="173"/>
      <c r="I650" s="173"/>
      <c r="J650" s="173"/>
      <c r="K650" s="176"/>
      <c r="L650" s="176"/>
      <c r="M650" s="173"/>
      <c r="N650" s="173"/>
      <c r="O650" s="173"/>
      <c r="P650" s="173"/>
      <c r="Q650" s="173"/>
      <c r="R650" s="173"/>
      <c r="S650" s="173"/>
      <c r="T650" s="173"/>
      <c r="U650" s="173"/>
      <c r="V650" s="173"/>
    </row>
    <row r="651" spans="1:22" ht="12.5">
      <c r="A651" s="173"/>
      <c r="B651" s="174"/>
      <c r="C651" s="174"/>
      <c r="D651" s="173"/>
      <c r="E651" s="173"/>
      <c r="F651" s="173"/>
      <c r="G651" s="175"/>
      <c r="H651" s="173"/>
      <c r="I651" s="173"/>
      <c r="J651" s="173"/>
      <c r="K651" s="176"/>
      <c r="L651" s="176"/>
      <c r="M651" s="173"/>
      <c r="N651" s="173"/>
      <c r="O651" s="173"/>
      <c r="P651" s="173"/>
      <c r="Q651" s="173"/>
      <c r="R651" s="173"/>
      <c r="S651" s="173"/>
      <c r="T651" s="173"/>
      <c r="U651" s="173"/>
      <c r="V651" s="173"/>
    </row>
    <row r="652" spans="1:22" ht="12.5">
      <c r="A652" s="173"/>
      <c r="B652" s="174"/>
      <c r="C652" s="174"/>
      <c r="D652" s="173"/>
      <c r="E652" s="173"/>
      <c r="F652" s="173"/>
      <c r="G652" s="175"/>
      <c r="H652" s="173"/>
      <c r="I652" s="173"/>
      <c r="J652" s="173"/>
      <c r="K652" s="176"/>
      <c r="L652" s="176"/>
      <c r="M652" s="173"/>
      <c r="N652" s="173"/>
      <c r="O652" s="173"/>
      <c r="P652" s="173"/>
      <c r="Q652" s="173"/>
      <c r="R652" s="173"/>
      <c r="S652" s="173"/>
      <c r="T652" s="173"/>
      <c r="U652" s="173"/>
      <c r="V652" s="173"/>
    </row>
    <row r="653" spans="1:22" ht="12.5">
      <c r="A653" s="173"/>
      <c r="B653" s="174"/>
      <c r="C653" s="174"/>
      <c r="D653" s="173"/>
      <c r="E653" s="173"/>
      <c r="F653" s="173"/>
      <c r="G653" s="175"/>
      <c r="H653" s="173"/>
      <c r="I653" s="173"/>
      <c r="J653" s="173"/>
      <c r="K653" s="176"/>
      <c r="L653" s="176"/>
      <c r="M653" s="173"/>
      <c r="N653" s="173"/>
      <c r="O653" s="173"/>
      <c r="P653" s="173"/>
      <c r="Q653" s="173"/>
      <c r="R653" s="173"/>
      <c r="S653" s="173"/>
      <c r="T653" s="173"/>
      <c r="U653" s="173"/>
      <c r="V653" s="173"/>
    </row>
    <row r="654" spans="1:22" ht="12.5">
      <c r="A654" s="173"/>
      <c r="B654" s="174"/>
      <c r="C654" s="174"/>
      <c r="D654" s="173"/>
      <c r="E654" s="173"/>
      <c r="F654" s="173"/>
      <c r="G654" s="175"/>
      <c r="H654" s="173"/>
      <c r="I654" s="173"/>
      <c r="J654" s="173"/>
      <c r="K654" s="176"/>
      <c r="L654" s="176"/>
      <c r="M654" s="173"/>
      <c r="N654" s="173"/>
      <c r="O654" s="173"/>
      <c r="P654" s="173"/>
      <c r="Q654" s="173"/>
      <c r="R654" s="173"/>
      <c r="S654" s="173"/>
      <c r="T654" s="173"/>
      <c r="U654" s="173"/>
      <c r="V654" s="173"/>
    </row>
    <row r="655" spans="1:22" ht="12.5">
      <c r="A655" s="173"/>
      <c r="B655" s="174"/>
      <c r="C655" s="174"/>
      <c r="D655" s="173"/>
      <c r="E655" s="173"/>
      <c r="F655" s="173"/>
      <c r="G655" s="175"/>
      <c r="H655" s="173"/>
      <c r="I655" s="173"/>
      <c r="J655" s="173"/>
      <c r="K655" s="176"/>
      <c r="L655" s="176"/>
      <c r="M655" s="173"/>
      <c r="N655" s="173"/>
      <c r="O655" s="173"/>
      <c r="P655" s="173"/>
      <c r="Q655" s="173"/>
      <c r="R655" s="173"/>
      <c r="S655" s="173"/>
      <c r="T655" s="173"/>
      <c r="U655" s="173"/>
      <c r="V655" s="173"/>
    </row>
    <row r="656" spans="1:22" ht="12.5">
      <c r="A656" s="173"/>
      <c r="B656" s="174"/>
      <c r="C656" s="174"/>
      <c r="D656" s="173"/>
      <c r="E656" s="173"/>
      <c r="F656" s="173"/>
      <c r="G656" s="175"/>
      <c r="H656" s="173"/>
      <c r="I656" s="173"/>
      <c r="J656" s="173"/>
      <c r="K656" s="176"/>
      <c r="L656" s="176"/>
      <c r="M656" s="173"/>
      <c r="N656" s="173"/>
      <c r="O656" s="173"/>
      <c r="P656" s="173"/>
      <c r="Q656" s="173"/>
      <c r="R656" s="173"/>
      <c r="S656" s="173"/>
      <c r="T656" s="173"/>
      <c r="U656" s="173"/>
      <c r="V656" s="173"/>
    </row>
    <row r="657" spans="1:22" ht="12.5">
      <c r="A657" s="173"/>
      <c r="B657" s="174"/>
      <c r="C657" s="174"/>
      <c r="D657" s="173"/>
      <c r="E657" s="173"/>
      <c r="F657" s="173"/>
      <c r="G657" s="175"/>
      <c r="H657" s="173"/>
      <c r="I657" s="173"/>
      <c r="J657" s="173"/>
      <c r="K657" s="176"/>
      <c r="L657" s="176"/>
      <c r="M657" s="173"/>
      <c r="N657" s="173"/>
      <c r="O657" s="173"/>
      <c r="P657" s="173"/>
      <c r="Q657" s="173"/>
      <c r="R657" s="173"/>
      <c r="S657" s="173"/>
      <c r="T657" s="173"/>
      <c r="U657" s="173"/>
      <c r="V657" s="173"/>
    </row>
    <row r="658" spans="1:22" ht="12.5">
      <c r="A658" s="173"/>
      <c r="B658" s="174"/>
      <c r="C658" s="174"/>
      <c r="D658" s="173"/>
      <c r="E658" s="173"/>
      <c r="F658" s="173"/>
      <c r="G658" s="175"/>
      <c r="H658" s="173"/>
      <c r="I658" s="173"/>
      <c r="J658" s="173"/>
      <c r="K658" s="176"/>
      <c r="L658" s="176"/>
      <c r="M658" s="173"/>
      <c r="N658" s="173"/>
      <c r="O658" s="173"/>
      <c r="P658" s="173"/>
      <c r="Q658" s="173"/>
      <c r="R658" s="173"/>
      <c r="S658" s="173"/>
      <c r="T658" s="173"/>
      <c r="U658" s="173"/>
      <c r="V658" s="173"/>
    </row>
    <row r="659" spans="1:22" ht="12.5">
      <c r="A659" s="173"/>
      <c r="B659" s="174"/>
      <c r="C659" s="174"/>
      <c r="D659" s="173"/>
      <c r="E659" s="173"/>
      <c r="F659" s="173"/>
      <c r="G659" s="175"/>
      <c r="H659" s="173"/>
      <c r="I659" s="173"/>
      <c r="J659" s="173"/>
      <c r="K659" s="176"/>
      <c r="L659" s="176"/>
      <c r="M659" s="173"/>
      <c r="N659" s="173"/>
      <c r="O659" s="173"/>
      <c r="P659" s="173"/>
      <c r="Q659" s="173"/>
      <c r="R659" s="173"/>
      <c r="S659" s="173"/>
      <c r="T659" s="173"/>
      <c r="U659" s="173"/>
      <c r="V659" s="173"/>
    </row>
    <row r="660" spans="1:22" ht="12.5">
      <c r="A660" s="173"/>
      <c r="B660" s="174"/>
      <c r="C660" s="174"/>
      <c r="D660" s="173"/>
      <c r="E660" s="173"/>
      <c r="F660" s="173"/>
      <c r="G660" s="175"/>
      <c r="H660" s="173"/>
      <c r="I660" s="173"/>
      <c r="J660" s="173"/>
      <c r="K660" s="176"/>
      <c r="L660" s="176"/>
      <c r="M660" s="173"/>
      <c r="N660" s="173"/>
      <c r="O660" s="173"/>
      <c r="P660" s="173"/>
      <c r="Q660" s="173"/>
      <c r="R660" s="173"/>
      <c r="S660" s="173"/>
      <c r="T660" s="173"/>
      <c r="U660" s="173"/>
      <c r="V660" s="173"/>
    </row>
    <row r="661" spans="1:22" ht="12.5">
      <c r="A661" s="173"/>
      <c r="B661" s="174"/>
      <c r="C661" s="174"/>
      <c r="D661" s="173"/>
      <c r="E661" s="173"/>
      <c r="F661" s="173"/>
      <c r="G661" s="175"/>
      <c r="H661" s="173"/>
      <c r="I661" s="173"/>
      <c r="J661" s="173"/>
      <c r="K661" s="176"/>
      <c r="L661" s="176"/>
      <c r="M661" s="173"/>
      <c r="N661" s="173"/>
      <c r="O661" s="173"/>
      <c r="P661" s="173"/>
      <c r="Q661" s="173"/>
      <c r="R661" s="173"/>
      <c r="S661" s="173"/>
      <c r="T661" s="173"/>
      <c r="U661" s="173"/>
      <c r="V661" s="173"/>
    </row>
    <row r="662" spans="1:22" ht="12.5">
      <c r="A662" s="173"/>
      <c r="B662" s="174"/>
      <c r="C662" s="174"/>
      <c r="D662" s="173"/>
      <c r="E662" s="173"/>
      <c r="F662" s="173"/>
      <c r="G662" s="175"/>
      <c r="H662" s="173"/>
      <c r="I662" s="173"/>
      <c r="J662" s="173"/>
      <c r="K662" s="176"/>
      <c r="L662" s="176"/>
      <c r="M662" s="173"/>
      <c r="N662" s="173"/>
      <c r="O662" s="173"/>
      <c r="P662" s="173"/>
      <c r="Q662" s="173"/>
      <c r="R662" s="173"/>
      <c r="S662" s="173"/>
      <c r="T662" s="173"/>
      <c r="U662" s="173"/>
      <c r="V662" s="173"/>
    </row>
    <row r="663" spans="1:22" ht="12.5">
      <c r="A663" s="173"/>
      <c r="B663" s="174"/>
      <c r="C663" s="174"/>
      <c r="D663" s="173"/>
      <c r="E663" s="173"/>
      <c r="F663" s="173"/>
      <c r="G663" s="175"/>
      <c r="H663" s="173"/>
      <c r="I663" s="173"/>
      <c r="J663" s="173"/>
      <c r="K663" s="176"/>
      <c r="L663" s="176"/>
      <c r="M663" s="173"/>
      <c r="N663" s="173"/>
      <c r="O663" s="173"/>
      <c r="P663" s="173"/>
      <c r="Q663" s="173"/>
      <c r="R663" s="173"/>
      <c r="S663" s="173"/>
      <c r="T663" s="173"/>
      <c r="U663" s="173"/>
      <c r="V663" s="173"/>
    </row>
    <row r="664" spans="1:22" ht="12.5">
      <c r="A664" s="173"/>
      <c r="B664" s="174"/>
      <c r="C664" s="174"/>
      <c r="D664" s="173"/>
      <c r="E664" s="173"/>
      <c r="F664" s="173"/>
      <c r="G664" s="175"/>
      <c r="H664" s="173"/>
      <c r="I664" s="173"/>
      <c r="J664" s="173"/>
      <c r="K664" s="176"/>
      <c r="L664" s="176"/>
      <c r="M664" s="173"/>
      <c r="N664" s="173"/>
      <c r="O664" s="173"/>
      <c r="P664" s="173"/>
      <c r="Q664" s="173"/>
      <c r="R664" s="173"/>
      <c r="S664" s="173"/>
      <c r="T664" s="173"/>
      <c r="U664" s="173"/>
      <c r="V664" s="173"/>
    </row>
    <row r="665" spans="1:22" ht="12.5">
      <c r="A665" s="173"/>
      <c r="B665" s="174"/>
      <c r="C665" s="174"/>
      <c r="D665" s="173"/>
      <c r="E665" s="173"/>
      <c r="F665" s="173"/>
      <c r="G665" s="175"/>
      <c r="H665" s="173"/>
      <c r="I665" s="173"/>
      <c r="J665" s="173"/>
      <c r="K665" s="176"/>
      <c r="L665" s="176"/>
      <c r="M665" s="173"/>
      <c r="N665" s="173"/>
      <c r="O665" s="173"/>
      <c r="P665" s="173"/>
      <c r="Q665" s="173"/>
      <c r="R665" s="173"/>
      <c r="S665" s="173"/>
      <c r="T665" s="173"/>
      <c r="U665" s="173"/>
      <c r="V665" s="173"/>
    </row>
    <row r="666" spans="1:22" ht="12.5">
      <c r="A666" s="173"/>
      <c r="B666" s="174"/>
      <c r="C666" s="174"/>
      <c r="D666" s="173"/>
      <c r="E666" s="173"/>
      <c r="F666" s="173"/>
      <c r="G666" s="175"/>
      <c r="H666" s="173"/>
      <c r="I666" s="173"/>
      <c r="J666" s="173"/>
      <c r="K666" s="176"/>
      <c r="L666" s="176"/>
      <c r="M666" s="173"/>
      <c r="N666" s="173"/>
      <c r="O666" s="173"/>
      <c r="P666" s="173"/>
      <c r="Q666" s="173"/>
      <c r="R666" s="173"/>
      <c r="S666" s="173"/>
      <c r="T666" s="173"/>
      <c r="U666" s="173"/>
      <c r="V666" s="173"/>
    </row>
    <row r="667" spans="1:22" ht="12.5">
      <c r="A667" s="173"/>
      <c r="B667" s="174"/>
      <c r="C667" s="174"/>
      <c r="D667" s="173"/>
      <c r="E667" s="173"/>
      <c r="F667" s="173"/>
      <c r="G667" s="175"/>
      <c r="H667" s="173"/>
      <c r="I667" s="173"/>
      <c r="J667" s="173"/>
      <c r="K667" s="176"/>
      <c r="L667" s="176"/>
      <c r="M667" s="173"/>
      <c r="N667" s="173"/>
      <c r="O667" s="173"/>
      <c r="P667" s="173"/>
      <c r="Q667" s="173"/>
      <c r="R667" s="173"/>
      <c r="S667" s="173"/>
      <c r="T667" s="173"/>
      <c r="U667" s="173"/>
      <c r="V667" s="173"/>
    </row>
    <row r="668" spans="1:22" ht="12.5">
      <c r="A668" s="173"/>
      <c r="B668" s="174"/>
      <c r="C668" s="174"/>
      <c r="D668" s="173"/>
      <c r="E668" s="173"/>
      <c r="F668" s="173"/>
      <c r="G668" s="175"/>
      <c r="H668" s="173"/>
      <c r="I668" s="173"/>
      <c r="J668" s="173"/>
      <c r="K668" s="176"/>
      <c r="L668" s="176"/>
      <c r="M668" s="173"/>
      <c r="N668" s="173"/>
      <c r="O668" s="173"/>
      <c r="P668" s="173"/>
      <c r="Q668" s="173"/>
      <c r="R668" s="173"/>
      <c r="S668" s="173"/>
      <c r="T668" s="173"/>
      <c r="U668" s="173"/>
      <c r="V668" s="173"/>
    </row>
    <row r="669" spans="1:22" ht="12.5">
      <c r="A669" s="173"/>
      <c r="B669" s="174"/>
      <c r="C669" s="174"/>
      <c r="D669" s="173"/>
      <c r="E669" s="173"/>
      <c r="F669" s="173"/>
      <c r="G669" s="175"/>
      <c r="H669" s="173"/>
      <c r="I669" s="173"/>
      <c r="J669" s="173"/>
      <c r="K669" s="176"/>
      <c r="L669" s="176"/>
      <c r="M669" s="173"/>
      <c r="N669" s="173"/>
      <c r="O669" s="173"/>
      <c r="P669" s="173"/>
      <c r="Q669" s="173"/>
      <c r="R669" s="173"/>
      <c r="S669" s="173"/>
      <c r="T669" s="173"/>
      <c r="U669" s="173"/>
      <c r="V669" s="173"/>
    </row>
    <row r="670" spans="1:22" ht="12.5">
      <c r="A670" s="173"/>
      <c r="B670" s="174"/>
      <c r="C670" s="174"/>
      <c r="D670" s="173"/>
      <c r="E670" s="173"/>
      <c r="F670" s="173"/>
      <c r="G670" s="175"/>
      <c r="H670" s="173"/>
      <c r="I670" s="173"/>
      <c r="J670" s="173"/>
      <c r="K670" s="176"/>
      <c r="L670" s="176"/>
      <c r="M670" s="173"/>
      <c r="N670" s="173"/>
      <c r="O670" s="173"/>
      <c r="P670" s="173"/>
      <c r="Q670" s="173"/>
      <c r="R670" s="173"/>
      <c r="S670" s="173"/>
      <c r="T670" s="173"/>
      <c r="U670" s="173"/>
      <c r="V670" s="173"/>
    </row>
    <row r="671" spans="1:22" ht="12.5">
      <c r="A671" s="173"/>
      <c r="B671" s="174"/>
      <c r="C671" s="174"/>
      <c r="D671" s="173"/>
      <c r="E671" s="173"/>
      <c r="F671" s="173"/>
      <c r="G671" s="175"/>
      <c r="H671" s="173"/>
      <c r="I671" s="173"/>
      <c r="J671" s="173"/>
      <c r="K671" s="176"/>
      <c r="L671" s="176"/>
      <c r="M671" s="173"/>
      <c r="N671" s="173"/>
      <c r="O671" s="173"/>
      <c r="P671" s="173"/>
      <c r="Q671" s="173"/>
      <c r="R671" s="173"/>
      <c r="S671" s="173"/>
      <c r="T671" s="173"/>
      <c r="U671" s="173"/>
      <c r="V671" s="173"/>
    </row>
    <row r="672" spans="1:22" ht="12.5">
      <c r="A672" s="173"/>
      <c r="B672" s="174"/>
      <c r="C672" s="174"/>
      <c r="D672" s="173"/>
      <c r="E672" s="173"/>
      <c r="F672" s="173"/>
      <c r="G672" s="175"/>
      <c r="H672" s="173"/>
      <c r="I672" s="173"/>
      <c r="J672" s="173"/>
      <c r="K672" s="176"/>
      <c r="L672" s="176"/>
      <c r="M672" s="173"/>
      <c r="N672" s="173"/>
      <c r="O672" s="173"/>
      <c r="P672" s="173"/>
      <c r="Q672" s="173"/>
      <c r="R672" s="173"/>
      <c r="S672" s="173"/>
      <c r="T672" s="173"/>
      <c r="U672" s="173"/>
      <c r="V672" s="173"/>
    </row>
    <row r="673" spans="1:22" ht="12.5">
      <c r="A673" s="173"/>
      <c r="B673" s="174"/>
      <c r="C673" s="174"/>
      <c r="D673" s="173"/>
      <c r="E673" s="173"/>
      <c r="F673" s="173"/>
      <c r="G673" s="175"/>
      <c r="H673" s="173"/>
      <c r="I673" s="173"/>
      <c r="J673" s="173"/>
      <c r="K673" s="176"/>
      <c r="L673" s="176"/>
      <c r="M673" s="173"/>
      <c r="N673" s="173"/>
      <c r="O673" s="173"/>
      <c r="P673" s="173"/>
      <c r="Q673" s="173"/>
      <c r="R673" s="173"/>
      <c r="S673" s="173"/>
      <c r="T673" s="173"/>
      <c r="U673" s="173"/>
      <c r="V673" s="173"/>
    </row>
    <row r="674" spans="1:22" ht="12.5">
      <c r="A674" s="173"/>
      <c r="B674" s="174"/>
      <c r="C674" s="174"/>
      <c r="D674" s="173"/>
      <c r="E674" s="173"/>
      <c r="F674" s="173"/>
      <c r="G674" s="175"/>
      <c r="H674" s="173"/>
      <c r="I674" s="173"/>
      <c r="J674" s="173"/>
      <c r="K674" s="176"/>
      <c r="L674" s="176"/>
      <c r="M674" s="173"/>
      <c r="N674" s="173"/>
      <c r="O674" s="173"/>
      <c r="P674" s="173"/>
      <c r="Q674" s="173"/>
      <c r="R674" s="173"/>
      <c r="S674" s="173"/>
      <c r="T674" s="173"/>
      <c r="U674" s="173"/>
      <c r="V674" s="173"/>
    </row>
    <row r="675" spans="1:22" ht="12.5">
      <c r="A675" s="173"/>
      <c r="B675" s="174"/>
      <c r="C675" s="174"/>
      <c r="D675" s="173"/>
      <c r="E675" s="173"/>
      <c r="F675" s="173"/>
      <c r="G675" s="175"/>
      <c r="H675" s="173"/>
      <c r="I675" s="173"/>
      <c r="J675" s="173"/>
      <c r="K675" s="176"/>
      <c r="L675" s="176"/>
      <c r="M675" s="173"/>
      <c r="N675" s="173"/>
      <c r="O675" s="173"/>
      <c r="P675" s="173"/>
      <c r="Q675" s="173"/>
      <c r="R675" s="173"/>
      <c r="S675" s="173"/>
      <c r="T675" s="173"/>
      <c r="U675" s="173"/>
      <c r="V675" s="173"/>
    </row>
    <row r="676" spans="1:22" ht="12.5">
      <c r="A676" s="173"/>
      <c r="B676" s="174"/>
      <c r="C676" s="174"/>
      <c r="D676" s="173"/>
      <c r="E676" s="173"/>
      <c r="F676" s="173"/>
      <c r="G676" s="175"/>
      <c r="H676" s="173"/>
      <c r="I676" s="173"/>
      <c r="J676" s="173"/>
      <c r="K676" s="176"/>
      <c r="L676" s="176"/>
      <c r="M676" s="173"/>
      <c r="N676" s="173"/>
      <c r="O676" s="173"/>
      <c r="P676" s="173"/>
      <c r="Q676" s="173"/>
      <c r="R676" s="173"/>
      <c r="S676" s="173"/>
      <c r="T676" s="173"/>
      <c r="U676" s="173"/>
      <c r="V676" s="173"/>
    </row>
    <row r="677" spans="1:22" ht="12.5">
      <c r="A677" s="173"/>
      <c r="B677" s="174"/>
      <c r="C677" s="174"/>
      <c r="D677" s="173"/>
      <c r="E677" s="173"/>
      <c r="F677" s="173"/>
      <c r="G677" s="175"/>
      <c r="H677" s="173"/>
      <c r="I677" s="173"/>
      <c r="J677" s="173"/>
      <c r="K677" s="176"/>
      <c r="L677" s="176"/>
      <c r="M677" s="173"/>
      <c r="N677" s="173"/>
      <c r="O677" s="173"/>
      <c r="P677" s="173"/>
      <c r="Q677" s="173"/>
      <c r="R677" s="173"/>
      <c r="S677" s="173"/>
      <c r="T677" s="173"/>
      <c r="U677" s="173"/>
      <c r="V677" s="173"/>
    </row>
    <row r="678" spans="1:22" ht="12.5">
      <c r="A678" s="173"/>
      <c r="B678" s="174"/>
      <c r="C678" s="174"/>
      <c r="D678" s="173"/>
      <c r="E678" s="173"/>
      <c r="F678" s="173"/>
      <c r="G678" s="175"/>
      <c r="H678" s="173"/>
      <c r="I678" s="173"/>
      <c r="J678" s="173"/>
      <c r="K678" s="176"/>
      <c r="L678" s="176"/>
      <c r="M678" s="173"/>
      <c r="N678" s="173"/>
      <c r="O678" s="173"/>
      <c r="P678" s="173"/>
      <c r="Q678" s="173"/>
      <c r="R678" s="173"/>
      <c r="S678" s="173"/>
      <c r="T678" s="173"/>
      <c r="U678" s="173"/>
      <c r="V678" s="173"/>
    </row>
    <row r="679" spans="1:22" ht="12.5">
      <c r="A679" s="173"/>
      <c r="B679" s="174"/>
      <c r="C679" s="174"/>
      <c r="D679" s="173"/>
      <c r="E679" s="173"/>
      <c r="F679" s="173"/>
      <c r="G679" s="175"/>
      <c r="H679" s="173"/>
      <c r="I679" s="173"/>
      <c r="J679" s="173"/>
      <c r="K679" s="176"/>
      <c r="L679" s="176"/>
      <c r="M679" s="173"/>
      <c r="N679" s="173"/>
      <c r="O679" s="173"/>
      <c r="P679" s="173"/>
      <c r="Q679" s="173"/>
      <c r="R679" s="173"/>
      <c r="S679" s="173"/>
      <c r="T679" s="173"/>
      <c r="U679" s="173"/>
      <c r="V679" s="173"/>
    </row>
    <row r="680" spans="1:22" ht="12.5">
      <c r="A680" s="173"/>
      <c r="B680" s="174"/>
      <c r="C680" s="174"/>
      <c r="D680" s="173"/>
      <c r="E680" s="173"/>
      <c r="F680" s="173"/>
      <c r="G680" s="175"/>
      <c r="H680" s="173"/>
      <c r="I680" s="173"/>
      <c r="J680" s="173"/>
      <c r="K680" s="176"/>
      <c r="L680" s="176"/>
      <c r="M680" s="173"/>
      <c r="N680" s="173"/>
      <c r="O680" s="173"/>
      <c r="P680" s="173"/>
      <c r="Q680" s="173"/>
      <c r="R680" s="173"/>
      <c r="S680" s="173"/>
      <c r="T680" s="173"/>
      <c r="U680" s="173"/>
      <c r="V680" s="173"/>
    </row>
    <row r="681" spans="1:22" ht="12.5">
      <c r="A681" s="173"/>
      <c r="B681" s="174"/>
      <c r="C681" s="174"/>
      <c r="D681" s="173"/>
      <c r="E681" s="173"/>
      <c r="F681" s="173"/>
      <c r="G681" s="175"/>
      <c r="H681" s="173"/>
      <c r="I681" s="173"/>
      <c r="J681" s="173"/>
      <c r="K681" s="176"/>
      <c r="L681" s="176"/>
      <c r="M681" s="173"/>
      <c r="N681" s="173"/>
      <c r="O681" s="173"/>
      <c r="P681" s="173"/>
      <c r="Q681" s="173"/>
      <c r="R681" s="173"/>
      <c r="S681" s="173"/>
      <c r="T681" s="173"/>
      <c r="U681" s="173"/>
      <c r="V681" s="173"/>
    </row>
    <row r="682" spans="1:22" ht="12.5">
      <c r="A682" s="173"/>
      <c r="B682" s="174"/>
      <c r="C682" s="174"/>
      <c r="D682" s="173"/>
      <c r="E682" s="173"/>
      <c r="F682" s="173"/>
      <c r="G682" s="175"/>
      <c r="H682" s="173"/>
      <c r="I682" s="173"/>
      <c r="J682" s="173"/>
      <c r="K682" s="176"/>
      <c r="L682" s="176"/>
      <c r="M682" s="173"/>
      <c r="N682" s="173"/>
      <c r="O682" s="173"/>
      <c r="P682" s="173"/>
      <c r="Q682" s="173"/>
      <c r="R682" s="173"/>
      <c r="S682" s="173"/>
      <c r="T682" s="173"/>
      <c r="U682" s="173"/>
      <c r="V682" s="173"/>
    </row>
    <row r="683" spans="1:22" ht="12.5">
      <c r="A683" s="173"/>
      <c r="B683" s="174"/>
      <c r="C683" s="174"/>
      <c r="D683" s="173"/>
      <c r="E683" s="173"/>
      <c r="F683" s="173"/>
      <c r="G683" s="175"/>
      <c r="H683" s="173"/>
      <c r="I683" s="173"/>
      <c r="J683" s="173"/>
      <c r="K683" s="176"/>
      <c r="L683" s="176"/>
      <c r="M683" s="173"/>
      <c r="N683" s="173"/>
      <c r="O683" s="173"/>
      <c r="P683" s="173"/>
      <c r="Q683" s="173"/>
      <c r="R683" s="173"/>
      <c r="S683" s="173"/>
      <c r="T683" s="173"/>
      <c r="U683" s="173"/>
      <c r="V683" s="173"/>
    </row>
    <row r="684" spans="1:22" ht="12.5">
      <c r="A684" s="173"/>
      <c r="B684" s="174"/>
      <c r="C684" s="174"/>
      <c r="D684" s="173"/>
      <c r="E684" s="173"/>
      <c r="F684" s="173"/>
      <c r="G684" s="175"/>
      <c r="H684" s="173"/>
      <c r="I684" s="173"/>
      <c r="J684" s="173"/>
      <c r="K684" s="176"/>
      <c r="L684" s="176"/>
      <c r="M684" s="173"/>
      <c r="N684" s="173"/>
      <c r="O684" s="173"/>
      <c r="P684" s="173"/>
      <c r="Q684" s="173"/>
      <c r="R684" s="173"/>
      <c r="S684" s="173"/>
      <c r="T684" s="173"/>
      <c r="U684" s="173"/>
      <c r="V684" s="173"/>
    </row>
    <row r="685" spans="1:22" ht="12.5">
      <c r="A685" s="173"/>
      <c r="B685" s="174"/>
      <c r="C685" s="174"/>
      <c r="D685" s="173"/>
      <c r="E685" s="173"/>
      <c r="F685" s="173"/>
      <c r="G685" s="175"/>
      <c r="H685" s="173"/>
      <c r="I685" s="173"/>
      <c r="J685" s="173"/>
      <c r="K685" s="176"/>
      <c r="L685" s="176"/>
      <c r="M685" s="173"/>
      <c r="N685" s="173"/>
      <c r="O685" s="173"/>
      <c r="P685" s="173"/>
      <c r="Q685" s="173"/>
      <c r="R685" s="173"/>
      <c r="S685" s="173"/>
      <c r="T685" s="173"/>
      <c r="U685" s="173"/>
      <c r="V685" s="173"/>
    </row>
    <row r="686" spans="1:22" ht="12.5">
      <c r="A686" s="173"/>
      <c r="B686" s="174"/>
      <c r="C686" s="174"/>
      <c r="D686" s="173"/>
      <c r="E686" s="173"/>
      <c r="F686" s="173"/>
      <c r="G686" s="175"/>
      <c r="H686" s="173"/>
      <c r="I686" s="173"/>
      <c r="J686" s="173"/>
      <c r="K686" s="176"/>
      <c r="L686" s="176"/>
      <c r="M686" s="173"/>
      <c r="N686" s="173"/>
      <c r="O686" s="173"/>
      <c r="P686" s="173"/>
      <c r="Q686" s="173"/>
      <c r="R686" s="173"/>
      <c r="S686" s="173"/>
      <c r="T686" s="173"/>
      <c r="U686" s="173"/>
      <c r="V686" s="173"/>
    </row>
    <row r="687" spans="1:22" ht="12.5">
      <c r="A687" s="173"/>
      <c r="B687" s="174"/>
      <c r="C687" s="174"/>
      <c r="D687" s="173"/>
      <c r="E687" s="173"/>
      <c r="F687" s="173"/>
      <c r="G687" s="175"/>
      <c r="H687" s="173"/>
      <c r="I687" s="173"/>
      <c r="J687" s="173"/>
      <c r="K687" s="176"/>
      <c r="L687" s="176"/>
      <c r="M687" s="173"/>
      <c r="N687" s="173"/>
      <c r="O687" s="173"/>
      <c r="P687" s="173"/>
      <c r="Q687" s="173"/>
      <c r="R687" s="173"/>
      <c r="S687" s="173"/>
      <c r="T687" s="173"/>
      <c r="U687" s="173"/>
      <c r="V687" s="173"/>
    </row>
    <row r="688" spans="1:22" ht="12.5">
      <c r="A688" s="173"/>
      <c r="B688" s="174"/>
      <c r="C688" s="174"/>
      <c r="D688" s="173"/>
      <c r="E688" s="173"/>
      <c r="F688" s="173"/>
      <c r="G688" s="175"/>
      <c r="H688" s="173"/>
      <c r="I688" s="173"/>
      <c r="J688" s="173"/>
      <c r="K688" s="176"/>
      <c r="L688" s="176"/>
      <c r="M688" s="173"/>
      <c r="N688" s="173"/>
      <c r="O688" s="173"/>
      <c r="P688" s="173"/>
      <c r="Q688" s="173"/>
      <c r="R688" s="173"/>
      <c r="S688" s="173"/>
      <c r="T688" s="173"/>
      <c r="U688" s="173"/>
      <c r="V688" s="173"/>
    </row>
    <row r="689" spans="1:22" ht="12.5">
      <c r="A689" s="173"/>
      <c r="B689" s="174"/>
      <c r="C689" s="174"/>
      <c r="D689" s="173"/>
      <c r="E689" s="173"/>
      <c r="F689" s="173"/>
      <c r="G689" s="175"/>
      <c r="H689" s="173"/>
      <c r="I689" s="173"/>
      <c r="J689" s="173"/>
      <c r="K689" s="176"/>
      <c r="L689" s="176"/>
      <c r="M689" s="173"/>
      <c r="N689" s="173"/>
      <c r="O689" s="173"/>
      <c r="P689" s="173"/>
      <c r="Q689" s="173"/>
      <c r="R689" s="173"/>
      <c r="S689" s="173"/>
      <c r="T689" s="173"/>
      <c r="U689" s="173"/>
      <c r="V689" s="173"/>
    </row>
    <row r="690" spans="1:22" ht="12.5">
      <c r="A690" s="173"/>
      <c r="B690" s="174"/>
      <c r="C690" s="174"/>
      <c r="D690" s="173"/>
      <c r="E690" s="173"/>
      <c r="F690" s="173"/>
      <c r="G690" s="175"/>
      <c r="H690" s="173"/>
      <c r="I690" s="173"/>
      <c r="J690" s="173"/>
      <c r="K690" s="176"/>
      <c r="L690" s="176"/>
      <c r="M690" s="173"/>
      <c r="N690" s="173"/>
      <c r="O690" s="173"/>
      <c r="P690" s="173"/>
      <c r="Q690" s="173"/>
      <c r="R690" s="173"/>
      <c r="S690" s="173"/>
      <c r="T690" s="173"/>
      <c r="U690" s="173"/>
      <c r="V690" s="173"/>
    </row>
    <row r="691" spans="1:22" ht="12.5">
      <c r="A691" s="173"/>
      <c r="B691" s="174"/>
      <c r="C691" s="174"/>
      <c r="D691" s="173"/>
      <c r="E691" s="173"/>
      <c r="F691" s="173"/>
      <c r="G691" s="175"/>
      <c r="H691" s="173"/>
      <c r="I691" s="173"/>
      <c r="J691" s="173"/>
      <c r="K691" s="176"/>
      <c r="L691" s="176"/>
      <c r="M691" s="173"/>
      <c r="N691" s="173"/>
      <c r="O691" s="173"/>
      <c r="P691" s="173"/>
      <c r="Q691" s="173"/>
      <c r="R691" s="173"/>
      <c r="S691" s="173"/>
      <c r="T691" s="173"/>
      <c r="U691" s="173"/>
      <c r="V691" s="173"/>
    </row>
    <row r="692" spans="1:22" ht="12.5">
      <c r="A692" s="173"/>
      <c r="B692" s="174"/>
      <c r="C692" s="174"/>
      <c r="D692" s="173"/>
      <c r="E692" s="173"/>
      <c r="F692" s="173"/>
      <c r="G692" s="175"/>
      <c r="H692" s="173"/>
      <c r="I692" s="173"/>
      <c r="J692" s="173"/>
      <c r="K692" s="176"/>
      <c r="L692" s="176"/>
      <c r="M692" s="173"/>
      <c r="N692" s="173"/>
      <c r="O692" s="173"/>
      <c r="P692" s="173"/>
      <c r="Q692" s="173"/>
      <c r="R692" s="173"/>
      <c r="S692" s="173"/>
      <c r="T692" s="173"/>
      <c r="U692" s="173"/>
      <c r="V692" s="173"/>
    </row>
    <row r="693" spans="1:22" ht="12.5">
      <c r="A693" s="173"/>
      <c r="B693" s="174"/>
      <c r="C693" s="174"/>
      <c r="D693" s="173"/>
      <c r="E693" s="173"/>
      <c r="F693" s="173"/>
      <c r="G693" s="175"/>
      <c r="H693" s="173"/>
      <c r="I693" s="173"/>
      <c r="J693" s="173"/>
      <c r="K693" s="176"/>
      <c r="L693" s="176"/>
      <c r="M693" s="173"/>
      <c r="N693" s="173"/>
      <c r="O693" s="173"/>
      <c r="P693" s="173"/>
      <c r="Q693" s="173"/>
      <c r="R693" s="173"/>
      <c r="S693" s="173"/>
      <c r="T693" s="173"/>
      <c r="U693" s="173"/>
      <c r="V693" s="173"/>
    </row>
    <row r="694" spans="1:22" ht="12.5">
      <c r="A694" s="173"/>
      <c r="B694" s="174"/>
      <c r="C694" s="174"/>
      <c r="D694" s="173"/>
      <c r="E694" s="173"/>
      <c r="F694" s="173"/>
      <c r="G694" s="175"/>
      <c r="H694" s="173"/>
      <c r="I694" s="173"/>
      <c r="J694" s="173"/>
      <c r="K694" s="176"/>
      <c r="L694" s="176"/>
      <c r="M694" s="173"/>
      <c r="N694" s="173"/>
      <c r="O694" s="173"/>
      <c r="P694" s="173"/>
      <c r="Q694" s="173"/>
      <c r="R694" s="173"/>
      <c r="S694" s="173"/>
      <c r="T694" s="173"/>
      <c r="U694" s="173"/>
      <c r="V694" s="173"/>
    </row>
    <row r="695" spans="1:22" ht="12.5">
      <c r="A695" s="173"/>
      <c r="B695" s="174"/>
      <c r="C695" s="174"/>
      <c r="D695" s="173"/>
      <c r="E695" s="173"/>
      <c r="F695" s="173"/>
      <c r="G695" s="175"/>
      <c r="H695" s="173"/>
      <c r="I695" s="173"/>
      <c r="J695" s="173"/>
      <c r="K695" s="176"/>
      <c r="L695" s="176"/>
      <c r="M695" s="173"/>
      <c r="N695" s="173"/>
      <c r="O695" s="173"/>
      <c r="P695" s="173"/>
      <c r="Q695" s="173"/>
      <c r="R695" s="173"/>
      <c r="S695" s="173"/>
      <c r="T695" s="173"/>
      <c r="U695" s="173"/>
      <c r="V695" s="173"/>
    </row>
    <row r="696" spans="1:22" ht="12.5">
      <c r="A696" s="173"/>
      <c r="B696" s="174"/>
      <c r="C696" s="174"/>
      <c r="D696" s="173"/>
      <c r="E696" s="173"/>
      <c r="F696" s="173"/>
      <c r="G696" s="175"/>
      <c r="H696" s="173"/>
      <c r="I696" s="173"/>
      <c r="J696" s="173"/>
      <c r="K696" s="176"/>
      <c r="L696" s="176"/>
      <c r="M696" s="173"/>
      <c r="N696" s="173"/>
      <c r="O696" s="173"/>
      <c r="P696" s="173"/>
      <c r="Q696" s="173"/>
      <c r="R696" s="173"/>
      <c r="S696" s="173"/>
      <c r="T696" s="173"/>
      <c r="U696" s="173"/>
      <c r="V696" s="173"/>
    </row>
    <row r="697" spans="1:22" ht="12.5">
      <c r="A697" s="173"/>
      <c r="B697" s="174"/>
      <c r="C697" s="174"/>
      <c r="D697" s="173"/>
      <c r="E697" s="173"/>
      <c r="F697" s="173"/>
      <c r="G697" s="175"/>
      <c r="H697" s="173"/>
      <c r="I697" s="173"/>
      <c r="J697" s="173"/>
      <c r="K697" s="176"/>
      <c r="L697" s="176"/>
      <c r="M697" s="173"/>
      <c r="N697" s="173"/>
      <c r="O697" s="173"/>
      <c r="P697" s="173"/>
      <c r="Q697" s="173"/>
      <c r="R697" s="173"/>
      <c r="S697" s="173"/>
      <c r="T697" s="173"/>
      <c r="U697" s="173"/>
      <c r="V697" s="173"/>
    </row>
    <row r="698" spans="1:22" ht="12.5">
      <c r="A698" s="173"/>
      <c r="B698" s="174"/>
      <c r="C698" s="174"/>
      <c r="D698" s="173"/>
      <c r="E698" s="173"/>
      <c r="F698" s="173"/>
      <c r="G698" s="175"/>
      <c r="H698" s="173"/>
      <c r="I698" s="173"/>
      <c r="J698" s="173"/>
      <c r="K698" s="176"/>
      <c r="L698" s="176"/>
      <c r="M698" s="173"/>
      <c r="N698" s="173"/>
      <c r="O698" s="173"/>
      <c r="P698" s="173"/>
      <c r="Q698" s="173"/>
      <c r="R698" s="173"/>
      <c r="S698" s="173"/>
      <c r="T698" s="173"/>
      <c r="U698" s="173"/>
      <c r="V698" s="173"/>
    </row>
    <row r="699" spans="1:22" ht="12.5">
      <c r="A699" s="173"/>
      <c r="B699" s="174"/>
      <c r="C699" s="174"/>
      <c r="D699" s="173"/>
      <c r="E699" s="173"/>
      <c r="F699" s="173"/>
      <c r="G699" s="175"/>
      <c r="H699" s="173"/>
      <c r="I699" s="173"/>
      <c r="J699" s="173"/>
      <c r="K699" s="176"/>
      <c r="L699" s="176"/>
      <c r="M699" s="173"/>
      <c r="N699" s="173"/>
      <c r="O699" s="173"/>
      <c r="P699" s="173"/>
      <c r="Q699" s="173"/>
      <c r="R699" s="173"/>
      <c r="S699" s="173"/>
      <c r="T699" s="173"/>
      <c r="U699" s="173"/>
      <c r="V699" s="173"/>
    </row>
    <row r="700" spans="1:22" ht="12.5">
      <c r="A700" s="173"/>
      <c r="B700" s="174"/>
      <c r="C700" s="174"/>
      <c r="D700" s="173"/>
      <c r="E700" s="173"/>
      <c r="F700" s="173"/>
      <c r="G700" s="175"/>
      <c r="H700" s="173"/>
      <c r="I700" s="173"/>
      <c r="J700" s="173"/>
      <c r="K700" s="176"/>
      <c r="L700" s="176"/>
      <c r="M700" s="173"/>
      <c r="N700" s="173"/>
      <c r="O700" s="173"/>
      <c r="P700" s="173"/>
      <c r="Q700" s="173"/>
      <c r="R700" s="173"/>
      <c r="S700" s="173"/>
      <c r="T700" s="173"/>
      <c r="U700" s="173"/>
      <c r="V700" s="173"/>
    </row>
    <row r="701" spans="1:22" ht="12.5">
      <c r="A701" s="173"/>
      <c r="B701" s="174"/>
      <c r="C701" s="174"/>
      <c r="D701" s="173"/>
      <c r="E701" s="173"/>
      <c r="F701" s="173"/>
      <c r="G701" s="175"/>
      <c r="H701" s="173"/>
      <c r="I701" s="173"/>
      <c r="J701" s="173"/>
      <c r="K701" s="176"/>
      <c r="L701" s="176"/>
      <c r="M701" s="173"/>
      <c r="N701" s="173"/>
      <c r="O701" s="173"/>
      <c r="P701" s="173"/>
      <c r="Q701" s="173"/>
      <c r="R701" s="173"/>
      <c r="S701" s="173"/>
      <c r="T701" s="173"/>
      <c r="U701" s="173"/>
      <c r="V701" s="173"/>
    </row>
    <row r="702" spans="1:22" ht="12.5">
      <c r="A702" s="173"/>
      <c r="B702" s="174"/>
      <c r="C702" s="174"/>
      <c r="D702" s="173"/>
      <c r="E702" s="173"/>
      <c r="F702" s="173"/>
      <c r="G702" s="175"/>
      <c r="H702" s="173"/>
      <c r="I702" s="173"/>
      <c r="J702" s="173"/>
      <c r="K702" s="176"/>
      <c r="L702" s="176"/>
      <c r="M702" s="173"/>
      <c r="N702" s="173"/>
      <c r="O702" s="173"/>
      <c r="P702" s="173"/>
      <c r="Q702" s="173"/>
      <c r="R702" s="173"/>
      <c r="S702" s="173"/>
      <c r="T702" s="173"/>
      <c r="U702" s="173"/>
      <c r="V702" s="173"/>
    </row>
    <row r="703" spans="1:22" ht="12.5">
      <c r="A703" s="173"/>
      <c r="B703" s="174"/>
      <c r="C703" s="174"/>
      <c r="D703" s="173"/>
      <c r="E703" s="173"/>
      <c r="F703" s="173"/>
      <c r="G703" s="175"/>
      <c r="H703" s="173"/>
      <c r="I703" s="173"/>
      <c r="J703" s="173"/>
      <c r="K703" s="176"/>
      <c r="L703" s="176"/>
      <c r="M703" s="173"/>
      <c r="N703" s="173"/>
      <c r="O703" s="173"/>
      <c r="P703" s="173"/>
      <c r="Q703" s="173"/>
      <c r="R703" s="173"/>
      <c r="S703" s="173"/>
      <c r="T703" s="173"/>
      <c r="U703" s="173"/>
      <c r="V703" s="173"/>
    </row>
    <row r="704" spans="1:22" ht="12.5">
      <c r="A704" s="173"/>
      <c r="B704" s="174"/>
      <c r="C704" s="174"/>
      <c r="D704" s="173"/>
      <c r="E704" s="173"/>
      <c r="F704" s="173"/>
      <c r="G704" s="175"/>
      <c r="H704" s="173"/>
      <c r="I704" s="173"/>
      <c r="J704" s="173"/>
      <c r="K704" s="176"/>
      <c r="L704" s="176"/>
      <c r="M704" s="173"/>
      <c r="N704" s="173"/>
      <c r="O704" s="173"/>
      <c r="P704" s="173"/>
      <c r="Q704" s="173"/>
      <c r="R704" s="173"/>
      <c r="S704" s="173"/>
      <c r="T704" s="173"/>
      <c r="U704" s="173"/>
      <c r="V704" s="173"/>
    </row>
    <row r="705" spans="1:22" ht="12.5">
      <c r="A705" s="173"/>
      <c r="B705" s="174"/>
      <c r="C705" s="174"/>
      <c r="D705" s="173"/>
      <c r="E705" s="173"/>
      <c r="F705" s="173"/>
      <c r="G705" s="175"/>
      <c r="H705" s="173"/>
      <c r="I705" s="173"/>
      <c r="J705" s="173"/>
      <c r="K705" s="176"/>
      <c r="L705" s="176"/>
      <c r="M705" s="173"/>
      <c r="N705" s="173"/>
      <c r="O705" s="173"/>
      <c r="P705" s="173"/>
      <c r="Q705" s="173"/>
      <c r="R705" s="173"/>
      <c r="S705" s="173"/>
      <c r="T705" s="173"/>
      <c r="U705" s="173"/>
      <c r="V705" s="173"/>
    </row>
    <row r="706" spans="1:22" ht="12.5">
      <c r="A706" s="173"/>
      <c r="B706" s="174"/>
      <c r="C706" s="174"/>
      <c r="D706" s="173"/>
      <c r="E706" s="173"/>
      <c r="F706" s="173"/>
      <c r="G706" s="175"/>
      <c r="H706" s="173"/>
      <c r="I706" s="173"/>
      <c r="J706" s="173"/>
      <c r="K706" s="176"/>
      <c r="L706" s="176"/>
      <c r="M706" s="173"/>
      <c r="N706" s="173"/>
      <c r="O706" s="173"/>
      <c r="P706" s="173"/>
      <c r="Q706" s="173"/>
      <c r="R706" s="173"/>
      <c r="S706" s="173"/>
      <c r="T706" s="173"/>
      <c r="U706" s="173"/>
      <c r="V706" s="173"/>
    </row>
    <row r="707" spans="1:22" ht="12.5">
      <c r="A707" s="173"/>
      <c r="B707" s="174"/>
      <c r="C707" s="174"/>
      <c r="D707" s="173"/>
      <c r="E707" s="173"/>
      <c r="F707" s="173"/>
      <c r="G707" s="175"/>
      <c r="H707" s="173"/>
      <c r="I707" s="173"/>
      <c r="J707" s="173"/>
      <c r="K707" s="176"/>
      <c r="L707" s="176"/>
      <c r="M707" s="173"/>
      <c r="N707" s="173"/>
      <c r="O707" s="173"/>
      <c r="P707" s="173"/>
      <c r="Q707" s="173"/>
      <c r="R707" s="173"/>
      <c r="S707" s="173"/>
      <c r="T707" s="173"/>
      <c r="U707" s="173"/>
      <c r="V707" s="173"/>
    </row>
    <row r="708" spans="1:22" ht="12.5">
      <c r="A708" s="173"/>
      <c r="B708" s="174"/>
      <c r="C708" s="174"/>
      <c r="D708" s="173"/>
      <c r="E708" s="173"/>
      <c r="F708" s="173"/>
      <c r="G708" s="175"/>
      <c r="H708" s="173"/>
      <c r="I708" s="173"/>
      <c r="J708" s="173"/>
      <c r="K708" s="176"/>
      <c r="L708" s="176"/>
      <c r="M708" s="173"/>
      <c r="N708" s="173"/>
      <c r="O708" s="173"/>
      <c r="P708" s="173"/>
      <c r="Q708" s="173"/>
      <c r="R708" s="173"/>
      <c r="S708" s="173"/>
      <c r="T708" s="173"/>
      <c r="U708" s="173"/>
      <c r="V708" s="173"/>
    </row>
    <row r="709" spans="1:22" ht="12.5">
      <c r="A709" s="173"/>
      <c r="B709" s="174"/>
      <c r="C709" s="174"/>
      <c r="D709" s="173"/>
      <c r="E709" s="173"/>
      <c r="F709" s="173"/>
      <c r="G709" s="175"/>
      <c r="H709" s="173"/>
      <c r="I709" s="173"/>
      <c r="J709" s="173"/>
      <c r="K709" s="176"/>
      <c r="L709" s="176"/>
      <c r="M709" s="173"/>
      <c r="N709" s="173"/>
      <c r="O709" s="173"/>
      <c r="P709" s="173"/>
      <c r="Q709" s="173"/>
      <c r="R709" s="173"/>
      <c r="S709" s="173"/>
      <c r="T709" s="173"/>
      <c r="U709" s="173"/>
      <c r="V709" s="173"/>
    </row>
    <row r="710" spans="1:22" ht="12.5">
      <c r="A710" s="173"/>
      <c r="B710" s="174"/>
      <c r="C710" s="174"/>
      <c r="D710" s="173"/>
      <c r="E710" s="173"/>
      <c r="F710" s="173"/>
      <c r="G710" s="175"/>
      <c r="H710" s="173"/>
      <c r="I710" s="173"/>
      <c r="J710" s="173"/>
      <c r="K710" s="176"/>
      <c r="L710" s="176"/>
      <c r="M710" s="173"/>
      <c r="N710" s="173"/>
      <c r="O710" s="173"/>
      <c r="P710" s="173"/>
      <c r="Q710" s="173"/>
      <c r="R710" s="173"/>
      <c r="S710" s="173"/>
      <c r="T710" s="173"/>
      <c r="U710" s="173"/>
      <c r="V710" s="173"/>
    </row>
    <row r="711" spans="1:22" ht="12.5">
      <c r="A711" s="173"/>
      <c r="B711" s="174"/>
      <c r="C711" s="174"/>
      <c r="D711" s="173"/>
      <c r="E711" s="173"/>
      <c r="F711" s="173"/>
      <c r="G711" s="175"/>
      <c r="H711" s="173"/>
      <c r="I711" s="173"/>
      <c r="J711" s="173"/>
      <c r="K711" s="176"/>
      <c r="L711" s="176"/>
      <c r="M711" s="173"/>
      <c r="N711" s="173"/>
      <c r="O711" s="173"/>
      <c r="P711" s="173"/>
      <c r="Q711" s="173"/>
      <c r="R711" s="173"/>
      <c r="S711" s="173"/>
      <c r="T711" s="173"/>
      <c r="U711" s="173"/>
      <c r="V711" s="173"/>
    </row>
    <row r="712" spans="1:22" ht="12.5">
      <c r="A712" s="173"/>
      <c r="B712" s="174"/>
      <c r="C712" s="174"/>
      <c r="D712" s="173"/>
      <c r="E712" s="173"/>
      <c r="F712" s="173"/>
      <c r="G712" s="175"/>
      <c r="H712" s="173"/>
      <c r="I712" s="173"/>
      <c r="J712" s="173"/>
      <c r="K712" s="176"/>
      <c r="L712" s="176"/>
      <c r="M712" s="173"/>
      <c r="N712" s="173"/>
      <c r="O712" s="173"/>
      <c r="P712" s="173"/>
      <c r="Q712" s="173"/>
      <c r="R712" s="173"/>
      <c r="S712" s="173"/>
      <c r="T712" s="173"/>
      <c r="U712" s="173"/>
      <c r="V712" s="173"/>
    </row>
    <row r="713" spans="1:22" ht="12.5">
      <c r="A713" s="173"/>
      <c r="B713" s="174"/>
      <c r="C713" s="174"/>
      <c r="D713" s="173"/>
      <c r="E713" s="173"/>
      <c r="F713" s="173"/>
      <c r="G713" s="175"/>
      <c r="H713" s="173"/>
      <c r="I713" s="173"/>
      <c r="J713" s="173"/>
      <c r="K713" s="176"/>
      <c r="L713" s="176"/>
      <c r="M713" s="173"/>
      <c r="N713" s="173"/>
      <c r="O713" s="173"/>
      <c r="P713" s="173"/>
      <c r="Q713" s="173"/>
      <c r="R713" s="173"/>
      <c r="S713" s="173"/>
      <c r="T713" s="173"/>
      <c r="U713" s="173"/>
      <c r="V713" s="173"/>
    </row>
    <row r="714" spans="1:22" ht="12.5">
      <c r="A714" s="173"/>
      <c r="B714" s="174"/>
      <c r="C714" s="174"/>
      <c r="D714" s="173"/>
      <c r="E714" s="173"/>
      <c r="F714" s="173"/>
      <c r="G714" s="175"/>
      <c r="H714" s="173"/>
      <c r="I714" s="173"/>
      <c r="J714" s="173"/>
      <c r="K714" s="176"/>
      <c r="L714" s="176"/>
      <c r="M714" s="173"/>
      <c r="N714" s="173"/>
      <c r="O714" s="173"/>
      <c r="P714" s="173"/>
      <c r="Q714" s="173"/>
      <c r="R714" s="173"/>
      <c r="S714" s="173"/>
      <c r="T714" s="173"/>
      <c r="U714" s="173"/>
      <c r="V714" s="173"/>
    </row>
    <row r="715" spans="1:22" ht="12.5">
      <c r="A715" s="173"/>
      <c r="B715" s="174"/>
      <c r="C715" s="174"/>
      <c r="D715" s="173"/>
      <c r="E715" s="173"/>
      <c r="F715" s="173"/>
      <c r="G715" s="175"/>
      <c r="H715" s="173"/>
      <c r="I715" s="173"/>
      <c r="J715" s="173"/>
      <c r="K715" s="176"/>
      <c r="L715" s="176"/>
      <c r="M715" s="173"/>
      <c r="N715" s="173"/>
      <c r="O715" s="173"/>
      <c r="P715" s="173"/>
      <c r="Q715" s="173"/>
      <c r="R715" s="173"/>
      <c r="S715" s="173"/>
      <c r="T715" s="173"/>
      <c r="U715" s="173"/>
      <c r="V715" s="173"/>
    </row>
    <row r="716" spans="1:22" ht="12.5">
      <c r="A716" s="173"/>
      <c r="B716" s="174"/>
      <c r="C716" s="174"/>
      <c r="D716" s="173"/>
      <c r="E716" s="173"/>
      <c r="F716" s="173"/>
      <c r="G716" s="175"/>
      <c r="H716" s="173"/>
      <c r="I716" s="173"/>
      <c r="J716" s="173"/>
      <c r="K716" s="176"/>
      <c r="L716" s="176"/>
      <c r="M716" s="173"/>
      <c r="N716" s="173"/>
      <c r="O716" s="173"/>
      <c r="P716" s="173"/>
      <c r="Q716" s="173"/>
      <c r="R716" s="173"/>
      <c r="S716" s="173"/>
      <c r="T716" s="173"/>
      <c r="U716" s="173"/>
      <c r="V716" s="173"/>
    </row>
    <row r="717" spans="1:22" ht="12.5">
      <c r="A717" s="173"/>
      <c r="B717" s="174"/>
      <c r="C717" s="174"/>
      <c r="D717" s="173"/>
      <c r="E717" s="173"/>
      <c r="F717" s="173"/>
      <c r="G717" s="175"/>
      <c r="H717" s="173"/>
      <c r="I717" s="173"/>
      <c r="J717" s="173"/>
      <c r="K717" s="176"/>
      <c r="L717" s="176"/>
      <c r="M717" s="173"/>
      <c r="N717" s="173"/>
      <c r="O717" s="173"/>
      <c r="P717" s="173"/>
      <c r="Q717" s="173"/>
      <c r="R717" s="173"/>
      <c r="S717" s="173"/>
      <c r="T717" s="173"/>
      <c r="U717" s="173"/>
      <c r="V717" s="173"/>
    </row>
    <row r="718" spans="1:22" ht="12.5">
      <c r="A718" s="173"/>
      <c r="B718" s="174"/>
      <c r="C718" s="174"/>
      <c r="D718" s="173"/>
      <c r="E718" s="173"/>
      <c r="F718" s="173"/>
      <c r="G718" s="175"/>
      <c r="H718" s="173"/>
      <c r="I718" s="173"/>
      <c r="J718" s="173"/>
      <c r="K718" s="176"/>
      <c r="L718" s="176"/>
      <c r="M718" s="173"/>
      <c r="N718" s="173"/>
      <c r="O718" s="173"/>
      <c r="P718" s="173"/>
      <c r="Q718" s="173"/>
      <c r="R718" s="173"/>
      <c r="S718" s="173"/>
      <c r="T718" s="173"/>
      <c r="U718" s="173"/>
      <c r="V718" s="173"/>
    </row>
    <row r="719" spans="1:22" ht="12.5">
      <c r="A719" s="173"/>
      <c r="B719" s="174"/>
      <c r="C719" s="174"/>
      <c r="D719" s="173"/>
      <c r="E719" s="173"/>
      <c r="F719" s="173"/>
      <c r="G719" s="175"/>
      <c r="H719" s="173"/>
      <c r="I719" s="173"/>
      <c r="J719" s="173"/>
      <c r="K719" s="176"/>
      <c r="L719" s="176"/>
      <c r="M719" s="173"/>
      <c r="N719" s="173"/>
      <c r="O719" s="173"/>
      <c r="P719" s="173"/>
      <c r="Q719" s="173"/>
      <c r="R719" s="173"/>
      <c r="S719" s="173"/>
      <c r="T719" s="173"/>
      <c r="U719" s="173"/>
      <c r="V719" s="173"/>
    </row>
    <row r="720" spans="1:22" ht="12.5">
      <c r="A720" s="173"/>
      <c r="B720" s="174"/>
      <c r="C720" s="174"/>
      <c r="D720" s="173"/>
      <c r="E720" s="173"/>
      <c r="F720" s="173"/>
      <c r="G720" s="175"/>
      <c r="H720" s="173"/>
      <c r="I720" s="173"/>
      <c r="J720" s="173"/>
      <c r="K720" s="176"/>
      <c r="L720" s="176"/>
      <c r="M720" s="173"/>
      <c r="N720" s="173"/>
      <c r="O720" s="173"/>
      <c r="P720" s="173"/>
      <c r="Q720" s="173"/>
      <c r="R720" s="173"/>
      <c r="S720" s="173"/>
      <c r="T720" s="173"/>
      <c r="U720" s="173"/>
      <c r="V720" s="173"/>
    </row>
    <row r="721" spans="1:22" ht="12.5">
      <c r="A721" s="173"/>
      <c r="B721" s="174"/>
      <c r="C721" s="174"/>
      <c r="D721" s="173"/>
      <c r="E721" s="173"/>
      <c r="F721" s="173"/>
      <c r="G721" s="175"/>
      <c r="H721" s="173"/>
      <c r="I721" s="173"/>
      <c r="J721" s="173"/>
      <c r="K721" s="176"/>
      <c r="L721" s="176"/>
      <c r="M721" s="173"/>
      <c r="N721" s="173"/>
      <c r="O721" s="173"/>
      <c r="P721" s="173"/>
      <c r="Q721" s="173"/>
      <c r="R721" s="173"/>
      <c r="S721" s="173"/>
      <c r="T721" s="173"/>
      <c r="U721" s="173"/>
      <c r="V721" s="173"/>
    </row>
    <row r="722" spans="1:22" ht="12.5">
      <c r="A722" s="173"/>
      <c r="B722" s="174"/>
      <c r="C722" s="174"/>
      <c r="D722" s="173"/>
      <c r="E722" s="173"/>
      <c r="F722" s="173"/>
      <c r="G722" s="175"/>
      <c r="H722" s="173"/>
      <c r="I722" s="173"/>
      <c r="J722" s="173"/>
      <c r="K722" s="176"/>
      <c r="L722" s="176"/>
      <c r="M722" s="173"/>
      <c r="N722" s="173"/>
      <c r="O722" s="173"/>
      <c r="P722" s="173"/>
      <c r="Q722" s="173"/>
      <c r="R722" s="173"/>
      <c r="S722" s="173"/>
      <c r="T722" s="173"/>
      <c r="U722" s="173"/>
      <c r="V722" s="173"/>
    </row>
    <row r="723" spans="1:22" ht="12.5">
      <c r="A723" s="173"/>
      <c r="B723" s="174"/>
      <c r="C723" s="174"/>
      <c r="D723" s="173"/>
      <c r="E723" s="173"/>
      <c r="F723" s="173"/>
      <c r="G723" s="175"/>
      <c r="H723" s="173"/>
      <c r="I723" s="173"/>
      <c r="J723" s="173"/>
      <c r="K723" s="176"/>
      <c r="L723" s="176"/>
      <c r="M723" s="173"/>
      <c r="N723" s="173"/>
      <c r="O723" s="173"/>
      <c r="P723" s="173"/>
      <c r="Q723" s="173"/>
      <c r="R723" s="173"/>
      <c r="S723" s="173"/>
      <c r="T723" s="173"/>
      <c r="U723" s="173"/>
      <c r="V723" s="173"/>
    </row>
    <row r="724" spans="1:22" ht="12.5">
      <c r="A724" s="173"/>
      <c r="B724" s="174"/>
      <c r="C724" s="174"/>
      <c r="D724" s="173"/>
      <c r="E724" s="173"/>
      <c r="F724" s="173"/>
      <c r="G724" s="175"/>
      <c r="H724" s="173"/>
      <c r="I724" s="173"/>
      <c r="J724" s="173"/>
      <c r="K724" s="176"/>
      <c r="L724" s="176"/>
      <c r="M724" s="173"/>
      <c r="N724" s="173"/>
      <c r="O724" s="173"/>
      <c r="P724" s="173"/>
      <c r="Q724" s="173"/>
      <c r="R724" s="173"/>
      <c r="S724" s="173"/>
      <c r="T724" s="173"/>
      <c r="U724" s="173"/>
      <c r="V724" s="173"/>
    </row>
    <row r="725" spans="1:22" ht="12.5">
      <c r="A725" s="173"/>
      <c r="B725" s="174"/>
      <c r="C725" s="174"/>
      <c r="D725" s="173"/>
      <c r="E725" s="173"/>
      <c r="F725" s="173"/>
      <c r="G725" s="175"/>
      <c r="H725" s="173"/>
      <c r="I725" s="173"/>
      <c r="J725" s="173"/>
      <c r="K725" s="176"/>
      <c r="L725" s="176"/>
      <c r="M725" s="173"/>
      <c r="N725" s="173"/>
      <c r="O725" s="173"/>
      <c r="P725" s="173"/>
      <c r="Q725" s="173"/>
      <c r="R725" s="173"/>
      <c r="S725" s="173"/>
      <c r="T725" s="173"/>
      <c r="U725" s="173"/>
      <c r="V725" s="173"/>
    </row>
    <row r="726" spans="1:22" ht="12.5">
      <c r="A726" s="173"/>
      <c r="B726" s="174"/>
      <c r="C726" s="174"/>
      <c r="D726" s="173"/>
      <c r="E726" s="173"/>
      <c r="F726" s="173"/>
      <c r="G726" s="175"/>
      <c r="H726" s="173"/>
      <c r="I726" s="173"/>
      <c r="J726" s="173"/>
      <c r="K726" s="176"/>
      <c r="L726" s="176"/>
      <c r="M726" s="173"/>
      <c r="N726" s="173"/>
      <c r="O726" s="173"/>
      <c r="P726" s="173"/>
      <c r="Q726" s="173"/>
      <c r="R726" s="173"/>
      <c r="S726" s="173"/>
      <c r="T726" s="173"/>
      <c r="U726" s="173"/>
      <c r="V726" s="173"/>
    </row>
    <row r="727" spans="1:22" ht="12.5">
      <c r="A727" s="173"/>
      <c r="B727" s="174"/>
      <c r="C727" s="174"/>
      <c r="D727" s="173"/>
      <c r="E727" s="173"/>
      <c r="F727" s="173"/>
      <c r="G727" s="175"/>
      <c r="H727" s="173"/>
      <c r="I727" s="173"/>
      <c r="J727" s="173"/>
      <c r="K727" s="176"/>
      <c r="L727" s="176"/>
      <c r="M727" s="173"/>
      <c r="N727" s="173"/>
      <c r="O727" s="173"/>
      <c r="P727" s="173"/>
      <c r="Q727" s="173"/>
      <c r="R727" s="173"/>
      <c r="S727" s="173"/>
      <c r="T727" s="173"/>
      <c r="U727" s="173"/>
      <c r="V727" s="173"/>
    </row>
    <row r="728" spans="1:22" ht="12.5">
      <c r="A728" s="173"/>
      <c r="B728" s="174"/>
      <c r="C728" s="174"/>
      <c r="D728" s="173"/>
      <c r="E728" s="173"/>
      <c r="F728" s="173"/>
      <c r="G728" s="175"/>
      <c r="H728" s="173"/>
      <c r="I728" s="173"/>
      <c r="J728" s="173"/>
      <c r="K728" s="176"/>
      <c r="L728" s="176"/>
      <c r="M728" s="173"/>
      <c r="N728" s="173"/>
      <c r="O728" s="173"/>
      <c r="P728" s="173"/>
      <c r="Q728" s="173"/>
      <c r="R728" s="173"/>
      <c r="S728" s="173"/>
      <c r="T728" s="173"/>
      <c r="U728" s="173"/>
      <c r="V728" s="173"/>
    </row>
    <row r="729" spans="1:22" ht="12.5">
      <c r="A729" s="173"/>
      <c r="B729" s="174"/>
      <c r="C729" s="174"/>
      <c r="D729" s="173"/>
      <c r="E729" s="173"/>
      <c r="F729" s="173"/>
      <c r="G729" s="175"/>
      <c r="H729" s="173"/>
      <c r="I729" s="173"/>
      <c r="J729" s="173"/>
      <c r="K729" s="176"/>
      <c r="L729" s="176"/>
      <c r="M729" s="173"/>
      <c r="N729" s="173"/>
      <c r="O729" s="173"/>
      <c r="P729" s="173"/>
      <c r="Q729" s="173"/>
      <c r="R729" s="173"/>
      <c r="S729" s="173"/>
      <c r="T729" s="173"/>
      <c r="U729" s="173"/>
      <c r="V729" s="173"/>
    </row>
    <row r="730" spans="1:22" ht="12.5">
      <c r="A730" s="173"/>
      <c r="B730" s="174"/>
      <c r="C730" s="174"/>
      <c r="D730" s="173"/>
      <c r="E730" s="173"/>
      <c r="F730" s="173"/>
      <c r="G730" s="175"/>
      <c r="H730" s="173"/>
      <c r="I730" s="173"/>
      <c r="J730" s="173"/>
      <c r="K730" s="176"/>
      <c r="L730" s="176"/>
      <c r="M730" s="173"/>
      <c r="N730" s="173"/>
      <c r="O730" s="173"/>
      <c r="P730" s="173"/>
      <c r="Q730" s="173"/>
      <c r="R730" s="173"/>
      <c r="S730" s="173"/>
      <c r="T730" s="173"/>
      <c r="U730" s="173"/>
      <c r="V730" s="173"/>
    </row>
    <row r="731" spans="1:22" ht="12.5">
      <c r="A731" s="173"/>
      <c r="B731" s="174"/>
      <c r="C731" s="174"/>
      <c r="D731" s="173"/>
      <c r="E731" s="173"/>
      <c r="F731" s="173"/>
      <c r="G731" s="175"/>
      <c r="H731" s="173"/>
      <c r="I731" s="173"/>
      <c r="J731" s="173"/>
      <c r="K731" s="176"/>
      <c r="L731" s="176"/>
      <c r="M731" s="173"/>
      <c r="N731" s="173"/>
      <c r="O731" s="173"/>
      <c r="P731" s="173"/>
      <c r="Q731" s="173"/>
      <c r="R731" s="173"/>
      <c r="S731" s="173"/>
      <c r="T731" s="173"/>
      <c r="U731" s="173"/>
      <c r="V731" s="173"/>
    </row>
    <row r="732" spans="1:22" ht="12.5">
      <c r="A732" s="173"/>
      <c r="B732" s="174"/>
      <c r="C732" s="174"/>
      <c r="D732" s="173"/>
      <c r="E732" s="173"/>
      <c r="F732" s="173"/>
      <c r="G732" s="175"/>
      <c r="H732" s="173"/>
      <c r="I732" s="173"/>
      <c r="J732" s="173"/>
      <c r="K732" s="176"/>
      <c r="L732" s="176"/>
      <c r="M732" s="173"/>
      <c r="N732" s="173"/>
      <c r="O732" s="173"/>
      <c r="P732" s="173"/>
      <c r="Q732" s="173"/>
      <c r="R732" s="173"/>
      <c r="S732" s="173"/>
      <c r="T732" s="173"/>
      <c r="U732" s="173"/>
      <c r="V732" s="173"/>
    </row>
    <row r="733" spans="1:22" ht="12.5">
      <c r="A733" s="173"/>
      <c r="B733" s="174"/>
      <c r="C733" s="174"/>
      <c r="D733" s="173"/>
      <c r="E733" s="173"/>
      <c r="F733" s="173"/>
      <c r="G733" s="175"/>
      <c r="H733" s="173"/>
      <c r="I733" s="173"/>
      <c r="J733" s="173"/>
      <c r="K733" s="176"/>
      <c r="L733" s="176"/>
      <c r="M733" s="173"/>
      <c r="N733" s="173"/>
      <c r="O733" s="173"/>
      <c r="P733" s="173"/>
      <c r="Q733" s="173"/>
      <c r="R733" s="173"/>
      <c r="S733" s="173"/>
      <c r="T733" s="173"/>
      <c r="U733" s="173"/>
      <c r="V733" s="173"/>
    </row>
    <row r="734" spans="1:22" ht="12.5">
      <c r="A734" s="173"/>
      <c r="B734" s="174"/>
      <c r="C734" s="174"/>
      <c r="D734" s="173"/>
      <c r="E734" s="173"/>
      <c r="F734" s="173"/>
      <c r="G734" s="175"/>
      <c r="H734" s="173"/>
      <c r="I734" s="173"/>
      <c r="J734" s="173"/>
      <c r="K734" s="176"/>
      <c r="L734" s="176"/>
      <c r="M734" s="173"/>
      <c r="N734" s="173"/>
      <c r="O734" s="173"/>
      <c r="P734" s="173"/>
      <c r="Q734" s="173"/>
      <c r="R734" s="173"/>
      <c r="S734" s="173"/>
      <c r="T734" s="173"/>
      <c r="U734" s="173"/>
      <c r="V734" s="173"/>
    </row>
    <row r="735" spans="1:22" ht="12.5">
      <c r="A735" s="173"/>
      <c r="B735" s="174"/>
      <c r="C735" s="174"/>
      <c r="D735" s="173"/>
      <c r="E735" s="173"/>
      <c r="F735" s="173"/>
      <c r="G735" s="175"/>
      <c r="H735" s="173"/>
      <c r="I735" s="173"/>
      <c r="J735" s="173"/>
      <c r="K735" s="176"/>
      <c r="L735" s="176"/>
      <c r="M735" s="173"/>
      <c r="N735" s="173"/>
      <c r="O735" s="173"/>
      <c r="P735" s="173"/>
      <c r="Q735" s="173"/>
      <c r="R735" s="173"/>
      <c r="S735" s="173"/>
      <c r="T735" s="173"/>
      <c r="U735" s="173"/>
      <c r="V735" s="173"/>
    </row>
    <row r="736" spans="1:22" ht="12.5">
      <c r="A736" s="173"/>
      <c r="B736" s="174"/>
      <c r="C736" s="174"/>
      <c r="D736" s="173"/>
      <c r="E736" s="173"/>
      <c r="F736" s="173"/>
      <c r="G736" s="175"/>
      <c r="H736" s="173"/>
      <c r="I736" s="173"/>
      <c r="J736" s="173"/>
      <c r="K736" s="176"/>
      <c r="L736" s="176"/>
      <c r="M736" s="173"/>
      <c r="N736" s="173"/>
      <c r="O736" s="173"/>
      <c r="P736" s="173"/>
      <c r="Q736" s="173"/>
      <c r="R736" s="173"/>
      <c r="S736" s="173"/>
      <c r="T736" s="173"/>
      <c r="U736" s="173"/>
      <c r="V736" s="173"/>
    </row>
    <row r="737" spans="1:22" ht="12.5">
      <c r="A737" s="173"/>
      <c r="B737" s="174"/>
      <c r="C737" s="174"/>
      <c r="D737" s="173"/>
      <c r="E737" s="173"/>
      <c r="F737" s="173"/>
      <c r="G737" s="175"/>
      <c r="H737" s="173"/>
      <c r="I737" s="173"/>
      <c r="J737" s="173"/>
      <c r="K737" s="176"/>
      <c r="L737" s="176"/>
      <c r="M737" s="173"/>
      <c r="N737" s="173"/>
      <c r="O737" s="173"/>
      <c r="P737" s="173"/>
      <c r="Q737" s="173"/>
      <c r="R737" s="173"/>
      <c r="S737" s="173"/>
      <c r="T737" s="173"/>
      <c r="U737" s="173"/>
      <c r="V737" s="173"/>
    </row>
    <row r="738" spans="1:22" ht="12.5">
      <c r="A738" s="173"/>
      <c r="B738" s="174"/>
      <c r="C738" s="174"/>
      <c r="D738" s="173"/>
      <c r="E738" s="173"/>
      <c r="F738" s="173"/>
      <c r="G738" s="175"/>
      <c r="H738" s="173"/>
      <c r="I738" s="173"/>
      <c r="J738" s="173"/>
      <c r="K738" s="176"/>
      <c r="L738" s="176"/>
      <c r="M738" s="173"/>
      <c r="N738" s="173"/>
      <c r="O738" s="173"/>
      <c r="P738" s="173"/>
      <c r="Q738" s="173"/>
      <c r="R738" s="173"/>
      <c r="S738" s="173"/>
      <c r="T738" s="173"/>
      <c r="U738" s="173"/>
      <c r="V738" s="173"/>
    </row>
    <row r="739" spans="1:22" ht="12.5">
      <c r="A739" s="173"/>
      <c r="B739" s="174"/>
      <c r="C739" s="174"/>
      <c r="D739" s="173"/>
      <c r="E739" s="173"/>
      <c r="F739" s="173"/>
      <c r="G739" s="175"/>
      <c r="H739" s="173"/>
      <c r="I739" s="173"/>
      <c r="J739" s="173"/>
      <c r="K739" s="176"/>
      <c r="L739" s="176"/>
      <c r="M739" s="173"/>
      <c r="N739" s="173"/>
      <c r="O739" s="173"/>
      <c r="P739" s="173"/>
      <c r="Q739" s="173"/>
      <c r="R739" s="173"/>
      <c r="S739" s="173"/>
      <c r="T739" s="173"/>
      <c r="U739" s="173"/>
      <c r="V739" s="173"/>
    </row>
    <row r="740" spans="1:22" ht="12.5">
      <c r="A740" s="173"/>
      <c r="B740" s="174"/>
      <c r="C740" s="174"/>
      <c r="D740" s="173"/>
      <c r="E740" s="173"/>
      <c r="F740" s="173"/>
      <c r="G740" s="175"/>
      <c r="H740" s="173"/>
      <c r="I740" s="173"/>
      <c r="J740" s="173"/>
      <c r="K740" s="176"/>
      <c r="L740" s="176"/>
      <c r="M740" s="173"/>
      <c r="N740" s="173"/>
      <c r="O740" s="173"/>
      <c r="P740" s="173"/>
      <c r="Q740" s="173"/>
      <c r="R740" s="173"/>
      <c r="S740" s="173"/>
      <c r="T740" s="173"/>
      <c r="U740" s="173"/>
      <c r="V740" s="173"/>
    </row>
    <row r="741" spans="1:22" ht="12.5">
      <c r="A741" s="173"/>
      <c r="B741" s="174"/>
      <c r="C741" s="174"/>
      <c r="D741" s="173"/>
      <c r="E741" s="173"/>
      <c r="F741" s="173"/>
      <c r="G741" s="175"/>
      <c r="H741" s="173"/>
      <c r="I741" s="173"/>
      <c r="J741" s="173"/>
      <c r="K741" s="176"/>
      <c r="L741" s="176"/>
      <c r="M741" s="173"/>
      <c r="N741" s="173"/>
      <c r="O741" s="173"/>
      <c r="P741" s="173"/>
      <c r="Q741" s="173"/>
      <c r="R741" s="173"/>
      <c r="S741" s="173"/>
      <c r="T741" s="173"/>
      <c r="U741" s="173"/>
      <c r="V741" s="173"/>
    </row>
    <row r="742" spans="1:22" ht="12.5">
      <c r="A742" s="173"/>
      <c r="B742" s="174"/>
      <c r="C742" s="174"/>
      <c r="D742" s="173"/>
      <c r="E742" s="173"/>
      <c r="F742" s="173"/>
      <c r="G742" s="175"/>
      <c r="H742" s="173"/>
      <c r="I742" s="173"/>
      <c r="J742" s="173"/>
      <c r="K742" s="176"/>
      <c r="L742" s="176"/>
      <c r="M742" s="173"/>
      <c r="N742" s="173"/>
      <c r="O742" s="173"/>
      <c r="P742" s="173"/>
      <c r="Q742" s="173"/>
      <c r="R742" s="173"/>
      <c r="S742" s="173"/>
      <c r="T742" s="173"/>
      <c r="U742" s="173"/>
      <c r="V742" s="173"/>
    </row>
    <row r="743" spans="1:22" ht="12.5">
      <c r="A743" s="173"/>
      <c r="B743" s="174"/>
      <c r="C743" s="174"/>
      <c r="D743" s="173"/>
      <c r="E743" s="173"/>
      <c r="F743" s="173"/>
      <c r="G743" s="175"/>
      <c r="H743" s="173"/>
      <c r="I743" s="173"/>
      <c r="J743" s="173"/>
      <c r="K743" s="176"/>
      <c r="L743" s="176"/>
      <c r="M743" s="173"/>
      <c r="N743" s="173"/>
      <c r="O743" s="173"/>
      <c r="P743" s="173"/>
      <c r="Q743" s="173"/>
      <c r="R743" s="173"/>
      <c r="S743" s="173"/>
      <c r="T743" s="173"/>
      <c r="U743" s="173"/>
      <c r="V743" s="173"/>
    </row>
    <row r="744" spans="1:22" ht="12.5">
      <c r="A744" s="173"/>
      <c r="B744" s="174"/>
      <c r="C744" s="174"/>
      <c r="D744" s="173"/>
      <c r="E744" s="173"/>
      <c r="F744" s="173"/>
      <c r="G744" s="175"/>
      <c r="H744" s="173"/>
      <c r="I744" s="173"/>
      <c r="J744" s="173"/>
      <c r="K744" s="176"/>
      <c r="L744" s="176"/>
      <c r="M744" s="173"/>
      <c r="N744" s="173"/>
      <c r="O744" s="173"/>
      <c r="P744" s="173"/>
      <c r="Q744" s="173"/>
      <c r="R744" s="173"/>
      <c r="S744" s="173"/>
      <c r="T744" s="173"/>
      <c r="U744" s="173"/>
      <c r="V744" s="173"/>
    </row>
    <row r="745" spans="1:22" ht="12.5">
      <c r="A745" s="173"/>
      <c r="B745" s="174"/>
      <c r="C745" s="174"/>
      <c r="D745" s="173"/>
      <c r="E745" s="173"/>
      <c r="F745" s="173"/>
      <c r="G745" s="175"/>
      <c r="H745" s="173"/>
      <c r="I745" s="173"/>
      <c r="J745" s="173"/>
      <c r="K745" s="176"/>
      <c r="L745" s="176"/>
      <c r="M745" s="173"/>
      <c r="N745" s="173"/>
      <c r="O745" s="173"/>
      <c r="P745" s="173"/>
      <c r="Q745" s="173"/>
      <c r="R745" s="173"/>
      <c r="S745" s="173"/>
      <c r="T745" s="173"/>
      <c r="U745" s="173"/>
      <c r="V745" s="173"/>
    </row>
    <row r="746" spans="1:22" ht="12.5">
      <c r="A746" s="173"/>
      <c r="B746" s="174"/>
      <c r="C746" s="174"/>
      <c r="D746" s="173"/>
      <c r="E746" s="173"/>
      <c r="F746" s="173"/>
      <c r="G746" s="175"/>
      <c r="H746" s="173"/>
      <c r="I746" s="173"/>
      <c r="J746" s="173"/>
      <c r="K746" s="176"/>
      <c r="L746" s="176"/>
      <c r="M746" s="173"/>
      <c r="N746" s="173"/>
      <c r="O746" s="173"/>
      <c r="P746" s="173"/>
      <c r="Q746" s="173"/>
      <c r="R746" s="173"/>
      <c r="S746" s="173"/>
      <c r="T746" s="173"/>
      <c r="U746" s="173"/>
      <c r="V746" s="173"/>
    </row>
    <row r="747" spans="1:22" ht="12.5">
      <c r="A747" s="173"/>
      <c r="B747" s="174"/>
      <c r="C747" s="174"/>
      <c r="D747" s="173"/>
      <c r="E747" s="173"/>
      <c r="F747" s="173"/>
      <c r="G747" s="175"/>
      <c r="H747" s="173"/>
      <c r="I747" s="173"/>
      <c r="J747" s="173"/>
      <c r="K747" s="176"/>
      <c r="L747" s="176"/>
      <c r="M747" s="173"/>
      <c r="N747" s="173"/>
      <c r="O747" s="173"/>
      <c r="P747" s="173"/>
      <c r="Q747" s="173"/>
      <c r="R747" s="173"/>
      <c r="S747" s="173"/>
      <c r="T747" s="173"/>
      <c r="U747" s="173"/>
      <c r="V747" s="173"/>
    </row>
    <row r="748" spans="1:22" ht="12.5">
      <c r="A748" s="173"/>
      <c r="B748" s="174"/>
      <c r="C748" s="174"/>
      <c r="D748" s="173"/>
      <c r="E748" s="173"/>
      <c r="F748" s="173"/>
      <c r="G748" s="175"/>
      <c r="H748" s="173"/>
      <c r="I748" s="173"/>
      <c r="J748" s="173"/>
      <c r="K748" s="176"/>
      <c r="L748" s="176"/>
      <c r="M748" s="173"/>
      <c r="N748" s="173"/>
      <c r="O748" s="173"/>
      <c r="P748" s="173"/>
      <c r="Q748" s="173"/>
      <c r="R748" s="173"/>
      <c r="S748" s="173"/>
      <c r="T748" s="173"/>
      <c r="U748" s="173"/>
      <c r="V748" s="173"/>
    </row>
    <row r="749" spans="1:22" ht="12.5">
      <c r="A749" s="173"/>
      <c r="B749" s="174"/>
      <c r="C749" s="174"/>
      <c r="D749" s="173"/>
      <c r="E749" s="173"/>
      <c r="F749" s="173"/>
      <c r="G749" s="175"/>
      <c r="H749" s="173"/>
      <c r="I749" s="173"/>
      <c r="J749" s="173"/>
      <c r="K749" s="176"/>
      <c r="L749" s="176"/>
      <c r="M749" s="173"/>
      <c r="N749" s="173"/>
      <c r="O749" s="173"/>
      <c r="P749" s="173"/>
      <c r="Q749" s="173"/>
      <c r="R749" s="173"/>
      <c r="S749" s="173"/>
      <c r="T749" s="173"/>
      <c r="U749" s="173"/>
      <c r="V749" s="173"/>
    </row>
    <row r="750" spans="1:22" ht="12.5">
      <c r="A750" s="173"/>
      <c r="B750" s="174"/>
      <c r="C750" s="174"/>
      <c r="D750" s="173"/>
      <c r="E750" s="173"/>
      <c r="F750" s="173"/>
      <c r="G750" s="175"/>
      <c r="H750" s="173"/>
      <c r="I750" s="173"/>
      <c r="J750" s="173"/>
      <c r="K750" s="176"/>
      <c r="L750" s="176"/>
      <c r="M750" s="173"/>
      <c r="N750" s="173"/>
      <c r="O750" s="173"/>
      <c r="P750" s="173"/>
      <c r="Q750" s="173"/>
      <c r="R750" s="173"/>
      <c r="S750" s="173"/>
      <c r="T750" s="173"/>
      <c r="U750" s="173"/>
      <c r="V750" s="173"/>
    </row>
    <row r="751" spans="1:22" ht="12.5">
      <c r="A751" s="173"/>
      <c r="B751" s="174"/>
      <c r="C751" s="174"/>
      <c r="D751" s="173"/>
      <c r="E751" s="173"/>
      <c r="F751" s="173"/>
      <c r="G751" s="175"/>
      <c r="H751" s="173"/>
      <c r="I751" s="173"/>
      <c r="J751" s="173"/>
      <c r="K751" s="176"/>
      <c r="L751" s="176"/>
      <c r="M751" s="173"/>
      <c r="N751" s="173"/>
      <c r="O751" s="173"/>
      <c r="P751" s="173"/>
      <c r="Q751" s="173"/>
      <c r="R751" s="173"/>
      <c r="S751" s="173"/>
      <c r="T751" s="173"/>
      <c r="U751" s="173"/>
      <c r="V751" s="173"/>
    </row>
    <row r="752" spans="1:22" ht="12.5">
      <c r="A752" s="173"/>
      <c r="B752" s="174"/>
      <c r="C752" s="174"/>
      <c r="D752" s="173"/>
      <c r="E752" s="173"/>
      <c r="F752" s="173"/>
      <c r="G752" s="175"/>
      <c r="H752" s="173"/>
      <c r="I752" s="173"/>
      <c r="J752" s="173"/>
      <c r="K752" s="176"/>
      <c r="L752" s="176"/>
      <c r="M752" s="173"/>
      <c r="N752" s="173"/>
      <c r="O752" s="173"/>
      <c r="P752" s="173"/>
      <c r="Q752" s="173"/>
      <c r="R752" s="173"/>
      <c r="S752" s="173"/>
      <c r="T752" s="173"/>
      <c r="U752" s="173"/>
      <c r="V752" s="173"/>
    </row>
    <row r="753" spans="1:22" ht="12.5">
      <c r="A753" s="173"/>
      <c r="B753" s="174"/>
      <c r="C753" s="174"/>
      <c r="D753" s="173"/>
      <c r="E753" s="173"/>
      <c r="F753" s="173"/>
      <c r="G753" s="175"/>
      <c r="H753" s="173"/>
      <c r="I753" s="173"/>
      <c r="J753" s="173"/>
      <c r="K753" s="176"/>
      <c r="L753" s="176"/>
      <c r="M753" s="173"/>
      <c r="N753" s="173"/>
      <c r="O753" s="173"/>
      <c r="P753" s="173"/>
      <c r="Q753" s="173"/>
      <c r="R753" s="173"/>
      <c r="S753" s="173"/>
      <c r="T753" s="173"/>
      <c r="U753" s="173"/>
      <c r="V753" s="173"/>
    </row>
    <row r="754" spans="1:22" ht="12.5">
      <c r="A754" s="173"/>
      <c r="B754" s="174"/>
      <c r="C754" s="174"/>
      <c r="D754" s="173"/>
      <c r="E754" s="173"/>
      <c r="F754" s="173"/>
      <c r="G754" s="175"/>
      <c r="H754" s="173"/>
      <c r="I754" s="173"/>
      <c r="J754" s="173"/>
      <c r="K754" s="176"/>
      <c r="L754" s="176"/>
      <c r="M754" s="173"/>
      <c r="N754" s="173"/>
      <c r="O754" s="173"/>
      <c r="P754" s="173"/>
      <c r="Q754" s="173"/>
      <c r="R754" s="173"/>
      <c r="S754" s="173"/>
      <c r="T754" s="173"/>
      <c r="U754" s="173"/>
      <c r="V754" s="173"/>
    </row>
    <row r="755" spans="1:22" ht="12.5">
      <c r="A755" s="173"/>
      <c r="B755" s="174"/>
      <c r="C755" s="174"/>
      <c r="D755" s="173"/>
      <c r="E755" s="173"/>
      <c r="F755" s="173"/>
      <c r="G755" s="175"/>
      <c r="H755" s="173"/>
      <c r="I755" s="173"/>
      <c r="J755" s="173"/>
      <c r="K755" s="176"/>
      <c r="L755" s="176"/>
      <c r="M755" s="173"/>
      <c r="N755" s="173"/>
      <c r="O755" s="173"/>
      <c r="P755" s="173"/>
      <c r="Q755" s="173"/>
      <c r="R755" s="173"/>
      <c r="S755" s="173"/>
      <c r="T755" s="173"/>
      <c r="U755" s="173"/>
      <c r="V755" s="173"/>
    </row>
    <row r="756" spans="1:22" ht="12.5">
      <c r="A756" s="173"/>
      <c r="B756" s="174"/>
      <c r="C756" s="174"/>
      <c r="D756" s="173"/>
      <c r="E756" s="173"/>
      <c r="F756" s="173"/>
      <c r="G756" s="175"/>
      <c r="H756" s="173"/>
      <c r="I756" s="173"/>
      <c r="J756" s="173"/>
      <c r="K756" s="176"/>
      <c r="L756" s="176"/>
      <c r="M756" s="173"/>
      <c r="N756" s="173"/>
      <c r="O756" s="173"/>
      <c r="P756" s="173"/>
      <c r="Q756" s="173"/>
      <c r="R756" s="173"/>
      <c r="S756" s="173"/>
      <c r="T756" s="173"/>
      <c r="U756" s="173"/>
      <c r="V756" s="173"/>
    </row>
    <row r="757" spans="1:22" ht="12.5">
      <c r="A757" s="173"/>
      <c r="B757" s="174"/>
      <c r="C757" s="174"/>
      <c r="D757" s="173"/>
      <c r="E757" s="173"/>
      <c r="F757" s="173"/>
      <c r="G757" s="175"/>
      <c r="H757" s="173"/>
      <c r="I757" s="173"/>
      <c r="J757" s="173"/>
      <c r="K757" s="176"/>
      <c r="L757" s="176"/>
      <c r="M757" s="173"/>
      <c r="N757" s="173"/>
      <c r="O757" s="173"/>
      <c r="P757" s="173"/>
      <c r="Q757" s="173"/>
      <c r="R757" s="173"/>
      <c r="S757" s="173"/>
      <c r="T757" s="173"/>
      <c r="U757" s="173"/>
      <c r="V757" s="173"/>
    </row>
    <row r="758" spans="1:22" ht="12.5">
      <c r="A758" s="173"/>
      <c r="B758" s="174"/>
      <c r="C758" s="174"/>
      <c r="D758" s="173"/>
      <c r="E758" s="173"/>
      <c r="F758" s="173"/>
      <c r="G758" s="175"/>
      <c r="H758" s="173"/>
      <c r="I758" s="173"/>
      <c r="J758" s="173"/>
      <c r="K758" s="176"/>
      <c r="L758" s="176"/>
      <c r="M758" s="173"/>
      <c r="N758" s="173"/>
      <c r="O758" s="173"/>
      <c r="P758" s="173"/>
      <c r="Q758" s="173"/>
      <c r="R758" s="173"/>
      <c r="S758" s="173"/>
      <c r="T758" s="173"/>
      <c r="U758" s="173"/>
      <c r="V758" s="173"/>
    </row>
    <row r="759" spans="1:22" ht="12.5">
      <c r="A759" s="173"/>
      <c r="B759" s="174"/>
      <c r="C759" s="174"/>
      <c r="D759" s="173"/>
      <c r="E759" s="173"/>
      <c r="F759" s="173"/>
      <c r="G759" s="175"/>
      <c r="H759" s="173"/>
      <c r="I759" s="173"/>
      <c r="J759" s="173"/>
      <c r="K759" s="176"/>
      <c r="L759" s="176"/>
      <c r="M759" s="173"/>
      <c r="N759" s="173"/>
      <c r="O759" s="173"/>
      <c r="P759" s="173"/>
      <c r="Q759" s="173"/>
      <c r="R759" s="173"/>
      <c r="S759" s="173"/>
      <c r="T759" s="173"/>
      <c r="U759" s="173"/>
      <c r="V759" s="173"/>
    </row>
    <row r="760" spans="1:22" ht="12.5">
      <c r="A760" s="173"/>
      <c r="B760" s="174"/>
      <c r="C760" s="174"/>
      <c r="D760" s="173"/>
      <c r="E760" s="173"/>
      <c r="F760" s="173"/>
      <c r="G760" s="175"/>
      <c r="H760" s="173"/>
      <c r="I760" s="173"/>
      <c r="J760" s="173"/>
      <c r="K760" s="176"/>
      <c r="L760" s="176"/>
      <c r="M760" s="173"/>
      <c r="N760" s="173"/>
      <c r="O760" s="173"/>
      <c r="P760" s="173"/>
      <c r="Q760" s="173"/>
      <c r="R760" s="173"/>
      <c r="S760" s="173"/>
      <c r="T760" s="173"/>
      <c r="U760" s="173"/>
      <c r="V760" s="173"/>
    </row>
    <row r="761" spans="1:22" ht="12.5">
      <c r="A761" s="173"/>
      <c r="B761" s="174"/>
      <c r="C761" s="174"/>
      <c r="D761" s="173"/>
      <c r="E761" s="173"/>
      <c r="F761" s="173"/>
      <c r="G761" s="175"/>
      <c r="H761" s="173"/>
      <c r="I761" s="173"/>
      <c r="J761" s="173"/>
      <c r="K761" s="176"/>
      <c r="L761" s="176"/>
      <c r="M761" s="173"/>
      <c r="N761" s="173"/>
      <c r="O761" s="173"/>
      <c r="P761" s="173"/>
      <c r="Q761" s="173"/>
      <c r="R761" s="173"/>
      <c r="S761" s="173"/>
      <c r="T761" s="173"/>
      <c r="U761" s="173"/>
      <c r="V761" s="173"/>
    </row>
    <row r="762" spans="1:22" ht="12.5">
      <c r="A762" s="173"/>
      <c r="B762" s="174"/>
      <c r="C762" s="174"/>
      <c r="D762" s="173"/>
      <c r="E762" s="173"/>
      <c r="F762" s="173"/>
      <c r="G762" s="175"/>
      <c r="H762" s="173"/>
      <c r="I762" s="173"/>
      <c r="J762" s="173"/>
      <c r="K762" s="176"/>
      <c r="L762" s="176"/>
      <c r="M762" s="173"/>
      <c r="N762" s="173"/>
      <c r="O762" s="173"/>
      <c r="P762" s="173"/>
      <c r="Q762" s="173"/>
      <c r="R762" s="173"/>
      <c r="S762" s="173"/>
      <c r="T762" s="173"/>
      <c r="U762" s="173"/>
      <c r="V762" s="173"/>
    </row>
    <row r="763" spans="1:22" ht="12.5">
      <c r="A763" s="173"/>
      <c r="B763" s="174"/>
      <c r="C763" s="174"/>
      <c r="D763" s="173"/>
      <c r="E763" s="173"/>
      <c r="F763" s="173"/>
      <c r="G763" s="175"/>
      <c r="H763" s="173"/>
      <c r="I763" s="173"/>
      <c r="J763" s="173"/>
      <c r="K763" s="176"/>
      <c r="L763" s="176"/>
      <c r="M763" s="173"/>
      <c r="N763" s="173"/>
      <c r="O763" s="173"/>
      <c r="P763" s="173"/>
      <c r="Q763" s="173"/>
      <c r="R763" s="173"/>
      <c r="S763" s="173"/>
      <c r="T763" s="173"/>
      <c r="U763" s="173"/>
      <c r="V763" s="173"/>
    </row>
    <row r="764" spans="1:22" ht="12.5">
      <c r="A764" s="173"/>
      <c r="B764" s="174"/>
      <c r="C764" s="174"/>
      <c r="D764" s="173"/>
      <c r="E764" s="173"/>
      <c r="F764" s="173"/>
      <c r="G764" s="175"/>
      <c r="H764" s="173"/>
      <c r="I764" s="173"/>
      <c r="J764" s="173"/>
      <c r="K764" s="176"/>
      <c r="L764" s="176"/>
      <c r="M764" s="173"/>
      <c r="N764" s="173"/>
      <c r="O764" s="173"/>
      <c r="P764" s="173"/>
      <c r="Q764" s="173"/>
      <c r="R764" s="173"/>
      <c r="S764" s="173"/>
      <c r="T764" s="173"/>
      <c r="U764" s="173"/>
      <c r="V764" s="173"/>
    </row>
    <row r="765" spans="1:22" ht="12.5">
      <c r="A765" s="173"/>
      <c r="B765" s="174"/>
      <c r="C765" s="174"/>
      <c r="D765" s="173"/>
      <c r="E765" s="173"/>
      <c r="F765" s="173"/>
      <c r="G765" s="175"/>
      <c r="H765" s="173"/>
      <c r="I765" s="173"/>
      <c r="J765" s="173"/>
      <c r="K765" s="176"/>
      <c r="L765" s="176"/>
      <c r="M765" s="173"/>
      <c r="N765" s="173"/>
      <c r="O765" s="173"/>
      <c r="P765" s="173"/>
      <c r="Q765" s="173"/>
      <c r="R765" s="173"/>
      <c r="S765" s="173"/>
      <c r="T765" s="173"/>
      <c r="U765" s="173"/>
      <c r="V765" s="173"/>
    </row>
    <row r="766" spans="1:22" ht="12.5">
      <c r="A766" s="173"/>
      <c r="B766" s="174"/>
      <c r="C766" s="174"/>
      <c r="D766" s="173"/>
      <c r="E766" s="173"/>
      <c r="F766" s="173"/>
      <c r="G766" s="175"/>
      <c r="H766" s="173"/>
      <c r="I766" s="173"/>
      <c r="J766" s="173"/>
      <c r="K766" s="176"/>
      <c r="L766" s="176"/>
      <c r="M766" s="173"/>
      <c r="N766" s="173"/>
      <c r="O766" s="173"/>
      <c r="P766" s="173"/>
      <c r="Q766" s="173"/>
      <c r="R766" s="173"/>
      <c r="S766" s="173"/>
      <c r="T766" s="173"/>
      <c r="U766" s="173"/>
      <c r="V766" s="173"/>
    </row>
    <row r="767" spans="1:22" ht="12.5">
      <c r="A767" s="173"/>
      <c r="B767" s="174"/>
      <c r="C767" s="174"/>
      <c r="D767" s="173"/>
      <c r="E767" s="173"/>
      <c r="F767" s="173"/>
      <c r="G767" s="175"/>
      <c r="H767" s="173"/>
      <c r="I767" s="173"/>
      <c r="J767" s="173"/>
      <c r="K767" s="176"/>
      <c r="L767" s="176"/>
      <c r="M767" s="173"/>
      <c r="N767" s="173"/>
      <c r="O767" s="173"/>
      <c r="P767" s="173"/>
      <c r="Q767" s="173"/>
      <c r="R767" s="173"/>
      <c r="S767" s="173"/>
      <c r="T767" s="173"/>
      <c r="U767" s="173"/>
      <c r="V767" s="173"/>
    </row>
    <row r="768" spans="1:22" ht="12.5">
      <c r="A768" s="173"/>
      <c r="B768" s="174"/>
      <c r="C768" s="174"/>
      <c r="D768" s="173"/>
      <c r="E768" s="173"/>
      <c r="F768" s="173"/>
      <c r="G768" s="175"/>
      <c r="H768" s="173"/>
      <c r="I768" s="173"/>
      <c r="J768" s="173"/>
      <c r="K768" s="176"/>
      <c r="L768" s="176"/>
      <c r="M768" s="173"/>
      <c r="N768" s="173"/>
      <c r="O768" s="173"/>
      <c r="P768" s="173"/>
      <c r="Q768" s="173"/>
      <c r="R768" s="173"/>
      <c r="S768" s="173"/>
      <c r="T768" s="173"/>
      <c r="U768" s="173"/>
      <c r="V768" s="173"/>
    </row>
    <row r="769" spans="1:22" ht="12.5">
      <c r="A769" s="173"/>
      <c r="B769" s="174"/>
      <c r="C769" s="174"/>
      <c r="D769" s="173"/>
      <c r="E769" s="173"/>
      <c r="F769" s="173"/>
      <c r="G769" s="175"/>
      <c r="H769" s="173"/>
      <c r="I769" s="173"/>
      <c r="J769" s="173"/>
      <c r="K769" s="176"/>
      <c r="L769" s="176"/>
      <c r="M769" s="173"/>
      <c r="N769" s="173"/>
      <c r="O769" s="173"/>
      <c r="P769" s="173"/>
      <c r="Q769" s="173"/>
      <c r="R769" s="173"/>
      <c r="S769" s="173"/>
      <c r="T769" s="173"/>
      <c r="U769" s="173"/>
      <c r="V769" s="173"/>
    </row>
    <row r="770" spans="1:22" ht="12.5">
      <c r="A770" s="173"/>
      <c r="B770" s="174"/>
      <c r="C770" s="174"/>
      <c r="D770" s="173"/>
      <c r="E770" s="173"/>
      <c r="F770" s="173"/>
      <c r="G770" s="175"/>
      <c r="H770" s="173"/>
      <c r="I770" s="173"/>
      <c r="J770" s="173"/>
      <c r="K770" s="176"/>
      <c r="L770" s="176"/>
      <c r="M770" s="173"/>
      <c r="N770" s="173"/>
      <c r="O770" s="173"/>
      <c r="P770" s="173"/>
      <c r="Q770" s="173"/>
      <c r="R770" s="173"/>
      <c r="S770" s="173"/>
      <c r="T770" s="173"/>
      <c r="U770" s="173"/>
      <c r="V770" s="173"/>
    </row>
    <row r="771" spans="1:22" ht="12.5">
      <c r="A771" s="173"/>
      <c r="B771" s="174"/>
      <c r="C771" s="174"/>
      <c r="D771" s="173"/>
      <c r="E771" s="173"/>
      <c r="F771" s="173"/>
      <c r="G771" s="175"/>
      <c r="H771" s="173"/>
      <c r="I771" s="173"/>
      <c r="J771" s="173"/>
      <c r="K771" s="176"/>
      <c r="L771" s="176"/>
      <c r="M771" s="173"/>
      <c r="N771" s="173"/>
      <c r="O771" s="173"/>
      <c r="P771" s="173"/>
      <c r="Q771" s="173"/>
      <c r="R771" s="173"/>
      <c r="S771" s="173"/>
      <c r="T771" s="173"/>
      <c r="U771" s="173"/>
      <c r="V771" s="173"/>
    </row>
    <row r="772" spans="1:22" ht="12.5">
      <c r="A772" s="173"/>
      <c r="B772" s="174"/>
      <c r="C772" s="174"/>
      <c r="D772" s="173"/>
      <c r="E772" s="173"/>
      <c r="F772" s="173"/>
      <c r="G772" s="175"/>
      <c r="H772" s="173"/>
      <c r="I772" s="173"/>
      <c r="J772" s="173"/>
      <c r="K772" s="176"/>
      <c r="L772" s="176"/>
      <c r="M772" s="173"/>
      <c r="N772" s="173"/>
      <c r="O772" s="173"/>
      <c r="P772" s="173"/>
      <c r="Q772" s="173"/>
      <c r="R772" s="173"/>
      <c r="S772" s="173"/>
      <c r="T772" s="173"/>
      <c r="U772" s="173"/>
      <c r="V772" s="173"/>
    </row>
    <row r="773" spans="1:22" ht="12.5">
      <c r="A773" s="173"/>
      <c r="B773" s="174"/>
      <c r="C773" s="174"/>
      <c r="D773" s="173"/>
      <c r="E773" s="173"/>
      <c r="F773" s="173"/>
      <c r="G773" s="175"/>
      <c r="H773" s="173"/>
      <c r="I773" s="173"/>
      <c r="J773" s="173"/>
      <c r="K773" s="176"/>
      <c r="L773" s="176"/>
      <c r="M773" s="173"/>
      <c r="N773" s="173"/>
      <c r="O773" s="173"/>
      <c r="P773" s="173"/>
      <c r="Q773" s="173"/>
      <c r="R773" s="173"/>
      <c r="S773" s="173"/>
      <c r="T773" s="173"/>
      <c r="U773" s="173"/>
      <c r="V773" s="173"/>
    </row>
    <row r="774" spans="1:22" ht="12.5">
      <c r="A774" s="173"/>
      <c r="B774" s="174"/>
      <c r="C774" s="174"/>
      <c r="D774" s="173"/>
      <c r="E774" s="173"/>
      <c r="F774" s="173"/>
      <c r="G774" s="175"/>
      <c r="H774" s="173"/>
      <c r="I774" s="173"/>
      <c r="J774" s="173"/>
      <c r="K774" s="176"/>
      <c r="L774" s="176"/>
      <c r="M774" s="173"/>
      <c r="N774" s="173"/>
      <c r="O774" s="173"/>
      <c r="P774" s="173"/>
      <c r="Q774" s="173"/>
      <c r="R774" s="173"/>
      <c r="S774" s="173"/>
      <c r="T774" s="173"/>
      <c r="U774" s="173"/>
      <c r="V774" s="173"/>
    </row>
    <row r="775" spans="1:22" ht="12.5">
      <c r="A775" s="173"/>
      <c r="B775" s="174"/>
      <c r="C775" s="174"/>
      <c r="D775" s="173"/>
      <c r="E775" s="173"/>
      <c r="F775" s="173"/>
      <c r="G775" s="175"/>
      <c r="H775" s="173"/>
      <c r="I775" s="173"/>
      <c r="J775" s="173"/>
      <c r="K775" s="176"/>
      <c r="L775" s="176"/>
      <c r="M775" s="173"/>
      <c r="N775" s="173"/>
      <c r="O775" s="173"/>
      <c r="P775" s="173"/>
      <c r="Q775" s="173"/>
      <c r="R775" s="173"/>
      <c r="S775" s="173"/>
      <c r="T775" s="173"/>
      <c r="U775" s="173"/>
      <c r="V775" s="173"/>
    </row>
    <row r="776" spans="1:22" ht="12.5">
      <c r="A776" s="173"/>
      <c r="B776" s="174"/>
      <c r="C776" s="174"/>
      <c r="D776" s="173"/>
      <c r="E776" s="173"/>
      <c r="F776" s="173"/>
      <c r="G776" s="175"/>
      <c r="H776" s="173"/>
      <c r="I776" s="173"/>
      <c r="J776" s="173"/>
      <c r="K776" s="176"/>
      <c r="L776" s="176"/>
      <c r="M776" s="173"/>
      <c r="N776" s="173"/>
      <c r="O776" s="173"/>
      <c r="P776" s="173"/>
      <c r="Q776" s="173"/>
      <c r="R776" s="173"/>
      <c r="S776" s="173"/>
      <c r="T776" s="173"/>
      <c r="U776" s="173"/>
      <c r="V776" s="173"/>
    </row>
    <row r="777" spans="1:22" ht="12.5">
      <c r="A777" s="173"/>
      <c r="B777" s="174"/>
      <c r="C777" s="174"/>
      <c r="D777" s="173"/>
      <c r="E777" s="173"/>
      <c r="F777" s="173"/>
      <c r="G777" s="175"/>
      <c r="H777" s="173"/>
      <c r="I777" s="173"/>
      <c r="J777" s="173"/>
      <c r="K777" s="176"/>
      <c r="L777" s="176"/>
      <c r="M777" s="173"/>
      <c r="N777" s="173"/>
      <c r="O777" s="173"/>
      <c r="P777" s="173"/>
      <c r="Q777" s="173"/>
      <c r="R777" s="173"/>
      <c r="S777" s="173"/>
      <c r="T777" s="173"/>
      <c r="U777" s="173"/>
      <c r="V777" s="173"/>
    </row>
    <row r="778" spans="1:22" ht="12.5">
      <c r="A778" s="173"/>
      <c r="B778" s="174"/>
      <c r="C778" s="174"/>
      <c r="D778" s="173"/>
      <c r="E778" s="173"/>
      <c r="F778" s="173"/>
      <c r="G778" s="175"/>
      <c r="H778" s="173"/>
      <c r="I778" s="173"/>
      <c r="J778" s="173"/>
      <c r="K778" s="176"/>
      <c r="L778" s="176"/>
      <c r="M778" s="173"/>
      <c r="N778" s="173"/>
      <c r="O778" s="173"/>
      <c r="P778" s="173"/>
      <c r="Q778" s="173"/>
      <c r="R778" s="173"/>
      <c r="S778" s="173"/>
      <c r="T778" s="173"/>
      <c r="U778" s="173"/>
      <c r="V778" s="173"/>
    </row>
    <row r="779" spans="1:22" ht="12.5">
      <c r="A779" s="173"/>
      <c r="B779" s="174"/>
      <c r="C779" s="174"/>
      <c r="D779" s="173"/>
      <c r="E779" s="173"/>
      <c r="F779" s="173"/>
      <c r="G779" s="175"/>
      <c r="H779" s="173"/>
      <c r="I779" s="173"/>
      <c r="J779" s="173"/>
      <c r="K779" s="176"/>
      <c r="L779" s="176"/>
      <c r="M779" s="173"/>
      <c r="N779" s="173"/>
      <c r="O779" s="173"/>
      <c r="P779" s="173"/>
      <c r="Q779" s="173"/>
      <c r="R779" s="173"/>
      <c r="S779" s="173"/>
      <c r="T779" s="173"/>
      <c r="U779" s="173"/>
      <c r="V779" s="173"/>
    </row>
    <row r="780" spans="1:22" ht="12.5">
      <c r="A780" s="173"/>
      <c r="B780" s="174"/>
      <c r="C780" s="174"/>
      <c r="D780" s="173"/>
      <c r="E780" s="173"/>
      <c r="F780" s="173"/>
      <c r="G780" s="175"/>
      <c r="H780" s="173"/>
      <c r="I780" s="173"/>
      <c r="J780" s="173"/>
      <c r="K780" s="176"/>
      <c r="L780" s="176"/>
      <c r="M780" s="173"/>
      <c r="N780" s="173"/>
      <c r="O780" s="173"/>
      <c r="P780" s="173"/>
      <c r="Q780" s="173"/>
      <c r="R780" s="173"/>
      <c r="S780" s="173"/>
      <c r="T780" s="173"/>
      <c r="U780" s="173"/>
      <c r="V780" s="173"/>
    </row>
    <row r="781" spans="1:22" ht="12.5">
      <c r="A781" s="173"/>
      <c r="B781" s="174"/>
      <c r="C781" s="174"/>
      <c r="D781" s="173"/>
      <c r="E781" s="173"/>
      <c r="F781" s="173"/>
      <c r="G781" s="175"/>
      <c r="H781" s="173"/>
      <c r="I781" s="173"/>
      <c r="J781" s="173"/>
      <c r="K781" s="176"/>
      <c r="L781" s="176"/>
      <c r="M781" s="173"/>
      <c r="N781" s="173"/>
      <c r="O781" s="173"/>
      <c r="P781" s="173"/>
      <c r="Q781" s="173"/>
      <c r="R781" s="173"/>
      <c r="S781" s="173"/>
      <c r="T781" s="173"/>
      <c r="U781" s="173"/>
      <c r="V781" s="173"/>
    </row>
    <row r="782" spans="1:22" ht="12.5">
      <c r="A782" s="173"/>
      <c r="B782" s="174"/>
      <c r="C782" s="174"/>
      <c r="D782" s="173"/>
      <c r="E782" s="173"/>
      <c r="F782" s="173"/>
      <c r="G782" s="175"/>
      <c r="H782" s="173"/>
      <c r="I782" s="173"/>
      <c r="J782" s="173"/>
      <c r="K782" s="176"/>
      <c r="L782" s="176"/>
      <c r="M782" s="173"/>
      <c r="N782" s="173"/>
      <c r="O782" s="173"/>
      <c r="P782" s="173"/>
      <c r="Q782" s="173"/>
      <c r="R782" s="173"/>
      <c r="S782" s="173"/>
      <c r="T782" s="173"/>
      <c r="U782" s="173"/>
      <c r="V782" s="173"/>
    </row>
    <row r="783" spans="1:22" ht="12.5">
      <c r="A783" s="173"/>
      <c r="B783" s="174"/>
      <c r="C783" s="174"/>
      <c r="D783" s="173"/>
      <c r="E783" s="173"/>
      <c r="F783" s="173"/>
      <c r="G783" s="175"/>
      <c r="H783" s="173"/>
      <c r="I783" s="173"/>
      <c r="J783" s="173"/>
      <c r="K783" s="176"/>
      <c r="L783" s="176"/>
      <c r="M783" s="173"/>
      <c r="N783" s="173"/>
      <c r="O783" s="173"/>
      <c r="P783" s="173"/>
      <c r="Q783" s="173"/>
      <c r="R783" s="173"/>
      <c r="S783" s="173"/>
      <c r="T783" s="173"/>
      <c r="U783" s="173"/>
      <c r="V783" s="173"/>
    </row>
    <row r="784" spans="1:22" ht="12.5">
      <c r="A784" s="173"/>
      <c r="B784" s="174"/>
      <c r="C784" s="174"/>
      <c r="D784" s="173"/>
      <c r="E784" s="173"/>
      <c r="F784" s="173"/>
      <c r="G784" s="175"/>
      <c r="H784" s="173"/>
      <c r="I784" s="173"/>
      <c r="J784" s="173"/>
      <c r="K784" s="176"/>
      <c r="L784" s="176"/>
      <c r="M784" s="173"/>
      <c r="N784" s="173"/>
      <c r="O784" s="173"/>
      <c r="P784" s="173"/>
      <c r="Q784" s="173"/>
      <c r="R784" s="173"/>
      <c r="S784" s="173"/>
      <c r="T784" s="173"/>
      <c r="U784" s="173"/>
      <c r="V784" s="173"/>
    </row>
    <row r="785" spans="1:22" ht="12.5">
      <c r="A785" s="173"/>
      <c r="B785" s="174"/>
      <c r="C785" s="174"/>
      <c r="D785" s="173"/>
      <c r="E785" s="173"/>
      <c r="F785" s="173"/>
      <c r="G785" s="175"/>
      <c r="H785" s="173"/>
      <c r="I785" s="173"/>
      <c r="J785" s="173"/>
      <c r="K785" s="176"/>
      <c r="L785" s="176"/>
      <c r="M785" s="173"/>
      <c r="N785" s="173"/>
      <c r="O785" s="173"/>
      <c r="P785" s="173"/>
      <c r="Q785" s="173"/>
      <c r="R785" s="173"/>
      <c r="S785" s="173"/>
      <c r="T785" s="173"/>
      <c r="U785" s="173"/>
      <c r="V785" s="173"/>
    </row>
    <row r="786" spans="1:22" ht="12.5">
      <c r="A786" s="173"/>
      <c r="B786" s="174"/>
      <c r="C786" s="174"/>
      <c r="D786" s="173"/>
      <c r="E786" s="173"/>
      <c r="F786" s="173"/>
      <c r="G786" s="175"/>
      <c r="H786" s="173"/>
      <c r="I786" s="173"/>
      <c r="J786" s="173"/>
      <c r="K786" s="176"/>
      <c r="L786" s="176"/>
      <c r="M786" s="173"/>
      <c r="N786" s="173"/>
      <c r="O786" s="173"/>
      <c r="P786" s="173"/>
      <c r="Q786" s="173"/>
      <c r="R786" s="173"/>
      <c r="S786" s="173"/>
      <c r="T786" s="173"/>
      <c r="U786" s="173"/>
      <c r="V786" s="173"/>
    </row>
    <row r="787" spans="1:22" ht="12.5">
      <c r="A787" s="173"/>
      <c r="B787" s="174"/>
      <c r="C787" s="174"/>
      <c r="D787" s="173"/>
      <c r="E787" s="173"/>
      <c r="F787" s="173"/>
      <c r="G787" s="175"/>
      <c r="H787" s="173"/>
      <c r="I787" s="173"/>
      <c r="J787" s="173"/>
      <c r="K787" s="176"/>
      <c r="L787" s="176"/>
      <c r="M787" s="173"/>
      <c r="N787" s="173"/>
      <c r="O787" s="173"/>
      <c r="P787" s="173"/>
      <c r="Q787" s="173"/>
      <c r="R787" s="173"/>
      <c r="S787" s="173"/>
      <c r="T787" s="173"/>
      <c r="U787" s="173"/>
      <c r="V787" s="173"/>
    </row>
    <row r="788" spans="1:22" ht="12.5">
      <c r="A788" s="173"/>
      <c r="B788" s="174"/>
      <c r="C788" s="174"/>
      <c r="D788" s="173"/>
      <c r="E788" s="173"/>
      <c r="F788" s="173"/>
      <c r="G788" s="175"/>
      <c r="H788" s="173"/>
      <c r="I788" s="173"/>
      <c r="J788" s="173"/>
      <c r="K788" s="176"/>
      <c r="L788" s="176"/>
      <c r="M788" s="173"/>
      <c r="N788" s="173"/>
      <c r="O788" s="173"/>
      <c r="P788" s="173"/>
      <c r="Q788" s="173"/>
      <c r="R788" s="173"/>
      <c r="S788" s="173"/>
      <c r="T788" s="173"/>
      <c r="U788" s="173"/>
      <c r="V788" s="173"/>
    </row>
    <row r="789" spans="1:22" ht="12.5">
      <c r="A789" s="173"/>
      <c r="B789" s="174"/>
      <c r="C789" s="174"/>
      <c r="D789" s="173"/>
      <c r="E789" s="173"/>
      <c r="F789" s="173"/>
      <c r="G789" s="175"/>
      <c r="H789" s="173"/>
      <c r="I789" s="173"/>
      <c r="J789" s="173"/>
      <c r="K789" s="176"/>
      <c r="L789" s="176"/>
      <c r="M789" s="173"/>
      <c r="N789" s="173"/>
      <c r="O789" s="173"/>
      <c r="P789" s="173"/>
      <c r="Q789" s="173"/>
      <c r="R789" s="173"/>
      <c r="S789" s="173"/>
      <c r="T789" s="173"/>
      <c r="U789" s="173"/>
      <c r="V789" s="173"/>
    </row>
    <row r="790" spans="1:22" ht="12.5">
      <c r="A790" s="173"/>
      <c r="B790" s="174"/>
      <c r="C790" s="174"/>
      <c r="D790" s="173"/>
      <c r="E790" s="173"/>
      <c r="F790" s="173"/>
      <c r="G790" s="175"/>
      <c r="H790" s="173"/>
      <c r="I790" s="173"/>
      <c r="J790" s="173"/>
      <c r="K790" s="176"/>
      <c r="L790" s="176"/>
      <c r="M790" s="173"/>
      <c r="N790" s="173"/>
      <c r="O790" s="173"/>
      <c r="P790" s="173"/>
      <c r="Q790" s="173"/>
      <c r="R790" s="173"/>
      <c r="S790" s="173"/>
      <c r="T790" s="173"/>
      <c r="U790" s="173"/>
      <c r="V790" s="173"/>
    </row>
    <row r="791" spans="1:22" ht="12.5">
      <c r="A791" s="173"/>
      <c r="B791" s="174"/>
      <c r="C791" s="174"/>
      <c r="D791" s="173"/>
      <c r="E791" s="173"/>
      <c r="F791" s="173"/>
      <c r="G791" s="175"/>
      <c r="H791" s="173"/>
      <c r="I791" s="173"/>
      <c r="J791" s="173"/>
      <c r="K791" s="176"/>
      <c r="L791" s="176"/>
      <c r="M791" s="173"/>
      <c r="N791" s="173"/>
      <c r="O791" s="173"/>
      <c r="P791" s="173"/>
      <c r="Q791" s="173"/>
      <c r="R791" s="173"/>
      <c r="S791" s="173"/>
      <c r="T791" s="173"/>
      <c r="U791" s="173"/>
      <c r="V791" s="173"/>
    </row>
    <row r="792" spans="1:22" ht="12.5">
      <c r="A792" s="173"/>
      <c r="B792" s="174"/>
      <c r="C792" s="174"/>
      <c r="D792" s="173"/>
      <c r="E792" s="173"/>
      <c r="F792" s="173"/>
      <c r="G792" s="175"/>
      <c r="H792" s="173"/>
      <c r="I792" s="173"/>
      <c r="J792" s="173"/>
      <c r="K792" s="176"/>
      <c r="L792" s="176"/>
      <c r="M792" s="173"/>
      <c r="N792" s="173"/>
      <c r="O792" s="173"/>
      <c r="P792" s="173"/>
      <c r="Q792" s="173"/>
      <c r="R792" s="173"/>
      <c r="S792" s="173"/>
      <c r="T792" s="173"/>
      <c r="U792" s="173"/>
      <c r="V792" s="173"/>
    </row>
    <row r="793" spans="1:22" ht="12.5">
      <c r="A793" s="173"/>
      <c r="B793" s="174"/>
      <c r="C793" s="174"/>
      <c r="D793" s="173"/>
      <c r="E793" s="173"/>
      <c r="F793" s="173"/>
      <c r="G793" s="175"/>
      <c r="H793" s="173"/>
      <c r="I793" s="173"/>
      <c r="J793" s="173"/>
      <c r="K793" s="176"/>
      <c r="L793" s="176"/>
      <c r="M793" s="173"/>
      <c r="N793" s="173"/>
      <c r="O793" s="173"/>
      <c r="P793" s="173"/>
      <c r="Q793" s="173"/>
      <c r="R793" s="173"/>
      <c r="S793" s="173"/>
      <c r="T793" s="173"/>
      <c r="U793" s="173"/>
      <c r="V793" s="173"/>
    </row>
    <row r="794" spans="1:22" ht="12.5">
      <c r="A794" s="173"/>
      <c r="B794" s="174"/>
      <c r="C794" s="174"/>
      <c r="D794" s="173"/>
      <c r="E794" s="173"/>
      <c r="F794" s="173"/>
      <c r="G794" s="175"/>
      <c r="H794" s="173"/>
      <c r="I794" s="173"/>
      <c r="J794" s="173"/>
      <c r="K794" s="176"/>
      <c r="L794" s="176"/>
      <c r="M794" s="173"/>
      <c r="N794" s="173"/>
      <c r="O794" s="173"/>
      <c r="P794" s="173"/>
      <c r="Q794" s="173"/>
      <c r="R794" s="173"/>
      <c r="S794" s="173"/>
      <c r="T794" s="173"/>
      <c r="U794" s="173"/>
      <c r="V794" s="173"/>
    </row>
    <row r="795" spans="1:22" ht="12.5">
      <c r="A795" s="173"/>
      <c r="B795" s="174"/>
      <c r="C795" s="174"/>
      <c r="D795" s="173"/>
      <c r="E795" s="173"/>
      <c r="F795" s="173"/>
      <c r="G795" s="175"/>
      <c r="H795" s="173"/>
      <c r="I795" s="173"/>
      <c r="J795" s="173"/>
      <c r="K795" s="176"/>
      <c r="L795" s="176"/>
      <c r="M795" s="173"/>
      <c r="N795" s="173"/>
      <c r="O795" s="173"/>
      <c r="P795" s="173"/>
      <c r="Q795" s="173"/>
      <c r="R795" s="173"/>
      <c r="S795" s="173"/>
      <c r="T795" s="173"/>
      <c r="U795" s="173"/>
      <c r="V795" s="173"/>
    </row>
    <row r="796" spans="1:22" ht="12.5">
      <c r="A796" s="173"/>
      <c r="B796" s="174"/>
      <c r="C796" s="174"/>
      <c r="D796" s="173"/>
      <c r="E796" s="173"/>
      <c r="F796" s="173"/>
      <c r="G796" s="175"/>
      <c r="H796" s="173"/>
      <c r="I796" s="173"/>
      <c r="J796" s="173"/>
      <c r="K796" s="176"/>
      <c r="L796" s="176"/>
      <c r="M796" s="173"/>
      <c r="N796" s="173"/>
      <c r="O796" s="173"/>
      <c r="P796" s="173"/>
      <c r="Q796" s="173"/>
      <c r="R796" s="173"/>
      <c r="S796" s="173"/>
      <c r="T796" s="173"/>
      <c r="U796" s="173"/>
      <c r="V796" s="173"/>
    </row>
    <row r="797" spans="1:22" ht="12.5">
      <c r="A797" s="173"/>
      <c r="B797" s="174"/>
      <c r="C797" s="174"/>
      <c r="D797" s="173"/>
      <c r="E797" s="173"/>
      <c r="F797" s="173"/>
      <c r="G797" s="175"/>
      <c r="H797" s="173"/>
      <c r="I797" s="173"/>
      <c r="J797" s="173"/>
      <c r="K797" s="176"/>
      <c r="L797" s="176"/>
      <c r="M797" s="173"/>
      <c r="N797" s="173"/>
      <c r="O797" s="173"/>
      <c r="P797" s="173"/>
      <c r="Q797" s="173"/>
      <c r="R797" s="173"/>
      <c r="S797" s="173"/>
      <c r="T797" s="173"/>
      <c r="U797" s="173"/>
      <c r="V797" s="173"/>
    </row>
    <row r="798" spans="1:22" ht="12.5">
      <c r="A798" s="173"/>
      <c r="B798" s="174"/>
      <c r="C798" s="174"/>
      <c r="D798" s="173"/>
      <c r="E798" s="173"/>
      <c r="F798" s="173"/>
      <c r="G798" s="175"/>
      <c r="H798" s="173"/>
      <c r="I798" s="173"/>
      <c r="J798" s="173"/>
      <c r="K798" s="176"/>
      <c r="L798" s="176"/>
      <c r="M798" s="173"/>
      <c r="N798" s="173"/>
      <c r="O798" s="173"/>
      <c r="P798" s="173"/>
      <c r="Q798" s="173"/>
      <c r="R798" s="173"/>
      <c r="S798" s="173"/>
      <c r="T798" s="173"/>
      <c r="U798" s="173"/>
      <c r="V798" s="173"/>
    </row>
    <row r="799" spans="1:22" ht="12.5">
      <c r="A799" s="173"/>
      <c r="B799" s="174"/>
      <c r="C799" s="174"/>
      <c r="D799" s="173"/>
      <c r="E799" s="173"/>
      <c r="F799" s="173"/>
      <c r="G799" s="175"/>
      <c r="H799" s="173"/>
      <c r="I799" s="173"/>
      <c r="J799" s="173"/>
      <c r="K799" s="176"/>
      <c r="L799" s="176"/>
      <c r="M799" s="173"/>
      <c r="N799" s="173"/>
      <c r="O799" s="173"/>
      <c r="P799" s="173"/>
      <c r="Q799" s="173"/>
      <c r="R799" s="173"/>
      <c r="S799" s="173"/>
      <c r="T799" s="173"/>
      <c r="U799" s="173"/>
      <c r="V799" s="173"/>
    </row>
    <row r="800" spans="1:22" ht="12.5">
      <c r="A800" s="173"/>
      <c r="B800" s="174"/>
      <c r="C800" s="174"/>
      <c r="D800" s="173"/>
      <c r="E800" s="173"/>
      <c r="F800" s="173"/>
      <c r="G800" s="175"/>
      <c r="H800" s="173"/>
      <c r="I800" s="173"/>
      <c r="J800" s="173"/>
      <c r="K800" s="176"/>
      <c r="L800" s="176"/>
      <c r="M800" s="173"/>
      <c r="N800" s="173"/>
      <c r="O800" s="173"/>
      <c r="P800" s="173"/>
      <c r="Q800" s="173"/>
      <c r="R800" s="173"/>
      <c r="S800" s="173"/>
      <c r="T800" s="173"/>
      <c r="U800" s="173"/>
      <c r="V800" s="173"/>
    </row>
    <row r="801" spans="1:22" ht="12.5">
      <c r="A801" s="173"/>
      <c r="B801" s="174"/>
      <c r="C801" s="174"/>
      <c r="D801" s="173"/>
      <c r="E801" s="173"/>
      <c r="F801" s="173"/>
      <c r="G801" s="175"/>
      <c r="H801" s="173"/>
      <c r="I801" s="173"/>
      <c r="J801" s="173"/>
      <c r="K801" s="176"/>
      <c r="L801" s="176"/>
      <c r="M801" s="173"/>
      <c r="N801" s="173"/>
      <c r="O801" s="173"/>
      <c r="P801" s="173"/>
      <c r="Q801" s="173"/>
      <c r="R801" s="173"/>
      <c r="S801" s="173"/>
      <c r="T801" s="173"/>
      <c r="U801" s="173"/>
      <c r="V801" s="173"/>
    </row>
    <row r="802" spans="1:22" ht="12.5">
      <c r="A802" s="173"/>
      <c r="B802" s="174"/>
      <c r="C802" s="174"/>
      <c r="D802" s="173"/>
      <c r="E802" s="173"/>
      <c r="F802" s="173"/>
      <c r="G802" s="175"/>
      <c r="H802" s="173"/>
      <c r="I802" s="173"/>
      <c r="J802" s="173"/>
      <c r="K802" s="176"/>
      <c r="L802" s="176"/>
      <c r="M802" s="173"/>
      <c r="N802" s="173"/>
      <c r="O802" s="173"/>
      <c r="P802" s="173"/>
      <c r="Q802" s="173"/>
      <c r="R802" s="173"/>
      <c r="S802" s="173"/>
      <c r="T802" s="173"/>
      <c r="U802" s="173"/>
      <c r="V802" s="173"/>
    </row>
    <row r="803" spans="1:22" ht="12.5">
      <c r="A803" s="173"/>
      <c r="B803" s="174"/>
      <c r="C803" s="174"/>
      <c r="D803" s="173"/>
      <c r="E803" s="173"/>
      <c r="F803" s="173"/>
      <c r="G803" s="175"/>
      <c r="H803" s="173"/>
      <c r="I803" s="173"/>
      <c r="J803" s="173"/>
      <c r="K803" s="176"/>
      <c r="L803" s="176"/>
      <c r="M803" s="173"/>
      <c r="N803" s="173"/>
      <c r="O803" s="173"/>
      <c r="P803" s="173"/>
      <c r="Q803" s="173"/>
      <c r="R803" s="173"/>
      <c r="S803" s="173"/>
      <c r="T803" s="173"/>
      <c r="U803" s="173"/>
      <c r="V803" s="173"/>
    </row>
    <row r="804" spans="1:22" ht="12.5">
      <c r="A804" s="173"/>
      <c r="B804" s="174"/>
      <c r="C804" s="174"/>
      <c r="D804" s="173"/>
      <c r="E804" s="173"/>
      <c r="F804" s="173"/>
      <c r="G804" s="175"/>
      <c r="H804" s="173"/>
      <c r="I804" s="173"/>
      <c r="J804" s="173"/>
      <c r="K804" s="176"/>
      <c r="L804" s="176"/>
      <c r="M804" s="173"/>
      <c r="N804" s="173"/>
      <c r="O804" s="173"/>
      <c r="P804" s="173"/>
      <c r="Q804" s="173"/>
      <c r="R804" s="173"/>
      <c r="S804" s="173"/>
      <c r="T804" s="173"/>
      <c r="U804" s="173"/>
      <c r="V804" s="173"/>
    </row>
    <row r="805" spans="1:22" ht="12.5">
      <c r="A805" s="173"/>
      <c r="B805" s="174"/>
      <c r="C805" s="174"/>
      <c r="D805" s="173"/>
      <c r="E805" s="173"/>
      <c r="F805" s="173"/>
      <c r="G805" s="175"/>
      <c r="H805" s="173"/>
      <c r="I805" s="173"/>
      <c r="J805" s="173"/>
      <c r="K805" s="176"/>
      <c r="L805" s="176"/>
      <c r="M805" s="173"/>
      <c r="N805" s="173"/>
      <c r="O805" s="173"/>
      <c r="P805" s="173"/>
      <c r="Q805" s="173"/>
      <c r="R805" s="173"/>
      <c r="S805" s="173"/>
      <c r="T805" s="173"/>
      <c r="U805" s="173"/>
      <c r="V805" s="173"/>
    </row>
    <row r="806" spans="1:22" ht="12.5">
      <c r="A806" s="173"/>
      <c r="B806" s="174"/>
      <c r="C806" s="174"/>
      <c r="D806" s="173"/>
      <c r="E806" s="173"/>
      <c r="F806" s="173"/>
      <c r="G806" s="175"/>
      <c r="H806" s="173"/>
      <c r="I806" s="173"/>
      <c r="J806" s="173"/>
      <c r="K806" s="176"/>
      <c r="L806" s="176"/>
      <c r="M806" s="173"/>
      <c r="N806" s="173"/>
      <c r="O806" s="173"/>
      <c r="P806" s="173"/>
      <c r="Q806" s="173"/>
      <c r="R806" s="173"/>
      <c r="S806" s="173"/>
      <c r="T806" s="173"/>
      <c r="U806" s="173"/>
      <c r="V806" s="173"/>
    </row>
    <row r="807" spans="1:22" ht="12.5">
      <c r="A807" s="173"/>
      <c r="B807" s="174"/>
      <c r="C807" s="174"/>
      <c r="D807" s="173"/>
      <c r="E807" s="173"/>
      <c r="F807" s="173"/>
      <c r="G807" s="175"/>
      <c r="H807" s="173"/>
      <c r="I807" s="173"/>
      <c r="J807" s="173"/>
      <c r="K807" s="176"/>
      <c r="L807" s="176"/>
      <c r="M807" s="173"/>
      <c r="N807" s="173"/>
      <c r="O807" s="173"/>
      <c r="P807" s="173"/>
      <c r="Q807" s="173"/>
      <c r="R807" s="173"/>
      <c r="S807" s="173"/>
      <c r="T807" s="173"/>
      <c r="U807" s="173"/>
      <c r="V807" s="173"/>
    </row>
    <row r="808" spans="1:22" ht="12.5">
      <c r="A808" s="173"/>
      <c r="B808" s="174"/>
      <c r="C808" s="174"/>
      <c r="D808" s="173"/>
      <c r="E808" s="173"/>
      <c r="F808" s="173"/>
      <c r="G808" s="175"/>
      <c r="H808" s="173"/>
      <c r="I808" s="173"/>
      <c r="J808" s="173"/>
      <c r="K808" s="176"/>
      <c r="L808" s="176"/>
      <c r="M808" s="173"/>
      <c r="N808" s="173"/>
      <c r="O808" s="173"/>
      <c r="P808" s="173"/>
      <c r="Q808" s="173"/>
      <c r="R808" s="173"/>
      <c r="S808" s="173"/>
      <c r="T808" s="173"/>
      <c r="U808" s="173"/>
      <c r="V808" s="173"/>
    </row>
    <row r="809" spans="1:22" ht="12.5">
      <c r="A809" s="173"/>
      <c r="B809" s="174"/>
      <c r="C809" s="174"/>
      <c r="D809" s="173"/>
      <c r="E809" s="173"/>
      <c r="F809" s="173"/>
      <c r="G809" s="175"/>
      <c r="H809" s="173"/>
      <c r="I809" s="173"/>
      <c r="J809" s="173"/>
      <c r="K809" s="176"/>
      <c r="L809" s="176"/>
      <c r="M809" s="173"/>
      <c r="N809" s="173"/>
      <c r="O809" s="173"/>
      <c r="P809" s="173"/>
      <c r="Q809" s="173"/>
      <c r="R809" s="173"/>
      <c r="S809" s="173"/>
      <c r="T809" s="173"/>
      <c r="U809" s="173"/>
      <c r="V809" s="173"/>
    </row>
    <row r="810" spans="1:22" ht="12.5">
      <c r="A810" s="173"/>
      <c r="B810" s="174"/>
      <c r="C810" s="174"/>
      <c r="D810" s="173"/>
      <c r="E810" s="173"/>
      <c r="F810" s="173"/>
      <c r="G810" s="175"/>
      <c r="H810" s="173"/>
      <c r="I810" s="173"/>
      <c r="J810" s="173"/>
      <c r="K810" s="176"/>
      <c r="L810" s="176"/>
      <c r="M810" s="173"/>
      <c r="N810" s="173"/>
      <c r="O810" s="173"/>
      <c r="P810" s="173"/>
      <c r="Q810" s="173"/>
      <c r="R810" s="173"/>
      <c r="S810" s="173"/>
      <c r="T810" s="173"/>
      <c r="U810" s="173"/>
      <c r="V810" s="173"/>
    </row>
    <row r="811" spans="1:22" ht="12.5">
      <c r="A811" s="173"/>
      <c r="B811" s="174"/>
      <c r="C811" s="174"/>
      <c r="D811" s="173"/>
      <c r="E811" s="173"/>
      <c r="F811" s="173"/>
      <c r="G811" s="175"/>
      <c r="H811" s="173"/>
      <c r="I811" s="173"/>
      <c r="J811" s="173"/>
      <c r="K811" s="176"/>
      <c r="L811" s="176"/>
      <c r="M811" s="173"/>
      <c r="N811" s="173"/>
      <c r="O811" s="173"/>
      <c r="P811" s="173"/>
      <c r="Q811" s="173"/>
      <c r="R811" s="173"/>
      <c r="S811" s="173"/>
      <c r="T811" s="173"/>
      <c r="U811" s="173"/>
      <c r="V811" s="173"/>
    </row>
    <row r="812" spans="1:22" ht="12.5">
      <c r="A812" s="173"/>
      <c r="B812" s="174"/>
      <c r="C812" s="174"/>
      <c r="D812" s="173"/>
      <c r="E812" s="173"/>
      <c r="F812" s="173"/>
      <c r="G812" s="175"/>
      <c r="H812" s="173"/>
      <c r="I812" s="173"/>
      <c r="J812" s="173"/>
      <c r="K812" s="176"/>
      <c r="L812" s="176"/>
      <c r="M812" s="173"/>
      <c r="N812" s="173"/>
      <c r="O812" s="173"/>
      <c r="P812" s="173"/>
      <c r="Q812" s="173"/>
      <c r="R812" s="173"/>
      <c r="S812" s="173"/>
      <c r="T812" s="173"/>
      <c r="U812" s="173"/>
      <c r="V812" s="173"/>
    </row>
    <row r="813" spans="1:22" ht="12.5">
      <c r="A813" s="173"/>
      <c r="B813" s="174"/>
      <c r="C813" s="174"/>
      <c r="D813" s="173"/>
      <c r="E813" s="173"/>
      <c r="F813" s="173"/>
      <c r="G813" s="175"/>
      <c r="H813" s="173"/>
      <c r="I813" s="173"/>
      <c r="J813" s="173"/>
      <c r="K813" s="176"/>
      <c r="L813" s="176"/>
      <c r="M813" s="173"/>
      <c r="N813" s="173"/>
      <c r="O813" s="173"/>
      <c r="P813" s="173"/>
      <c r="Q813" s="173"/>
      <c r="R813" s="173"/>
      <c r="S813" s="173"/>
      <c r="T813" s="173"/>
      <c r="U813" s="173"/>
      <c r="V813" s="173"/>
    </row>
    <row r="814" spans="1:22" ht="12.5">
      <c r="A814" s="173"/>
      <c r="B814" s="174"/>
      <c r="C814" s="174"/>
      <c r="D814" s="173"/>
      <c r="E814" s="173"/>
      <c r="F814" s="173"/>
      <c r="G814" s="175"/>
      <c r="H814" s="173"/>
      <c r="I814" s="173"/>
      <c r="J814" s="173"/>
      <c r="K814" s="176"/>
      <c r="L814" s="176"/>
      <c r="M814" s="173"/>
      <c r="N814" s="173"/>
      <c r="O814" s="173"/>
      <c r="P814" s="173"/>
      <c r="Q814" s="173"/>
      <c r="R814" s="173"/>
      <c r="S814" s="173"/>
      <c r="T814" s="173"/>
      <c r="U814" s="173"/>
      <c r="V814" s="173"/>
    </row>
    <row r="815" spans="1:22" ht="12.5">
      <c r="A815" s="173"/>
      <c r="B815" s="174"/>
      <c r="C815" s="174"/>
      <c r="D815" s="173"/>
      <c r="E815" s="173"/>
      <c r="F815" s="173"/>
      <c r="G815" s="175"/>
      <c r="H815" s="173"/>
      <c r="I815" s="173"/>
      <c r="J815" s="173"/>
      <c r="K815" s="176"/>
      <c r="L815" s="176"/>
      <c r="M815" s="173"/>
      <c r="N815" s="173"/>
      <c r="O815" s="173"/>
      <c r="P815" s="173"/>
      <c r="Q815" s="173"/>
      <c r="R815" s="173"/>
      <c r="S815" s="173"/>
      <c r="T815" s="173"/>
      <c r="U815" s="173"/>
      <c r="V815" s="173"/>
    </row>
    <row r="816" spans="1:22" ht="12.5">
      <c r="A816" s="173"/>
      <c r="B816" s="174"/>
      <c r="C816" s="174"/>
      <c r="D816" s="173"/>
      <c r="E816" s="173"/>
      <c r="F816" s="173"/>
      <c r="G816" s="175"/>
      <c r="H816" s="173"/>
      <c r="I816" s="173"/>
      <c r="J816" s="173"/>
      <c r="K816" s="176"/>
      <c r="L816" s="176"/>
      <c r="M816" s="173"/>
      <c r="N816" s="173"/>
      <c r="O816" s="173"/>
      <c r="P816" s="173"/>
      <c r="Q816" s="173"/>
      <c r="R816" s="173"/>
      <c r="S816" s="173"/>
      <c r="T816" s="173"/>
      <c r="U816" s="173"/>
      <c r="V816" s="173"/>
    </row>
    <row r="817" spans="1:22" ht="12.5">
      <c r="A817" s="173"/>
      <c r="B817" s="174"/>
      <c r="C817" s="174"/>
      <c r="D817" s="173"/>
      <c r="E817" s="173"/>
      <c r="F817" s="173"/>
      <c r="G817" s="175"/>
      <c r="H817" s="173"/>
      <c r="I817" s="173"/>
      <c r="J817" s="173"/>
      <c r="K817" s="176"/>
      <c r="L817" s="176"/>
      <c r="M817" s="173"/>
      <c r="N817" s="173"/>
      <c r="O817" s="173"/>
      <c r="P817" s="173"/>
      <c r="Q817" s="173"/>
      <c r="R817" s="173"/>
      <c r="S817" s="173"/>
      <c r="T817" s="173"/>
      <c r="U817" s="173"/>
      <c r="V817" s="173"/>
    </row>
    <row r="818" spans="1:22" ht="12.5">
      <c r="A818" s="173"/>
      <c r="B818" s="174"/>
      <c r="C818" s="174"/>
      <c r="D818" s="173"/>
      <c r="E818" s="173"/>
      <c r="F818" s="173"/>
      <c r="G818" s="175"/>
      <c r="H818" s="173"/>
      <c r="I818" s="173"/>
      <c r="J818" s="173"/>
      <c r="K818" s="176"/>
      <c r="L818" s="176"/>
      <c r="M818" s="173"/>
      <c r="N818" s="173"/>
      <c r="O818" s="173"/>
      <c r="P818" s="173"/>
      <c r="Q818" s="173"/>
      <c r="R818" s="173"/>
      <c r="S818" s="173"/>
      <c r="T818" s="173"/>
      <c r="U818" s="173"/>
      <c r="V818" s="173"/>
    </row>
    <row r="819" spans="1:22" ht="12.5">
      <c r="A819" s="173"/>
      <c r="B819" s="174"/>
      <c r="C819" s="174"/>
      <c r="D819" s="173"/>
      <c r="E819" s="173"/>
      <c r="F819" s="173"/>
      <c r="G819" s="175"/>
      <c r="H819" s="173"/>
      <c r="I819" s="173"/>
      <c r="J819" s="173"/>
      <c r="K819" s="176"/>
      <c r="L819" s="176"/>
      <c r="M819" s="173"/>
      <c r="N819" s="173"/>
      <c r="O819" s="173"/>
      <c r="P819" s="173"/>
      <c r="Q819" s="173"/>
      <c r="R819" s="173"/>
      <c r="S819" s="173"/>
      <c r="T819" s="173"/>
      <c r="U819" s="173"/>
      <c r="V819" s="173"/>
    </row>
    <row r="820" spans="1:22" ht="12.5">
      <c r="A820" s="173"/>
      <c r="B820" s="174"/>
      <c r="C820" s="174"/>
      <c r="D820" s="173"/>
      <c r="E820" s="173"/>
      <c r="F820" s="173"/>
      <c r="G820" s="175"/>
      <c r="H820" s="173"/>
      <c r="I820" s="173"/>
      <c r="J820" s="173"/>
      <c r="K820" s="176"/>
      <c r="L820" s="176"/>
      <c r="M820" s="173"/>
      <c r="N820" s="173"/>
      <c r="O820" s="173"/>
      <c r="P820" s="173"/>
      <c r="Q820" s="173"/>
      <c r="R820" s="173"/>
      <c r="S820" s="173"/>
      <c r="T820" s="173"/>
      <c r="U820" s="173"/>
      <c r="V820" s="173"/>
    </row>
    <row r="821" spans="1:22" ht="12.5">
      <c r="A821" s="173"/>
      <c r="B821" s="174"/>
      <c r="C821" s="174"/>
      <c r="D821" s="173"/>
      <c r="E821" s="173"/>
      <c r="F821" s="173"/>
      <c r="G821" s="175"/>
      <c r="H821" s="173"/>
      <c r="I821" s="173"/>
      <c r="J821" s="173"/>
      <c r="K821" s="176"/>
      <c r="L821" s="176"/>
      <c r="M821" s="173"/>
      <c r="N821" s="173"/>
      <c r="O821" s="173"/>
      <c r="P821" s="173"/>
      <c r="Q821" s="173"/>
      <c r="R821" s="173"/>
      <c r="S821" s="173"/>
      <c r="T821" s="173"/>
      <c r="U821" s="173"/>
      <c r="V821" s="173"/>
    </row>
    <row r="822" spans="1:22" ht="12.5">
      <c r="A822" s="173"/>
      <c r="B822" s="174"/>
      <c r="C822" s="174"/>
      <c r="D822" s="173"/>
      <c r="E822" s="173"/>
      <c r="F822" s="173"/>
      <c r="G822" s="175"/>
      <c r="H822" s="173"/>
      <c r="I822" s="173"/>
      <c r="J822" s="173"/>
      <c r="K822" s="176"/>
      <c r="L822" s="176"/>
      <c r="M822" s="173"/>
      <c r="N822" s="173"/>
      <c r="O822" s="173"/>
      <c r="P822" s="173"/>
      <c r="Q822" s="173"/>
      <c r="R822" s="173"/>
      <c r="S822" s="173"/>
      <c r="T822" s="173"/>
      <c r="U822" s="173"/>
      <c r="V822" s="173"/>
    </row>
    <row r="823" spans="1:22" ht="12.5">
      <c r="A823" s="173"/>
      <c r="B823" s="174"/>
      <c r="C823" s="174"/>
      <c r="D823" s="173"/>
      <c r="E823" s="173"/>
      <c r="F823" s="173"/>
      <c r="G823" s="175"/>
      <c r="H823" s="173"/>
      <c r="I823" s="173"/>
      <c r="J823" s="173"/>
      <c r="K823" s="176"/>
      <c r="L823" s="176"/>
      <c r="M823" s="173"/>
      <c r="N823" s="173"/>
      <c r="O823" s="173"/>
      <c r="P823" s="173"/>
      <c r="Q823" s="173"/>
      <c r="R823" s="173"/>
      <c r="S823" s="173"/>
      <c r="T823" s="173"/>
      <c r="U823" s="173"/>
      <c r="V823" s="173"/>
    </row>
    <row r="824" spans="1:22" ht="12.5">
      <c r="A824" s="173"/>
      <c r="B824" s="174"/>
      <c r="C824" s="174"/>
      <c r="D824" s="173"/>
      <c r="E824" s="173"/>
      <c r="F824" s="173"/>
      <c r="G824" s="175"/>
      <c r="H824" s="173"/>
      <c r="I824" s="173"/>
      <c r="J824" s="173"/>
      <c r="K824" s="176"/>
      <c r="L824" s="176"/>
      <c r="M824" s="173"/>
      <c r="N824" s="173"/>
      <c r="O824" s="173"/>
      <c r="P824" s="173"/>
      <c r="Q824" s="173"/>
      <c r="R824" s="173"/>
      <c r="S824" s="173"/>
      <c r="T824" s="173"/>
      <c r="U824" s="173"/>
      <c r="V824" s="173"/>
    </row>
    <row r="825" spans="1:22" ht="12.5">
      <c r="A825" s="173"/>
      <c r="B825" s="174"/>
      <c r="C825" s="174"/>
      <c r="D825" s="173"/>
      <c r="E825" s="173"/>
      <c r="F825" s="173"/>
      <c r="G825" s="175"/>
      <c r="H825" s="173"/>
      <c r="I825" s="173"/>
      <c r="J825" s="173"/>
      <c r="K825" s="176"/>
      <c r="L825" s="176"/>
      <c r="M825" s="173"/>
      <c r="N825" s="173"/>
      <c r="O825" s="173"/>
      <c r="P825" s="173"/>
      <c r="Q825" s="173"/>
      <c r="R825" s="173"/>
      <c r="S825" s="173"/>
      <c r="T825" s="173"/>
      <c r="U825" s="173"/>
      <c r="V825" s="173"/>
    </row>
    <row r="826" spans="1:22" ht="12.5">
      <c r="A826" s="173"/>
      <c r="B826" s="174"/>
      <c r="C826" s="174"/>
      <c r="D826" s="173"/>
      <c r="E826" s="173"/>
      <c r="F826" s="173"/>
      <c r="G826" s="175"/>
      <c r="H826" s="173"/>
      <c r="I826" s="173"/>
      <c r="J826" s="173"/>
      <c r="K826" s="176"/>
      <c r="L826" s="176"/>
      <c r="M826" s="173"/>
      <c r="N826" s="173"/>
      <c r="O826" s="173"/>
      <c r="P826" s="173"/>
      <c r="Q826" s="173"/>
      <c r="R826" s="173"/>
      <c r="S826" s="173"/>
      <c r="T826" s="173"/>
      <c r="U826" s="173"/>
      <c r="V826" s="173"/>
    </row>
    <row r="827" spans="1:22" ht="12.5">
      <c r="A827" s="173"/>
      <c r="B827" s="174"/>
      <c r="C827" s="174"/>
      <c r="D827" s="173"/>
      <c r="E827" s="173"/>
      <c r="F827" s="173"/>
      <c r="G827" s="175"/>
      <c r="H827" s="173"/>
      <c r="I827" s="173"/>
      <c r="J827" s="173"/>
      <c r="K827" s="176"/>
      <c r="L827" s="176"/>
      <c r="M827" s="173"/>
      <c r="N827" s="173"/>
      <c r="O827" s="173"/>
      <c r="P827" s="173"/>
      <c r="Q827" s="173"/>
      <c r="R827" s="173"/>
      <c r="S827" s="173"/>
      <c r="T827" s="173"/>
      <c r="U827" s="173"/>
      <c r="V827" s="173"/>
    </row>
    <row r="828" spans="1:22" ht="12.5">
      <c r="A828" s="173"/>
      <c r="B828" s="174"/>
      <c r="C828" s="174"/>
      <c r="D828" s="173"/>
      <c r="E828" s="173"/>
      <c r="F828" s="173"/>
      <c r="G828" s="175"/>
      <c r="H828" s="173"/>
      <c r="I828" s="173"/>
      <c r="J828" s="173"/>
      <c r="K828" s="176"/>
      <c r="L828" s="176"/>
      <c r="M828" s="173"/>
      <c r="N828" s="173"/>
      <c r="O828" s="173"/>
      <c r="P828" s="173"/>
      <c r="Q828" s="173"/>
      <c r="R828" s="173"/>
      <c r="S828" s="173"/>
      <c r="T828" s="173"/>
      <c r="U828" s="173"/>
      <c r="V828" s="173"/>
    </row>
    <row r="829" spans="1:22" ht="12.5">
      <c r="A829" s="173"/>
      <c r="B829" s="174"/>
      <c r="C829" s="174"/>
      <c r="D829" s="173"/>
      <c r="E829" s="173"/>
      <c r="F829" s="173"/>
      <c r="G829" s="175"/>
      <c r="H829" s="173"/>
      <c r="I829" s="173"/>
      <c r="J829" s="173"/>
      <c r="K829" s="176"/>
      <c r="L829" s="176"/>
      <c r="M829" s="173"/>
      <c r="N829" s="173"/>
      <c r="O829" s="173"/>
      <c r="P829" s="173"/>
      <c r="Q829" s="173"/>
      <c r="R829" s="173"/>
      <c r="S829" s="173"/>
      <c r="T829" s="173"/>
      <c r="U829" s="173"/>
      <c r="V829" s="173"/>
    </row>
    <row r="830" spans="1:22" ht="12.5">
      <c r="A830" s="173"/>
      <c r="B830" s="174"/>
      <c r="C830" s="174"/>
      <c r="D830" s="173"/>
      <c r="E830" s="173"/>
      <c r="F830" s="173"/>
      <c r="G830" s="175"/>
      <c r="H830" s="173"/>
      <c r="I830" s="173"/>
      <c r="J830" s="173"/>
      <c r="K830" s="176"/>
      <c r="L830" s="176"/>
      <c r="M830" s="173"/>
      <c r="N830" s="173"/>
      <c r="O830" s="173"/>
      <c r="P830" s="173"/>
      <c r="Q830" s="173"/>
      <c r="R830" s="173"/>
      <c r="S830" s="173"/>
      <c r="T830" s="173"/>
      <c r="U830" s="173"/>
      <c r="V830" s="173"/>
    </row>
    <row r="831" spans="1:22" ht="12.5">
      <c r="A831" s="173"/>
      <c r="B831" s="174"/>
      <c r="C831" s="174"/>
      <c r="D831" s="173"/>
      <c r="E831" s="173"/>
      <c r="F831" s="173"/>
      <c r="G831" s="175"/>
      <c r="H831" s="173"/>
      <c r="I831" s="173"/>
      <c r="J831" s="173"/>
      <c r="K831" s="176"/>
      <c r="L831" s="176"/>
      <c r="M831" s="173"/>
      <c r="N831" s="173"/>
      <c r="O831" s="173"/>
      <c r="P831" s="173"/>
      <c r="Q831" s="173"/>
      <c r="R831" s="173"/>
      <c r="S831" s="173"/>
      <c r="T831" s="173"/>
      <c r="U831" s="173"/>
      <c r="V831" s="173"/>
    </row>
    <row r="832" spans="1:22" ht="12.5">
      <c r="A832" s="173"/>
      <c r="B832" s="174"/>
      <c r="C832" s="174"/>
      <c r="D832" s="173"/>
      <c r="E832" s="173"/>
      <c r="F832" s="173"/>
      <c r="G832" s="175"/>
      <c r="H832" s="173"/>
      <c r="I832" s="173"/>
      <c r="J832" s="173"/>
      <c r="K832" s="176"/>
      <c r="L832" s="176"/>
      <c r="M832" s="173"/>
      <c r="N832" s="173"/>
      <c r="O832" s="173"/>
      <c r="P832" s="173"/>
      <c r="Q832" s="173"/>
      <c r="R832" s="173"/>
      <c r="S832" s="173"/>
      <c r="T832" s="173"/>
      <c r="U832" s="173"/>
      <c r="V832" s="173"/>
    </row>
    <row r="833" spans="1:22" ht="12.5">
      <c r="A833" s="173"/>
      <c r="B833" s="174"/>
      <c r="C833" s="174"/>
      <c r="D833" s="173"/>
      <c r="E833" s="173"/>
      <c r="F833" s="173"/>
      <c r="G833" s="175"/>
      <c r="H833" s="173"/>
      <c r="I833" s="173"/>
      <c r="J833" s="173"/>
      <c r="K833" s="176"/>
      <c r="L833" s="176"/>
      <c r="M833" s="173"/>
      <c r="N833" s="173"/>
      <c r="O833" s="173"/>
      <c r="P833" s="173"/>
      <c r="Q833" s="173"/>
      <c r="R833" s="173"/>
      <c r="S833" s="173"/>
      <c r="T833" s="173"/>
      <c r="U833" s="173"/>
      <c r="V833" s="173"/>
    </row>
    <row r="834" spans="1:22" ht="12.5">
      <c r="A834" s="173"/>
      <c r="B834" s="174"/>
      <c r="C834" s="174"/>
      <c r="D834" s="173"/>
      <c r="E834" s="173"/>
      <c r="F834" s="173"/>
      <c r="G834" s="175"/>
      <c r="H834" s="173"/>
      <c r="I834" s="173"/>
      <c r="J834" s="173"/>
      <c r="K834" s="176"/>
      <c r="L834" s="176"/>
      <c r="M834" s="173"/>
      <c r="N834" s="173"/>
      <c r="O834" s="173"/>
      <c r="P834" s="173"/>
      <c r="Q834" s="173"/>
      <c r="R834" s="173"/>
      <c r="S834" s="173"/>
      <c r="T834" s="173"/>
      <c r="U834" s="173"/>
      <c r="V834" s="173"/>
    </row>
    <row r="835" spans="1:22" ht="12.5">
      <c r="A835" s="173"/>
      <c r="B835" s="174"/>
      <c r="C835" s="174"/>
      <c r="D835" s="173"/>
      <c r="E835" s="173"/>
      <c r="F835" s="173"/>
      <c r="G835" s="175"/>
      <c r="H835" s="173"/>
      <c r="I835" s="173"/>
      <c r="J835" s="173"/>
      <c r="K835" s="176"/>
      <c r="L835" s="176"/>
      <c r="M835" s="173"/>
      <c r="N835" s="173"/>
      <c r="O835" s="173"/>
      <c r="P835" s="173"/>
      <c r="Q835" s="173"/>
      <c r="R835" s="173"/>
      <c r="S835" s="173"/>
      <c r="T835" s="173"/>
      <c r="U835" s="173"/>
      <c r="V835" s="173"/>
    </row>
    <row r="836" spans="1:22" ht="12.5">
      <c r="A836" s="173"/>
      <c r="B836" s="174"/>
      <c r="C836" s="174"/>
      <c r="D836" s="173"/>
      <c r="E836" s="173"/>
      <c r="F836" s="173"/>
      <c r="G836" s="175"/>
      <c r="H836" s="173"/>
      <c r="I836" s="173"/>
      <c r="J836" s="173"/>
      <c r="K836" s="176"/>
      <c r="L836" s="176"/>
      <c r="M836" s="173"/>
      <c r="N836" s="173"/>
      <c r="O836" s="173"/>
      <c r="P836" s="173"/>
      <c r="Q836" s="173"/>
      <c r="R836" s="173"/>
      <c r="S836" s="173"/>
      <c r="T836" s="173"/>
      <c r="U836" s="173"/>
      <c r="V836" s="173"/>
    </row>
    <row r="837" spans="1:22" ht="12.5">
      <c r="A837" s="173"/>
      <c r="B837" s="174"/>
      <c r="C837" s="174"/>
      <c r="D837" s="173"/>
      <c r="E837" s="173"/>
      <c r="F837" s="173"/>
      <c r="G837" s="175"/>
      <c r="H837" s="173"/>
      <c r="I837" s="173"/>
      <c r="J837" s="173"/>
      <c r="K837" s="176"/>
      <c r="L837" s="176"/>
      <c r="M837" s="173"/>
      <c r="N837" s="173"/>
      <c r="O837" s="173"/>
      <c r="P837" s="173"/>
      <c r="Q837" s="173"/>
      <c r="R837" s="173"/>
      <c r="S837" s="173"/>
      <c r="T837" s="173"/>
      <c r="U837" s="173"/>
      <c r="V837" s="173"/>
    </row>
    <row r="838" spans="1:22" ht="12.5">
      <c r="A838" s="173"/>
      <c r="B838" s="174"/>
      <c r="C838" s="174"/>
      <c r="D838" s="173"/>
      <c r="E838" s="173"/>
      <c r="F838" s="173"/>
      <c r="G838" s="175"/>
      <c r="H838" s="173"/>
      <c r="I838" s="173"/>
      <c r="J838" s="173"/>
      <c r="K838" s="176"/>
      <c r="L838" s="176"/>
      <c r="M838" s="173"/>
      <c r="N838" s="173"/>
      <c r="O838" s="173"/>
      <c r="P838" s="173"/>
      <c r="Q838" s="173"/>
      <c r="R838" s="173"/>
      <c r="S838" s="173"/>
      <c r="T838" s="173"/>
      <c r="U838" s="173"/>
      <c r="V838" s="173"/>
    </row>
    <row r="839" spans="1:22" ht="12.5">
      <c r="A839" s="173"/>
      <c r="B839" s="174"/>
      <c r="C839" s="174"/>
      <c r="D839" s="173"/>
      <c r="E839" s="173"/>
      <c r="F839" s="173"/>
      <c r="G839" s="175"/>
      <c r="H839" s="173"/>
      <c r="I839" s="173"/>
      <c r="J839" s="173"/>
      <c r="K839" s="176"/>
      <c r="L839" s="176"/>
      <c r="M839" s="173"/>
      <c r="N839" s="173"/>
      <c r="O839" s="173"/>
      <c r="P839" s="173"/>
      <c r="Q839" s="173"/>
      <c r="R839" s="173"/>
      <c r="S839" s="173"/>
      <c r="T839" s="173"/>
      <c r="U839" s="173"/>
      <c r="V839" s="173"/>
    </row>
    <row r="840" spans="1:22" ht="12.5">
      <c r="A840" s="173"/>
      <c r="B840" s="174"/>
      <c r="C840" s="174"/>
      <c r="D840" s="173"/>
      <c r="E840" s="173"/>
      <c r="F840" s="173"/>
      <c r="G840" s="175"/>
      <c r="H840" s="173"/>
      <c r="I840" s="173"/>
      <c r="J840" s="173"/>
      <c r="K840" s="176"/>
      <c r="L840" s="176"/>
      <c r="M840" s="173"/>
      <c r="N840" s="173"/>
      <c r="O840" s="173"/>
      <c r="P840" s="173"/>
      <c r="Q840" s="173"/>
      <c r="R840" s="173"/>
      <c r="S840" s="173"/>
      <c r="T840" s="173"/>
      <c r="U840" s="173"/>
      <c r="V840" s="173"/>
    </row>
    <row r="841" spans="1:22" ht="12.5">
      <c r="A841" s="173"/>
      <c r="B841" s="174"/>
      <c r="C841" s="174"/>
      <c r="D841" s="173"/>
      <c r="E841" s="173"/>
      <c r="F841" s="173"/>
      <c r="G841" s="175"/>
      <c r="H841" s="173"/>
      <c r="I841" s="173"/>
      <c r="J841" s="173"/>
      <c r="K841" s="176"/>
      <c r="L841" s="176"/>
      <c r="M841" s="173"/>
      <c r="N841" s="173"/>
      <c r="O841" s="173"/>
      <c r="P841" s="173"/>
      <c r="Q841" s="173"/>
      <c r="R841" s="173"/>
      <c r="S841" s="173"/>
      <c r="T841" s="173"/>
      <c r="U841" s="173"/>
      <c r="V841" s="173"/>
    </row>
    <row r="842" spans="1:22" ht="12.5">
      <c r="A842" s="173"/>
      <c r="B842" s="174"/>
      <c r="C842" s="174"/>
      <c r="D842" s="173"/>
      <c r="E842" s="173"/>
      <c r="F842" s="173"/>
      <c r="G842" s="175"/>
      <c r="H842" s="173"/>
      <c r="I842" s="173"/>
      <c r="J842" s="173"/>
      <c r="K842" s="176"/>
      <c r="L842" s="176"/>
      <c r="M842" s="173"/>
      <c r="N842" s="173"/>
      <c r="O842" s="173"/>
      <c r="P842" s="173"/>
      <c r="Q842" s="173"/>
      <c r="R842" s="173"/>
      <c r="S842" s="173"/>
      <c r="T842" s="173"/>
      <c r="U842" s="173"/>
      <c r="V842" s="173"/>
    </row>
    <row r="843" spans="1:22" ht="12.5">
      <c r="A843" s="173"/>
      <c r="B843" s="174"/>
      <c r="C843" s="174"/>
      <c r="D843" s="173"/>
      <c r="E843" s="173"/>
      <c r="F843" s="173"/>
      <c r="G843" s="175"/>
      <c r="H843" s="173"/>
      <c r="I843" s="173"/>
      <c r="J843" s="173"/>
      <c r="K843" s="176"/>
      <c r="L843" s="176"/>
      <c r="M843" s="173"/>
      <c r="N843" s="173"/>
      <c r="O843" s="173"/>
      <c r="P843" s="173"/>
      <c r="Q843" s="173"/>
      <c r="R843" s="173"/>
      <c r="S843" s="173"/>
      <c r="T843" s="173"/>
      <c r="U843" s="173"/>
      <c r="V843" s="173"/>
    </row>
    <row r="844" spans="1:22" ht="12.5">
      <c r="A844" s="173"/>
      <c r="B844" s="174"/>
      <c r="C844" s="174"/>
      <c r="D844" s="173"/>
      <c r="E844" s="173"/>
      <c r="F844" s="173"/>
      <c r="G844" s="175"/>
      <c r="H844" s="173"/>
      <c r="I844" s="173"/>
      <c r="J844" s="173"/>
      <c r="K844" s="176"/>
      <c r="L844" s="176"/>
      <c r="M844" s="173"/>
      <c r="N844" s="173"/>
      <c r="O844" s="173"/>
      <c r="P844" s="173"/>
      <c r="Q844" s="173"/>
      <c r="R844" s="173"/>
      <c r="S844" s="173"/>
      <c r="T844" s="173"/>
      <c r="U844" s="173"/>
      <c r="V844" s="173"/>
    </row>
    <row r="845" spans="1:22" ht="12.5">
      <c r="A845" s="173"/>
      <c r="B845" s="174"/>
      <c r="C845" s="174"/>
      <c r="D845" s="173"/>
      <c r="E845" s="173"/>
      <c r="F845" s="173"/>
      <c r="G845" s="175"/>
      <c r="H845" s="173"/>
      <c r="I845" s="173"/>
      <c r="J845" s="173"/>
      <c r="K845" s="176"/>
      <c r="L845" s="176"/>
      <c r="M845" s="173"/>
      <c r="N845" s="173"/>
      <c r="O845" s="173"/>
      <c r="P845" s="173"/>
      <c r="Q845" s="173"/>
      <c r="R845" s="173"/>
      <c r="S845" s="173"/>
      <c r="T845" s="173"/>
      <c r="U845" s="173"/>
      <c r="V845" s="173"/>
    </row>
    <row r="846" spans="1:22" ht="12.5">
      <c r="A846" s="173"/>
      <c r="B846" s="174"/>
      <c r="C846" s="174"/>
      <c r="D846" s="173"/>
      <c r="E846" s="173"/>
      <c r="F846" s="173"/>
      <c r="G846" s="175"/>
      <c r="H846" s="173"/>
      <c r="I846" s="173"/>
      <c r="J846" s="173"/>
      <c r="K846" s="176"/>
      <c r="L846" s="176"/>
      <c r="M846" s="173"/>
      <c r="N846" s="173"/>
      <c r="O846" s="173"/>
      <c r="P846" s="173"/>
      <c r="Q846" s="173"/>
      <c r="R846" s="173"/>
      <c r="S846" s="173"/>
      <c r="T846" s="173"/>
      <c r="U846" s="173"/>
      <c r="V846" s="173"/>
    </row>
    <row r="847" spans="1:22" ht="12.5">
      <c r="A847" s="173"/>
      <c r="B847" s="174"/>
      <c r="C847" s="174"/>
      <c r="D847" s="173"/>
      <c r="E847" s="173"/>
      <c r="F847" s="173"/>
      <c r="G847" s="175"/>
      <c r="H847" s="173"/>
      <c r="I847" s="173"/>
      <c r="J847" s="173"/>
      <c r="K847" s="176"/>
      <c r="L847" s="176"/>
      <c r="M847" s="173"/>
      <c r="N847" s="173"/>
      <c r="O847" s="173"/>
      <c r="P847" s="173"/>
      <c r="Q847" s="173"/>
      <c r="R847" s="173"/>
      <c r="S847" s="173"/>
      <c r="T847" s="173"/>
      <c r="U847" s="173"/>
      <c r="V847" s="173"/>
    </row>
    <row r="848" spans="1:22" ht="12.5">
      <c r="A848" s="173"/>
      <c r="B848" s="174"/>
      <c r="C848" s="174"/>
      <c r="D848" s="173"/>
      <c r="E848" s="173"/>
      <c r="F848" s="173"/>
      <c r="G848" s="175"/>
      <c r="H848" s="173"/>
      <c r="I848" s="173"/>
      <c r="J848" s="173"/>
      <c r="K848" s="176"/>
      <c r="L848" s="176"/>
      <c r="M848" s="173"/>
      <c r="N848" s="173"/>
      <c r="O848" s="173"/>
      <c r="P848" s="173"/>
      <c r="Q848" s="173"/>
      <c r="R848" s="173"/>
      <c r="S848" s="173"/>
      <c r="T848" s="173"/>
      <c r="U848" s="173"/>
      <c r="V848" s="173"/>
    </row>
    <row r="849" spans="1:22" ht="12.5">
      <c r="A849" s="173"/>
      <c r="B849" s="174"/>
      <c r="C849" s="174"/>
      <c r="D849" s="173"/>
      <c r="E849" s="173"/>
      <c r="F849" s="173"/>
      <c r="G849" s="175"/>
      <c r="H849" s="173"/>
      <c r="I849" s="173"/>
      <c r="J849" s="173"/>
      <c r="K849" s="176"/>
      <c r="L849" s="176"/>
      <c r="M849" s="173"/>
      <c r="N849" s="173"/>
      <c r="O849" s="173"/>
      <c r="P849" s="173"/>
      <c r="Q849" s="173"/>
      <c r="R849" s="173"/>
      <c r="S849" s="173"/>
      <c r="T849" s="173"/>
      <c r="U849" s="173"/>
      <c r="V849" s="173"/>
    </row>
    <row r="850" spans="1:22" ht="12.5">
      <c r="A850" s="173"/>
      <c r="B850" s="174"/>
      <c r="C850" s="174"/>
      <c r="D850" s="173"/>
      <c r="E850" s="173"/>
      <c r="F850" s="173"/>
      <c r="G850" s="175"/>
      <c r="H850" s="173"/>
      <c r="I850" s="173"/>
      <c r="J850" s="173"/>
      <c r="K850" s="176"/>
      <c r="L850" s="176"/>
      <c r="M850" s="173"/>
      <c r="N850" s="173"/>
      <c r="O850" s="173"/>
      <c r="P850" s="173"/>
      <c r="Q850" s="173"/>
      <c r="R850" s="173"/>
      <c r="S850" s="173"/>
      <c r="T850" s="173"/>
      <c r="U850" s="173"/>
      <c r="V850" s="173"/>
    </row>
    <row r="851" spans="1:22" ht="12.5">
      <c r="A851" s="173"/>
      <c r="B851" s="174"/>
      <c r="C851" s="174"/>
      <c r="D851" s="173"/>
      <c r="E851" s="173"/>
      <c r="F851" s="173"/>
      <c r="G851" s="175"/>
      <c r="H851" s="173"/>
      <c r="I851" s="173"/>
      <c r="J851" s="173"/>
      <c r="K851" s="176"/>
      <c r="L851" s="176"/>
      <c r="M851" s="173"/>
      <c r="N851" s="173"/>
      <c r="O851" s="173"/>
      <c r="P851" s="173"/>
      <c r="Q851" s="173"/>
      <c r="R851" s="173"/>
      <c r="S851" s="173"/>
      <c r="T851" s="173"/>
      <c r="U851" s="173"/>
      <c r="V851" s="173"/>
    </row>
    <row r="852" spans="1:22" ht="12.5">
      <c r="A852" s="173"/>
      <c r="B852" s="174"/>
      <c r="C852" s="174"/>
      <c r="D852" s="173"/>
      <c r="E852" s="173"/>
      <c r="F852" s="173"/>
      <c r="G852" s="175"/>
      <c r="H852" s="173"/>
      <c r="I852" s="173"/>
      <c r="J852" s="173"/>
      <c r="K852" s="176"/>
      <c r="L852" s="176"/>
      <c r="M852" s="173"/>
      <c r="N852" s="173"/>
      <c r="O852" s="173"/>
      <c r="P852" s="173"/>
      <c r="Q852" s="173"/>
      <c r="R852" s="173"/>
      <c r="S852" s="173"/>
      <c r="T852" s="173"/>
      <c r="U852" s="173"/>
      <c r="V852" s="173"/>
    </row>
    <row r="853" spans="1:22" ht="12.5">
      <c r="A853" s="173"/>
      <c r="B853" s="174"/>
      <c r="C853" s="174"/>
      <c r="D853" s="173"/>
      <c r="E853" s="173"/>
      <c r="F853" s="173"/>
      <c r="G853" s="175"/>
      <c r="H853" s="173"/>
      <c r="I853" s="173"/>
      <c r="J853" s="173"/>
      <c r="K853" s="176"/>
      <c r="L853" s="176"/>
      <c r="M853" s="173"/>
      <c r="N853" s="173"/>
      <c r="O853" s="173"/>
      <c r="P853" s="173"/>
      <c r="Q853" s="173"/>
      <c r="R853" s="173"/>
      <c r="S853" s="173"/>
      <c r="T853" s="173"/>
      <c r="U853" s="173"/>
      <c r="V853" s="173"/>
    </row>
    <row r="854" spans="1:22" ht="12.5">
      <c r="A854" s="173"/>
      <c r="B854" s="174"/>
      <c r="C854" s="174"/>
      <c r="D854" s="173"/>
      <c r="E854" s="173"/>
      <c r="F854" s="173"/>
      <c r="G854" s="175"/>
      <c r="H854" s="173"/>
      <c r="I854" s="173"/>
      <c r="J854" s="173"/>
      <c r="K854" s="176"/>
      <c r="L854" s="176"/>
      <c r="M854" s="173"/>
      <c r="N854" s="173"/>
      <c r="O854" s="173"/>
      <c r="P854" s="173"/>
      <c r="Q854" s="173"/>
      <c r="R854" s="173"/>
      <c r="S854" s="173"/>
      <c r="T854" s="173"/>
      <c r="U854" s="173"/>
      <c r="V854" s="173"/>
    </row>
    <row r="855" spans="1:22" ht="12.5">
      <c r="A855" s="173"/>
      <c r="B855" s="174"/>
      <c r="C855" s="174"/>
      <c r="D855" s="173"/>
      <c r="E855" s="173"/>
      <c r="F855" s="173"/>
      <c r="G855" s="175"/>
      <c r="H855" s="173"/>
      <c r="I855" s="173"/>
      <c r="J855" s="173"/>
      <c r="K855" s="176"/>
      <c r="L855" s="176"/>
      <c r="M855" s="173"/>
      <c r="N855" s="173"/>
      <c r="O855" s="173"/>
      <c r="P855" s="173"/>
      <c r="Q855" s="173"/>
      <c r="R855" s="173"/>
      <c r="S855" s="173"/>
      <c r="T855" s="173"/>
      <c r="U855" s="173"/>
      <c r="V855" s="173"/>
    </row>
    <row r="856" spans="1:22" ht="12.5">
      <c r="A856" s="173"/>
      <c r="B856" s="174"/>
      <c r="C856" s="174"/>
      <c r="D856" s="173"/>
      <c r="E856" s="173"/>
      <c r="F856" s="173"/>
      <c r="G856" s="175"/>
      <c r="H856" s="173"/>
      <c r="I856" s="173"/>
      <c r="J856" s="173"/>
      <c r="K856" s="176"/>
      <c r="L856" s="176"/>
      <c r="M856" s="173"/>
      <c r="N856" s="173"/>
      <c r="O856" s="173"/>
      <c r="P856" s="173"/>
      <c r="Q856" s="173"/>
      <c r="R856" s="173"/>
      <c r="S856" s="173"/>
      <c r="T856" s="173"/>
      <c r="U856" s="173"/>
      <c r="V856" s="173"/>
    </row>
    <row r="857" spans="1:22" ht="12.5">
      <c r="A857" s="173"/>
      <c r="B857" s="174"/>
      <c r="C857" s="174"/>
      <c r="D857" s="173"/>
      <c r="E857" s="173"/>
      <c r="F857" s="173"/>
      <c r="G857" s="175"/>
      <c r="H857" s="173"/>
      <c r="I857" s="173"/>
      <c r="J857" s="173"/>
      <c r="K857" s="176"/>
      <c r="L857" s="176"/>
      <c r="M857" s="173"/>
      <c r="N857" s="173"/>
      <c r="O857" s="173"/>
      <c r="P857" s="173"/>
      <c r="Q857" s="173"/>
      <c r="R857" s="173"/>
      <c r="S857" s="173"/>
      <c r="T857" s="173"/>
      <c r="U857" s="173"/>
      <c r="V857" s="173"/>
    </row>
    <row r="858" spans="1:22" ht="12.5">
      <c r="A858" s="173"/>
      <c r="B858" s="174"/>
      <c r="C858" s="174"/>
      <c r="D858" s="173"/>
      <c r="E858" s="173"/>
      <c r="F858" s="173"/>
      <c r="G858" s="175"/>
      <c r="H858" s="173"/>
      <c r="I858" s="173"/>
      <c r="J858" s="173"/>
      <c r="K858" s="176"/>
      <c r="L858" s="176"/>
      <c r="M858" s="173"/>
      <c r="N858" s="173"/>
      <c r="O858" s="173"/>
      <c r="P858" s="173"/>
      <c r="Q858" s="173"/>
      <c r="R858" s="173"/>
      <c r="S858" s="173"/>
      <c r="T858" s="173"/>
      <c r="U858" s="173"/>
      <c r="V858" s="173"/>
    </row>
    <row r="859" spans="1:22" ht="12.5">
      <c r="A859" s="173"/>
      <c r="B859" s="174"/>
      <c r="C859" s="174"/>
      <c r="D859" s="173"/>
      <c r="E859" s="173"/>
      <c r="F859" s="173"/>
      <c r="G859" s="175"/>
      <c r="H859" s="173"/>
      <c r="I859" s="173"/>
      <c r="J859" s="173"/>
      <c r="K859" s="176"/>
      <c r="L859" s="176"/>
      <c r="M859" s="173"/>
      <c r="N859" s="173"/>
      <c r="O859" s="173"/>
      <c r="P859" s="173"/>
      <c r="Q859" s="173"/>
      <c r="R859" s="173"/>
      <c r="S859" s="173"/>
      <c r="T859" s="173"/>
      <c r="U859" s="173"/>
      <c r="V859" s="173"/>
    </row>
    <row r="860" spans="1:22" ht="12.5">
      <c r="A860" s="173"/>
      <c r="B860" s="174"/>
      <c r="C860" s="174"/>
      <c r="D860" s="173"/>
      <c r="E860" s="173"/>
      <c r="F860" s="173"/>
      <c r="G860" s="175"/>
      <c r="H860" s="173"/>
      <c r="I860" s="173"/>
      <c r="J860" s="173"/>
      <c r="K860" s="176"/>
      <c r="L860" s="176"/>
      <c r="M860" s="173"/>
      <c r="N860" s="173"/>
      <c r="O860" s="173"/>
      <c r="P860" s="173"/>
      <c r="Q860" s="173"/>
      <c r="R860" s="173"/>
      <c r="S860" s="173"/>
      <c r="T860" s="173"/>
      <c r="U860" s="173"/>
      <c r="V860" s="173"/>
    </row>
    <row r="861" spans="1:22" ht="12.5">
      <c r="A861" s="173"/>
      <c r="B861" s="174"/>
      <c r="C861" s="174"/>
      <c r="D861" s="173"/>
      <c r="E861" s="173"/>
      <c r="F861" s="173"/>
      <c r="G861" s="175"/>
      <c r="H861" s="173"/>
      <c r="I861" s="173"/>
      <c r="J861" s="173"/>
      <c r="K861" s="176"/>
      <c r="L861" s="176"/>
      <c r="M861" s="173"/>
      <c r="N861" s="173"/>
      <c r="O861" s="173"/>
      <c r="P861" s="173"/>
      <c r="Q861" s="173"/>
      <c r="R861" s="173"/>
      <c r="S861" s="173"/>
      <c r="T861" s="173"/>
      <c r="U861" s="173"/>
      <c r="V861" s="173"/>
    </row>
    <row r="862" spans="1:22" ht="12.5">
      <c r="A862" s="173"/>
      <c r="B862" s="174"/>
      <c r="C862" s="174"/>
      <c r="D862" s="173"/>
      <c r="E862" s="173"/>
      <c r="F862" s="173"/>
      <c r="G862" s="175"/>
      <c r="H862" s="173"/>
      <c r="I862" s="173"/>
      <c r="J862" s="173"/>
      <c r="K862" s="176"/>
      <c r="L862" s="176"/>
      <c r="M862" s="173"/>
      <c r="N862" s="173"/>
      <c r="O862" s="173"/>
      <c r="P862" s="173"/>
      <c r="Q862" s="173"/>
      <c r="R862" s="173"/>
      <c r="S862" s="173"/>
      <c r="T862" s="173"/>
      <c r="U862" s="173"/>
      <c r="V862" s="173"/>
    </row>
    <row r="863" spans="1:22" ht="12.5">
      <c r="A863" s="173"/>
      <c r="B863" s="174"/>
      <c r="C863" s="174"/>
      <c r="D863" s="173"/>
      <c r="E863" s="173"/>
      <c r="F863" s="173"/>
      <c r="G863" s="175"/>
      <c r="H863" s="173"/>
      <c r="I863" s="173"/>
      <c r="J863" s="173"/>
      <c r="K863" s="176"/>
      <c r="L863" s="176"/>
      <c r="M863" s="173"/>
      <c r="N863" s="173"/>
      <c r="O863" s="173"/>
      <c r="P863" s="173"/>
      <c r="Q863" s="173"/>
      <c r="R863" s="173"/>
      <c r="S863" s="173"/>
      <c r="T863" s="173"/>
      <c r="U863" s="173"/>
      <c r="V863" s="173"/>
    </row>
    <row r="864" spans="1:22" ht="12.5">
      <c r="A864" s="173"/>
      <c r="B864" s="174"/>
      <c r="C864" s="174"/>
      <c r="D864" s="173"/>
      <c r="E864" s="173"/>
      <c r="F864" s="173"/>
      <c r="G864" s="175"/>
      <c r="H864" s="173"/>
      <c r="I864" s="173"/>
      <c r="J864" s="173"/>
      <c r="K864" s="176"/>
      <c r="L864" s="176"/>
      <c r="M864" s="173"/>
      <c r="N864" s="173"/>
      <c r="O864" s="173"/>
      <c r="P864" s="173"/>
      <c r="Q864" s="173"/>
      <c r="R864" s="173"/>
      <c r="S864" s="173"/>
      <c r="T864" s="173"/>
      <c r="U864" s="173"/>
      <c r="V864" s="173"/>
    </row>
    <row r="865" spans="1:22" ht="12.5">
      <c r="A865" s="173"/>
      <c r="B865" s="174"/>
      <c r="C865" s="174"/>
      <c r="D865" s="173"/>
      <c r="E865" s="173"/>
      <c r="F865" s="173"/>
      <c r="G865" s="175"/>
      <c r="H865" s="173"/>
      <c r="I865" s="173"/>
      <c r="J865" s="173"/>
      <c r="K865" s="176"/>
      <c r="L865" s="176"/>
      <c r="M865" s="173"/>
      <c r="N865" s="173"/>
      <c r="O865" s="173"/>
      <c r="P865" s="173"/>
      <c r="Q865" s="173"/>
      <c r="R865" s="173"/>
      <c r="S865" s="173"/>
      <c r="T865" s="173"/>
      <c r="U865" s="173"/>
      <c r="V865" s="173"/>
    </row>
    <row r="866" spans="1:22" ht="12.5">
      <c r="A866" s="173"/>
      <c r="B866" s="174"/>
      <c r="C866" s="174"/>
      <c r="D866" s="173"/>
      <c r="E866" s="173"/>
      <c r="F866" s="173"/>
      <c r="G866" s="175"/>
      <c r="H866" s="173"/>
      <c r="I866" s="173"/>
      <c r="J866" s="173"/>
      <c r="K866" s="176"/>
      <c r="L866" s="176"/>
      <c r="M866" s="173"/>
      <c r="N866" s="173"/>
      <c r="O866" s="173"/>
      <c r="P866" s="173"/>
      <c r="Q866" s="173"/>
      <c r="R866" s="173"/>
      <c r="S866" s="173"/>
      <c r="T866" s="173"/>
      <c r="U866" s="173"/>
      <c r="V866" s="173"/>
    </row>
    <row r="867" spans="1:22" ht="12.5">
      <c r="A867" s="173"/>
      <c r="B867" s="174"/>
      <c r="C867" s="174"/>
      <c r="D867" s="173"/>
      <c r="E867" s="173"/>
      <c r="F867" s="173"/>
      <c r="G867" s="175"/>
      <c r="H867" s="173"/>
      <c r="I867" s="173"/>
      <c r="J867" s="173"/>
      <c r="K867" s="176"/>
      <c r="L867" s="176"/>
      <c r="M867" s="173"/>
      <c r="N867" s="173"/>
      <c r="O867" s="173"/>
      <c r="P867" s="173"/>
      <c r="Q867" s="173"/>
      <c r="R867" s="173"/>
      <c r="S867" s="173"/>
      <c r="T867" s="173"/>
      <c r="U867" s="173"/>
      <c r="V867" s="173"/>
    </row>
    <row r="868" spans="1:22" ht="12.5">
      <c r="A868" s="173"/>
      <c r="B868" s="174"/>
      <c r="C868" s="174"/>
      <c r="D868" s="173"/>
      <c r="E868" s="173"/>
      <c r="F868" s="173"/>
      <c r="G868" s="175"/>
      <c r="H868" s="173"/>
      <c r="I868" s="173"/>
      <c r="J868" s="173"/>
      <c r="K868" s="176"/>
      <c r="L868" s="176"/>
      <c r="M868" s="173"/>
      <c r="N868" s="173"/>
      <c r="O868" s="173"/>
      <c r="P868" s="173"/>
      <c r="Q868" s="173"/>
      <c r="R868" s="173"/>
      <c r="S868" s="173"/>
      <c r="T868" s="173"/>
      <c r="U868" s="173"/>
      <c r="V868" s="173"/>
    </row>
    <row r="869" spans="1:22" ht="12.5">
      <c r="A869" s="173"/>
      <c r="B869" s="174"/>
      <c r="C869" s="174"/>
      <c r="D869" s="173"/>
      <c r="E869" s="173"/>
      <c r="F869" s="173"/>
      <c r="G869" s="175"/>
      <c r="H869" s="173"/>
      <c r="I869" s="173"/>
      <c r="J869" s="173"/>
      <c r="K869" s="176"/>
      <c r="L869" s="176"/>
      <c r="M869" s="173"/>
      <c r="N869" s="173"/>
      <c r="O869" s="173"/>
      <c r="P869" s="173"/>
      <c r="Q869" s="173"/>
      <c r="R869" s="173"/>
      <c r="S869" s="173"/>
      <c r="T869" s="173"/>
      <c r="U869" s="173"/>
      <c r="V869" s="173"/>
    </row>
    <row r="870" spans="1:22" ht="12.5">
      <c r="A870" s="173"/>
      <c r="B870" s="174"/>
      <c r="C870" s="174"/>
      <c r="D870" s="173"/>
      <c r="E870" s="173"/>
      <c r="F870" s="173"/>
      <c r="G870" s="175"/>
      <c r="H870" s="173"/>
      <c r="I870" s="173"/>
      <c r="J870" s="173"/>
      <c r="K870" s="176"/>
      <c r="L870" s="176"/>
      <c r="M870" s="173"/>
      <c r="N870" s="173"/>
      <c r="O870" s="173"/>
      <c r="P870" s="173"/>
      <c r="Q870" s="173"/>
      <c r="R870" s="173"/>
      <c r="S870" s="173"/>
      <c r="T870" s="173"/>
      <c r="U870" s="173"/>
      <c r="V870" s="173"/>
    </row>
    <row r="871" spans="1:22" ht="12.5">
      <c r="A871" s="173"/>
      <c r="B871" s="174"/>
      <c r="C871" s="174"/>
      <c r="D871" s="173"/>
      <c r="E871" s="173"/>
      <c r="F871" s="173"/>
      <c r="G871" s="175"/>
      <c r="H871" s="173"/>
      <c r="I871" s="173"/>
      <c r="J871" s="173"/>
      <c r="K871" s="176"/>
      <c r="L871" s="176"/>
      <c r="M871" s="173"/>
      <c r="N871" s="173"/>
      <c r="O871" s="173"/>
      <c r="P871" s="173"/>
      <c r="Q871" s="173"/>
      <c r="R871" s="173"/>
      <c r="S871" s="173"/>
      <c r="T871" s="173"/>
      <c r="U871" s="173"/>
      <c r="V871" s="173"/>
    </row>
    <row r="872" spans="1:22" ht="12.5">
      <c r="A872" s="173"/>
      <c r="B872" s="174"/>
      <c r="C872" s="174"/>
      <c r="D872" s="173"/>
      <c r="E872" s="173"/>
      <c r="F872" s="173"/>
      <c r="G872" s="175"/>
      <c r="H872" s="173"/>
      <c r="I872" s="173"/>
      <c r="J872" s="173"/>
      <c r="K872" s="176"/>
      <c r="L872" s="176"/>
      <c r="M872" s="173"/>
      <c r="N872" s="173"/>
      <c r="O872" s="173"/>
      <c r="P872" s="173"/>
      <c r="Q872" s="173"/>
      <c r="R872" s="173"/>
      <c r="S872" s="173"/>
      <c r="T872" s="173"/>
      <c r="U872" s="173"/>
      <c r="V872" s="173"/>
    </row>
    <row r="873" spans="1:22" ht="12.5">
      <c r="A873" s="173"/>
      <c r="B873" s="174"/>
      <c r="C873" s="174"/>
      <c r="D873" s="173"/>
      <c r="E873" s="173"/>
      <c r="F873" s="173"/>
      <c r="G873" s="175"/>
      <c r="H873" s="173"/>
      <c r="I873" s="173"/>
      <c r="J873" s="173"/>
      <c r="K873" s="176"/>
      <c r="L873" s="176"/>
      <c r="M873" s="173"/>
      <c r="N873" s="173"/>
      <c r="O873" s="173"/>
      <c r="P873" s="173"/>
      <c r="Q873" s="173"/>
      <c r="R873" s="173"/>
      <c r="S873" s="173"/>
      <c r="T873" s="173"/>
      <c r="U873" s="173"/>
      <c r="V873" s="173"/>
    </row>
    <row r="874" spans="1:22" ht="12.5">
      <c r="A874" s="173"/>
      <c r="B874" s="174"/>
      <c r="C874" s="174"/>
      <c r="D874" s="173"/>
      <c r="E874" s="173"/>
      <c r="F874" s="173"/>
      <c r="G874" s="175"/>
      <c r="H874" s="173"/>
      <c r="I874" s="173"/>
      <c r="J874" s="173"/>
      <c r="K874" s="176"/>
      <c r="L874" s="176"/>
      <c r="M874" s="173"/>
      <c r="N874" s="173"/>
      <c r="O874" s="173"/>
      <c r="P874" s="173"/>
      <c r="Q874" s="173"/>
      <c r="R874" s="173"/>
      <c r="S874" s="173"/>
      <c r="T874" s="173"/>
      <c r="U874" s="173"/>
      <c r="V874" s="173"/>
    </row>
    <row r="875" spans="1:22" ht="12.5">
      <c r="A875" s="173"/>
      <c r="B875" s="174"/>
      <c r="C875" s="174"/>
      <c r="D875" s="173"/>
      <c r="E875" s="173"/>
      <c r="F875" s="173"/>
      <c r="G875" s="175"/>
      <c r="H875" s="173"/>
      <c r="I875" s="173"/>
      <c r="J875" s="173"/>
      <c r="K875" s="176"/>
      <c r="L875" s="176"/>
      <c r="M875" s="173"/>
      <c r="N875" s="173"/>
      <c r="O875" s="173"/>
      <c r="P875" s="173"/>
      <c r="Q875" s="173"/>
      <c r="R875" s="173"/>
      <c r="S875" s="173"/>
      <c r="T875" s="173"/>
      <c r="U875" s="173"/>
      <c r="V875" s="173"/>
    </row>
    <row r="876" spans="1:22" ht="12.5">
      <c r="A876" s="173"/>
      <c r="B876" s="174"/>
      <c r="C876" s="174"/>
      <c r="D876" s="173"/>
      <c r="E876" s="173"/>
      <c r="F876" s="173"/>
      <c r="G876" s="175"/>
      <c r="H876" s="173"/>
      <c r="I876" s="173"/>
      <c r="J876" s="173"/>
      <c r="K876" s="176"/>
      <c r="L876" s="176"/>
      <c r="M876" s="173"/>
      <c r="N876" s="173"/>
      <c r="O876" s="173"/>
      <c r="P876" s="173"/>
      <c r="Q876" s="173"/>
      <c r="R876" s="173"/>
      <c r="S876" s="173"/>
      <c r="T876" s="173"/>
      <c r="U876" s="173"/>
      <c r="V876" s="173"/>
    </row>
    <row r="877" spans="1:22" ht="12.5">
      <c r="A877" s="173"/>
      <c r="B877" s="174"/>
      <c r="C877" s="174"/>
      <c r="D877" s="173"/>
      <c r="E877" s="173"/>
      <c r="F877" s="173"/>
      <c r="G877" s="175"/>
      <c r="H877" s="173"/>
      <c r="I877" s="173"/>
      <c r="J877" s="173"/>
      <c r="K877" s="176"/>
      <c r="L877" s="176"/>
      <c r="M877" s="173"/>
      <c r="N877" s="173"/>
      <c r="O877" s="173"/>
      <c r="P877" s="173"/>
      <c r="Q877" s="173"/>
      <c r="R877" s="173"/>
      <c r="S877" s="173"/>
      <c r="T877" s="173"/>
      <c r="U877" s="173"/>
      <c r="V877" s="173"/>
    </row>
    <row r="878" spans="1:22" ht="12.5">
      <c r="A878" s="173"/>
      <c r="B878" s="174"/>
      <c r="C878" s="174"/>
      <c r="D878" s="173"/>
      <c r="E878" s="173"/>
      <c r="F878" s="173"/>
      <c r="G878" s="175"/>
      <c r="H878" s="173"/>
      <c r="I878" s="173"/>
      <c r="J878" s="173"/>
      <c r="K878" s="176"/>
      <c r="L878" s="176"/>
      <c r="M878" s="173"/>
      <c r="N878" s="173"/>
      <c r="O878" s="173"/>
      <c r="P878" s="173"/>
      <c r="Q878" s="173"/>
      <c r="R878" s="173"/>
      <c r="S878" s="173"/>
      <c r="T878" s="173"/>
      <c r="U878" s="173"/>
      <c r="V878" s="173"/>
    </row>
    <row r="879" spans="1:22" ht="12.5">
      <c r="A879" s="173"/>
      <c r="B879" s="174"/>
      <c r="C879" s="174"/>
      <c r="D879" s="173"/>
      <c r="E879" s="173"/>
      <c r="F879" s="173"/>
      <c r="G879" s="175"/>
      <c r="H879" s="173"/>
      <c r="I879" s="173"/>
      <c r="J879" s="173"/>
      <c r="K879" s="176"/>
      <c r="L879" s="176"/>
      <c r="M879" s="173"/>
      <c r="N879" s="173"/>
      <c r="O879" s="173"/>
      <c r="P879" s="173"/>
      <c r="Q879" s="173"/>
      <c r="R879" s="173"/>
      <c r="S879" s="173"/>
      <c r="T879" s="173"/>
      <c r="U879" s="173"/>
      <c r="V879" s="173"/>
    </row>
    <row r="880" spans="1:22" ht="12.5">
      <c r="A880" s="173"/>
      <c r="B880" s="174"/>
      <c r="C880" s="174"/>
      <c r="D880" s="173"/>
      <c r="E880" s="173"/>
      <c r="F880" s="173"/>
      <c r="G880" s="175"/>
      <c r="H880" s="173"/>
      <c r="I880" s="173"/>
      <c r="J880" s="173"/>
      <c r="K880" s="176"/>
      <c r="L880" s="176"/>
      <c r="M880" s="173"/>
      <c r="N880" s="173"/>
      <c r="O880" s="173"/>
      <c r="P880" s="173"/>
      <c r="Q880" s="173"/>
      <c r="R880" s="173"/>
      <c r="S880" s="173"/>
      <c r="T880" s="173"/>
      <c r="U880" s="173"/>
      <c r="V880" s="173"/>
    </row>
    <row r="881" spans="1:22" ht="12.5">
      <c r="A881" s="173"/>
      <c r="B881" s="174"/>
      <c r="C881" s="174"/>
      <c r="D881" s="173"/>
      <c r="E881" s="173"/>
      <c r="F881" s="173"/>
      <c r="G881" s="175"/>
      <c r="H881" s="173"/>
      <c r="I881" s="173"/>
      <c r="J881" s="173"/>
      <c r="K881" s="176"/>
      <c r="L881" s="176"/>
      <c r="M881" s="173"/>
      <c r="N881" s="173"/>
      <c r="O881" s="173"/>
      <c r="P881" s="173"/>
      <c r="Q881" s="173"/>
      <c r="R881" s="173"/>
      <c r="S881" s="173"/>
      <c r="T881" s="173"/>
      <c r="U881" s="173"/>
      <c r="V881" s="173"/>
    </row>
    <row r="882" spans="1:22" ht="12.5">
      <c r="A882" s="173"/>
      <c r="B882" s="174"/>
      <c r="C882" s="174"/>
      <c r="D882" s="173"/>
      <c r="E882" s="173"/>
      <c r="F882" s="173"/>
      <c r="G882" s="175"/>
      <c r="H882" s="173"/>
      <c r="I882" s="173"/>
      <c r="J882" s="173"/>
      <c r="K882" s="176"/>
      <c r="L882" s="176"/>
      <c r="M882" s="173"/>
      <c r="N882" s="173"/>
      <c r="O882" s="173"/>
      <c r="P882" s="173"/>
      <c r="Q882" s="173"/>
      <c r="R882" s="173"/>
      <c r="S882" s="173"/>
      <c r="T882" s="173"/>
      <c r="U882" s="173"/>
      <c r="V882" s="173"/>
    </row>
    <row r="883" spans="1:22" ht="12.5">
      <c r="A883" s="173"/>
      <c r="B883" s="174"/>
      <c r="C883" s="174"/>
      <c r="D883" s="173"/>
      <c r="E883" s="173"/>
      <c r="F883" s="173"/>
      <c r="G883" s="175"/>
      <c r="H883" s="173"/>
      <c r="I883" s="173"/>
      <c r="J883" s="173"/>
      <c r="K883" s="176"/>
      <c r="L883" s="176"/>
      <c r="M883" s="173"/>
      <c r="N883" s="173"/>
      <c r="O883" s="173"/>
      <c r="P883" s="173"/>
      <c r="Q883" s="173"/>
      <c r="R883" s="173"/>
      <c r="S883" s="173"/>
      <c r="T883" s="173"/>
      <c r="U883" s="173"/>
      <c r="V883" s="173"/>
    </row>
    <row r="884" spans="1:22" ht="12.5">
      <c r="A884" s="173"/>
      <c r="B884" s="174"/>
      <c r="C884" s="174"/>
      <c r="D884" s="173"/>
      <c r="E884" s="173"/>
      <c r="F884" s="173"/>
      <c r="G884" s="175"/>
      <c r="H884" s="173"/>
      <c r="I884" s="173"/>
      <c r="J884" s="173"/>
      <c r="K884" s="176"/>
      <c r="L884" s="176"/>
      <c r="M884" s="173"/>
      <c r="N884" s="173"/>
      <c r="O884" s="173"/>
      <c r="P884" s="173"/>
      <c r="Q884" s="173"/>
      <c r="R884" s="173"/>
      <c r="S884" s="173"/>
      <c r="T884" s="173"/>
      <c r="U884" s="173"/>
      <c r="V884" s="173"/>
    </row>
    <row r="885" spans="1:22" ht="12.5">
      <c r="A885" s="173"/>
      <c r="B885" s="174"/>
      <c r="C885" s="174"/>
      <c r="D885" s="173"/>
      <c r="E885" s="173"/>
      <c r="F885" s="173"/>
      <c r="G885" s="175"/>
      <c r="H885" s="173"/>
      <c r="I885" s="173"/>
      <c r="J885" s="173"/>
      <c r="K885" s="176"/>
      <c r="L885" s="176"/>
      <c r="M885" s="173"/>
      <c r="N885" s="173"/>
      <c r="O885" s="173"/>
      <c r="P885" s="173"/>
      <c r="Q885" s="173"/>
      <c r="R885" s="173"/>
      <c r="S885" s="173"/>
      <c r="T885" s="173"/>
      <c r="U885" s="173"/>
      <c r="V885" s="173"/>
    </row>
    <row r="886" spans="1:22" ht="12.5">
      <c r="A886" s="173"/>
      <c r="B886" s="174"/>
      <c r="C886" s="174"/>
      <c r="D886" s="173"/>
      <c r="E886" s="173"/>
      <c r="F886" s="173"/>
      <c r="G886" s="175"/>
      <c r="H886" s="173"/>
      <c r="I886" s="173"/>
      <c r="J886" s="173"/>
      <c r="K886" s="176"/>
      <c r="L886" s="176"/>
      <c r="M886" s="173"/>
      <c r="N886" s="173"/>
      <c r="O886" s="173"/>
      <c r="P886" s="173"/>
      <c r="Q886" s="173"/>
      <c r="R886" s="173"/>
      <c r="S886" s="173"/>
      <c r="T886" s="173"/>
      <c r="U886" s="173"/>
      <c r="V886" s="173"/>
    </row>
    <row r="887" spans="1:22" ht="12.5">
      <c r="A887" s="173"/>
      <c r="B887" s="174"/>
      <c r="C887" s="174"/>
      <c r="D887" s="173"/>
      <c r="E887" s="173"/>
      <c r="F887" s="173"/>
      <c r="G887" s="175"/>
      <c r="H887" s="173"/>
      <c r="I887" s="173"/>
      <c r="J887" s="173"/>
      <c r="K887" s="176"/>
      <c r="L887" s="176"/>
      <c r="M887" s="173"/>
      <c r="N887" s="173"/>
      <c r="O887" s="173"/>
      <c r="P887" s="173"/>
      <c r="Q887" s="173"/>
      <c r="R887" s="173"/>
      <c r="S887" s="173"/>
      <c r="T887" s="173"/>
      <c r="U887" s="173"/>
      <c r="V887" s="173"/>
    </row>
    <row r="888" spans="1:22" ht="12.5">
      <c r="A888" s="173"/>
      <c r="B888" s="174"/>
      <c r="C888" s="174"/>
      <c r="D888" s="173"/>
      <c r="E888" s="173"/>
      <c r="F888" s="173"/>
      <c r="G888" s="175"/>
      <c r="H888" s="173"/>
      <c r="I888" s="173"/>
      <c r="J888" s="173"/>
      <c r="K888" s="176"/>
      <c r="L888" s="176"/>
      <c r="M888" s="173"/>
      <c r="N888" s="173"/>
      <c r="O888" s="173"/>
      <c r="P888" s="173"/>
      <c r="Q888" s="173"/>
      <c r="R888" s="173"/>
      <c r="S888" s="173"/>
      <c r="T888" s="173"/>
      <c r="U888" s="173"/>
      <c r="V888" s="173"/>
    </row>
    <row r="889" spans="1:22" ht="12.5">
      <c r="A889" s="173"/>
      <c r="B889" s="174"/>
      <c r="C889" s="174"/>
      <c r="D889" s="173"/>
      <c r="E889" s="173"/>
      <c r="F889" s="173"/>
      <c r="G889" s="175"/>
      <c r="H889" s="173"/>
      <c r="I889" s="173"/>
      <c r="J889" s="173"/>
      <c r="K889" s="176"/>
      <c r="L889" s="176"/>
      <c r="M889" s="173"/>
      <c r="N889" s="173"/>
      <c r="O889" s="173"/>
      <c r="P889" s="173"/>
      <c r="Q889" s="173"/>
      <c r="R889" s="173"/>
      <c r="S889" s="173"/>
      <c r="T889" s="173"/>
      <c r="U889" s="173"/>
      <c r="V889" s="173"/>
    </row>
    <row r="890" spans="1:22" ht="12.5">
      <c r="A890" s="173"/>
      <c r="B890" s="174"/>
      <c r="C890" s="174"/>
      <c r="D890" s="173"/>
      <c r="E890" s="173"/>
      <c r="F890" s="173"/>
      <c r="G890" s="175"/>
      <c r="H890" s="173"/>
      <c r="I890" s="173"/>
      <c r="J890" s="173"/>
      <c r="K890" s="176"/>
      <c r="L890" s="176"/>
      <c r="M890" s="173"/>
      <c r="N890" s="173"/>
      <c r="O890" s="173"/>
      <c r="P890" s="173"/>
      <c r="Q890" s="173"/>
      <c r="R890" s="173"/>
      <c r="S890" s="173"/>
      <c r="T890" s="173"/>
      <c r="U890" s="173"/>
      <c r="V890" s="173"/>
    </row>
    <row r="891" spans="1:22" ht="12.5">
      <c r="A891" s="173"/>
      <c r="B891" s="174"/>
      <c r="C891" s="174"/>
      <c r="D891" s="173"/>
      <c r="E891" s="173"/>
      <c r="F891" s="173"/>
      <c r="G891" s="175"/>
      <c r="H891" s="173"/>
      <c r="I891" s="173"/>
      <c r="J891" s="173"/>
      <c r="K891" s="176"/>
      <c r="L891" s="176"/>
      <c r="M891" s="173"/>
      <c r="N891" s="173"/>
      <c r="O891" s="173"/>
      <c r="P891" s="173"/>
      <c r="Q891" s="173"/>
      <c r="R891" s="173"/>
      <c r="S891" s="173"/>
      <c r="T891" s="173"/>
      <c r="U891" s="173"/>
      <c r="V891" s="173"/>
    </row>
    <row r="892" spans="1:22" ht="12.5">
      <c r="A892" s="173"/>
      <c r="B892" s="174"/>
      <c r="C892" s="174"/>
      <c r="D892" s="173"/>
      <c r="E892" s="173"/>
      <c r="F892" s="173"/>
      <c r="G892" s="175"/>
      <c r="H892" s="173"/>
      <c r="I892" s="173"/>
      <c r="J892" s="173"/>
      <c r="K892" s="176"/>
      <c r="L892" s="176"/>
      <c r="M892" s="173"/>
      <c r="N892" s="173"/>
      <c r="O892" s="173"/>
      <c r="P892" s="173"/>
      <c r="Q892" s="173"/>
      <c r="R892" s="173"/>
      <c r="S892" s="173"/>
      <c r="T892" s="173"/>
      <c r="U892" s="173"/>
      <c r="V892" s="173"/>
    </row>
    <row r="893" spans="1:22" ht="12.5">
      <c r="A893" s="173"/>
      <c r="B893" s="174"/>
      <c r="C893" s="174"/>
      <c r="D893" s="173"/>
      <c r="E893" s="173"/>
      <c r="F893" s="173"/>
      <c r="G893" s="175"/>
      <c r="H893" s="173"/>
      <c r="I893" s="173"/>
      <c r="J893" s="173"/>
      <c r="K893" s="176"/>
      <c r="L893" s="176"/>
      <c r="M893" s="173"/>
      <c r="N893" s="173"/>
      <c r="O893" s="173"/>
      <c r="P893" s="173"/>
      <c r="Q893" s="173"/>
      <c r="R893" s="173"/>
      <c r="S893" s="173"/>
      <c r="T893" s="173"/>
      <c r="U893" s="173"/>
      <c r="V893" s="173"/>
    </row>
    <row r="894" spans="1:22" ht="12.5">
      <c r="A894" s="173"/>
      <c r="B894" s="174"/>
      <c r="C894" s="174"/>
      <c r="D894" s="173"/>
      <c r="E894" s="173"/>
      <c r="F894" s="173"/>
      <c r="G894" s="175"/>
      <c r="H894" s="173"/>
      <c r="I894" s="173"/>
      <c r="J894" s="173"/>
      <c r="K894" s="176"/>
      <c r="L894" s="176"/>
      <c r="M894" s="173"/>
      <c r="N894" s="173"/>
      <c r="O894" s="173"/>
      <c r="P894" s="173"/>
      <c r="Q894" s="173"/>
      <c r="R894" s="173"/>
      <c r="S894" s="173"/>
      <c r="T894" s="173"/>
      <c r="U894" s="173"/>
      <c r="V894" s="173"/>
    </row>
    <row r="895" spans="1:22" ht="12.5">
      <c r="A895" s="173"/>
      <c r="B895" s="174"/>
      <c r="C895" s="174"/>
      <c r="D895" s="173"/>
      <c r="E895" s="173"/>
      <c r="F895" s="173"/>
      <c r="G895" s="175"/>
      <c r="H895" s="173"/>
      <c r="I895" s="173"/>
      <c r="J895" s="173"/>
      <c r="K895" s="176"/>
      <c r="L895" s="176"/>
      <c r="M895" s="173"/>
      <c r="N895" s="173"/>
      <c r="O895" s="173"/>
      <c r="P895" s="173"/>
      <c r="Q895" s="173"/>
      <c r="R895" s="173"/>
      <c r="S895" s="173"/>
      <c r="T895" s="173"/>
      <c r="U895" s="173"/>
      <c r="V895" s="173"/>
    </row>
    <row r="896" spans="1:22" ht="12.5">
      <c r="A896" s="173"/>
      <c r="B896" s="174"/>
      <c r="C896" s="174"/>
      <c r="D896" s="173"/>
      <c r="E896" s="173"/>
      <c r="F896" s="173"/>
      <c r="G896" s="175"/>
      <c r="H896" s="173"/>
      <c r="I896" s="173"/>
      <c r="J896" s="173"/>
      <c r="K896" s="176"/>
      <c r="L896" s="176"/>
      <c r="M896" s="173"/>
      <c r="N896" s="173"/>
      <c r="O896" s="173"/>
      <c r="P896" s="173"/>
      <c r="Q896" s="173"/>
      <c r="R896" s="173"/>
      <c r="S896" s="173"/>
      <c r="T896" s="173"/>
      <c r="U896" s="173"/>
      <c r="V896" s="173"/>
    </row>
    <row r="897" spans="1:22" ht="12.5">
      <c r="A897" s="173"/>
      <c r="B897" s="174"/>
      <c r="C897" s="174"/>
      <c r="D897" s="173"/>
      <c r="E897" s="173"/>
      <c r="F897" s="173"/>
      <c r="G897" s="175"/>
      <c r="H897" s="173"/>
      <c r="I897" s="173"/>
      <c r="J897" s="173"/>
      <c r="K897" s="176"/>
      <c r="L897" s="176"/>
      <c r="M897" s="173"/>
      <c r="N897" s="173"/>
      <c r="O897" s="173"/>
      <c r="P897" s="173"/>
      <c r="Q897" s="173"/>
      <c r="R897" s="173"/>
      <c r="S897" s="173"/>
      <c r="T897" s="173"/>
      <c r="U897" s="173"/>
      <c r="V897" s="173"/>
    </row>
    <row r="898" spans="1:22" ht="12.5">
      <c r="A898" s="173"/>
      <c r="B898" s="174"/>
      <c r="C898" s="174"/>
      <c r="D898" s="173"/>
      <c r="E898" s="173"/>
      <c r="F898" s="173"/>
      <c r="G898" s="175"/>
      <c r="H898" s="173"/>
      <c r="I898" s="173"/>
      <c r="J898" s="173"/>
      <c r="K898" s="176"/>
      <c r="L898" s="176"/>
      <c r="M898" s="173"/>
      <c r="N898" s="173"/>
      <c r="O898" s="173"/>
      <c r="P898" s="173"/>
      <c r="Q898" s="173"/>
      <c r="R898" s="173"/>
      <c r="S898" s="173"/>
      <c r="T898" s="173"/>
      <c r="U898" s="173"/>
      <c r="V898" s="173"/>
    </row>
    <row r="899" spans="1:22" ht="12.5">
      <c r="A899" s="173"/>
      <c r="B899" s="174"/>
      <c r="C899" s="174"/>
      <c r="D899" s="173"/>
      <c r="E899" s="173"/>
      <c r="F899" s="173"/>
      <c r="G899" s="175"/>
      <c r="H899" s="173"/>
      <c r="I899" s="173"/>
      <c r="J899" s="173"/>
      <c r="K899" s="176"/>
      <c r="L899" s="176"/>
      <c r="M899" s="173"/>
      <c r="N899" s="173"/>
      <c r="O899" s="173"/>
      <c r="P899" s="173"/>
      <c r="Q899" s="173"/>
      <c r="R899" s="173"/>
      <c r="S899" s="173"/>
      <c r="T899" s="173"/>
      <c r="U899" s="173"/>
      <c r="V899" s="173"/>
    </row>
    <row r="900" spans="1:22" ht="12.5">
      <c r="A900" s="173"/>
      <c r="B900" s="174"/>
      <c r="C900" s="174"/>
      <c r="D900" s="173"/>
      <c r="E900" s="173"/>
      <c r="F900" s="173"/>
      <c r="G900" s="175"/>
      <c r="H900" s="173"/>
      <c r="I900" s="173"/>
      <c r="J900" s="173"/>
      <c r="K900" s="176"/>
      <c r="L900" s="176"/>
      <c r="M900" s="173"/>
      <c r="N900" s="173"/>
      <c r="O900" s="173"/>
      <c r="P900" s="173"/>
      <c r="Q900" s="173"/>
      <c r="R900" s="173"/>
      <c r="S900" s="173"/>
      <c r="T900" s="173"/>
      <c r="U900" s="173"/>
      <c r="V900" s="173"/>
    </row>
    <row r="901" spans="1:22" ht="12.5">
      <c r="A901" s="173"/>
      <c r="B901" s="174"/>
      <c r="C901" s="174"/>
      <c r="D901" s="173"/>
      <c r="E901" s="173"/>
      <c r="F901" s="173"/>
      <c r="G901" s="175"/>
      <c r="H901" s="173"/>
      <c r="I901" s="173"/>
      <c r="J901" s="173"/>
      <c r="K901" s="176"/>
      <c r="L901" s="176"/>
      <c r="M901" s="173"/>
      <c r="N901" s="173"/>
      <c r="O901" s="173"/>
      <c r="P901" s="173"/>
      <c r="Q901" s="173"/>
      <c r="R901" s="173"/>
      <c r="S901" s="173"/>
      <c r="T901" s="173"/>
      <c r="U901" s="173"/>
      <c r="V901" s="173"/>
    </row>
    <row r="902" spans="1:22" ht="12.5">
      <c r="A902" s="173"/>
      <c r="B902" s="174"/>
      <c r="C902" s="174"/>
      <c r="D902" s="173"/>
      <c r="E902" s="173"/>
      <c r="F902" s="173"/>
      <c r="G902" s="175"/>
      <c r="H902" s="173"/>
      <c r="I902" s="173"/>
      <c r="J902" s="173"/>
      <c r="K902" s="176"/>
      <c r="L902" s="176"/>
      <c r="M902" s="173"/>
      <c r="N902" s="173"/>
      <c r="O902" s="173"/>
      <c r="P902" s="173"/>
      <c r="Q902" s="173"/>
      <c r="R902" s="173"/>
      <c r="S902" s="173"/>
      <c r="T902" s="173"/>
      <c r="U902" s="173"/>
      <c r="V902" s="173"/>
    </row>
    <row r="903" spans="1:22" ht="12.5">
      <c r="A903" s="173"/>
      <c r="B903" s="174"/>
      <c r="C903" s="174"/>
      <c r="D903" s="173"/>
      <c r="E903" s="173"/>
      <c r="F903" s="173"/>
      <c r="G903" s="175"/>
      <c r="H903" s="173"/>
      <c r="I903" s="173"/>
      <c r="J903" s="173"/>
      <c r="K903" s="176"/>
      <c r="L903" s="176"/>
      <c r="M903" s="173"/>
      <c r="N903" s="173"/>
      <c r="O903" s="173"/>
      <c r="P903" s="173"/>
      <c r="Q903" s="173"/>
      <c r="R903" s="173"/>
      <c r="S903" s="173"/>
      <c r="T903" s="173"/>
      <c r="U903" s="173"/>
      <c r="V903" s="173"/>
    </row>
    <row r="904" spans="1:22" ht="12.5">
      <c r="A904" s="173"/>
      <c r="B904" s="174"/>
      <c r="C904" s="174"/>
      <c r="D904" s="173"/>
      <c r="E904" s="173"/>
      <c r="F904" s="173"/>
      <c r="G904" s="175"/>
      <c r="H904" s="173"/>
      <c r="I904" s="173"/>
      <c r="J904" s="173"/>
      <c r="K904" s="176"/>
      <c r="L904" s="176"/>
      <c r="M904" s="173"/>
      <c r="N904" s="173"/>
      <c r="O904" s="173"/>
      <c r="P904" s="173"/>
      <c r="Q904" s="173"/>
      <c r="R904" s="173"/>
      <c r="S904" s="173"/>
      <c r="T904" s="173"/>
      <c r="U904" s="173"/>
      <c r="V904" s="173"/>
    </row>
    <row r="905" spans="1:22" ht="12.5">
      <c r="A905" s="173"/>
      <c r="B905" s="174"/>
      <c r="C905" s="174"/>
      <c r="D905" s="173"/>
      <c r="E905" s="173"/>
      <c r="F905" s="173"/>
      <c r="G905" s="175"/>
      <c r="H905" s="173"/>
      <c r="I905" s="173"/>
      <c r="J905" s="173"/>
      <c r="K905" s="176"/>
      <c r="L905" s="176"/>
      <c r="M905" s="173"/>
      <c r="N905" s="173"/>
      <c r="O905" s="173"/>
      <c r="P905" s="173"/>
      <c r="Q905" s="173"/>
      <c r="R905" s="173"/>
      <c r="S905" s="173"/>
      <c r="T905" s="173"/>
      <c r="U905" s="173"/>
      <c r="V905" s="173"/>
    </row>
    <row r="906" spans="1:22" ht="12.5">
      <c r="A906" s="173"/>
      <c r="B906" s="174"/>
      <c r="C906" s="174"/>
      <c r="D906" s="173"/>
      <c r="E906" s="173"/>
      <c r="F906" s="173"/>
      <c r="G906" s="175"/>
      <c r="H906" s="173"/>
      <c r="I906" s="173"/>
      <c r="J906" s="173"/>
      <c r="K906" s="176"/>
      <c r="L906" s="176"/>
      <c r="M906" s="173"/>
      <c r="N906" s="173"/>
      <c r="O906" s="173"/>
      <c r="P906" s="173"/>
      <c r="Q906" s="173"/>
      <c r="R906" s="173"/>
      <c r="S906" s="173"/>
      <c r="T906" s="173"/>
      <c r="U906" s="173"/>
      <c r="V906" s="173"/>
    </row>
    <row r="907" spans="1:22" ht="12.5">
      <c r="A907" s="173"/>
      <c r="B907" s="174"/>
      <c r="C907" s="174"/>
      <c r="D907" s="173"/>
      <c r="E907" s="173"/>
      <c r="F907" s="173"/>
      <c r="G907" s="175"/>
      <c r="H907" s="173"/>
      <c r="I907" s="173"/>
      <c r="J907" s="173"/>
      <c r="K907" s="176"/>
      <c r="L907" s="176"/>
      <c r="M907" s="173"/>
      <c r="N907" s="173"/>
      <c r="O907" s="173"/>
      <c r="P907" s="173"/>
      <c r="Q907" s="173"/>
      <c r="R907" s="173"/>
      <c r="S907" s="173"/>
      <c r="T907" s="173"/>
      <c r="U907" s="173"/>
      <c r="V907" s="173"/>
    </row>
    <row r="908" spans="1:22" ht="12.5">
      <c r="A908" s="173"/>
      <c r="B908" s="174"/>
      <c r="C908" s="174"/>
      <c r="D908" s="173"/>
      <c r="E908" s="173"/>
      <c r="F908" s="173"/>
      <c r="G908" s="175"/>
      <c r="H908" s="173"/>
      <c r="I908" s="173"/>
      <c r="J908" s="173"/>
      <c r="K908" s="176"/>
      <c r="L908" s="176"/>
      <c r="M908" s="173"/>
      <c r="N908" s="173"/>
      <c r="O908" s="173"/>
      <c r="P908" s="173"/>
      <c r="Q908" s="173"/>
      <c r="R908" s="173"/>
      <c r="S908" s="173"/>
      <c r="T908" s="173"/>
      <c r="U908" s="173"/>
      <c r="V908" s="173"/>
    </row>
    <row r="909" spans="1:22" ht="12.5">
      <c r="A909" s="173"/>
      <c r="B909" s="174"/>
      <c r="C909" s="174"/>
      <c r="D909" s="173"/>
      <c r="E909" s="173"/>
      <c r="F909" s="173"/>
      <c r="G909" s="175"/>
      <c r="H909" s="173"/>
      <c r="I909" s="173"/>
      <c r="J909" s="173"/>
      <c r="K909" s="176"/>
      <c r="L909" s="176"/>
      <c r="M909" s="173"/>
      <c r="N909" s="173"/>
      <c r="O909" s="173"/>
      <c r="P909" s="173"/>
      <c r="Q909" s="173"/>
      <c r="R909" s="173"/>
      <c r="S909" s="173"/>
      <c r="T909" s="173"/>
      <c r="U909" s="173"/>
      <c r="V909" s="173"/>
    </row>
    <row r="910" spans="1:22" ht="12.5">
      <c r="A910" s="173"/>
      <c r="B910" s="174"/>
      <c r="C910" s="174"/>
      <c r="D910" s="173"/>
      <c r="E910" s="173"/>
      <c r="F910" s="173"/>
      <c r="G910" s="175"/>
      <c r="H910" s="173"/>
      <c r="I910" s="173"/>
      <c r="J910" s="173"/>
      <c r="K910" s="176"/>
      <c r="L910" s="176"/>
      <c r="M910" s="173"/>
      <c r="N910" s="173"/>
      <c r="O910" s="173"/>
      <c r="P910" s="173"/>
      <c r="Q910" s="173"/>
      <c r="R910" s="173"/>
      <c r="S910" s="173"/>
      <c r="T910" s="173"/>
      <c r="U910" s="173"/>
      <c r="V910" s="173"/>
    </row>
    <row r="911" spans="1:22" ht="12.5">
      <c r="A911" s="173"/>
      <c r="B911" s="174"/>
      <c r="C911" s="174"/>
      <c r="D911" s="173"/>
      <c r="E911" s="173"/>
      <c r="F911" s="173"/>
      <c r="G911" s="175"/>
      <c r="H911" s="173"/>
      <c r="I911" s="173"/>
      <c r="J911" s="173"/>
      <c r="K911" s="176"/>
      <c r="L911" s="176"/>
      <c r="M911" s="173"/>
      <c r="N911" s="173"/>
      <c r="O911" s="173"/>
      <c r="P911" s="173"/>
      <c r="Q911" s="173"/>
      <c r="R911" s="173"/>
      <c r="S911" s="173"/>
      <c r="T911" s="173"/>
      <c r="U911" s="173"/>
      <c r="V911" s="173"/>
    </row>
    <row r="912" spans="1:22" ht="12.5">
      <c r="A912" s="173"/>
      <c r="B912" s="174"/>
      <c r="C912" s="174"/>
      <c r="D912" s="173"/>
      <c r="E912" s="173"/>
      <c r="F912" s="173"/>
      <c r="G912" s="175"/>
      <c r="H912" s="173"/>
      <c r="I912" s="173"/>
      <c r="J912" s="173"/>
      <c r="K912" s="176"/>
      <c r="L912" s="176"/>
      <c r="M912" s="173"/>
      <c r="N912" s="173"/>
      <c r="O912" s="173"/>
      <c r="P912" s="173"/>
      <c r="Q912" s="173"/>
      <c r="R912" s="173"/>
      <c r="S912" s="173"/>
      <c r="T912" s="173"/>
      <c r="U912" s="173"/>
      <c r="V912" s="173"/>
    </row>
    <row r="913" spans="1:22" ht="12.5">
      <c r="A913" s="173"/>
      <c r="B913" s="174"/>
      <c r="C913" s="174"/>
      <c r="D913" s="173"/>
      <c r="E913" s="173"/>
      <c r="F913" s="173"/>
      <c r="G913" s="175"/>
      <c r="H913" s="173"/>
      <c r="I913" s="173"/>
      <c r="J913" s="173"/>
      <c r="K913" s="176"/>
      <c r="L913" s="176"/>
      <c r="M913" s="173"/>
      <c r="N913" s="173"/>
      <c r="O913" s="173"/>
      <c r="P913" s="173"/>
      <c r="Q913" s="173"/>
      <c r="R913" s="173"/>
      <c r="S913" s="173"/>
      <c r="T913" s="173"/>
      <c r="U913" s="173"/>
      <c r="V913" s="173"/>
    </row>
    <row r="914" spans="1:22" ht="12.5">
      <c r="A914" s="173"/>
      <c r="B914" s="174"/>
      <c r="C914" s="174"/>
      <c r="D914" s="173"/>
      <c r="E914" s="173"/>
      <c r="F914" s="173"/>
      <c r="G914" s="175"/>
      <c r="H914" s="173"/>
      <c r="I914" s="173"/>
      <c r="J914" s="173"/>
      <c r="K914" s="176"/>
      <c r="L914" s="176"/>
      <c r="M914" s="173"/>
      <c r="N914" s="173"/>
      <c r="O914" s="173"/>
      <c r="P914" s="173"/>
      <c r="Q914" s="173"/>
      <c r="R914" s="173"/>
      <c r="S914" s="173"/>
      <c r="T914" s="173"/>
      <c r="U914" s="173"/>
      <c r="V914" s="173"/>
    </row>
    <row r="915" spans="1:22" ht="12.5">
      <c r="A915" s="173"/>
      <c r="B915" s="174"/>
      <c r="C915" s="174"/>
      <c r="D915" s="173"/>
      <c r="E915" s="173"/>
      <c r="F915" s="173"/>
      <c r="G915" s="175"/>
      <c r="H915" s="173"/>
      <c r="I915" s="173"/>
      <c r="J915" s="173"/>
      <c r="K915" s="176"/>
      <c r="L915" s="176"/>
      <c r="M915" s="173"/>
      <c r="N915" s="173"/>
      <c r="O915" s="173"/>
      <c r="P915" s="173"/>
      <c r="Q915" s="173"/>
      <c r="R915" s="173"/>
      <c r="S915" s="173"/>
      <c r="T915" s="173"/>
      <c r="U915" s="173"/>
      <c r="V915" s="173"/>
    </row>
    <row r="916" spans="1:22" ht="12.5">
      <c r="A916" s="173"/>
      <c r="B916" s="174"/>
      <c r="C916" s="174"/>
      <c r="D916" s="173"/>
      <c r="E916" s="173"/>
      <c r="F916" s="173"/>
      <c r="G916" s="175"/>
      <c r="H916" s="173"/>
      <c r="I916" s="173"/>
      <c r="J916" s="173"/>
      <c r="K916" s="176"/>
      <c r="L916" s="176"/>
      <c r="M916" s="173"/>
      <c r="N916" s="173"/>
      <c r="O916" s="173"/>
      <c r="P916" s="173"/>
      <c r="Q916" s="173"/>
      <c r="R916" s="173"/>
      <c r="S916" s="173"/>
      <c r="T916" s="173"/>
      <c r="U916" s="173"/>
      <c r="V916" s="173"/>
    </row>
    <row r="917" spans="1:22" ht="12.5">
      <c r="A917" s="173"/>
      <c r="B917" s="174"/>
      <c r="C917" s="174"/>
      <c r="D917" s="173"/>
      <c r="E917" s="173"/>
      <c r="F917" s="173"/>
      <c r="G917" s="175"/>
      <c r="H917" s="173"/>
      <c r="I917" s="173"/>
      <c r="J917" s="173"/>
      <c r="K917" s="176"/>
      <c r="L917" s="176"/>
      <c r="M917" s="173"/>
      <c r="N917" s="173"/>
      <c r="O917" s="173"/>
      <c r="P917" s="173"/>
      <c r="Q917" s="173"/>
      <c r="R917" s="173"/>
      <c r="S917" s="173"/>
      <c r="T917" s="173"/>
      <c r="U917" s="173"/>
      <c r="V917" s="173"/>
    </row>
    <row r="918" spans="1:22" ht="12.5">
      <c r="A918" s="173"/>
      <c r="B918" s="174"/>
      <c r="C918" s="174"/>
      <c r="D918" s="173"/>
      <c r="E918" s="173"/>
      <c r="F918" s="173"/>
      <c r="G918" s="175"/>
      <c r="H918" s="173"/>
      <c r="I918" s="173"/>
      <c r="J918" s="173"/>
      <c r="K918" s="176"/>
      <c r="L918" s="176"/>
      <c r="M918" s="173"/>
      <c r="N918" s="173"/>
      <c r="O918" s="173"/>
      <c r="P918" s="173"/>
      <c r="Q918" s="173"/>
      <c r="R918" s="173"/>
      <c r="S918" s="173"/>
      <c r="T918" s="173"/>
      <c r="U918" s="173"/>
      <c r="V918" s="173"/>
    </row>
    <row r="919" spans="1:22" ht="12.5">
      <c r="A919" s="173"/>
      <c r="B919" s="174"/>
      <c r="C919" s="174"/>
      <c r="D919" s="173"/>
      <c r="E919" s="173"/>
      <c r="F919" s="173"/>
      <c r="G919" s="175"/>
      <c r="H919" s="173"/>
      <c r="I919" s="173"/>
      <c r="J919" s="173"/>
      <c r="K919" s="176"/>
      <c r="L919" s="176"/>
      <c r="M919" s="173"/>
      <c r="N919" s="173"/>
      <c r="O919" s="173"/>
      <c r="P919" s="173"/>
      <c r="Q919" s="173"/>
      <c r="R919" s="173"/>
      <c r="S919" s="173"/>
      <c r="T919" s="173"/>
      <c r="U919" s="173"/>
      <c r="V919" s="173"/>
    </row>
    <row r="920" spans="1:22" ht="12.5">
      <c r="A920" s="173"/>
      <c r="B920" s="174"/>
      <c r="C920" s="174"/>
      <c r="D920" s="173"/>
      <c r="E920" s="173"/>
      <c r="F920" s="173"/>
      <c r="G920" s="175"/>
      <c r="H920" s="173"/>
      <c r="I920" s="173"/>
      <c r="J920" s="173"/>
      <c r="K920" s="176"/>
      <c r="L920" s="176"/>
      <c r="M920" s="173"/>
      <c r="N920" s="173"/>
      <c r="O920" s="173"/>
      <c r="P920" s="173"/>
      <c r="Q920" s="173"/>
      <c r="R920" s="173"/>
      <c r="S920" s="173"/>
      <c r="T920" s="173"/>
      <c r="U920" s="173"/>
      <c r="V920" s="173"/>
    </row>
    <row r="921" spans="1:22" ht="12.5">
      <c r="A921" s="173"/>
      <c r="B921" s="174"/>
      <c r="C921" s="174"/>
      <c r="D921" s="173"/>
      <c r="E921" s="173"/>
      <c r="F921" s="173"/>
      <c r="G921" s="175"/>
      <c r="H921" s="173"/>
      <c r="I921" s="173"/>
      <c r="J921" s="173"/>
      <c r="K921" s="176"/>
      <c r="L921" s="176"/>
      <c r="M921" s="173"/>
      <c r="N921" s="173"/>
      <c r="O921" s="173"/>
      <c r="P921" s="173"/>
      <c r="Q921" s="173"/>
      <c r="R921" s="173"/>
      <c r="S921" s="173"/>
      <c r="T921" s="173"/>
      <c r="U921" s="173"/>
      <c r="V921" s="173"/>
    </row>
    <row r="922" spans="1:22" ht="12.5">
      <c r="A922" s="173"/>
      <c r="B922" s="174"/>
      <c r="C922" s="174"/>
      <c r="D922" s="173"/>
      <c r="E922" s="173"/>
      <c r="F922" s="173"/>
      <c r="G922" s="175"/>
      <c r="H922" s="173"/>
      <c r="I922" s="173"/>
      <c r="J922" s="173"/>
      <c r="K922" s="176"/>
      <c r="L922" s="176"/>
      <c r="M922" s="173"/>
      <c r="N922" s="173"/>
      <c r="O922" s="173"/>
      <c r="P922" s="173"/>
      <c r="Q922" s="173"/>
      <c r="R922" s="173"/>
      <c r="S922" s="173"/>
      <c r="T922" s="173"/>
      <c r="U922" s="173"/>
      <c r="V922" s="173"/>
    </row>
    <row r="923" spans="1:22" ht="12.5">
      <c r="A923" s="173"/>
      <c r="B923" s="174"/>
      <c r="C923" s="174"/>
      <c r="D923" s="173"/>
      <c r="E923" s="173"/>
      <c r="F923" s="173"/>
      <c r="G923" s="175"/>
      <c r="H923" s="173"/>
      <c r="I923" s="173"/>
      <c r="J923" s="173"/>
      <c r="K923" s="176"/>
      <c r="L923" s="176"/>
      <c r="M923" s="173"/>
      <c r="N923" s="173"/>
      <c r="O923" s="173"/>
      <c r="P923" s="173"/>
      <c r="Q923" s="173"/>
      <c r="R923" s="173"/>
      <c r="S923" s="173"/>
      <c r="T923" s="173"/>
      <c r="U923" s="173"/>
      <c r="V923" s="173"/>
    </row>
    <row r="924" spans="1:22" ht="12.5">
      <c r="A924" s="173"/>
      <c r="B924" s="174"/>
      <c r="C924" s="174"/>
      <c r="D924" s="173"/>
      <c r="E924" s="173"/>
      <c r="F924" s="173"/>
      <c r="G924" s="175"/>
      <c r="H924" s="173"/>
      <c r="I924" s="173"/>
      <c r="J924" s="173"/>
      <c r="K924" s="176"/>
      <c r="L924" s="176"/>
      <c r="M924" s="173"/>
      <c r="N924" s="173"/>
      <c r="O924" s="173"/>
      <c r="P924" s="173"/>
      <c r="Q924" s="173"/>
      <c r="R924" s="173"/>
      <c r="S924" s="173"/>
      <c r="T924" s="173"/>
      <c r="U924" s="173"/>
      <c r="V924" s="173"/>
    </row>
    <row r="925" spans="1:22" ht="12.5">
      <c r="A925" s="173"/>
      <c r="B925" s="174"/>
      <c r="C925" s="174"/>
      <c r="D925" s="173"/>
      <c r="E925" s="173"/>
      <c r="F925" s="173"/>
      <c r="G925" s="175"/>
      <c r="H925" s="173"/>
      <c r="I925" s="173"/>
      <c r="J925" s="173"/>
      <c r="K925" s="176"/>
      <c r="L925" s="176"/>
      <c r="M925" s="173"/>
      <c r="N925" s="173"/>
      <c r="O925" s="173"/>
      <c r="P925" s="173"/>
      <c r="Q925" s="173"/>
      <c r="R925" s="173"/>
      <c r="S925" s="173"/>
      <c r="T925" s="173"/>
      <c r="U925" s="173"/>
      <c r="V925" s="173"/>
    </row>
    <row r="926" spans="1:22" ht="12.5">
      <c r="A926" s="173"/>
      <c r="B926" s="174"/>
      <c r="C926" s="174"/>
      <c r="D926" s="173"/>
      <c r="E926" s="173"/>
      <c r="F926" s="173"/>
      <c r="G926" s="175"/>
      <c r="H926" s="173"/>
      <c r="I926" s="173"/>
      <c r="J926" s="173"/>
      <c r="K926" s="176"/>
      <c r="L926" s="176"/>
      <c r="M926" s="173"/>
      <c r="N926" s="173"/>
      <c r="O926" s="173"/>
      <c r="P926" s="173"/>
      <c r="Q926" s="173"/>
      <c r="R926" s="173"/>
      <c r="S926" s="173"/>
      <c r="T926" s="173"/>
      <c r="U926" s="173"/>
      <c r="V926" s="173"/>
    </row>
    <row r="927" spans="1:22" ht="12.5">
      <c r="A927" s="173"/>
      <c r="B927" s="174"/>
      <c r="C927" s="174"/>
      <c r="D927" s="173"/>
      <c r="E927" s="173"/>
      <c r="F927" s="173"/>
      <c r="G927" s="175"/>
      <c r="H927" s="173"/>
      <c r="I927" s="173"/>
      <c r="J927" s="173"/>
      <c r="K927" s="176"/>
      <c r="L927" s="176"/>
      <c r="M927" s="173"/>
      <c r="N927" s="173"/>
      <c r="O927" s="173"/>
      <c r="P927" s="173"/>
      <c r="Q927" s="173"/>
      <c r="R927" s="173"/>
      <c r="S927" s="173"/>
      <c r="T927" s="173"/>
      <c r="U927" s="173"/>
      <c r="V927" s="173"/>
    </row>
    <row r="928" spans="1:22" ht="12.5">
      <c r="A928" s="173"/>
      <c r="B928" s="174"/>
      <c r="C928" s="174"/>
      <c r="D928" s="173"/>
      <c r="E928" s="173"/>
      <c r="F928" s="173"/>
      <c r="G928" s="175"/>
      <c r="H928" s="173"/>
      <c r="I928" s="173"/>
      <c r="J928" s="173"/>
      <c r="K928" s="176"/>
      <c r="L928" s="176"/>
      <c r="M928" s="173"/>
      <c r="N928" s="173"/>
      <c r="O928" s="173"/>
      <c r="P928" s="173"/>
      <c r="Q928" s="173"/>
      <c r="R928" s="173"/>
      <c r="S928" s="173"/>
      <c r="T928" s="173"/>
      <c r="U928" s="173"/>
      <c r="V928" s="173"/>
    </row>
    <row r="929" spans="1:22" ht="12.5">
      <c r="A929" s="173"/>
      <c r="B929" s="174"/>
      <c r="C929" s="174"/>
      <c r="D929" s="173"/>
      <c r="E929" s="173"/>
      <c r="F929" s="173"/>
      <c r="G929" s="175"/>
      <c r="H929" s="173"/>
      <c r="I929" s="173"/>
      <c r="J929" s="173"/>
      <c r="K929" s="176"/>
      <c r="L929" s="176"/>
      <c r="M929" s="173"/>
      <c r="N929" s="173"/>
      <c r="O929" s="173"/>
      <c r="P929" s="173"/>
      <c r="Q929" s="173"/>
      <c r="R929" s="173"/>
      <c r="S929" s="173"/>
      <c r="T929" s="173"/>
      <c r="U929" s="173"/>
      <c r="V929" s="173"/>
    </row>
    <row r="930" spans="1:22" ht="12.5">
      <c r="A930" s="173"/>
      <c r="B930" s="174"/>
      <c r="C930" s="174"/>
      <c r="D930" s="173"/>
      <c r="E930" s="173"/>
      <c r="F930" s="173"/>
      <c r="G930" s="175"/>
      <c r="H930" s="173"/>
      <c r="I930" s="173"/>
      <c r="J930" s="173"/>
      <c r="K930" s="176"/>
      <c r="L930" s="176"/>
      <c r="M930" s="173"/>
      <c r="N930" s="173"/>
      <c r="O930" s="173"/>
      <c r="P930" s="173"/>
      <c r="Q930" s="173"/>
      <c r="R930" s="173"/>
      <c r="S930" s="173"/>
      <c r="T930" s="173"/>
      <c r="U930" s="173"/>
      <c r="V930" s="173"/>
    </row>
    <row r="931" spans="1:22" ht="12.5">
      <c r="A931" s="173"/>
      <c r="B931" s="174"/>
      <c r="C931" s="174"/>
      <c r="D931" s="173"/>
      <c r="E931" s="173"/>
      <c r="F931" s="173"/>
      <c r="G931" s="175"/>
      <c r="H931" s="173"/>
      <c r="I931" s="173"/>
      <c r="J931" s="173"/>
      <c r="K931" s="176"/>
      <c r="L931" s="176"/>
      <c r="M931" s="173"/>
      <c r="N931" s="173"/>
      <c r="O931" s="173"/>
      <c r="P931" s="173"/>
      <c r="Q931" s="173"/>
      <c r="R931" s="173"/>
      <c r="S931" s="173"/>
      <c r="T931" s="173"/>
      <c r="U931" s="173"/>
      <c r="V931" s="173"/>
    </row>
    <row r="932" spans="1:22" ht="12.5">
      <c r="A932" s="173"/>
      <c r="B932" s="174"/>
      <c r="C932" s="174"/>
      <c r="D932" s="173"/>
      <c r="E932" s="173"/>
      <c r="F932" s="173"/>
      <c r="G932" s="175"/>
      <c r="H932" s="173"/>
      <c r="I932" s="173"/>
      <c r="J932" s="173"/>
      <c r="K932" s="176"/>
      <c r="L932" s="176"/>
      <c r="M932" s="173"/>
      <c r="N932" s="173"/>
      <c r="O932" s="173"/>
      <c r="P932" s="173"/>
      <c r="Q932" s="173"/>
      <c r="R932" s="173"/>
      <c r="S932" s="173"/>
      <c r="T932" s="173"/>
      <c r="U932" s="173"/>
      <c r="V932" s="173"/>
    </row>
    <row r="933" spans="1:22" ht="12.5">
      <c r="A933" s="173"/>
      <c r="B933" s="174"/>
      <c r="C933" s="174"/>
      <c r="D933" s="173"/>
      <c r="E933" s="173"/>
      <c r="F933" s="173"/>
      <c r="G933" s="175"/>
      <c r="H933" s="173"/>
      <c r="I933" s="173"/>
      <c r="J933" s="173"/>
      <c r="K933" s="176"/>
      <c r="L933" s="176"/>
      <c r="M933" s="173"/>
      <c r="N933" s="173"/>
      <c r="O933" s="173"/>
      <c r="P933" s="173"/>
      <c r="Q933" s="173"/>
      <c r="R933" s="173"/>
      <c r="S933" s="173"/>
      <c r="T933" s="173"/>
      <c r="U933" s="173"/>
      <c r="V933" s="173"/>
    </row>
    <row r="934" spans="1:22" ht="12.5">
      <c r="A934" s="173"/>
      <c r="B934" s="174"/>
      <c r="C934" s="174"/>
      <c r="D934" s="173"/>
      <c r="E934" s="173"/>
      <c r="F934" s="173"/>
      <c r="G934" s="175"/>
      <c r="H934" s="173"/>
      <c r="I934" s="173"/>
      <c r="J934" s="173"/>
      <c r="K934" s="176"/>
      <c r="L934" s="176"/>
      <c r="M934" s="173"/>
      <c r="N934" s="173"/>
      <c r="O934" s="173"/>
      <c r="P934" s="173"/>
      <c r="Q934" s="173"/>
      <c r="R934" s="173"/>
      <c r="S934" s="173"/>
      <c r="T934" s="173"/>
      <c r="U934" s="173"/>
      <c r="V934" s="173"/>
    </row>
    <row r="935" spans="1:22" ht="12.5">
      <c r="A935" s="173"/>
      <c r="B935" s="174"/>
      <c r="C935" s="174"/>
      <c r="D935" s="173"/>
      <c r="E935" s="173"/>
      <c r="F935" s="173"/>
      <c r="G935" s="175"/>
      <c r="H935" s="173"/>
      <c r="I935" s="173"/>
      <c r="J935" s="173"/>
      <c r="K935" s="176"/>
      <c r="L935" s="176"/>
      <c r="M935" s="173"/>
      <c r="N935" s="173"/>
      <c r="O935" s="173"/>
      <c r="P935" s="173"/>
      <c r="Q935" s="173"/>
      <c r="R935" s="173"/>
      <c r="S935" s="173"/>
      <c r="T935" s="173"/>
      <c r="U935" s="173"/>
      <c r="V935" s="173"/>
    </row>
    <row r="936" spans="1:22" ht="12.5">
      <c r="A936" s="173"/>
      <c r="B936" s="174"/>
      <c r="C936" s="174"/>
      <c r="D936" s="173"/>
      <c r="E936" s="173"/>
      <c r="F936" s="173"/>
      <c r="G936" s="175"/>
      <c r="H936" s="173"/>
      <c r="I936" s="173"/>
      <c r="J936" s="173"/>
      <c r="K936" s="176"/>
      <c r="L936" s="176"/>
      <c r="M936" s="173"/>
      <c r="N936" s="173"/>
      <c r="O936" s="173"/>
      <c r="P936" s="173"/>
      <c r="Q936" s="173"/>
      <c r="R936" s="173"/>
      <c r="S936" s="173"/>
      <c r="T936" s="173"/>
      <c r="U936" s="173"/>
      <c r="V936" s="173"/>
    </row>
    <row r="937" spans="1:22" ht="12.5">
      <c r="A937" s="173"/>
      <c r="B937" s="174"/>
      <c r="C937" s="174"/>
      <c r="D937" s="173"/>
      <c r="E937" s="173"/>
      <c r="F937" s="173"/>
      <c r="G937" s="175"/>
      <c r="H937" s="173"/>
      <c r="I937" s="173"/>
      <c r="J937" s="173"/>
      <c r="K937" s="176"/>
      <c r="L937" s="176"/>
      <c r="M937" s="173"/>
      <c r="N937" s="173"/>
      <c r="O937" s="173"/>
      <c r="P937" s="173"/>
      <c r="Q937" s="173"/>
      <c r="R937" s="173"/>
      <c r="S937" s="173"/>
      <c r="T937" s="173"/>
      <c r="U937" s="173"/>
      <c r="V937" s="173"/>
    </row>
    <row r="938" spans="1:22" ht="12.5">
      <c r="A938" s="173"/>
      <c r="B938" s="174"/>
      <c r="C938" s="174"/>
      <c r="D938" s="173"/>
      <c r="E938" s="173"/>
      <c r="F938" s="173"/>
      <c r="G938" s="175"/>
      <c r="H938" s="173"/>
      <c r="I938" s="173"/>
      <c r="J938" s="173"/>
      <c r="K938" s="176"/>
      <c r="L938" s="176"/>
      <c r="M938" s="173"/>
      <c r="N938" s="173"/>
      <c r="O938" s="173"/>
      <c r="P938" s="173"/>
      <c r="Q938" s="173"/>
      <c r="R938" s="173"/>
      <c r="S938" s="173"/>
      <c r="T938" s="173"/>
      <c r="U938" s="173"/>
      <c r="V938" s="173"/>
    </row>
    <row r="939" spans="1:22" ht="12.5">
      <c r="A939" s="173"/>
      <c r="B939" s="174"/>
      <c r="C939" s="174"/>
      <c r="D939" s="173"/>
      <c r="E939" s="173"/>
      <c r="F939" s="173"/>
      <c r="G939" s="175"/>
      <c r="H939" s="173"/>
      <c r="I939" s="173"/>
      <c r="J939" s="173"/>
      <c r="K939" s="176"/>
      <c r="L939" s="176"/>
      <c r="M939" s="173"/>
      <c r="N939" s="173"/>
      <c r="O939" s="173"/>
      <c r="P939" s="173"/>
      <c r="Q939" s="173"/>
      <c r="R939" s="173"/>
      <c r="S939" s="173"/>
      <c r="T939" s="173"/>
      <c r="U939" s="173"/>
      <c r="V939" s="173"/>
    </row>
    <row r="940" spans="1:22" ht="12.5">
      <c r="A940" s="173"/>
      <c r="B940" s="174"/>
      <c r="C940" s="174"/>
      <c r="D940" s="173"/>
      <c r="E940" s="173"/>
      <c r="F940" s="173"/>
      <c r="G940" s="175"/>
      <c r="H940" s="173"/>
      <c r="I940" s="173"/>
      <c r="J940" s="173"/>
      <c r="K940" s="176"/>
      <c r="L940" s="176"/>
      <c r="M940" s="173"/>
      <c r="N940" s="173"/>
      <c r="O940" s="173"/>
      <c r="P940" s="173"/>
      <c r="Q940" s="173"/>
      <c r="R940" s="173"/>
      <c r="S940" s="173"/>
      <c r="T940" s="173"/>
      <c r="U940" s="173"/>
      <c r="V940" s="173"/>
    </row>
    <row r="941" spans="1:22" ht="12.5">
      <c r="A941" s="173"/>
      <c r="B941" s="174"/>
      <c r="C941" s="174"/>
      <c r="D941" s="173"/>
      <c r="E941" s="173"/>
      <c r="F941" s="173"/>
      <c r="G941" s="175"/>
      <c r="H941" s="173"/>
      <c r="I941" s="173"/>
      <c r="J941" s="173"/>
      <c r="K941" s="176"/>
      <c r="L941" s="176"/>
      <c r="M941" s="173"/>
      <c r="N941" s="173"/>
      <c r="O941" s="173"/>
      <c r="P941" s="173"/>
      <c r="Q941" s="173"/>
      <c r="R941" s="173"/>
      <c r="S941" s="173"/>
      <c r="T941" s="173"/>
      <c r="U941" s="173"/>
      <c r="V941" s="173"/>
    </row>
    <row r="942" spans="1:22" ht="12.5">
      <c r="A942" s="173"/>
      <c r="B942" s="174"/>
      <c r="C942" s="174"/>
      <c r="D942" s="173"/>
      <c r="E942" s="173"/>
      <c r="F942" s="173"/>
      <c r="G942" s="175"/>
      <c r="H942" s="173"/>
      <c r="I942" s="173"/>
      <c r="J942" s="173"/>
      <c r="K942" s="176"/>
      <c r="L942" s="176"/>
      <c r="M942" s="173"/>
      <c r="N942" s="173"/>
      <c r="O942" s="173"/>
      <c r="P942" s="173"/>
      <c r="Q942" s="173"/>
      <c r="R942" s="173"/>
      <c r="S942" s="173"/>
      <c r="T942" s="173"/>
      <c r="U942" s="173"/>
      <c r="V942" s="173"/>
    </row>
    <row r="943" spans="1:22" ht="12.5">
      <c r="A943" s="173"/>
      <c r="B943" s="174"/>
      <c r="C943" s="174"/>
      <c r="D943" s="173"/>
      <c r="E943" s="173"/>
      <c r="F943" s="173"/>
      <c r="G943" s="175"/>
      <c r="H943" s="173"/>
      <c r="I943" s="173"/>
      <c r="J943" s="173"/>
      <c r="K943" s="176"/>
      <c r="L943" s="176"/>
      <c r="M943" s="173"/>
      <c r="N943" s="173"/>
      <c r="O943" s="173"/>
      <c r="P943" s="173"/>
      <c r="Q943" s="173"/>
      <c r="R943" s="173"/>
      <c r="S943" s="173"/>
      <c r="T943" s="173"/>
      <c r="U943" s="173"/>
      <c r="V943" s="173"/>
    </row>
    <row r="944" spans="1:22" ht="12.5">
      <c r="A944" s="173"/>
      <c r="B944" s="174"/>
      <c r="C944" s="174"/>
      <c r="D944" s="173"/>
      <c r="E944" s="173"/>
      <c r="F944" s="173"/>
      <c r="G944" s="175"/>
      <c r="H944" s="173"/>
      <c r="I944" s="173"/>
      <c r="J944" s="173"/>
      <c r="K944" s="176"/>
      <c r="L944" s="176"/>
      <c r="M944" s="173"/>
      <c r="N944" s="173"/>
      <c r="O944" s="173"/>
      <c r="P944" s="173"/>
      <c r="Q944" s="173"/>
      <c r="R944" s="173"/>
      <c r="S944" s="173"/>
      <c r="T944" s="173"/>
      <c r="U944" s="173"/>
      <c r="V944" s="173"/>
    </row>
    <row r="945" spans="1:22" ht="12.5">
      <c r="A945" s="173"/>
      <c r="B945" s="174"/>
      <c r="C945" s="174"/>
      <c r="D945" s="173"/>
      <c r="E945" s="173"/>
      <c r="F945" s="173"/>
      <c r="G945" s="175"/>
      <c r="H945" s="173"/>
      <c r="I945" s="173"/>
      <c r="J945" s="173"/>
      <c r="K945" s="176"/>
      <c r="L945" s="176"/>
      <c r="M945" s="173"/>
      <c r="N945" s="173"/>
      <c r="O945" s="173"/>
      <c r="P945" s="173"/>
      <c r="Q945" s="173"/>
      <c r="R945" s="173"/>
      <c r="S945" s="173"/>
      <c r="T945" s="173"/>
      <c r="U945" s="173"/>
      <c r="V945" s="173"/>
    </row>
    <row r="946" spans="1:22" ht="12.5">
      <c r="A946" s="173"/>
      <c r="B946" s="174"/>
      <c r="C946" s="174"/>
      <c r="D946" s="173"/>
      <c r="E946" s="173"/>
      <c r="F946" s="173"/>
      <c r="G946" s="175"/>
      <c r="H946" s="173"/>
      <c r="I946" s="173"/>
      <c r="J946" s="173"/>
      <c r="K946" s="176"/>
      <c r="L946" s="176"/>
      <c r="M946" s="173"/>
      <c r="N946" s="173"/>
      <c r="O946" s="173"/>
      <c r="P946" s="173"/>
      <c r="Q946" s="173"/>
      <c r="R946" s="173"/>
      <c r="S946" s="173"/>
      <c r="T946" s="173"/>
      <c r="U946" s="173"/>
      <c r="V946" s="173"/>
    </row>
    <row r="947" spans="1:22" ht="12.5">
      <c r="A947" s="173"/>
      <c r="B947" s="174"/>
      <c r="C947" s="174"/>
      <c r="D947" s="173"/>
      <c r="E947" s="173"/>
      <c r="F947" s="173"/>
      <c r="G947" s="175"/>
      <c r="H947" s="173"/>
      <c r="I947" s="173"/>
      <c r="J947" s="173"/>
      <c r="K947" s="176"/>
      <c r="L947" s="176"/>
      <c r="M947" s="173"/>
      <c r="N947" s="173"/>
      <c r="O947" s="173"/>
      <c r="P947" s="173"/>
      <c r="Q947" s="173"/>
      <c r="R947" s="173"/>
      <c r="S947" s="173"/>
      <c r="T947" s="173"/>
      <c r="U947" s="173"/>
      <c r="V947" s="173"/>
    </row>
    <row r="948" spans="1:22" ht="12.5">
      <c r="A948" s="173"/>
      <c r="B948" s="174"/>
      <c r="C948" s="174"/>
      <c r="D948" s="173"/>
      <c r="E948" s="173"/>
      <c r="F948" s="173"/>
      <c r="G948" s="175"/>
      <c r="H948" s="173"/>
      <c r="I948" s="173"/>
      <c r="J948" s="173"/>
      <c r="K948" s="176"/>
      <c r="L948" s="176"/>
      <c r="M948" s="173"/>
      <c r="N948" s="173"/>
      <c r="O948" s="173"/>
      <c r="P948" s="173"/>
      <c r="Q948" s="173"/>
      <c r="R948" s="173"/>
      <c r="S948" s="173"/>
      <c r="T948" s="173"/>
      <c r="U948" s="173"/>
      <c r="V948" s="173"/>
    </row>
    <row r="949" spans="1:22" ht="12.5">
      <c r="A949" s="173"/>
      <c r="B949" s="174"/>
      <c r="C949" s="174"/>
      <c r="D949" s="173"/>
      <c r="E949" s="173"/>
      <c r="F949" s="173"/>
      <c r="G949" s="175"/>
      <c r="H949" s="173"/>
      <c r="I949" s="173"/>
      <c r="J949" s="173"/>
      <c r="K949" s="176"/>
      <c r="L949" s="176"/>
      <c r="M949" s="173"/>
      <c r="N949" s="173"/>
      <c r="O949" s="173"/>
      <c r="P949" s="173"/>
      <c r="Q949" s="173"/>
      <c r="R949" s="173"/>
      <c r="S949" s="173"/>
      <c r="T949" s="173"/>
      <c r="U949" s="173"/>
      <c r="V949" s="173"/>
    </row>
    <row r="950" spans="1:22" ht="12.5">
      <c r="A950" s="173"/>
      <c r="B950" s="174"/>
      <c r="C950" s="174"/>
      <c r="D950" s="173"/>
      <c r="E950" s="173"/>
      <c r="F950" s="173"/>
      <c r="G950" s="175"/>
      <c r="H950" s="173"/>
      <c r="I950" s="173"/>
      <c r="J950" s="173"/>
      <c r="K950" s="176"/>
      <c r="L950" s="176"/>
      <c r="M950" s="173"/>
      <c r="N950" s="173"/>
      <c r="O950" s="173"/>
      <c r="P950" s="173"/>
      <c r="Q950" s="173"/>
      <c r="R950" s="173"/>
      <c r="S950" s="173"/>
      <c r="T950" s="173"/>
      <c r="U950" s="173"/>
      <c r="V950" s="173"/>
    </row>
    <row r="951" spans="1:22" ht="12.5">
      <c r="A951" s="173"/>
      <c r="B951" s="174"/>
      <c r="C951" s="174"/>
      <c r="D951" s="173"/>
      <c r="E951" s="173"/>
      <c r="F951" s="173"/>
      <c r="G951" s="175"/>
      <c r="H951" s="173"/>
      <c r="I951" s="173"/>
      <c r="J951" s="173"/>
      <c r="K951" s="176"/>
      <c r="L951" s="176"/>
      <c r="M951" s="173"/>
      <c r="N951" s="173"/>
      <c r="O951" s="173"/>
      <c r="P951" s="173"/>
      <c r="Q951" s="173"/>
      <c r="R951" s="173"/>
      <c r="S951" s="173"/>
      <c r="T951" s="173"/>
      <c r="U951" s="173"/>
      <c r="V951" s="173"/>
    </row>
    <row r="952" spans="1:22" ht="12.5">
      <c r="A952" s="173"/>
      <c r="B952" s="174"/>
      <c r="C952" s="174"/>
      <c r="D952" s="173"/>
      <c r="E952" s="173"/>
      <c r="F952" s="173"/>
      <c r="G952" s="175"/>
      <c r="H952" s="173"/>
      <c r="I952" s="173"/>
      <c r="J952" s="173"/>
      <c r="K952" s="176"/>
      <c r="L952" s="176"/>
      <c r="M952" s="173"/>
      <c r="N952" s="173"/>
      <c r="O952" s="173"/>
      <c r="P952" s="173"/>
      <c r="Q952" s="173"/>
      <c r="R952" s="173"/>
      <c r="S952" s="173"/>
      <c r="T952" s="173"/>
      <c r="U952" s="173"/>
      <c r="V952" s="173"/>
    </row>
    <row r="953" spans="1:22" ht="12.5">
      <c r="A953" s="173"/>
      <c r="B953" s="174"/>
      <c r="C953" s="174"/>
      <c r="D953" s="173"/>
      <c r="E953" s="173"/>
      <c r="F953" s="173"/>
      <c r="G953" s="175"/>
      <c r="H953" s="173"/>
      <c r="I953" s="173"/>
      <c r="J953" s="173"/>
      <c r="K953" s="176"/>
      <c r="L953" s="176"/>
      <c r="M953" s="173"/>
      <c r="N953" s="173"/>
      <c r="O953" s="173"/>
      <c r="P953" s="173"/>
      <c r="Q953" s="173"/>
      <c r="R953" s="173"/>
      <c r="S953" s="173"/>
      <c r="T953" s="173"/>
      <c r="U953" s="173"/>
      <c r="V953" s="173"/>
    </row>
    <row r="954" spans="1:22" ht="12.5">
      <c r="A954" s="173"/>
      <c r="B954" s="174"/>
      <c r="C954" s="174"/>
      <c r="D954" s="173"/>
      <c r="E954" s="173"/>
      <c r="F954" s="173"/>
      <c r="G954" s="175"/>
      <c r="H954" s="173"/>
      <c r="I954" s="173"/>
      <c r="J954" s="173"/>
      <c r="K954" s="176"/>
      <c r="L954" s="176"/>
      <c r="M954" s="173"/>
      <c r="N954" s="173"/>
      <c r="O954" s="173"/>
      <c r="P954" s="173"/>
      <c r="Q954" s="173"/>
      <c r="R954" s="173"/>
      <c r="S954" s="173"/>
      <c r="T954" s="173"/>
      <c r="U954" s="173"/>
      <c r="V954" s="173"/>
    </row>
    <row r="955" spans="1:22" ht="12.5">
      <c r="A955" s="173"/>
      <c r="B955" s="174"/>
      <c r="C955" s="174"/>
      <c r="D955" s="173"/>
      <c r="E955" s="173"/>
      <c r="F955" s="173"/>
      <c r="G955" s="175"/>
      <c r="H955" s="173"/>
      <c r="I955" s="173"/>
      <c r="J955" s="173"/>
      <c r="K955" s="176"/>
      <c r="L955" s="176"/>
      <c r="M955" s="173"/>
      <c r="N955" s="173"/>
      <c r="O955" s="173"/>
      <c r="P955" s="173"/>
      <c r="Q955" s="173"/>
      <c r="R955" s="173"/>
      <c r="S955" s="173"/>
      <c r="T955" s="173"/>
      <c r="U955" s="173"/>
      <c r="V955" s="173"/>
    </row>
    <row r="956" spans="1:22" ht="12.5">
      <c r="A956" s="173"/>
      <c r="B956" s="174"/>
      <c r="C956" s="174"/>
      <c r="D956" s="173"/>
      <c r="E956" s="173"/>
      <c r="F956" s="173"/>
      <c r="G956" s="175"/>
      <c r="H956" s="173"/>
      <c r="I956" s="173"/>
      <c r="J956" s="173"/>
      <c r="K956" s="176"/>
      <c r="L956" s="176"/>
      <c r="M956" s="173"/>
      <c r="N956" s="173"/>
      <c r="O956" s="173"/>
      <c r="P956" s="173"/>
      <c r="Q956" s="173"/>
      <c r="R956" s="173"/>
      <c r="S956" s="173"/>
      <c r="T956" s="173"/>
      <c r="U956" s="173"/>
      <c r="V956" s="173"/>
    </row>
    <row r="957" spans="1:22" ht="12.5">
      <c r="A957" s="173"/>
      <c r="B957" s="174"/>
      <c r="C957" s="174"/>
      <c r="D957" s="173"/>
      <c r="E957" s="173"/>
      <c r="F957" s="173"/>
      <c r="G957" s="175"/>
      <c r="H957" s="173"/>
      <c r="I957" s="173"/>
      <c r="J957" s="173"/>
      <c r="K957" s="176"/>
      <c r="L957" s="176"/>
      <c r="M957" s="173"/>
      <c r="N957" s="173"/>
      <c r="O957" s="173"/>
      <c r="P957" s="173"/>
      <c r="Q957" s="173"/>
      <c r="R957" s="173"/>
      <c r="S957" s="173"/>
      <c r="T957" s="173"/>
      <c r="U957" s="173"/>
      <c r="V957" s="173"/>
    </row>
    <row r="958" spans="1:22" ht="12.5">
      <c r="A958" s="173"/>
      <c r="B958" s="174"/>
      <c r="C958" s="174"/>
      <c r="D958" s="173"/>
      <c r="E958" s="173"/>
      <c r="F958" s="173"/>
      <c r="G958" s="175"/>
      <c r="H958" s="173"/>
      <c r="I958" s="173"/>
      <c r="J958" s="173"/>
      <c r="K958" s="176"/>
      <c r="L958" s="176"/>
      <c r="M958" s="173"/>
      <c r="N958" s="173"/>
      <c r="O958" s="173"/>
      <c r="P958" s="173"/>
      <c r="Q958" s="173"/>
      <c r="R958" s="173"/>
      <c r="S958" s="173"/>
      <c r="T958" s="173"/>
      <c r="U958" s="173"/>
      <c r="V958" s="173"/>
    </row>
    <row r="959" spans="1:22" ht="12.5">
      <c r="A959" s="173"/>
      <c r="B959" s="174"/>
      <c r="C959" s="174"/>
      <c r="D959" s="173"/>
      <c r="E959" s="173"/>
      <c r="F959" s="173"/>
      <c r="G959" s="175"/>
      <c r="H959" s="173"/>
      <c r="I959" s="173"/>
      <c r="J959" s="173"/>
      <c r="K959" s="176"/>
      <c r="L959" s="176"/>
      <c r="M959" s="173"/>
      <c r="N959" s="173"/>
      <c r="O959" s="173"/>
      <c r="P959" s="173"/>
      <c r="Q959" s="173"/>
      <c r="R959" s="173"/>
      <c r="S959" s="173"/>
      <c r="T959" s="173"/>
      <c r="U959" s="173"/>
      <c r="V959" s="173"/>
    </row>
    <row r="960" spans="1:22" ht="12.5">
      <c r="A960" s="173"/>
      <c r="B960" s="174"/>
      <c r="C960" s="174"/>
      <c r="D960" s="173"/>
      <c r="E960" s="173"/>
      <c r="F960" s="173"/>
      <c r="G960" s="175"/>
      <c r="H960" s="173"/>
      <c r="I960" s="173"/>
      <c r="J960" s="173"/>
      <c r="K960" s="176"/>
      <c r="L960" s="176"/>
      <c r="M960" s="173"/>
      <c r="N960" s="173"/>
      <c r="O960" s="173"/>
      <c r="P960" s="173"/>
      <c r="Q960" s="173"/>
      <c r="R960" s="173"/>
      <c r="S960" s="173"/>
      <c r="T960" s="173"/>
      <c r="U960" s="173"/>
      <c r="V960" s="173"/>
    </row>
    <row r="961" spans="1:22" ht="12.5">
      <c r="A961" s="173"/>
      <c r="B961" s="174"/>
      <c r="C961" s="174"/>
      <c r="D961" s="173"/>
      <c r="E961" s="173"/>
      <c r="F961" s="173"/>
      <c r="G961" s="175"/>
      <c r="H961" s="173"/>
      <c r="I961" s="173"/>
      <c r="J961" s="173"/>
      <c r="K961" s="176"/>
      <c r="L961" s="176"/>
      <c r="M961" s="173"/>
      <c r="N961" s="173"/>
      <c r="O961" s="173"/>
      <c r="P961" s="173"/>
      <c r="Q961" s="173"/>
      <c r="R961" s="173"/>
      <c r="S961" s="173"/>
      <c r="T961" s="173"/>
      <c r="U961" s="173"/>
      <c r="V961" s="173"/>
    </row>
    <row r="962" spans="1:22" ht="12.5">
      <c r="A962" s="173"/>
      <c r="B962" s="174"/>
      <c r="C962" s="174"/>
      <c r="D962" s="173"/>
      <c r="E962" s="173"/>
      <c r="F962" s="173"/>
      <c r="G962" s="175"/>
      <c r="H962" s="173"/>
      <c r="I962" s="173"/>
      <c r="J962" s="173"/>
      <c r="K962" s="176"/>
      <c r="L962" s="176"/>
      <c r="M962" s="173"/>
      <c r="N962" s="173"/>
      <c r="O962" s="173"/>
      <c r="P962" s="173"/>
      <c r="Q962" s="173"/>
      <c r="R962" s="173"/>
      <c r="S962" s="173"/>
      <c r="T962" s="173"/>
      <c r="U962" s="173"/>
      <c r="V962" s="173"/>
    </row>
    <row r="963" spans="1:22" ht="12.5">
      <c r="A963" s="173"/>
      <c r="B963" s="174"/>
      <c r="C963" s="174"/>
      <c r="D963" s="173"/>
      <c r="E963" s="173"/>
      <c r="F963" s="173"/>
      <c r="G963" s="175"/>
      <c r="H963" s="173"/>
      <c r="I963" s="173"/>
      <c r="J963" s="173"/>
      <c r="K963" s="176"/>
      <c r="L963" s="176"/>
      <c r="M963" s="173"/>
      <c r="N963" s="173"/>
      <c r="O963" s="173"/>
      <c r="P963" s="173"/>
      <c r="Q963" s="173"/>
      <c r="R963" s="173"/>
      <c r="S963" s="173"/>
      <c r="T963" s="173"/>
      <c r="U963" s="173"/>
      <c r="V963" s="173"/>
    </row>
    <row r="964" spans="1:22" ht="12.5">
      <c r="A964" s="173"/>
      <c r="B964" s="174"/>
      <c r="C964" s="174"/>
      <c r="D964" s="173"/>
      <c r="E964" s="173"/>
      <c r="F964" s="173"/>
      <c r="G964" s="175"/>
      <c r="H964" s="173"/>
      <c r="I964" s="173"/>
      <c r="J964" s="173"/>
      <c r="K964" s="176"/>
      <c r="L964" s="176"/>
      <c r="M964" s="173"/>
      <c r="N964" s="173"/>
      <c r="O964" s="173"/>
      <c r="P964" s="173"/>
      <c r="Q964" s="173"/>
      <c r="R964" s="173"/>
      <c r="S964" s="173"/>
      <c r="T964" s="173"/>
      <c r="U964" s="173"/>
      <c r="V964" s="173"/>
    </row>
    <row r="965" spans="1:22" ht="12.5">
      <c r="A965" s="173"/>
      <c r="B965" s="174"/>
      <c r="C965" s="174"/>
      <c r="D965" s="173"/>
      <c r="E965" s="173"/>
      <c r="F965" s="173"/>
      <c r="G965" s="175"/>
      <c r="H965" s="173"/>
      <c r="I965" s="173"/>
      <c r="J965" s="173"/>
      <c r="K965" s="176"/>
      <c r="L965" s="176"/>
      <c r="M965" s="173"/>
      <c r="N965" s="173"/>
      <c r="O965" s="173"/>
      <c r="P965" s="173"/>
      <c r="Q965" s="173"/>
      <c r="R965" s="173"/>
      <c r="S965" s="173"/>
      <c r="T965" s="173"/>
      <c r="U965" s="173"/>
      <c r="V965" s="173"/>
    </row>
    <row r="966" spans="1:22" ht="12.5">
      <c r="A966" s="173"/>
      <c r="B966" s="174"/>
      <c r="C966" s="174"/>
      <c r="D966" s="173"/>
      <c r="E966" s="173"/>
      <c r="F966" s="173"/>
      <c r="G966" s="175"/>
      <c r="H966" s="173"/>
      <c r="I966" s="173"/>
      <c r="J966" s="173"/>
      <c r="K966" s="176"/>
      <c r="L966" s="176"/>
      <c r="M966" s="173"/>
      <c r="N966" s="173"/>
      <c r="O966" s="173"/>
      <c r="P966" s="173"/>
      <c r="Q966" s="173"/>
      <c r="R966" s="173"/>
      <c r="S966" s="173"/>
      <c r="T966" s="173"/>
      <c r="U966" s="173"/>
      <c r="V966" s="173"/>
    </row>
    <row r="967" spans="1:22" ht="12.5">
      <c r="A967" s="173"/>
      <c r="B967" s="174"/>
      <c r="C967" s="174"/>
      <c r="D967" s="173"/>
      <c r="E967" s="173"/>
      <c r="F967" s="173"/>
      <c r="G967" s="175"/>
      <c r="H967" s="173"/>
      <c r="I967" s="173"/>
      <c r="J967" s="173"/>
      <c r="K967" s="176"/>
      <c r="L967" s="176"/>
      <c r="M967" s="173"/>
      <c r="N967" s="173"/>
      <c r="O967" s="173"/>
      <c r="P967" s="173"/>
      <c r="Q967" s="173"/>
      <c r="R967" s="173"/>
      <c r="S967" s="173"/>
      <c r="T967" s="173"/>
      <c r="U967" s="173"/>
      <c r="V967" s="173"/>
    </row>
    <row r="968" spans="1:22" ht="12.5">
      <c r="A968" s="173"/>
      <c r="B968" s="174"/>
      <c r="C968" s="174"/>
      <c r="D968" s="173"/>
      <c r="E968" s="173"/>
      <c r="F968" s="173"/>
      <c r="G968" s="175"/>
      <c r="H968" s="173"/>
      <c r="I968" s="173"/>
      <c r="J968" s="173"/>
      <c r="K968" s="176"/>
      <c r="L968" s="176"/>
      <c r="M968" s="173"/>
      <c r="N968" s="173"/>
      <c r="O968" s="173"/>
      <c r="P968" s="173"/>
      <c r="Q968" s="173"/>
      <c r="R968" s="173"/>
      <c r="S968" s="173"/>
      <c r="T968" s="173"/>
      <c r="U968" s="173"/>
      <c r="V968" s="173"/>
    </row>
    <row r="969" spans="1:22" ht="12.5">
      <c r="A969" s="173"/>
      <c r="B969" s="174"/>
      <c r="C969" s="174"/>
      <c r="D969" s="173"/>
      <c r="E969" s="173"/>
      <c r="F969" s="173"/>
      <c r="G969" s="175"/>
      <c r="H969" s="173"/>
      <c r="I969" s="173"/>
      <c r="J969" s="173"/>
      <c r="K969" s="176"/>
      <c r="L969" s="176"/>
      <c r="M969" s="173"/>
      <c r="N969" s="173"/>
      <c r="O969" s="173"/>
      <c r="P969" s="173"/>
      <c r="Q969" s="173"/>
      <c r="R969" s="173"/>
      <c r="S969" s="173"/>
      <c r="T969" s="173"/>
      <c r="U969" s="173"/>
      <c r="V969" s="173"/>
    </row>
    <row r="970" spans="1:22" ht="12.5">
      <c r="A970" s="173"/>
      <c r="B970" s="174"/>
      <c r="C970" s="174"/>
      <c r="D970" s="173"/>
      <c r="E970" s="173"/>
      <c r="F970" s="173"/>
      <c r="G970" s="175"/>
      <c r="H970" s="173"/>
      <c r="I970" s="173"/>
      <c r="J970" s="173"/>
      <c r="K970" s="176"/>
      <c r="L970" s="176"/>
      <c r="M970" s="173"/>
      <c r="N970" s="173"/>
      <c r="O970" s="173"/>
      <c r="P970" s="173"/>
      <c r="Q970" s="173"/>
      <c r="R970" s="173"/>
      <c r="S970" s="173"/>
      <c r="T970" s="173"/>
      <c r="U970" s="173"/>
      <c r="V970" s="173"/>
    </row>
    <row r="971" spans="1:22" ht="12.5">
      <c r="A971" s="173"/>
      <c r="B971" s="174"/>
      <c r="C971" s="174"/>
      <c r="D971" s="173"/>
      <c r="E971" s="173"/>
      <c r="F971" s="173"/>
      <c r="G971" s="175"/>
      <c r="H971" s="173"/>
      <c r="I971" s="173"/>
      <c r="J971" s="173"/>
      <c r="K971" s="176"/>
      <c r="L971" s="176"/>
      <c r="M971" s="173"/>
      <c r="N971" s="173"/>
      <c r="O971" s="173"/>
      <c r="P971" s="173"/>
      <c r="Q971" s="173"/>
      <c r="R971" s="173"/>
      <c r="S971" s="173"/>
      <c r="T971" s="173"/>
      <c r="U971" s="173"/>
      <c r="V971" s="173"/>
    </row>
    <row r="972" spans="1:22" ht="12.5">
      <c r="A972" s="173"/>
      <c r="B972" s="174"/>
      <c r="C972" s="174"/>
      <c r="D972" s="173"/>
      <c r="E972" s="173"/>
      <c r="F972" s="173"/>
      <c r="G972" s="175"/>
      <c r="H972" s="173"/>
      <c r="I972" s="173"/>
      <c r="J972" s="173"/>
      <c r="K972" s="176"/>
      <c r="L972" s="176"/>
      <c r="M972" s="173"/>
      <c r="N972" s="173"/>
      <c r="O972" s="173"/>
      <c r="P972" s="173"/>
      <c r="Q972" s="173"/>
      <c r="R972" s="173"/>
      <c r="S972" s="173"/>
      <c r="T972" s="173"/>
      <c r="U972" s="173"/>
      <c r="V972" s="173"/>
    </row>
    <row r="973" spans="1:22" ht="12.5">
      <c r="A973" s="173"/>
      <c r="B973" s="174"/>
      <c r="C973" s="174"/>
      <c r="D973" s="173"/>
      <c r="E973" s="173"/>
      <c r="F973" s="173"/>
      <c r="G973" s="175"/>
      <c r="H973" s="173"/>
      <c r="I973" s="173"/>
      <c r="J973" s="173"/>
      <c r="K973" s="176"/>
      <c r="L973" s="176"/>
      <c r="M973" s="173"/>
      <c r="N973" s="173"/>
      <c r="O973" s="173"/>
      <c r="P973" s="173"/>
      <c r="Q973" s="173"/>
      <c r="R973" s="173"/>
      <c r="S973" s="173"/>
      <c r="T973" s="173"/>
      <c r="U973" s="173"/>
      <c r="V973" s="173"/>
    </row>
    <row r="974" spans="1:22" ht="12.5">
      <c r="A974" s="173"/>
      <c r="B974" s="174"/>
      <c r="C974" s="174"/>
      <c r="D974" s="173"/>
      <c r="E974" s="173"/>
      <c r="F974" s="173"/>
      <c r="G974" s="175"/>
      <c r="H974" s="173"/>
      <c r="I974" s="173"/>
      <c r="J974" s="173"/>
      <c r="K974" s="176"/>
      <c r="L974" s="176"/>
      <c r="M974" s="173"/>
      <c r="N974" s="173"/>
      <c r="O974" s="173"/>
      <c r="P974" s="173"/>
      <c r="Q974" s="173"/>
      <c r="R974" s="173"/>
      <c r="S974" s="173"/>
      <c r="T974" s="173"/>
      <c r="U974" s="173"/>
      <c r="V974" s="173"/>
    </row>
    <row r="975" spans="1:22" ht="12.5">
      <c r="A975" s="173"/>
      <c r="B975" s="174"/>
      <c r="C975" s="174"/>
      <c r="D975" s="173"/>
      <c r="E975" s="173"/>
      <c r="F975" s="173"/>
      <c r="G975" s="175"/>
      <c r="H975" s="173"/>
      <c r="I975" s="173"/>
      <c r="J975" s="173"/>
      <c r="K975" s="176"/>
      <c r="L975" s="176"/>
      <c r="M975" s="173"/>
      <c r="N975" s="173"/>
      <c r="O975" s="173"/>
      <c r="P975" s="173"/>
      <c r="Q975" s="173"/>
      <c r="R975" s="173"/>
      <c r="S975" s="173"/>
      <c r="T975" s="173"/>
      <c r="U975" s="173"/>
      <c r="V975" s="173"/>
    </row>
    <row r="976" spans="1:22" ht="12.5">
      <c r="A976" s="173"/>
      <c r="B976" s="174"/>
      <c r="C976" s="174"/>
      <c r="D976" s="173"/>
      <c r="E976" s="173"/>
      <c r="F976" s="173"/>
      <c r="G976" s="175"/>
      <c r="H976" s="173"/>
      <c r="I976" s="173"/>
      <c r="J976" s="173"/>
      <c r="K976" s="176"/>
      <c r="L976" s="176"/>
      <c r="M976" s="173"/>
      <c r="N976" s="173"/>
      <c r="O976" s="173"/>
      <c r="P976" s="173"/>
      <c r="Q976" s="173"/>
      <c r="R976" s="173"/>
      <c r="S976" s="173"/>
      <c r="T976" s="173"/>
      <c r="U976" s="173"/>
      <c r="V976" s="173"/>
    </row>
    <row r="977" spans="1:22" ht="12.5">
      <c r="A977" s="173"/>
      <c r="B977" s="174"/>
      <c r="C977" s="174"/>
      <c r="D977" s="173"/>
      <c r="E977" s="173"/>
      <c r="F977" s="173"/>
      <c r="G977" s="175"/>
      <c r="H977" s="173"/>
      <c r="I977" s="173"/>
      <c r="J977" s="173"/>
      <c r="K977" s="176"/>
      <c r="L977" s="176"/>
      <c r="M977" s="173"/>
      <c r="N977" s="173"/>
      <c r="O977" s="173"/>
      <c r="P977" s="173"/>
      <c r="Q977" s="173"/>
      <c r="R977" s="173"/>
      <c r="S977" s="173"/>
      <c r="T977" s="173"/>
      <c r="U977" s="173"/>
      <c r="V977" s="173"/>
    </row>
    <row r="978" spans="1:22" ht="12.5">
      <c r="A978" s="173"/>
      <c r="B978" s="174"/>
      <c r="C978" s="174"/>
      <c r="D978" s="173"/>
      <c r="E978" s="173"/>
      <c r="F978" s="173"/>
      <c r="G978" s="175"/>
      <c r="H978" s="173"/>
      <c r="I978" s="173"/>
      <c r="J978" s="173"/>
      <c r="K978" s="176"/>
      <c r="L978" s="176"/>
      <c r="M978" s="173"/>
      <c r="N978" s="173"/>
      <c r="O978" s="173"/>
      <c r="P978" s="173"/>
      <c r="Q978" s="173"/>
      <c r="R978" s="173"/>
      <c r="S978" s="173"/>
      <c r="T978" s="173"/>
      <c r="U978" s="173"/>
      <c r="V978" s="173"/>
    </row>
    <row r="979" spans="1:22" ht="12.5">
      <c r="A979" s="173"/>
      <c r="B979" s="174"/>
      <c r="C979" s="174"/>
      <c r="D979" s="173"/>
      <c r="E979" s="173"/>
      <c r="F979" s="173"/>
      <c r="G979" s="175"/>
      <c r="H979" s="173"/>
      <c r="I979" s="173"/>
      <c r="J979" s="173"/>
      <c r="K979" s="176"/>
      <c r="L979" s="176"/>
      <c r="M979" s="173"/>
      <c r="N979" s="173"/>
      <c r="O979" s="173"/>
      <c r="P979" s="173"/>
      <c r="Q979" s="173"/>
      <c r="R979" s="173"/>
      <c r="S979" s="173"/>
      <c r="T979" s="173"/>
      <c r="U979" s="173"/>
      <c r="V979" s="173"/>
    </row>
    <row r="980" spans="1:22" ht="12.5">
      <c r="A980" s="173"/>
      <c r="B980" s="174"/>
      <c r="C980" s="174"/>
      <c r="D980" s="173"/>
      <c r="E980" s="173"/>
      <c r="F980" s="173"/>
      <c r="G980" s="175"/>
      <c r="H980" s="173"/>
      <c r="I980" s="173"/>
      <c r="J980" s="173"/>
      <c r="K980" s="176"/>
      <c r="L980" s="176"/>
      <c r="M980" s="173"/>
      <c r="N980" s="173"/>
      <c r="O980" s="173"/>
      <c r="P980" s="173"/>
      <c r="Q980" s="173"/>
      <c r="R980" s="173"/>
      <c r="S980" s="173"/>
      <c r="T980" s="173"/>
      <c r="U980" s="173"/>
      <c r="V980" s="173"/>
    </row>
    <row r="981" spans="1:22" ht="12.5">
      <c r="A981" s="173"/>
      <c r="B981" s="174"/>
      <c r="C981" s="174"/>
      <c r="D981" s="173"/>
      <c r="E981" s="173"/>
      <c r="F981" s="173"/>
      <c r="G981" s="175"/>
      <c r="H981" s="173"/>
      <c r="I981" s="173"/>
      <c r="J981" s="173"/>
      <c r="K981" s="176"/>
      <c r="L981" s="176"/>
      <c r="M981" s="173"/>
      <c r="N981" s="173"/>
      <c r="O981" s="173"/>
      <c r="P981" s="173"/>
      <c r="Q981" s="173"/>
      <c r="R981" s="173"/>
      <c r="S981" s="173"/>
      <c r="T981" s="173"/>
      <c r="U981" s="173"/>
      <c r="V981" s="173"/>
    </row>
    <row r="982" spans="1:22" ht="12.5">
      <c r="A982" s="173"/>
      <c r="B982" s="174"/>
      <c r="C982" s="174"/>
      <c r="D982" s="173"/>
      <c r="E982" s="173"/>
      <c r="F982" s="173"/>
      <c r="G982" s="175"/>
      <c r="H982" s="173"/>
      <c r="I982" s="173"/>
      <c r="J982" s="173"/>
      <c r="K982" s="176"/>
      <c r="L982" s="176"/>
      <c r="M982" s="173"/>
      <c r="N982" s="173"/>
      <c r="O982" s="173"/>
      <c r="P982" s="173"/>
      <c r="Q982" s="173"/>
      <c r="R982" s="173"/>
      <c r="S982" s="173"/>
      <c r="T982" s="173"/>
      <c r="U982" s="173"/>
      <c r="V982" s="173"/>
    </row>
    <row r="983" spans="1:22" ht="12.5">
      <c r="A983" s="173"/>
      <c r="B983" s="174"/>
      <c r="C983" s="174"/>
      <c r="D983" s="173"/>
      <c r="E983" s="173"/>
      <c r="F983" s="173"/>
      <c r="G983" s="175"/>
      <c r="H983" s="173"/>
      <c r="I983" s="173"/>
      <c r="J983" s="173"/>
      <c r="K983" s="176"/>
      <c r="L983" s="176"/>
      <c r="M983" s="173"/>
      <c r="N983" s="173"/>
      <c r="O983" s="173"/>
      <c r="P983" s="173"/>
      <c r="Q983" s="173"/>
      <c r="R983" s="173"/>
      <c r="S983" s="173"/>
      <c r="T983" s="173"/>
      <c r="U983" s="173"/>
      <c r="V983" s="173"/>
    </row>
    <row r="984" spans="1:22" ht="12.5">
      <c r="A984" s="173"/>
      <c r="B984" s="174"/>
      <c r="C984" s="174"/>
      <c r="D984" s="173"/>
      <c r="E984" s="173"/>
      <c r="F984" s="173"/>
      <c r="G984" s="175"/>
      <c r="H984" s="173"/>
      <c r="I984" s="173"/>
      <c r="J984" s="173"/>
      <c r="K984" s="176"/>
      <c r="L984" s="176"/>
      <c r="M984" s="173"/>
      <c r="N984" s="173"/>
      <c r="O984" s="173"/>
      <c r="P984" s="173"/>
      <c r="Q984" s="173"/>
      <c r="R984" s="173"/>
      <c r="S984" s="173"/>
      <c r="T984" s="173"/>
      <c r="U984" s="173"/>
      <c r="V984" s="173"/>
    </row>
    <row r="985" spans="1:22" ht="12.5">
      <c r="A985" s="173"/>
      <c r="B985" s="174"/>
      <c r="C985" s="174"/>
      <c r="D985" s="173"/>
      <c r="E985" s="173"/>
      <c r="F985" s="173"/>
      <c r="G985" s="175"/>
      <c r="H985" s="173"/>
      <c r="I985" s="173"/>
      <c r="J985" s="173"/>
      <c r="K985" s="176"/>
      <c r="L985" s="176"/>
      <c r="M985" s="173"/>
      <c r="N985" s="173"/>
      <c r="O985" s="173"/>
      <c r="P985" s="173"/>
      <c r="Q985" s="173"/>
      <c r="R985" s="173"/>
      <c r="S985" s="173"/>
      <c r="T985" s="173"/>
      <c r="U985" s="173"/>
      <c r="V985" s="173"/>
    </row>
    <row r="986" spans="1:22" ht="12.5">
      <c r="A986" s="173"/>
      <c r="B986" s="174"/>
      <c r="C986" s="174"/>
      <c r="D986" s="173"/>
      <c r="E986" s="173"/>
      <c r="F986" s="173"/>
      <c r="G986" s="175"/>
      <c r="H986" s="173"/>
      <c r="I986" s="173"/>
      <c r="J986" s="173"/>
      <c r="K986" s="176"/>
      <c r="L986" s="176"/>
      <c r="M986" s="173"/>
      <c r="N986" s="173"/>
      <c r="O986" s="173"/>
      <c r="P986" s="173"/>
      <c r="Q986" s="173"/>
      <c r="R986" s="173"/>
      <c r="S986" s="173"/>
      <c r="T986" s="173"/>
      <c r="U986" s="173"/>
      <c r="V986" s="173"/>
    </row>
    <row r="987" spans="1:22" ht="12.5">
      <c r="A987" s="173"/>
      <c r="B987" s="174"/>
      <c r="C987" s="174"/>
      <c r="D987" s="173"/>
      <c r="E987" s="173"/>
      <c r="F987" s="173"/>
      <c r="G987" s="175"/>
      <c r="H987" s="173"/>
      <c r="I987" s="173"/>
      <c r="J987" s="173"/>
      <c r="K987" s="176"/>
      <c r="L987" s="176"/>
      <c r="M987" s="173"/>
      <c r="N987" s="173"/>
      <c r="O987" s="173"/>
      <c r="P987" s="173"/>
      <c r="Q987" s="173"/>
      <c r="R987" s="173"/>
      <c r="S987" s="173"/>
      <c r="T987" s="173"/>
      <c r="U987" s="173"/>
      <c r="V987" s="173"/>
    </row>
    <row r="988" spans="1:22" ht="12.5">
      <c r="A988" s="173"/>
      <c r="B988" s="174"/>
      <c r="C988" s="174"/>
      <c r="D988" s="173"/>
      <c r="E988" s="173"/>
      <c r="F988" s="173"/>
      <c r="G988" s="175"/>
      <c r="H988" s="173"/>
      <c r="I988" s="173"/>
      <c r="J988" s="173"/>
      <c r="K988" s="176"/>
      <c r="L988" s="176"/>
      <c r="M988" s="173"/>
      <c r="N988" s="173"/>
      <c r="O988" s="173"/>
      <c r="P988" s="173"/>
      <c r="Q988" s="173"/>
      <c r="R988" s="173"/>
      <c r="S988" s="173"/>
      <c r="T988" s="173"/>
      <c r="U988" s="173"/>
      <c r="V988" s="173"/>
    </row>
    <row r="989" spans="1:22" ht="12.5">
      <c r="A989" s="173"/>
      <c r="B989" s="174"/>
      <c r="C989" s="174"/>
      <c r="D989" s="173"/>
      <c r="E989" s="173"/>
      <c r="F989" s="173"/>
      <c r="G989" s="175"/>
      <c r="H989" s="173"/>
      <c r="I989" s="173"/>
      <c r="J989" s="173"/>
      <c r="K989" s="176"/>
      <c r="L989" s="176"/>
      <c r="M989" s="173"/>
      <c r="N989" s="173"/>
      <c r="O989" s="173"/>
      <c r="P989" s="173"/>
      <c r="Q989" s="173"/>
      <c r="R989" s="173"/>
      <c r="S989" s="173"/>
      <c r="T989" s="173"/>
      <c r="U989" s="173"/>
      <c r="V989" s="173"/>
    </row>
    <row r="990" spans="1:22" ht="12.5">
      <c r="A990" s="173"/>
      <c r="B990" s="174"/>
      <c r="C990" s="174"/>
      <c r="D990" s="173"/>
      <c r="E990" s="173"/>
      <c r="F990" s="173"/>
      <c r="G990" s="175"/>
      <c r="H990" s="173"/>
      <c r="I990" s="173"/>
      <c r="J990" s="173"/>
      <c r="K990" s="176"/>
      <c r="L990" s="176"/>
      <c r="M990" s="173"/>
      <c r="N990" s="173"/>
      <c r="O990" s="173"/>
      <c r="P990" s="173"/>
      <c r="Q990" s="173"/>
      <c r="R990" s="173"/>
      <c r="S990" s="173"/>
      <c r="T990" s="173"/>
      <c r="U990" s="173"/>
      <c r="V990" s="173"/>
    </row>
    <row r="991" spans="1:22" ht="12.5">
      <c r="A991" s="173"/>
      <c r="B991" s="174"/>
      <c r="C991" s="174"/>
      <c r="D991" s="173"/>
      <c r="E991" s="173"/>
      <c r="F991" s="173"/>
      <c r="G991" s="175"/>
      <c r="H991" s="173"/>
      <c r="I991" s="173"/>
      <c r="J991" s="173"/>
      <c r="K991" s="176"/>
      <c r="L991" s="176"/>
      <c r="M991" s="173"/>
      <c r="N991" s="173"/>
      <c r="O991" s="173"/>
      <c r="P991" s="173"/>
      <c r="Q991" s="173"/>
      <c r="R991" s="173"/>
      <c r="S991" s="173"/>
      <c r="T991" s="173"/>
      <c r="U991" s="173"/>
      <c r="V991" s="173"/>
    </row>
    <row r="992" spans="1:22" ht="12.5">
      <c r="A992" s="173"/>
      <c r="B992" s="174"/>
      <c r="C992" s="174"/>
      <c r="D992" s="173"/>
      <c r="E992" s="173"/>
      <c r="F992" s="173"/>
      <c r="G992" s="175"/>
      <c r="H992" s="173"/>
      <c r="I992" s="173"/>
      <c r="J992" s="173"/>
      <c r="K992" s="176"/>
      <c r="L992" s="176"/>
      <c r="M992" s="173"/>
      <c r="N992" s="173"/>
      <c r="O992" s="173"/>
      <c r="P992" s="173"/>
      <c r="Q992" s="173"/>
      <c r="R992" s="173"/>
      <c r="S992" s="173"/>
      <c r="T992" s="173"/>
      <c r="U992" s="173"/>
      <c r="V992" s="173"/>
    </row>
    <row r="993" spans="1:22" ht="12.5">
      <c r="A993" s="173"/>
      <c r="B993" s="174"/>
      <c r="C993" s="174"/>
      <c r="D993" s="173"/>
      <c r="E993" s="173"/>
      <c r="F993" s="173"/>
      <c r="G993" s="175"/>
      <c r="H993" s="173"/>
      <c r="I993" s="173"/>
      <c r="J993" s="173"/>
      <c r="K993" s="176"/>
      <c r="L993" s="176"/>
      <c r="M993" s="173"/>
      <c r="N993" s="173"/>
      <c r="O993" s="173"/>
      <c r="P993" s="173"/>
      <c r="Q993" s="173"/>
      <c r="R993" s="173"/>
      <c r="S993" s="173"/>
      <c r="T993" s="173"/>
      <c r="U993" s="173"/>
      <c r="V993" s="173"/>
    </row>
    <row r="994" spans="1:22" ht="12.5">
      <c r="A994" s="173"/>
      <c r="B994" s="174"/>
      <c r="C994" s="174"/>
      <c r="D994" s="173"/>
      <c r="E994" s="173"/>
      <c r="F994" s="173"/>
      <c r="G994" s="175"/>
      <c r="H994" s="173"/>
      <c r="I994" s="173"/>
      <c r="J994" s="173"/>
      <c r="K994" s="176"/>
      <c r="L994" s="176"/>
      <c r="M994" s="173"/>
      <c r="N994" s="173"/>
      <c r="O994" s="173"/>
      <c r="P994" s="173"/>
      <c r="Q994" s="173"/>
      <c r="R994" s="173"/>
      <c r="S994" s="173"/>
      <c r="T994" s="173"/>
      <c r="U994" s="173"/>
      <c r="V994" s="173"/>
    </row>
    <row r="995" spans="1:22" ht="12.5">
      <c r="A995" s="173"/>
      <c r="B995" s="174"/>
      <c r="C995" s="174"/>
      <c r="D995" s="173"/>
      <c r="E995" s="173"/>
      <c r="F995" s="173"/>
      <c r="G995" s="175"/>
      <c r="H995" s="173"/>
      <c r="I995" s="173"/>
      <c r="J995" s="173"/>
      <c r="K995" s="176"/>
      <c r="L995" s="176"/>
      <c r="M995" s="173"/>
      <c r="N995" s="173"/>
      <c r="O995" s="173"/>
      <c r="P995" s="173"/>
      <c r="Q995" s="173"/>
      <c r="R995" s="173"/>
      <c r="S995" s="173"/>
      <c r="T995" s="173"/>
      <c r="U995" s="173"/>
      <c r="V995" s="173"/>
    </row>
    <row r="996" spans="1:22" ht="12.5">
      <c r="A996" s="173"/>
      <c r="B996" s="174"/>
      <c r="C996" s="174"/>
      <c r="D996" s="173"/>
      <c r="E996" s="173"/>
      <c r="F996" s="173"/>
      <c r="G996" s="175"/>
      <c r="H996" s="173"/>
      <c r="I996" s="173"/>
      <c r="J996" s="173"/>
      <c r="K996" s="176"/>
      <c r="L996" s="176"/>
      <c r="M996" s="173"/>
      <c r="N996" s="173"/>
      <c r="O996" s="173"/>
      <c r="P996" s="173"/>
      <c r="Q996" s="173"/>
      <c r="R996" s="173"/>
      <c r="S996" s="173"/>
      <c r="T996" s="173"/>
      <c r="U996" s="173"/>
      <c r="V996" s="173"/>
    </row>
    <row r="997" spans="1:22" ht="12.5">
      <c r="A997" s="173"/>
      <c r="B997" s="174"/>
      <c r="C997" s="174"/>
      <c r="D997" s="173"/>
      <c r="E997" s="173"/>
      <c r="F997" s="173"/>
      <c r="G997" s="175"/>
      <c r="H997" s="173"/>
      <c r="I997" s="173"/>
      <c r="J997" s="173"/>
      <c r="K997" s="176"/>
      <c r="L997" s="176"/>
      <c r="M997" s="173"/>
      <c r="N997" s="173"/>
      <c r="O997" s="173"/>
      <c r="P997" s="173"/>
      <c r="Q997" s="173"/>
      <c r="R997" s="173"/>
      <c r="S997" s="173"/>
      <c r="T997" s="173"/>
      <c r="U997" s="173"/>
      <c r="V997" s="173"/>
    </row>
    <row r="998" spans="1:22" ht="12.5">
      <c r="A998" s="173"/>
      <c r="B998" s="174"/>
      <c r="C998" s="174"/>
      <c r="D998" s="173"/>
      <c r="E998" s="173"/>
      <c r="F998" s="173"/>
      <c r="G998" s="175"/>
      <c r="H998" s="173"/>
      <c r="I998" s="173"/>
      <c r="J998" s="173"/>
      <c r="K998" s="176"/>
      <c r="L998" s="176"/>
      <c r="M998" s="173"/>
      <c r="N998" s="173"/>
      <c r="O998" s="173"/>
      <c r="P998" s="173"/>
      <c r="Q998" s="173"/>
      <c r="R998" s="173"/>
      <c r="S998" s="173"/>
      <c r="T998" s="173"/>
      <c r="U998" s="173"/>
      <c r="V998" s="173"/>
    </row>
    <row r="999" spans="1:22" ht="12.5">
      <c r="A999" s="173"/>
      <c r="B999" s="174"/>
      <c r="C999" s="174"/>
      <c r="D999" s="173"/>
      <c r="E999" s="173"/>
      <c r="F999" s="173"/>
      <c r="G999" s="175"/>
      <c r="H999" s="173"/>
      <c r="I999" s="173"/>
      <c r="J999" s="173"/>
      <c r="K999" s="176"/>
      <c r="L999" s="176"/>
      <c r="M999" s="173"/>
      <c r="N999" s="173"/>
      <c r="O999" s="173"/>
      <c r="P999" s="173"/>
      <c r="Q999" s="173"/>
      <c r="R999" s="173"/>
      <c r="S999" s="173"/>
      <c r="T999" s="173"/>
      <c r="U999" s="173"/>
      <c r="V999" s="173"/>
    </row>
    <row r="1000" spans="1:22" ht="12.5">
      <c r="A1000" s="173"/>
      <c r="B1000" s="174"/>
      <c r="C1000" s="174"/>
      <c r="D1000" s="173"/>
      <c r="E1000" s="173"/>
      <c r="F1000" s="173"/>
      <c r="G1000" s="175"/>
      <c r="H1000" s="173"/>
      <c r="I1000" s="173"/>
      <c r="J1000" s="173"/>
      <c r="K1000" s="176"/>
      <c r="L1000" s="176"/>
      <c r="M1000" s="173"/>
      <c r="N1000" s="173"/>
      <c r="O1000" s="173"/>
      <c r="P1000" s="173"/>
      <c r="Q1000" s="173"/>
      <c r="R1000" s="173"/>
      <c r="S1000" s="173"/>
      <c r="T1000" s="173"/>
      <c r="U1000" s="173"/>
      <c r="V1000" s="173"/>
    </row>
    <row r="1001" spans="1:22" ht="12.5">
      <c r="A1001" s="173"/>
      <c r="B1001" s="174"/>
      <c r="C1001" s="174"/>
      <c r="D1001" s="173"/>
      <c r="E1001" s="173"/>
      <c r="F1001" s="173"/>
      <c r="G1001" s="175"/>
      <c r="H1001" s="173"/>
      <c r="I1001" s="173"/>
      <c r="J1001" s="173"/>
      <c r="K1001" s="176"/>
      <c r="L1001" s="176"/>
      <c r="M1001" s="173"/>
      <c r="N1001" s="173"/>
      <c r="O1001" s="173"/>
      <c r="P1001" s="173"/>
      <c r="Q1001" s="173"/>
      <c r="R1001" s="173"/>
      <c r="S1001" s="173"/>
      <c r="T1001" s="173"/>
      <c r="U1001" s="173"/>
      <c r="V1001" s="173"/>
    </row>
    <row r="1002" spans="1:22" ht="12.5">
      <c r="A1002" s="173"/>
      <c r="B1002" s="174"/>
      <c r="C1002" s="174"/>
      <c r="D1002" s="173"/>
      <c r="E1002" s="173"/>
      <c r="F1002" s="173"/>
      <c r="G1002" s="175"/>
      <c r="H1002" s="173"/>
      <c r="I1002" s="173"/>
      <c r="J1002" s="173"/>
      <c r="K1002" s="176"/>
      <c r="L1002" s="176"/>
      <c r="M1002" s="173"/>
      <c r="N1002" s="173"/>
      <c r="O1002" s="173"/>
      <c r="P1002" s="173"/>
      <c r="Q1002" s="173"/>
      <c r="R1002" s="173"/>
      <c r="S1002" s="173"/>
      <c r="T1002" s="173"/>
      <c r="U1002" s="173"/>
      <c r="V1002" s="173"/>
    </row>
    <row r="1003" spans="1:22" ht="12.5">
      <c r="A1003" s="173"/>
      <c r="B1003" s="174"/>
      <c r="C1003" s="174"/>
      <c r="D1003" s="173"/>
      <c r="E1003" s="173"/>
      <c r="F1003" s="173"/>
      <c r="G1003" s="175"/>
      <c r="H1003" s="173"/>
      <c r="I1003" s="173"/>
      <c r="J1003" s="173"/>
      <c r="K1003" s="176"/>
      <c r="L1003" s="176"/>
      <c r="M1003" s="173"/>
      <c r="N1003" s="173"/>
      <c r="O1003" s="173"/>
      <c r="P1003" s="173"/>
      <c r="Q1003" s="173"/>
      <c r="R1003" s="173"/>
      <c r="S1003" s="173"/>
      <c r="T1003" s="173"/>
      <c r="U1003" s="173"/>
      <c r="V1003" s="173"/>
    </row>
    <row r="1004" spans="1:22" ht="12.5">
      <c r="A1004" s="173"/>
      <c r="B1004" s="174"/>
      <c r="C1004" s="174"/>
      <c r="D1004" s="173"/>
      <c r="E1004" s="173"/>
      <c r="F1004" s="173"/>
      <c r="G1004" s="175"/>
      <c r="H1004" s="173"/>
      <c r="I1004" s="173"/>
      <c r="J1004" s="173"/>
      <c r="K1004" s="176"/>
      <c r="L1004" s="176"/>
      <c r="M1004" s="173"/>
      <c r="N1004" s="173"/>
      <c r="O1004" s="173"/>
      <c r="P1004" s="173"/>
      <c r="Q1004" s="173"/>
      <c r="R1004" s="173"/>
      <c r="S1004" s="173"/>
      <c r="T1004" s="173"/>
      <c r="U1004" s="173"/>
      <c r="V1004" s="173"/>
    </row>
    <row r="1005" spans="1:22" ht="12.5">
      <c r="A1005" s="173"/>
      <c r="B1005" s="174"/>
      <c r="C1005" s="174"/>
      <c r="D1005" s="173"/>
      <c r="E1005" s="173"/>
      <c r="F1005" s="173"/>
      <c r="G1005" s="175"/>
      <c r="H1005" s="173"/>
      <c r="I1005" s="173"/>
      <c r="J1005" s="173"/>
      <c r="K1005" s="176"/>
      <c r="L1005" s="176"/>
      <c r="M1005" s="173"/>
      <c r="N1005" s="173"/>
      <c r="O1005" s="173"/>
      <c r="P1005" s="173"/>
      <c r="Q1005" s="173"/>
      <c r="R1005" s="173"/>
      <c r="S1005" s="173"/>
      <c r="T1005" s="173"/>
      <c r="U1005" s="173"/>
      <c r="V1005" s="173"/>
    </row>
    <row r="1006" spans="1:22" ht="12.5">
      <c r="A1006" s="173"/>
      <c r="B1006" s="174"/>
      <c r="C1006" s="174"/>
      <c r="D1006" s="173"/>
      <c r="E1006" s="173"/>
      <c r="F1006" s="173"/>
      <c r="G1006" s="175"/>
      <c r="H1006" s="173"/>
      <c r="I1006" s="173"/>
      <c r="J1006" s="173"/>
      <c r="K1006" s="176"/>
      <c r="L1006" s="176"/>
      <c r="M1006" s="173"/>
      <c r="N1006" s="173"/>
      <c r="O1006" s="173"/>
      <c r="P1006" s="173"/>
      <c r="Q1006" s="173"/>
      <c r="R1006" s="173"/>
      <c r="S1006" s="173"/>
      <c r="T1006" s="173"/>
      <c r="U1006" s="173"/>
      <c r="V1006" s="173"/>
    </row>
    <row r="1007" spans="1:22" ht="12.5">
      <c r="A1007" s="173"/>
      <c r="B1007" s="174"/>
      <c r="C1007" s="174"/>
      <c r="D1007" s="173"/>
      <c r="E1007" s="173"/>
      <c r="F1007" s="173"/>
      <c r="G1007" s="175"/>
      <c r="H1007" s="173"/>
      <c r="I1007" s="173"/>
      <c r="J1007" s="173"/>
      <c r="K1007" s="176"/>
      <c r="L1007" s="176"/>
      <c r="M1007" s="173"/>
      <c r="N1007" s="173"/>
      <c r="O1007" s="173"/>
      <c r="P1007" s="173"/>
      <c r="Q1007" s="173"/>
      <c r="R1007" s="173"/>
      <c r="S1007" s="173"/>
      <c r="T1007" s="173"/>
      <c r="U1007" s="173"/>
      <c r="V1007" s="173"/>
    </row>
    <row r="1008" spans="1:22" ht="12.5">
      <c r="A1008" s="173"/>
      <c r="B1008" s="174"/>
      <c r="C1008" s="174"/>
      <c r="D1008" s="173"/>
      <c r="E1008" s="173"/>
      <c r="F1008" s="173"/>
      <c r="G1008" s="175"/>
      <c r="H1008" s="173"/>
      <c r="I1008" s="173"/>
      <c r="J1008" s="173"/>
      <c r="K1008" s="176"/>
      <c r="L1008" s="176"/>
      <c r="M1008" s="173"/>
      <c r="N1008" s="173"/>
      <c r="O1008" s="173"/>
      <c r="P1008" s="173"/>
      <c r="Q1008" s="173"/>
      <c r="R1008" s="173"/>
      <c r="S1008" s="173"/>
      <c r="T1008" s="173"/>
      <c r="U1008" s="173"/>
      <c r="V1008" s="173"/>
    </row>
    <row r="1009" spans="1:22" ht="12.5">
      <c r="A1009" s="173"/>
      <c r="B1009" s="174"/>
      <c r="C1009" s="174"/>
      <c r="D1009" s="173"/>
      <c r="E1009" s="173"/>
      <c r="F1009" s="173"/>
      <c r="G1009" s="175"/>
      <c r="H1009" s="173"/>
      <c r="I1009" s="173"/>
      <c r="J1009" s="173"/>
      <c r="K1009" s="176"/>
      <c r="L1009" s="176"/>
      <c r="M1009" s="173"/>
      <c r="N1009" s="173"/>
      <c r="O1009" s="173"/>
      <c r="P1009" s="173"/>
      <c r="Q1009" s="173"/>
      <c r="R1009" s="173"/>
      <c r="S1009" s="173"/>
      <c r="T1009" s="173"/>
      <c r="U1009" s="173"/>
      <c r="V1009" s="173"/>
    </row>
    <row r="1010" spans="1:22" ht="12.5">
      <c r="A1010" s="173"/>
      <c r="B1010" s="174"/>
      <c r="C1010" s="174"/>
      <c r="D1010" s="173"/>
      <c r="E1010" s="173"/>
      <c r="F1010" s="173"/>
      <c r="G1010" s="175"/>
      <c r="H1010" s="173"/>
      <c r="I1010" s="173"/>
      <c r="J1010" s="173"/>
      <c r="K1010" s="176"/>
      <c r="L1010" s="176"/>
      <c r="M1010" s="173"/>
      <c r="N1010" s="173"/>
      <c r="O1010" s="173"/>
      <c r="P1010" s="173"/>
      <c r="Q1010" s="173"/>
      <c r="R1010" s="173"/>
      <c r="S1010" s="173"/>
      <c r="T1010" s="173"/>
      <c r="U1010" s="173"/>
      <c r="V1010" s="173"/>
    </row>
    <row r="1011" spans="1:22" ht="12.5">
      <c r="A1011" s="173"/>
      <c r="B1011" s="174"/>
      <c r="C1011" s="174"/>
      <c r="D1011" s="173"/>
      <c r="E1011" s="173"/>
      <c r="F1011" s="173"/>
      <c r="G1011" s="175"/>
      <c r="H1011" s="173"/>
      <c r="I1011" s="173"/>
      <c r="J1011" s="173"/>
      <c r="K1011" s="176"/>
      <c r="L1011" s="176"/>
      <c r="M1011" s="173"/>
      <c r="N1011" s="173"/>
      <c r="O1011" s="173"/>
      <c r="P1011" s="173"/>
      <c r="Q1011" s="173"/>
      <c r="R1011" s="173"/>
      <c r="S1011" s="173"/>
      <c r="T1011" s="173"/>
      <c r="U1011" s="173"/>
      <c r="V1011" s="173"/>
    </row>
    <row r="1012" spans="1:22" ht="12.5">
      <c r="A1012" s="173"/>
      <c r="B1012" s="174"/>
      <c r="C1012" s="174"/>
      <c r="D1012" s="173"/>
      <c r="E1012" s="173"/>
      <c r="F1012" s="173"/>
      <c r="G1012" s="175"/>
      <c r="H1012" s="173"/>
      <c r="I1012" s="173"/>
      <c r="J1012" s="173"/>
      <c r="K1012" s="176"/>
      <c r="L1012" s="176"/>
      <c r="M1012" s="173"/>
      <c r="N1012" s="173"/>
      <c r="O1012" s="173"/>
      <c r="P1012" s="173"/>
      <c r="Q1012" s="173"/>
      <c r="R1012" s="173"/>
      <c r="S1012" s="173"/>
      <c r="T1012" s="173"/>
      <c r="U1012" s="173"/>
      <c r="V1012" s="173"/>
    </row>
    <row r="1013" spans="1:22" ht="12.5">
      <c r="A1013" s="173"/>
      <c r="B1013" s="174"/>
      <c r="C1013" s="174"/>
      <c r="D1013" s="173"/>
      <c r="E1013" s="173"/>
      <c r="F1013" s="173"/>
      <c r="G1013" s="175"/>
      <c r="H1013" s="173"/>
      <c r="I1013" s="173"/>
      <c r="J1013" s="173"/>
      <c r="K1013" s="176"/>
      <c r="L1013" s="176"/>
      <c r="M1013" s="173"/>
      <c r="N1013" s="173"/>
      <c r="O1013" s="173"/>
      <c r="P1013" s="173"/>
      <c r="Q1013" s="173"/>
      <c r="R1013" s="173"/>
      <c r="S1013" s="173"/>
      <c r="T1013" s="173"/>
      <c r="U1013" s="173"/>
      <c r="V1013" s="173"/>
    </row>
    <row r="1014" spans="1:22" ht="12.5">
      <c r="A1014" s="173"/>
      <c r="B1014" s="174"/>
      <c r="C1014" s="174"/>
      <c r="D1014" s="173"/>
      <c r="E1014" s="173"/>
      <c r="F1014" s="173"/>
      <c r="G1014" s="175"/>
      <c r="H1014" s="173"/>
      <c r="I1014" s="173"/>
      <c r="J1014" s="173"/>
      <c r="K1014" s="176"/>
      <c r="L1014" s="176"/>
      <c r="M1014" s="173"/>
      <c r="N1014" s="173"/>
      <c r="O1014" s="173"/>
      <c r="P1014" s="173"/>
      <c r="Q1014" s="173"/>
      <c r="R1014" s="173"/>
      <c r="S1014" s="173"/>
      <c r="T1014" s="173"/>
      <c r="U1014" s="173"/>
      <c r="V1014" s="173"/>
    </row>
    <row r="1015" spans="1:22" ht="12.5">
      <c r="A1015" s="173"/>
      <c r="B1015" s="174"/>
      <c r="C1015" s="174"/>
      <c r="D1015" s="173"/>
      <c r="E1015" s="173"/>
      <c r="F1015" s="173"/>
      <c r="G1015" s="175"/>
      <c r="H1015" s="173"/>
      <c r="I1015" s="173"/>
      <c r="J1015" s="173"/>
      <c r="K1015" s="176"/>
      <c r="L1015" s="176"/>
      <c r="M1015" s="173"/>
      <c r="N1015" s="173"/>
      <c r="O1015" s="173"/>
      <c r="P1015" s="173"/>
      <c r="Q1015" s="173"/>
      <c r="R1015" s="173"/>
      <c r="S1015" s="173"/>
      <c r="T1015" s="173"/>
      <c r="U1015" s="173"/>
      <c r="V1015" s="173"/>
    </row>
    <row r="1016" spans="1:22" ht="12.5">
      <c r="A1016" s="173"/>
      <c r="B1016" s="174"/>
      <c r="C1016" s="174"/>
      <c r="D1016" s="173"/>
      <c r="E1016" s="173"/>
      <c r="F1016" s="173"/>
      <c r="G1016" s="175"/>
      <c r="H1016" s="173"/>
      <c r="I1016" s="173"/>
      <c r="J1016" s="173"/>
      <c r="K1016" s="176"/>
      <c r="L1016" s="176"/>
      <c r="M1016" s="173"/>
      <c r="N1016" s="173"/>
      <c r="O1016" s="173"/>
      <c r="P1016" s="173"/>
      <c r="Q1016" s="173"/>
      <c r="R1016" s="173"/>
      <c r="S1016" s="173"/>
      <c r="T1016" s="173"/>
      <c r="U1016" s="173"/>
      <c r="V1016" s="173"/>
    </row>
    <row r="1017" spans="1:22" ht="12.5">
      <c r="A1017" s="173"/>
      <c r="B1017" s="174"/>
      <c r="C1017" s="174"/>
      <c r="D1017" s="173"/>
      <c r="E1017" s="173"/>
      <c r="F1017" s="173"/>
      <c r="G1017" s="175"/>
      <c r="H1017" s="173"/>
      <c r="I1017" s="173"/>
      <c r="J1017" s="173"/>
      <c r="K1017" s="176"/>
      <c r="L1017" s="176"/>
      <c r="M1017" s="173"/>
      <c r="N1017" s="173"/>
      <c r="O1017" s="173"/>
      <c r="P1017" s="173"/>
      <c r="Q1017" s="173"/>
      <c r="R1017" s="173"/>
      <c r="S1017" s="173"/>
      <c r="T1017" s="173"/>
      <c r="U1017" s="173"/>
      <c r="V1017" s="173"/>
    </row>
    <row r="1018" spans="1:22" ht="12.5">
      <c r="A1018" s="173"/>
      <c r="B1018" s="174"/>
      <c r="C1018" s="174"/>
      <c r="D1018" s="173"/>
      <c r="E1018" s="173"/>
      <c r="F1018" s="173"/>
      <c r="G1018" s="175"/>
      <c r="H1018" s="173"/>
      <c r="I1018" s="173"/>
      <c r="J1018" s="173"/>
      <c r="K1018" s="176"/>
      <c r="L1018" s="176"/>
      <c r="M1018" s="173"/>
      <c r="N1018" s="173"/>
      <c r="O1018" s="173"/>
      <c r="P1018" s="173"/>
      <c r="Q1018" s="173"/>
      <c r="R1018" s="173"/>
      <c r="S1018" s="173"/>
      <c r="T1018" s="173"/>
      <c r="U1018" s="173"/>
      <c r="V1018" s="173"/>
    </row>
    <row r="1019" spans="1:22" ht="12.5">
      <c r="A1019" s="173"/>
      <c r="B1019" s="174"/>
      <c r="C1019" s="174"/>
      <c r="D1019" s="173"/>
      <c r="E1019" s="173"/>
      <c r="F1019" s="173"/>
      <c r="G1019" s="175"/>
      <c r="H1019" s="173"/>
      <c r="I1019" s="173"/>
      <c r="J1019" s="173"/>
      <c r="K1019" s="176"/>
      <c r="L1019" s="176"/>
      <c r="M1019" s="173"/>
      <c r="N1019" s="173"/>
      <c r="O1019" s="173"/>
      <c r="P1019" s="173"/>
      <c r="Q1019" s="173"/>
      <c r="R1019" s="173"/>
      <c r="S1019" s="173"/>
      <c r="T1019" s="173"/>
      <c r="U1019" s="173"/>
      <c r="V1019" s="173"/>
    </row>
    <row r="1020" spans="1:22" ht="12.5">
      <c r="A1020" s="173"/>
      <c r="B1020" s="174"/>
      <c r="C1020" s="174"/>
      <c r="D1020" s="173"/>
      <c r="E1020" s="173"/>
      <c r="F1020" s="173"/>
      <c r="G1020" s="175"/>
      <c r="H1020" s="173"/>
      <c r="I1020" s="173"/>
      <c r="J1020" s="173"/>
      <c r="K1020" s="176"/>
      <c r="L1020" s="176"/>
      <c r="M1020" s="173"/>
      <c r="N1020" s="173"/>
      <c r="O1020" s="173"/>
      <c r="P1020" s="173"/>
      <c r="Q1020" s="173"/>
      <c r="R1020" s="173"/>
      <c r="S1020" s="173"/>
      <c r="T1020" s="173"/>
      <c r="U1020" s="173"/>
      <c r="V1020" s="173"/>
    </row>
    <row r="1021" spans="1:22" ht="12.5">
      <c r="A1021" s="173"/>
      <c r="B1021" s="174"/>
      <c r="C1021" s="174"/>
      <c r="D1021" s="173"/>
      <c r="E1021" s="173"/>
      <c r="F1021" s="173"/>
      <c r="G1021" s="175"/>
      <c r="H1021" s="173"/>
      <c r="I1021" s="173"/>
      <c r="J1021" s="173"/>
      <c r="K1021" s="176"/>
      <c r="L1021" s="176"/>
      <c r="M1021" s="173"/>
      <c r="N1021" s="173"/>
      <c r="O1021" s="173"/>
      <c r="P1021" s="173"/>
      <c r="Q1021" s="173"/>
      <c r="R1021" s="173"/>
      <c r="S1021" s="173"/>
      <c r="T1021" s="173"/>
      <c r="U1021" s="173"/>
      <c r="V1021" s="173"/>
    </row>
    <row r="1022" spans="1:22" ht="12.5">
      <c r="A1022" s="173"/>
      <c r="B1022" s="174"/>
      <c r="C1022" s="174"/>
      <c r="D1022" s="173"/>
      <c r="E1022" s="173"/>
      <c r="F1022" s="173"/>
      <c r="G1022" s="175"/>
      <c r="H1022" s="173"/>
      <c r="I1022" s="173"/>
      <c r="J1022" s="173"/>
      <c r="K1022" s="176"/>
      <c r="L1022" s="176"/>
      <c r="M1022" s="173"/>
      <c r="N1022" s="173"/>
      <c r="O1022" s="173"/>
      <c r="P1022" s="173"/>
      <c r="Q1022" s="173"/>
      <c r="R1022" s="173"/>
      <c r="S1022" s="173"/>
      <c r="T1022" s="173"/>
      <c r="U1022" s="173"/>
      <c r="V1022" s="173"/>
    </row>
    <row r="1023" spans="1:22" ht="12.5">
      <c r="A1023" s="173"/>
      <c r="B1023" s="174"/>
      <c r="C1023" s="174"/>
      <c r="D1023" s="173"/>
      <c r="E1023" s="173"/>
      <c r="F1023" s="173"/>
      <c r="G1023" s="175"/>
      <c r="H1023" s="173"/>
      <c r="I1023" s="173"/>
      <c r="J1023" s="173"/>
      <c r="K1023" s="176"/>
      <c r="L1023" s="176"/>
      <c r="M1023" s="173"/>
      <c r="N1023" s="173"/>
      <c r="O1023" s="173"/>
      <c r="P1023" s="173"/>
      <c r="Q1023" s="173"/>
      <c r="R1023" s="173"/>
      <c r="S1023" s="173"/>
      <c r="T1023" s="173"/>
      <c r="U1023" s="173"/>
      <c r="V1023" s="173"/>
    </row>
    <row r="1024" spans="1:22" ht="12.5">
      <c r="A1024" s="173"/>
      <c r="B1024" s="174"/>
      <c r="C1024" s="174"/>
      <c r="D1024" s="173"/>
      <c r="E1024" s="173"/>
      <c r="F1024" s="173"/>
      <c r="G1024" s="175"/>
      <c r="H1024" s="173"/>
      <c r="I1024" s="173"/>
      <c r="J1024" s="173"/>
      <c r="K1024" s="176"/>
      <c r="L1024" s="176"/>
      <c r="M1024" s="173"/>
      <c r="N1024" s="173"/>
      <c r="O1024" s="173"/>
      <c r="P1024" s="173"/>
      <c r="Q1024" s="173"/>
      <c r="R1024" s="173"/>
      <c r="S1024" s="173"/>
      <c r="T1024" s="173"/>
      <c r="U1024" s="173"/>
      <c r="V1024" s="173"/>
    </row>
    <row r="1025" spans="1:22" ht="12.5">
      <c r="A1025" s="173"/>
      <c r="B1025" s="174"/>
      <c r="C1025" s="174"/>
      <c r="D1025" s="173"/>
      <c r="E1025" s="173"/>
      <c r="F1025" s="173"/>
      <c r="G1025" s="175"/>
      <c r="H1025" s="173"/>
      <c r="I1025" s="173"/>
      <c r="J1025" s="173"/>
      <c r="K1025" s="176"/>
      <c r="L1025" s="176"/>
      <c r="M1025" s="173"/>
      <c r="N1025" s="173"/>
      <c r="O1025" s="173"/>
      <c r="P1025" s="173"/>
      <c r="Q1025" s="173"/>
      <c r="R1025" s="173"/>
      <c r="S1025" s="173"/>
      <c r="T1025" s="173"/>
      <c r="U1025" s="173"/>
      <c r="V1025" s="173"/>
    </row>
    <row r="1026" spans="1:22" ht="12.5">
      <c r="A1026" s="173"/>
      <c r="B1026" s="174"/>
      <c r="C1026" s="174"/>
      <c r="D1026" s="173"/>
      <c r="E1026" s="173"/>
      <c r="F1026" s="173"/>
      <c r="G1026" s="175"/>
      <c r="H1026" s="173"/>
      <c r="I1026" s="173"/>
      <c r="J1026" s="173"/>
      <c r="K1026" s="176"/>
      <c r="L1026" s="176"/>
      <c r="M1026" s="173"/>
      <c r="N1026" s="173"/>
      <c r="O1026" s="173"/>
      <c r="P1026" s="173"/>
      <c r="Q1026" s="173"/>
      <c r="R1026" s="173"/>
      <c r="S1026" s="173"/>
      <c r="T1026" s="173"/>
      <c r="U1026" s="173"/>
      <c r="V1026" s="173"/>
    </row>
    <row r="1027" spans="1:22" ht="12.5">
      <c r="A1027" s="173"/>
      <c r="B1027" s="174"/>
      <c r="C1027" s="174"/>
      <c r="D1027" s="173"/>
      <c r="E1027" s="173"/>
      <c r="F1027" s="173"/>
      <c r="G1027" s="175"/>
      <c r="H1027" s="173"/>
      <c r="I1027" s="173"/>
      <c r="J1027" s="173"/>
      <c r="K1027" s="176"/>
      <c r="L1027" s="176"/>
      <c r="M1027" s="173"/>
      <c r="N1027" s="173"/>
      <c r="O1027" s="173"/>
      <c r="P1027" s="173"/>
      <c r="Q1027" s="173"/>
      <c r="R1027" s="173"/>
      <c r="S1027" s="173"/>
      <c r="T1027" s="173"/>
      <c r="U1027" s="173"/>
      <c r="V1027" s="173"/>
    </row>
    <row r="1028" spans="1:22" ht="12.5">
      <c r="A1028" s="173"/>
      <c r="B1028" s="174"/>
      <c r="C1028" s="174"/>
      <c r="D1028" s="173"/>
      <c r="E1028" s="173"/>
      <c r="F1028" s="173"/>
      <c r="G1028" s="175"/>
      <c r="H1028" s="173"/>
      <c r="I1028" s="173"/>
      <c r="J1028" s="173"/>
      <c r="K1028" s="176"/>
      <c r="L1028" s="176"/>
      <c r="M1028" s="173"/>
      <c r="N1028" s="173"/>
      <c r="O1028" s="173"/>
      <c r="P1028" s="173"/>
      <c r="Q1028" s="173"/>
      <c r="R1028" s="173"/>
      <c r="S1028" s="173"/>
      <c r="T1028" s="173"/>
      <c r="U1028" s="173"/>
      <c r="V1028" s="173"/>
    </row>
    <row r="1029" spans="1:22" ht="12.5">
      <c r="A1029" s="173"/>
      <c r="B1029" s="174"/>
      <c r="C1029" s="174"/>
      <c r="D1029" s="173"/>
      <c r="E1029" s="173"/>
      <c r="F1029" s="173"/>
      <c r="G1029" s="175"/>
      <c r="H1029" s="173"/>
      <c r="I1029" s="173"/>
      <c r="J1029" s="173"/>
      <c r="K1029" s="176"/>
      <c r="L1029" s="176"/>
      <c r="M1029" s="173"/>
      <c r="N1029" s="173"/>
      <c r="O1029" s="173"/>
      <c r="P1029" s="173"/>
      <c r="Q1029" s="173"/>
      <c r="R1029" s="173"/>
      <c r="S1029" s="173"/>
      <c r="T1029" s="173"/>
      <c r="U1029" s="173"/>
      <c r="V1029" s="173"/>
    </row>
    <row r="1030" spans="1:22" ht="12.5">
      <c r="A1030" s="173"/>
      <c r="B1030" s="174"/>
      <c r="C1030" s="174"/>
      <c r="D1030" s="173"/>
      <c r="E1030" s="173"/>
      <c r="F1030" s="173"/>
      <c r="G1030" s="175"/>
      <c r="H1030" s="173"/>
      <c r="I1030" s="173"/>
      <c r="J1030" s="173"/>
      <c r="K1030" s="176"/>
      <c r="L1030" s="176"/>
      <c r="M1030" s="173"/>
      <c r="N1030" s="173"/>
      <c r="O1030" s="173"/>
      <c r="P1030" s="173"/>
      <c r="Q1030" s="173"/>
      <c r="R1030" s="173"/>
      <c r="S1030" s="173"/>
      <c r="T1030" s="173"/>
      <c r="U1030" s="173"/>
      <c r="V1030" s="173"/>
    </row>
    <row r="1031" spans="1:22" ht="12.5">
      <c r="A1031" s="173"/>
      <c r="B1031" s="174"/>
      <c r="C1031" s="174"/>
      <c r="D1031" s="173"/>
      <c r="E1031" s="173"/>
      <c r="F1031" s="173"/>
      <c r="G1031" s="175"/>
      <c r="H1031" s="173"/>
      <c r="I1031" s="173"/>
      <c r="J1031" s="173"/>
      <c r="K1031" s="176"/>
      <c r="L1031" s="176"/>
      <c r="M1031" s="173"/>
      <c r="N1031" s="173"/>
      <c r="O1031" s="173"/>
      <c r="P1031" s="173"/>
      <c r="Q1031" s="173"/>
      <c r="R1031" s="173"/>
      <c r="S1031" s="173"/>
      <c r="T1031" s="173"/>
      <c r="U1031" s="173"/>
      <c r="V1031" s="173"/>
    </row>
    <row r="1032" spans="1:22" ht="12.5">
      <c r="A1032" s="173"/>
      <c r="B1032" s="174"/>
      <c r="C1032" s="174"/>
      <c r="D1032" s="173"/>
      <c r="E1032" s="173"/>
      <c r="F1032" s="173"/>
      <c r="G1032" s="175"/>
      <c r="H1032" s="173"/>
      <c r="I1032" s="173"/>
      <c r="J1032" s="173"/>
      <c r="K1032" s="176"/>
      <c r="L1032" s="176"/>
      <c r="M1032" s="173"/>
      <c r="N1032" s="173"/>
      <c r="O1032" s="173"/>
      <c r="P1032" s="173"/>
      <c r="Q1032" s="173"/>
      <c r="R1032" s="173"/>
      <c r="S1032" s="173"/>
      <c r="T1032" s="173"/>
      <c r="U1032" s="173"/>
      <c r="V1032" s="173"/>
    </row>
    <row r="1033" spans="1:22" ht="12.5">
      <c r="A1033" s="173"/>
      <c r="B1033" s="174"/>
      <c r="C1033" s="174"/>
      <c r="D1033" s="173"/>
      <c r="E1033" s="173"/>
      <c r="F1033" s="173"/>
      <c r="G1033" s="175"/>
      <c r="H1033" s="173"/>
      <c r="I1033" s="173"/>
      <c r="J1033" s="173"/>
      <c r="K1033" s="176"/>
      <c r="L1033" s="176"/>
      <c r="M1033" s="173"/>
      <c r="N1033" s="173"/>
      <c r="O1033" s="173"/>
      <c r="P1033" s="173"/>
      <c r="Q1033" s="173"/>
      <c r="R1033" s="173"/>
      <c r="S1033" s="173"/>
      <c r="T1033" s="173"/>
      <c r="U1033" s="173"/>
      <c r="V1033" s="173"/>
    </row>
    <row r="1034" spans="1:22" ht="12.5">
      <c r="A1034" s="173"/>
      <c r="B1034" s="174"/>
      <c r="C1034" s="174"/>
      <c r="D1034" s="173"/>
      <c r="E1034" s="173"/>
      <c r="F1034" s="173"/>
      <c r="G1034" s="175"/>
      <c r="H1034" s="173"/>
      <c r="I1034" s="173"/>
      <c r="J1034" s="173"/>
      <c r="K1034" s="176"/>
      <c r="L1034" s="176"/>
      <c r="M1034" s="173"/>
      <c r="N1034" s="173"/>
      <c r="O1034" s="173"/>
      <c r="P1034" s="173"/>
      <c r="Q1034" s="173"/>
      <c r="R1034" s="173"/>
      <c r="S1034" s="173"/>
      <c r="T1034" s="173"/>
      <c r="U1034" s="173"/>
      <c r="V1034" s="173"/>
    </row>
    <row r="1035" spans="1:22" ht="12.5">
      <c r="A1035" s="173"/>
      <c r="B1035" s="174"/>
      <c r="C1035" s="174"/>
      <c r="D1035" s="173"/>
      <c r="E1035" s="173"/>
      <c r="F1035" s="173"/>
      <c r="G1035" s="175"/>
      <c r="H1035" s="173"/>
      <c r="I1035" s="173"/>
      <c r="J1035" s="173"/>
      <c r="K1035" s="176"/>
      <c r="L1035" s="176"/>
      <c r="M1035" s="173"/>
      <c r="N1035" s="173"/>
      <c r="O1035" s="173"/>
      <c r="P1035" s="173"/>
      <c r="Q1035" s="173"/>
      <c r="R1035" s="173"/>
      <c r="S1035" s="173"/>
      <c r="T1035" s="173"/>
      <c r="U1035" s="173"/>
      <c r="V1035" s="173"/>
    </row>
    <row r="1036" spans="1:22" ht="12.5">
      <c r="A1036" s="173"/>
      <c r="B1036" s="174"/>
      <c r="C1036" s="174"/>
      <c r="D1036" s="173"/>
      <c r="E1036" s="173"/>
      <c r="F1036" s="173"/>
      <c r="G1036" s="175"/>
      <c r="H1036" s="173"/>
      <c r="I1036" s="173"/>
      <c r="J1036" s="173"/>
      <c r="K1036" s="176"/>
      <c r="L1036" s="176"/>
      <c r="M1036" s="173"/>
      <c r="N1036" s="173"/>
      <c r="O1036" s="173"/>
      <c r="P1036" s="173"/>
      <c r="Q1036" s="173"/>
      <c r="R1036" s="173"/>
      <c r="S1036" s="173"/>
      <c r="T1036" s="173"/>
      <c r="U1036" s="173"/>
      <c r="V1036" s="173"/>
    </row>
    <row r="1037" spans="1:22" ht="12.5">
      <c r="A1037" s="173"/>
      <c r="B1037" s="174"/>
      <c r="C1037" s="174"/>
      <c r="D1037" s="173"/>
      <c r="E1037" s="173"/>
      <c r="F1037" s="173"/>
      <c r="G1037" s="175"/>
      <c r="H1037" s="173"/>
      <c r="I1037" s="173"/>
      <c r="J1037" s="173"/>
      <c r="K1037" s="176"/>
      <c r="L1037" s="176"/>
      <c r="M1037" s="173"/>
      <c r="N1037" s="173"/>
      <c r="O1037" s="173"/>
      <c r="P1037" s="173"/>
      <c r="Q1037" s="173"/>
      <c r="R1037" s="173"/>
      <c r="S1037" s="173"/>
      <c r="T1037" s="173"/>
      <c r="U1037" s="173"/>
      <c r="V1037" s="173"/>
    </row>
    <row r="1038" spans="1:22" ht="12.5">
      <c r="A1038" s="173"/>
      <c r="B1038" s="174"/>
      <c r="C1038" s="174"/>
      <c r="D1038" s="173"/>
      <c r="E1038" s="173"/>
      <c r="F1038" s="173"/>
      <c r="G1038" s="175"/>
      <c r="H1038" s="173"/>
      <c r="I1038" s="173"/>
      <c r="J1038" s="173"/>
      <c r="K1038" s="176"/>
      <c r="L1038" s="176"/>
      <c r="M1038" s="173"/>
      <c r="N1038" s="173"/>
      <c r="O1038" s="173"/>
      <c r="P1038" s="173"/>
      <c r="Q1038" s="173"/>
      <c r="R1038" s="173"/>
      <c r="S1038" s="173"/>
      <c r="T1038" s="173"/>
      <c r="U1038" s="173"/>
      <c r="V1038" s="173"/>
    </row>
    <row r="1039" spans="1:22" ht="12.5">
      <c r="A1039" s="173"/>
      <c r="B1039" s="174"/>
      <c r="C1039" s="174"/>
      <c r="D1039" s="173"/>
      <c r="E1039" s="173"/>
      <c r="F1039" s="173"/>
      <c r="G1039" s="175"/>
      <c r="H1039" s="173"/>
      <c r="I1039" s="173"/>
      <c r="J1039" s="173"/>
      <c r="K1039" s="176"/>
      <c r="L1039" s="176"/>
      <c r="M1039" s="173"/>
      <c r="N1039" s="173"/>
      <c r="O1039" s="173"/>
      <c r="P1039" s="173"/>
      <c r="Q1039" s="173"/>
      <c r="R1039" s="173"/>
      <c r="S1039" s="173"/>
      <c r="T1039" s="173"/>
      <c r="U1039" s="173"/>
      <c r="V1039" s="173"/>
    </row>
    <row r="1040" spans="1:22" ht="12.5">
      <c r="A1040" s="173"/>
      <c r="B1040" s="174"/>
      <c r="C1040" s="174"/>
      <c r="D1040" s="173"/>
      <c r="E1040" s="173"/>
      <c r="F1040" s="173"/>
      <c r="G1040" s="175"/>
      <c r="H1040" s="173"/>
      <c r="I1040" s="173"/>
      <c r="J1040" s="173"/>
      <c r="K1040" s="176"/>
      <c r="L1040" s="176"/>
      <c r="M1040" s="173"/>
      <c r="N1040" s="173"/>
      <c r="O1040" s="173"/>
      <c r="P1040" s="173"/>
      <c r="Q1040" s="173"/>
      <c r="R1040" s="173"/>
      <c r="S1040" s="173"/>
      <c r="T1040" s="173"/>
      <c r="U1040" s="173"/>
      <c r="V1040" s="173"/>
    </row>
    <row r="1041" spans="1:22" ht="12.5">
      <c r="A1041" s="173"/>
      <c r="B1041" s="174"/>
      <c r="C1041" s="174"/>
      <c r="D1041" s="173"/>
      <c r="E1041" s="173"/>
      <c r="F1041" s="173"/>
      <c r="G1041" s="175"/>
      <c r="H1041" s="173"/>
      <c r="I1041" s="173"/>
      <c r="J1041" s="173"/>
      <c r="K1041" s="176"/>
      <c r="L1041" s="176"/>
      <c r="M1041" s="173"/>
      <c r="N1041" s="173"/>
      <c r="O1041" s="173"/>
      <c r="P1041" s="173"/>
      <c r="Q1041" s="173"/>
      <c r="R1041" s="173"/>
      <c r="S1041" s="173"/>
      <c r="T1041" s="173"/>
      <c r="U1041" s="173"/>
      <c r="V1041" s="173"/>
    </row>
    <row r="1042" spans="1:22" ht="12.5">
      <c r="A1042" s="173"/>
      <c r="B1042" s="174"/>
      <c r="C1042" s="174"/>
      <c r="D1042" s="173"/>
      <c r="E1042" s="173"/>
      <c r="F1042" s="173"/>
      <c r="G1042" s="175"/>
      <c r="H1042" s="173"/>
      <c r="I1042" s="173"/>
      <c r="J1042" s="173"/>
      <c r="K1042" s="176"/>
      <c r="L1042" s="176"/>
      <c r="M1042" s="173"/>
      <c r="N1042" s="173"/>
      <c r="O1042" s="173"/>
      <c r="P1042" s="173"/>
      <c r="Q1042" s="173"/>
      <c r="R1042" s="173"/>
      <c r="S1042" s="173"/>
      <c r="T1042" s="173"/>
      <c r="U1042" s="173"/>
      <c r="V1042" s="173"/>
    </row>
    <row r="1043" spans="1:22" ht="12.5">
      <c r="A1043" s="173"/>
      <c r="B1043" s="174"/>
      <c r="C1043" s="174"/>
      <c r="D1043" s="173"/>
      <c r="E1043" s="173"/>
      <c r="F1043" s="173"/>
      <c r="G1043" s="175"/>
      <c r="H1043" s="173"/>
      <c r="I1043" s="173"/>
      <c r="J1043" s="173"/>
      <c r="K1043" s="176"/>
      <c r="L1043" s="176"/>
      <c r="M1043" s="173"/>
      <c r="N1043" s="173"/>
      <c r="O1043" s="173"/>
      <c r="P1043" s="173"/>
      <c r="Q1043" s="173"/>
      <c r="R1043" s="173"/>
      <c r="S1043" s="173"/>
      <c r="T1043" s="173"/>
      <c r="U1043" s="173"/>
      <c r="V1043" s="173"/>
    </row>
    <row r="1044" spans="1:22" ht="12.5">
      <c r="A1044" s="173"/>
      <c r="B1044" s="174"/>
      <c r="C1044" s="174"/>
      <c r="D1044" s="173"/>
      <c r="E1044" s="173"/>
      <c r="F1044" s="173"/>
      <c r="G1044" s="175"/>
      <c r="H1044" s="173"/>
      <c r="I1044" s="173"/>
      <c r="J1044" s="173"/>
      <c r="K1044" s="176"/>
      <c r="L1044" s="176"/>
      <c r="M1044" s="173"/>
      <c r="N1044" s="173"/>
      <c r="O1044" s="173"/>
      <c r="P1044" s="173"/>
      <c r="Q1044" s="173"/>
      <c r="R1044" s="173"/>
      <c r="S1044" s="173"/>
      <c r="T1044" s="173"/>
      <c r="U1044" s="173"/>
      <c r="V1044" s="173"/>
    </row>
    <row r="1045" spans="1:22" ht="12.5">
      <c r="A1045" s="173"/>
      <c r="B1045" s="174"/>
      <c r="C1045" s="174"/>
      <c r="D1045" s="173"/>
      <c r="E1045" s="173"/>
      <c r="F1045" s="173"/>
      <c r="G1045" s="175"/>
      <c r="H1045" s="173"/>
      <c r="I1045" s="173"/>
      <c r="J1045" s="173"/>
      <c r="K1045" s="176"/>
      <c r="L1045" s="176"/>
      <c r="M1045" s="173"/>
      <c r="N1045" s="173"/>
      <c r="O1045" s="173"/>
      <c r="P1045" s="173"/>
      <c r="Q1045" s="173"/>
      <c r="R1045" s="173"/>
      <c r="S1045" s="173"/>
      <c r="T1045" s="173"/>
      <c r="U1045" s="173"/>
      <c r="V1045" s="173"/>
    </row>
    <row r="1046" spans="1:22" ht="12.5">
      <c r="A1046" s="173"/>
      <c r="B1046" s="174"/>
      <c r="C1046" s="174"/>
      <c r="D1046" s="173"/>
      <c r="E1046" s="173"/>
      <c r="F1046" s="173"/>
      <c r="G1046" s="175"/>
      <c r="H1046" s="173"/>
      <c r="I1046" s="173"/>
      <c r="J1046" s="173"/>
      <c r="K1046" s="176"/>
      <c r="L1046" s="176"/>
      <c r="M1046" s="173"/>
      <c r="N1046" s="173"/>
      <c r="O1046" s="173"/>
      <c r="P1046" s="173"/>
      <c r="Q1046" s="173"/>
      <c r="R1046" s="173"/>
      <c r="S1046" s="173"/>
      <c r="T1046" s="173"/>
      <c r="U1046" s="173"/>
      <c r="V1046" s="173"/>
    </row>
    <row r="1047" spans="1:22" ht="12.5">
      <c r="A1047" s="173"/>
      <c r="B1047" s="174"/>
      <c r="C1047" s="174"/>
      <c r="D1047" s="173"/>
      <c r="E1047" s="173"/>
      <c r="F1047" s="173"/>
      <c r="G1047" s="175"/>
      <c r="H1047" s="173"/>
      <c r="I1047" s="173"/>
      <c r="J1047" s="173"/>
      <c r="K1047" s="176"/>
      <c r="L1047" s="176"/>
      <c r="M1047" s="173"/>
      <c r="N1047" s="173"/>
      <c r="O1047" s="173"/>
      <c r="P1047" s="173"/>
      <c r="Q1047" s="173"/>
      <c r="R1047" s="173"/>
      <c r="S1047" s="173"/>
      <c r="T1047" s="173"/>
      <c r="U1047" s="173"/>
      <c r="V1047" s="173"/>
    </row>
    <row r="1048" spans="1:22" ht="12.5">
      <c r="A1048" s="173"/>
      <c r="B1048" s="174"/>
      <c r="C1048" s="174"/>
      <c r="D1048" s="173"/>
      <c r="E1048" s="173"/>
      <c r="F1048" s="173"/>
      <c r="G1048" s="175"/>
      <c r="H1048" s="173"/>
      <c r="I1048" s="173"/>
      <c r="J1048" s="173"/>
      <c r="K1048" s="176"/>
      <c r="L1048" s="176"/>
      <c r="M1048" s="173"/>
      <c r="N1048" s="173"/>
      <c r="O1048" s="173"/>
      <c r="P1048" s="173"/>
      <c r="Q1048" s="173"/>
      <c r="R1048" s="173"/>
      <c r="S1048" s="173"/>
      <c r="T1048" s="173"/>
      <c r="U1048" s="173"/>
      <c r="V1048" s="173"/>
    </row>
    <row r="1049" spans="1:22" ht="12.5">
      <c r="A1049" s="173"/>
      <c r="B1049" s="174"/>
      <c r="C1049" s="174"/>
      <c r="D1049" s="173"/>
      <c r="E1049" s="173"/>
      <c r="F1049" s="173"/>
      <c r="G1049" s="175"/>
      <c r="H1049" s="173"/>
      <c r="I1049" s="173"/>
      <c r="J1049" s="173"/>
      <c r="K1049" s="176"/>
      <c r="L1049" s="176"/>
      <c r="M1049" s="173"/>
      <c r="N1049" s="173"/>
      <c r="O1049" s="173"/>
      <c r="P1049" s="173"/>
      <c r="Q1049" s="173"/>
      <c r="R1049" s="173"/>
      <c r="S1049" s="173"/>
      <c r="T1049" s="173"/>
      <c r="U1049" s="173"/>
      <c r="V1049" s="173"/>
    </row>
    <row r="1050" spans="1:22" ht="12.5">
      <c r="A1050" s="173"/>
      <c r="B1050" s="174"/>
      <c r="C1050" s="174"/>
      <c r="D1050" s="173"/>
      <c r="E1050" s="173"/>
      <c r="F1050" s="173"/>
      <c r="G1050" s="175"/>
      <c r="H1050" s="173"/>
      <c r="I1050" s="173"/>
      <c r="J1050" s="173"/>
      <c r="K1050" s="176"/>
      <c r="L1050" s="176"/>
      <c r="M1050" s="173"/>
      <c r="N1050" s="173"/>
      <c r="O1050" s="173"/>
      <c r="P1050" s="173"/>
      <c r="Q1050" s="173"/>
      <c r="R1050" s="173"/>
      <c r="S1050" s="173"/>
      <c r="T1050" s="173"/>
      <c r="U1050" s="173"/>
      <c r="V1050" s="173"/>
    </row>
    <row r="1051" spans="1:22" ht="12.5">
      <c r="A1051" s="173"/>
      <c r="B1051" s="174"/>
      <c r="C1051" s="174"/>
      <c r="D1051" s="173"/>
      <c r="E1051" s="173"/>
      <c r="F1051" s="173"/>
      <c r="G1051" s="175"/>
      <c r="H1051" s="173"/>
      <c r="I1051" s="173"/>
      <c r="J1051" s="173"/>
      <c r="K1051" s="176"/>
      <c r="L1051" s="176"/>
      <c r="M1051" s="173"/>
      <c r="N1051" s="173"/>
      <c r="O1051" s="173"/>
      <c r="P1051" s="173"/>
      <c r="Q1051" s="173"/>
      <c r="R1051" s="173"/>
      <c r="S1051" s="173"/>
      <c r="T1051" s="173"/>
      <c r="U1051" s="173"/>
      <c r="V1051" s="173"/>
    </row>
    <row r="1052" spans="1:22" ht="12.5">
      <c r="A1052" s="173"/>
      <c r="B1052" s="174"/>
      <c r="C1052" s="174"/>
      <c r="D1052" s="173"/>
      <c r="E1052" s="173"/>
      <c r="F1052" s="173"/>
      <c r="G1052" s="175"/>
      <c r="H1052" s="173"/>
      <c r="I1052" s="173"/>
      <c r="J1052" s="173"/>
      <c r="K1052" s="176"/>
      <c r="L1052" s="176"/>
      <c r="M1052" s="173"/>
      <c r="N1052" s="173"/>
      <c r="O1052" s="173"/>
      <c r="P1052" s="173"/>
      <c r="Q1052" s="173"/>
      <c r="R1052" s="173"/>
      <c r="S1052" s="173"/>
      <c r="T1052" s="173"/>
      <c r="U1052" s="173"/>
      <c r="V1052" s="173"/>
    </row>
    <row r="1053" spans="1:22" ht="12.5">
      <c r="A1053" s="173"/>
      <c r="B1053" s="174"/>
      <c r="C1053" s="174"/>
      <c r="D1053" s="173"/>
      <c r="E1053" s="173"/>
      <c r="F1053" s="173"/>
      <c r="G1053" s="175"/>
      <c r="H1053" s="173"/>
      <c r="I1053" s="173"/>
      <c r="J1053" s="173"/>
      <c r="K1053" s="176"/>
      <c r="L1053" s="176"/>
      <c r="M1053" s="173"/>
      <c r="N1053" s="173"/>
      <c r="O1053" s="173"/>
      <c r="P1053" s="173"/>
      <c r="Q1053" s="173"/>
      <c r="R1053" s="173"/>
      <c r="S1053" s="173"/>
      <c r="T1053" s="173"/>
      <c r="U1053" s="173"/>
      <c r="V1053" s="173"/>
    </row>
    <row r="1054" spans="1:22" ht="12.5">
      <c r="A1054" s="173"/>
      <c r="B1054" s="174"/>
      <c r="C1054" s="174"/>
      <c r="D1054" s="173"/>
      <c r="E1054" s="173"/>
      <c r="F1054" s="173"/>
      <c r="G1054" s="175"/>
      <c r="H1054" s="173"/>
      <c r="I1054" s="173"/>
      <c r="J1054" s="173"/>
      <c r="K1054" s="176"/>
      <c r="L1054" s="176"/>
      <c r="M1054" s="173"/>
      <c r="N1054" s="173"/>
      <c r="O1054" s="173"/>
      <c r="P1054" s="173"/>
      <c r="Q1054" s="173"/>
      <c r="R1054" s="173"/>
      <c r="S1054" s="173"/>
      <c r="T1054" s="173"/>
      <c r="U1054" s="173"/>
      <c r="V1054" s="173"/>
    </row>
    <row r="1055" spans="1:22" ht="12.5">
      <c r="A1055" s="173"/>
      <c r="B1055" s="174"/>
      <c r="C1055" s="174"/>
      <c r="D1055" s="173"/>
      <c r="E1055" s="173"/>
      <c r="F1055" s="173"/>
      <c r="G1055" s="175"/>
      <c r="H1055" s="173"/>
      <c r="I1055" s="173"/>
      <c r="J1055" s="173"/>
      <c r="K1055" s="176"/>
      <c r="L1055" s="176"/>
      <c r="M1055" s="173"/>
      <c r="N1055" s="173"/>
      <c r="O1055" s="173"/>
      <c r="P1055" s="173"/>
      <c r="Q1055" s="173"/>
      <c r="R1055" s="173"/>
      <c r="S1055" s="173"/>
      <c r="T1055" s="173"/>
      <c r="U1055" s="173"/>
      <c r="V1055" s="173"/>
    </row>
    <row r="1056" spans="1:22" ht="12.5">
      <c r="A1056" s="173"/>
      <c r="B1056" s="174"/>
      <c r="C1056" s="174"/>
      <c r="D1056" s="173"/>
      <c r="E1056" s="173"/>
      <c r="F1056" s="173"/>
      <c r="G1056" s="175"/>
      <c r="H1056" s="173"/>
      <c r="I1056" s="173"/>
      <c r="J1056" s="173"/>
      <c r="K1056" s="176"/>
      <c r="L1056" s="176"/>
      <c r="M1056" s="173"/>
      <c r="N1056" s="173"/>
      <c r="O1056" s="173"/>
      <c r="P1056" s="173"/>
      <c r="Q1056" s="173"/>
      <c r="R1056" s="173"/>
      <c r="S1056" s="173"/>
      <c r="T1056" s="173"/>
      <c r="U1056" s="173"/>
      <c r="V1056" s="173"/>
    </row>
    <row r="1057" spans="1:22" ht="12.5">
      <c r="A1057" s="173"/>
      <c r="B1057" s="174"/>
      <c r="C1057" s="174"/>
      <c r="D1057" s="173"/>
      <c r="E1057" s="173"/>
      <c r="F1057" s="173"/>
      <c r="G1057" s="175"/>
      <c r="H1057" s="173"/>
      <c r="I1057" s="173"/>
      <c r="J1057" s="173"/>
      <c r="K1057" s="176"/>
      <c r="L1057" s="176"/>
      <c r="M1057" s="173"/>
      <c r="N1057" s="173"/>
      <c r="O1057" s="173"/>
      <c r="P1057" s="173"/>
      <c r="Q1057" s="173"/>
      <c r="R1057" s="173"/>
      <c r="S1057" s="173"/>
      <c r="T1057" s="173"/>
      <c r="U1057" s="173"/>
      <c r="V1057" s="173"/>
    </row>
    <row r="1058" spans="1:22" ht="12.5">
      <c r="A1058" s="173"/>
      <c r="B1058" s="174"/>
      <c r="C1058" s="174"/>
      <c r="D1058" s="173"/>
      <c r="E1058" s="173"/>
      <c r="F1058" s="173"/>
      <c r="G1058" s="175"/>
      <c r="H1058" s="173"/>
      <c r="I1058" s="173"/>
      <c r="J1058" s="173"/>
      <c r="K1058" s="176"/>
      <c r="L1058" s="176"/>
      <c r="M1058" s="173"/>
      <c r="N1058" s="173"/>
      <c r="O1058" s="173"/>
      <c r="P1058" s="173"/>
      <c r="Q1058" s="173"/>
      <c r="R1058" s="173"/>
      <c r="S1058" s="173"/>
      <c r="T1058" s="173"/>
      <c r="U1058" s="173"/>
      <c r="V1058" s="173"/>
    </row>
    <row r="1059" spans="1:22" ht="12.5">
      <c r="A1059" s="173"/>
      <c r="B1059" s="174"/>
      <c r="C1059" s="174"/>
      <c r="D1059" s="173"/>
      <c r="E1059" s="173"/>
      <c r="F1059" s="173"/>
      <c r="G1059" s="175"/>
      <c r="H1059" s="173"/>
      <c r="I1059" s="173"/>
      <c r="J1059" s="173"/>
      <c r="K1059" s="176"/>
      <c r="L1059" s="176"/>
      <c r="M1059" s="173"/>
      <c r="N1059" s="173"/>
      <c r="O1059" s="173"/>
      <c r="P1059" s="173"/>
      <c r="Q1059" s="173"/>
      <c r="R1059" s="173"/>
      <c r="S1059" s="173"/>
      <c r="T1059" s="173"/>
      <c r="U1059" s="173"/>
      <c r="V1059" s="173"/>
    </row>
    <row r="1060" spans="1:22" ht="12.5">
      <c r="A1060" s="173"/>
      <c r="B1060" s="174"/>
      <c r="C1060" s="174"/>
      <c r="D1060" s="173"/>
      <c r="E1060" s="173"/>
      <c r="F1060" s="173"/>
      <c r="G1060" s="175"/>
      <c r="H1060" s="173"/>
      <c r="I1060" s="173"/>
      <c r="J1060" s="173"/>
      <c r="K1060" s="176"/>
      <c r="L1060" s="176"/>
      <c r="M1060" s="173"/>
      <c r="N1060" s="173"/>
      <c r="O1060" s="173"/>
      <c r="P1060" s="173"/>
      <c r="Q1060" s="173"/>
      <c r="R1060" s="173"/>
      <c r="S1060" s="173"/>
      <c r="T1060" s="173"/>
      <c r="U1060" s="173"/>
      <c r="V1060" s="173"/>
    </row>
    <row r="1061" spans="1:22" ht="12.5">
      <c r="A1061" s="173"/>
      <c r="B1061" s="174"/>
      <c r="C1061" s="174"/>
      <c r="D1061" s="173"/>
      <c r="E1061" s="173"/>
      <c r="F1061" s="173"/>
      <c r="G1061" s="175"/>
      <c r="H1061" s="173"/>
      <c r="I1061" s="173"/>
      <c r="J1061" s="173"/>
      <c r="K1061" s="176"/>
      <c r="L1061" s="176"/>
      <c r="M1061" s="173"/>
      <c r="N1061" s="173"/>
      <c r="O1061" s="173"/>
      <c r="P1061" s="173"/>
      <c r="Q1061" s="173"/>
      <c r="R1061" s="173"/>
      <c r="S1061" s="173"/>
      <c r="T1061" s="173"/>
      <c r="U1061" s="173"/>
      <c r="V1061" s="173"/>
    </row>
    <row r="1062" spans="1:22" ht="12.5">
      <c r="A1062" s="173"/>
      <c r="B1062" s="174"/>
      <c r="C1062" s="174"/>
      <c r="D1062" s="173"/>
      <c r="E1062" s="173"/>
      <c r="F1062" s="173"/>
      <c r="G1062" s="175"/>
      <c r="H1062" s="173"/>
      <c r="I1062" s="173"/>
      <c r="J1062" s="173"/>
      <c r="K1062" s="176"/>
      <c r="L1062" s="176"/>
      <c r="M1062" s="173"/>
      <c r="N1062" s="173"/>
      <c r="O1062" s="173"/>
      <c r="P1062" s="173"/>
      <c r="Q1062" s="173"/>
      <c r="R1062" s="173"/>
      <c r="S1062" s="173"/>
      <c r="T1062" s="173"/>
      <c r="U1062" s="173"/>
      <c r="V1062" s="173"/>
    </row>
    <row r="1063" spans="1:22" ht="12.5">
      <c r="A1063" s="173"/>
      <c r="B1063" s="174"/>
      <c r="C1063" s="174"/>
      <c r="D1063" s="173"/>
      <c r="E1063" s="173"/>
      <c r="F1063" s="173"/>
      <c r="G1063" s="175"/>
      <c r="H1063" s="173"/>
      <c r="I1063" s="173"/>
      <c r="J1063" s="173"/>
      <c r="K1063" s="176"/>
      <c r="L1063" s="176"/>
      <c r="M1063" s="173"/>
      <c r="N1063" s="173"/>
      <c r="O1063" s="173"/>
      <c r="P1063" s="173"/>
      <c r="Q1063" s="173"/>
      <c r="R1063" s="173"/>
      <c r="S1063" s="173"/>
      <c r="T1063" s="173"/>
      <c r="U1063" s="173"/>
      <c r="V1063" s="173"/>
    </row>
  </sheetData>
  <autoFilter ref="A2:U159" xr:uid="{00000000-0009-0000-0000-000002000000}"/>
  <phoneticPr fontId="70"/>
  <conditionalFormatting sqref="G3:G158">
    <cfRule type="colorScale" priority="2">
      <colorScale>
        <cfvo type="min"/>
        <cfvo type="formula" val="30"/>
        <color rgb="FFFFFFFF"/>
        <color rgb="FFE67C73"/>
      </colorScale>
    </cfRule>
  </conditionalFormatting>
  <conditionalFormatting sqref="H3:H158">
    <cfRule type="colorScale" priority="4">
      <colorScale>
        <cfvo type="min"/>
        <cfvo type="formula" val="40"/>
        <color rgb="FFFFFFFF"/>
        <color rgb="FFE67C73"/>
      </colorScale>
    </cfRule>
  </conditionalFormatting>
  <conditionalFormatting sqref="I1:I158 I160:I1063">
    <cfRule type="cellIs" dxfId="10" priority="1" operator="lessThan">
      <formula>0</formula>
    </cfRule>
  </conditionalFormatting>
  <conditionalFormatting sqref="J3:J158">
    <cfRule type="cellIs" dxfId="9" priority="3" operator="lessThan">
      <formula>0</formula>
    </cfRule>
  </conditionalFormatting>
  <printOptions horizontalCentered="1" gridLines="1"/>
  <pageMargins left="0.7" right="0.7" top="0.75" bottom="0.75" header="0" footer="0"/>
  <pageSetup paperSize="9" fitToHeight="0" pageOrder="overThenDown" orientation="landscape" cellComments="atEnd"/>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pageSetUpPr fitToPage="1"/>
  </sheetPr>
  <dimension ref="A1:Q630"/>
  <sheetViews>
    <sheetView workbookViewId="0">
      <pane ySplit="1" topLeftCell="A2" activePane="bottomLeft" state="frozen"/>
      <selection pane="bottomLeft" activeCell="K8" sqref="K8"/>
    </sheetView>
  </sheetViews>
  <sheetFormatPr defaultColWidth="12.6328125" defaultRowHeight="15.75" customHeight="1"/>
  <cols>
    <col min="1" max="1" width="3.08984375" customWidth="1"/>
    <col min="2" max="2" width="11.7265625" customWidth="1"/>
    <col min="3" max="3" width="6.26953125" customWidth="1"/>
    <col min="4" max="4" width="16.36328125" customWidth="1"/>
    <col min="5" max="6" width="5.26953125" customWidth="1"/>
    <col min="7" max="8" width="33" customWidth="1"/>
    <col min="9" max="9" width="42.08984375" customWidth="1"/>
    <col min="10" max="10" width="3.90625" customWidth="1"/>
    <col min="11" max="11" width="19.453125" customWidth="1"/>
    <col min="12" max="12" width="7.26953125" customWidth="1"/>
    <col min="13" max="13" width="5" customWidth="1"/>
    <col min="14" max="14" width="8" customWidth="1"/>
    <col min="15" max="17" width="46.90625" customWidth="1"/>
  </cols>
  <sheetData>
    <row r="1" spans="1:17" ht="15.75" customHeight="1">
      <c r="A1" s="177"/>
      <c r="B1" s="178" t="s">
        <v>437</v>
      </c>
      <c r="C1" s="177" t="s">
        <v>91</v>
      </c>
      <c r="D1" s="178" t="s">
        <v>438</v>
      </c>
      <c r="E1" s="179" t="s">
        <v>439</v>
      </c>
      <c r="F1" s="179" t="s">
        <v>440</v>
      </c>
      <c r="G1" s="178" t="s">
        <v>441</v>
      </c>
      <c r="H1" s="180" t="s">
        <v>442</v>
      </c>
      <c r="I1" s="181" t="s">
        <v>443</v>
      </c>
      <c r="J1" s="182"/>
      <c r="K1" s="178" t="s">
        <v>444</v>
      </c>
      <c r="L1" s="183"/>
      <c r="N1" s="184"/>
      <c r="O1" s="185"/>
      <c r="P1" s="185"/>
      <c r="Q1" s="185"/>
    </row>
    <row r="2" spans="1:17" ht="15.75" customHeight="1">
      <c r="A2" s="186"/>
      <c r="B2" s="187" t="s">
        <v>445</v>
      </c>
      <c r="C2" s="186"/>
      <c r="D2" s="186"/>
      <c r="E2" s="186"/>
      <c r="F2" s="186"/>
      <c r="G2" s="186"/>
      <c r="H2" s="186"/>
      <c r="I2" s="186"/>
      <c r="J2" s="186"/>
      <c r="K2" s="186"/>
      <c r="L2" s="40"/>
      <c r="M2" s="40"/>
      <c r="N2" s="40"/>
      <c r="O2" s="40"/>
      <c r="P2" s="40"/>
      <c r="Q2" s="40"/>
    </row>
    <row r="3" spans="1:17" ht="15.75" customHeight="1">
      <c r="A3" s="188"/>
      <c r="B3" s="189"/>
      <c r="C3" s="188"/>
      <c r="D3" s="190"/>
      <c r="E3" s="185"/>
      <c r="F3" s="185"/>
      <c r="G3" s="191"/>
      <c r="H3" s="192"/>
      <c r="I3" s="193"/>
      <c r="J3" s="194"/>
      <c r="K3" s="192"/>
      <c r="L3" s="183"/>
      <c r="N3" s="185"/>
      <c r="O3" s="185"/>
      <c r="P3" s="185"/>
      <c r="Q3" s="185"/>
    </row>
    <row r="4" spans="1:17" ht="15.75" customHeight="1">
      <c r="A4" s="188"/>
      <c r="B4" s="189" t="s">
        <v>446</v>
      </c>
      <c r="C4" s="188"/>
      <c r="D4" s="190"/>
      <c r="E4" s="185"/>
      <c r="F4" s="185"/>
      <c r="G4" s="191" t="s">
        <v>447</v>
      </c>
      <c r="H4" s="192" t="s">
        <v>448</v>
      </c>
      <c r="I4" s="193"/>
      <c r="J4" s="194"/>
      <c r="K4" s="192"/>
      <c r="L4" s="183"/>
      <c r="N4" s="185"/>
      <c r="O4" s="185"/>
      <c r="P4" s="185"/>
      <c r="Q4" s="185"/>
    </row>
    <row r="5" spans="1:17" ht="15.75" customHeight="1">
      <c r="A5" s="177"/>
      <c r="B5" s="178" t="s">
        <v>437</v>
      </c>
      <c r="C5" s="177" t="s">
        <v>91</v>
      </c>
      <c r="D5" s="178" t="s">
        <v>438</v>
      </c>
      <c r="E5" s="179" t="s">
        <v>439</v>
      </c>
      <c r="F5" s="179" t="s">
        <v>440</v>
      </c>
      <c r="G5" s="178" t="s">
        <v>441</v>
      </c>
      <c r="H5" s="180" t="s">
        <v>442</v>
      </c>
      <c r="I5" s="181" t="s">
        <v>443</v>
      </c>
      <c r="J5" s="182"/>
      <c r="K5" s="178" t="s">
        <v>444</v>
      </c>
      <c r="L5" s="183"/>
      <c r="N5" s="184"/>
      <c r="O5" s="185"/>
      <c r="P5" s="185"/>
      <c r="Q5" s="185"/>
    </row>
    <row r="6" spans="1:17" ht="15.75" customHeight="1">
      <c r="A6" s="195"/>
      <c r="B6" s="195" t="s">
        <v>449</v>
      </c>
      <c r="C6" s="195"/>
      <c r="D6" s="195"/>
      <c r="E6" s="195"/>
      <c r="F6" s="195"/>
      <c r="G6" s="195"/>
      <c r="H6" s="196"/>
      <c r="I6" s="196"/>
      <c r="J6" s="197"/>
      <c r="K6" s="195"/>
      <c r="N6" s="184"/>
      <c r="O6" s="185"/>
      <c r="P6" s="185"/>
      <c r="Q6" s="193"/>
    </row>
    <row r="7" spans="1:17" ht="15.75" customHeight="1">
      <c r="A7" s="198">
        <f t="shared" ref="A7:A21" si="0">A6+1</f>
        <v>1</v>
      </c>
      <c r="B7" s="192" t="s">
        <v>450</v>
      </c>
      <c r="C7" s="188" t="s">
        <v>100</v>
      </c>
      <c r="D7" s="199" t="str">
        <f>B4</f>
        <v>Agent01</v>
      </c>
      <c r="E7" s="200" t="s">
        <v>126</v>
      </c>
      <c r="F7" s="200" t="s">
        <v>433</v>
      </c>
      <c r="G7" s="201" t="str">
        <f>VLOOKUP(E7,'2.ポータル'!$A:$F,6,FALSE)</f>
        <v>P02:東町公園</v>
      </c>
      <c r="H7" s="201" t="str">
        <f>VLOOKUP(F7,'2.ポータル'!$A:$F,6,FALSE)</f>
        <v>ポータルをキャプチャします</v>
      </c>
      <c r="I7" s="193"/>
      <c r="J7" s="202" t="str">
        <f t="shared" ref="J7:J27" si="1">IF(F7="X99"," ", IF(D7=K7,"","★"))</f>
        <v xml:space="preserve"> </v>
      </c>
      <c r="K7" s="203">
        <f>VLOOKUP(F7,'2.ポータル'!$A:$G,7,FALSE)</f>
        <v>0</v>
      </c>
      <c r="N7" s="184"/>
      <c r="O7" s="185"/>
      <c r="P7" s="185"/>
      <c r="Q7" s="193"/>
    </row>
    <row r="8" spans="1:17" ht="15.75" customHeight="1">
      <c r="A8" s="198">
        <f t="shared" si="0"/>
        <v>2</v>
      </c>
      <c r="B8" s="192" t="s">
        <v>450</v>
      </c>
      <c r="C8" s="188" t="s">
        <v>100</v>
      </c>
      <c r="D8" s="199" t="str">
        <f t="shared" ref="D8:D27" si="2">D7</f>
        <v>Agent01</v>
      </c>
      <c r="E8" s="200" t="s">
        <v>132</v>
      </c>
      <c r="F8" s="200" t="s">
        <v>130</v>
      </c>
      <c r="G8" s="201" t="str">
        <f>VLOOKUP(E8,'2.ポータル'!$A:$F,6,FALSE)</f>
        <v>P05:19.からす座</v>
      </c>
      <c r="H8" s="201" t="str">
        <f>VLOOKUP(F8,'2.ポータル'!$A:$F,6,FALSE)</f>
        <v>P04:海鮮居酒屋 とみ家</v>
      </c>
      <c r="I8" s="193"/>
      <c r="J8" s="202" t="e">
        <f t="shared" ca="1" si="1"/>
        <v>#NAME?</v>
      </c>
      <c r="K8" s="203" t="e">
        <f ca="1">VLOOKUP(F8,'2.ポータル'!$A:$G,7,FALSE)</f>
        <v>#NAME?</v>
      </c>
      <c r="N8" s="184"/>
      <c r="O8" s="185"/>
      <c r="P8" s="185"/>
      <c r="Q8" s="193"/>
    </row>
    <row r="9" spans="1:17" ht="15.75" customHeight="1">
      <c r="A9" s="198">
        <f t="shared" si="0"/>
        <v>3</v>
      </c>
      <c r="B9" s="192" t="s">
        <v>450</v>
      </c>
      <c r="C9" s="188" t="s">
        <v>100</v>
      </c>
      <c r="D9" s="199" t="str">
        <f t="shared" si="2"/>
        <v>Agent01</v>
      </c>
      <c r="E9" s="200" t="s">
        <v>136</v>
      </c>
      <c r="F9" s="200" t="s">
        <v>130</v>
      </c>
      <c r="G9" s="201" t="str">
        <f>VLOOKUP(E9,'2.ポータル'!$A:$F,6,FALSE)</f>
        <v>P07:がいな太鼓時計</v>
      </c>
      <c r="H9" s="201" t="str">
        <f>VLOOKUP(F9,'2.ポータル'!$A:$F,6,FALSE)</f>
        <v>P04:海鮮居酒屋 とみ家</v>
      </c>
      <c r="I9" s="193"/>
      <c r="J9" s="202" t="e">
        <f t="shared" ca="1" si="1"/>
        <v>#NAME?</v>
      </c>
      <c r="K9" s="203" t="e">
        <f ca="1">VLOOKUP(F9,'2.ポータル'!$A:$G,7,FALSE)</f>
        <v>#NAME?</v>
      </c>
      <c r="N9" s="204"/>
      <c r="O9" s="185"/>
      <c r="P9" s="185"/>
      <c r="Q9" s="193"/>
    </row>
    <row r="10" spans="1:17" ht="15.75" customHeight="1">
      <c r="A10" s="198">
        <f t="shared" si="0"/>
        <v>4</v>
      </c>
      <c r="B10" s="192" t="s">
        <v>450</v>
      </c>
      <c r="C10" s="188" t="s">
        <v>100</v>
      </c>
      <c r="D10" s="199" t="str">
        <f t="shared" si="2"/>
        <v>Agent01</v>
      </c>
      <c r="E10" s="200" t="s">
        <v>136</v>
      </c>
      <c r="F10" s="200" t="s">
        <v>132</v>
      </c>
      <c r="G10" s="201" t="str">
        <f>VLOOKUP(E10,'2.ポータル'!$A:$F,6,FALSE)</f>
        <v>P07:がいな太鼓時計</v>
      </c>
      <c r="H10" s="201" t="str">
        <f>VLOOKUP(F10,'2.ポータル'!$A:$F,6,FALSE)</f>
        <v>P05:19.からす座</v>
      </c>
      <c r="I10" s="193"/>
      <c r="J10" s="202" t="e">
        <f t="shared" ca="1" si="1"/>
        <v>#NAME?</v>
      </c>
      <c r="K10" s="203" t="e">
        <f ca="1">VLOOKUP(F10,'2.ポータル'!$A:$G,7,FALSE)</f>
        <v>#NAME?</v>
      </c>
      <c r="N10" s="184"/>
      <c r="O10" s="185"/>
      <c r="P10" s="185"/>
      <c r="Q10" s="193"/>
    </row>
    <row r="11" spans="1:17" ht="15.75" customHeight="1">
      <c r="A11" s="198">
        <f t="shared" si="0"/>
        <v>5</v>
      </c>
      <c r="B11" s="192" t="s">
        <v>450</v>
      </c>
      <c r="C11" s="188" t="s">
        <v>100</v>
      </c>
      <c r="D11" s="199" t="str">
        <f t="shared" si="2"/>
        <v>Agent01</v>
      </c>
      <c r="E11" s="200" t="s">
        <v>140</v>
      </c>
      <c r="F11" s="200" t="s">
        <v>126</v>
      </c>
      <c r="G11" s="201" t="str">
        <f>VLOOKUP(E11,'2.ポータル'!$A:$F,6,FALSE)</f>
        <v>P09:金光教米子教会</v>
      </c>
      <c r="H11" s="201" t="str">
        <f>VLOOKUP(F11,'2.ポータル'!$A:$F,6,FALSE)</f>
        <v>P02:東町公園</v>
      </c>
      <c r="I11" s="193"/>
      <c r="J11" s="202" t="e">
        <f t="shared" ca="1" si="1"/>
        <v>#NAME?</v>
      </c>
      <c r="K11" s="203" t="e">
        <f ca="1">VLOOKUP(F11,'2.ポータル'!$A:$G,7,FALSE)</f>
        <v>#NAME?</v>
      </c>
      <c r="N11" s="184"/>
      <c r="O11" s="185"/>
      <c r="P11" s="185"/>
      <c r="Q11" s="193"/>
    </row>
    <row r="12" spans="1:17" ht="15.75" customHeight="1">
      <c r="A12" s="198">
        <f t="shared" si="0"/>
        <v>6</v>
      </c>
      <c r="B12" s="192" t="s">
        <v>450</v>
      </c>
      <c r="C12" s="188" t="s">
        <v>100</v>
      </c>
      <c r="D12" s="199" t="str">
        <f t="shared" si="2"/>
        <v>Agent01</v>
      </c>
      <c r="E12" s="200" t="s">
        <v>150</v>
      </c>
      <c r="F12" s="200" t="s">
        <v>140</v>
      </c>
      <c r="G12" s="201" t="str">
        <f>VLOOKUP(E12,'2.ポータル'!$A:$F,6,FALSE)</f>
        <v>P14:米子加茂町郵便局</v>
      </c>
      <c r="H12" s="201" t="str">
        <f>VLOOKUP(F12,'2.ポータル'!$A:$F,6,FALSE)</f>
        <v>P09:金光教米子教会</v>
      </c>
      <c r="I12" s="193"/>
      <c r="J12" s="202" t="e">
        <f t="shared" ca="1" si="1"/>
        <v>#NAME?</v>
      </c>
      <c r="K12" s="203" t="e">
        <f ca="1">VLOOKUP(F12,'2.ポータル'!$A:$G,7,FALSE)</f>
        <v>#NAME?</v>
      </c>
      <c r="M12" s="184"/>
      <c r="N12" s="184"/>
      <c r="O12" s="185"/>
      <c r="P12" s="185"/>
      <c r="Q12" s="193"/>
    </row>
    <row r="13" spans="1:17" ht="15.75" customHeight="1">
      <c r="A13" s="198">
        <f t="shared" si="0"/>
        <v>7</v>
      </c>
      <c r="B13" s="192" t="s">
        <v>450</v>
      </c>
      <c r="C13" s="188" t="s">
        <v>100</v>
      </c>
      <c r="D13" s="199" t="str">
        <f t="shared" si="2"/>
        <v>Agent01</v>
      </c>
      <c r="E13" s="200" t="s">
        <v>144</v>
      </c>
      <c r="F13" s="200" t="s">
        <v>126</v>
      </c>
      <c r="G13" s="201" t="str">
        <f>VLOOKUP(E13,'2.ポータル'!$A:$F,6,FALSE)</f>
        <v>P11:市営湊山球場跡地</v>
      </c>
      <c r="H13" s="201" t="str">
        <f>VLOOKUP(F13,'2.ポータル'!$A:$F,6,FALSE)</f>
        <v>P02:東町公園</v>
      </c>
      <c r="I13" s="193"/>
      <c r="J13" s="202" t="e">
        <f t="shared" ca="1" si="1"/>
        <v>#NAME?</v>
      </c>
      <c r="K13" s="203" t="e">
        <f ca="1">VLOOKUP(F13,'2.ポータル'!$A:$G,7,FALSE)</f>
        <v>#NAME?</v>
      </c>
      <c r="M13" s="184"/>
      <c r="N13" s="184"/>
      <c r="O13" s="185"/>
      <c r="P13" s="185"/>
      <c r="Q13" s="193"/>
    </row>
    <row r="14" spans="1:17" ht="15.75" customHeight="1">
      <c r="A14" s="198">
        <f t="shared" si="0"/>
        <v>8</v>
      </c>
      <c r="B14" s="192" t="s">
        <v>450</v>
      </c>
      <c r="C14" s="188" t="s">
        <v>100</v>
      </c>
      <c r="D14" s="199" t="str">
        <f t="shared" si="2"/>
        <v>Agent01</v>
      </c>
      <c r="E14" s="200" t="s">
        <v>144</v>
      </c>
      <c r="F14" s="200" t="s">
        <v>140</v>
      </c>
      <c r="G14" s="201" t="str">
        <f>VLOOKUP(E14,'2.ポータル'!$A:$F,6,FALSE)</f>
        <v>P11:市営湊山球場跡地</v>
      </c>
      <c r="H14" s="201" t="str">
        <f>VLOOKUP(F14,'2.ポータル'!$A:$F,6,FALSE)</f>
        <v>P09:金光教米子教会</v>
      </c>
      <c r="I14" s="193"/>
      <c r="J14" s="202" t="e">
        <f t="shared" ca="1" si="1"/>
        <v>#NAME?</v>
      </c>
      <c r="K14" s="203" t="e">
        <f ca="1">VLOOKUP(F14,'2.ポータル'!$A:$G,7,FALSE)</f>
        <v>#NAME?</v>
      </c>
      <c r="M14" s="184"/>
      <c r="N14" s="185"/>
      <c r="O14" s="185"/>
      <c r="P14" s="185"/>
      <c r="Q14" s="193"/>
    </row>
    <row r="15" spans="1:17" ht="15.75" customHeight="1">
      <c r="A15" s="198">
        <f t="shared" si="0"/>
        <v>9</v>
      </c>
      <c r="B15" s="192" t="s">
        <v>450</v>
      </c>
      <c r="C15" s="188" t="s">
        <v>100</v>
      </c>
      <c r="D15" s="199" t="str">
        <f t="shared" si="2"/>
        <v>Agent01</v>
      </c>
      <c r="E15" s="200" t="s">
        <v>144</v>
      </c>
      <c r="F15" s="200" t="s">
        <v>150</v>
      </c>
      <c r="G15" s="201" t="str">
        <f>VLOOKUP(E15,'2.ポータル'!$A:$F,6,FALSE)</f>
        <v>P11:市営湊山球場跡地</v>
      </c>
      <c r="H15" s="201" t="str">
        <f>VLOOKUP(F15,'2.ポータル'!$A:$F,6,FALSE)</f>
        <v>P14:米子加茂町郵便局</v>
      </c>
      <c r="I15" s="193"/>
      <c r="J15" s="202" t="e">
        <f t="shared" ca="1" si="1"/>
        <v>#NAME?</v>
      </c>
      <c r="K15" s="203" t="e">
        <f ca="1">VLOOKUP(F15,'2.ポータル'!$A:$G,7,FALSE)</f>
        <v>#NAME?</v>
      </c>
      <c r="M15" s="184"/>
      <c r="N15" s="185"/>
      <c r="O15" s="185"/>
      <c r="P15" s="185"/>
      <c r="Q15" s="193"/>
    </row>
    <row r="16" spans="1:17" ht="15.75" customHeight="1">
      <c r="A16" s="198">
        <f t="shared" si="0"/>
        <v>10</v>
      </c>
      <c r="B16" s="192" t="s">
        <v>450</v>
      </c>
      <c r="C16" s="188" t="s">
        <v>100</v>
      </c>
      <c r="D16" s="199" t="str">
        <f t="shared" si="2"/>
        <v>Agent01</v>
      </c>
      <c r="E16" s="200" t="s">
        <v>174</v>
      </c>
      <c r="F16" s="200" t="s">
        <v>144</v>
      </c>
      <c r="G16" s="201" t="str">
        <f>VLOOKUP(E16,'2.ポータル'!$A:$F,6,FALSE)</f>
        <v>P26:宇気河口神社 鳥居</v>
      </c>
      <c r="H16" s="201" t="str">
        <f>VLOOKUP(F16,'2.ポータル'!$A:$F,6,FALSE)</f>
        <v>P11:市営湊山球場跡地</v>
      </c>
      <c r="I16" s="193"/>
      <c r="J16" s="202" t="e">
        <f t="shared" ca="1" si="1"/>
        <v>#NAME?</v>
      </c>
      <c r="K16" s="203" t="e">
        <f ca="1">VLOOKUP(F16,'2.ポータル'!$A:$G,7,FALSE)</f>
        <v>#NAME?</v>
      </c>
      <c r="M16" s="184"/>
      <c r="N16" s="185"/>
      <c r="O16" s="185"/>
      <c r="P16" s="185"/>
      <c r="Q16" s="193"/>
    </row>
    <row r="17" spans="1:17" ht="15.75" customHeight="1">
      <c r="A17" s="198">
        <f t="shared" si="0"/>
        <v>11</v>
      </c>
      <c r="B17" s="192" t="s">
        <v>450</v>
      </c>
      <c r="C17" s="188" t="s">
        <v>100</v>
      </c>
      <c r="D17" s="199" t="str">
        <f t="shared" si="2"/>
        <v>Agent01</v>
      </c>
      <c r="E17" s="200" t="s">
        <v>174</v>
      </c>
      <c r="F17" s="200" t="s">
        <v>150</v>
      </c>
      <c r="G17" s="201" t="str">
        <f>VLOOKUP(E17,'2.ポータル'!$A:$F,6,FALSE)</f>
        <v>P26:宇気河口神社 鳥居</v>
      </c>
      <c r="H17" s="201" t="str">
        <f>VLOOKUP(F17,'2.ポータル'!$A:$F,6,FALSE)</f>
        <v>P14:米子加茂町郵便局</v>
      </c>
      <c r="I17" s="193"/>
      <c r="J17" s="202" t="e">
        <f t="shared" ca="1" si="1"/>
        <v>#NAME?</v>
      </c>
      <c r="K17" s="203" t="e">
        <f ca="1">VLOOKUP(F17,'2.ポータル'!$A:$G,7,FALSE)</f>
        <v>#NAME?</v>
      </c>
      <c r="M17" s="184"/>
      <c r="N17" s="185"/>
      <c r="O17" s="185"/>
      <c r="P17" s="185"/>
      <c r="Q17" s="193"/>
    </row>
    <row r="18" spans="1:17" ht="15.75" customHeight="1">
      <c r="A18" s="198">
        <f t="shared" si="0"/>
        <v>12</v>
      </c>
      <c r="B18" s="192" t="s">
        <v>450</v>
      </c>
      <c r="C18" s="188" t="s">
        <v>100</v>
      </c>
      <c r="D18" s="199" t="str">
        <f t="shared" si="2"/>
        <v>Agent01</v>
      </c>
      <c r="E18" s="200" t="s">
        <v>210</v>
      </c>
      <c r="F18" s="200" t="s">
        <v>150</v>
      </c>
      <c r="G18" s="201" t="str">
        <f>VLOOKUP(E18,'2.ポータル'!$A:$F,6,FALSE)</f>
        <v>P44:米子城(再現イメージ)</v>
      </c>
      <c r="H18" s="201" t="str">
        <f>VLOOKUP(F18,'2.ポータル'!$A:$F,6,FALSE)</f>
        <v>P14:米子加茂町郵便局</v>
      </c>
      <c r="I18" s="193"/>
      <c r="J18" s="202" t="e">
        <f t="shared" ca="1" si="1"/>
        <v>#NAME?</v>
      </c>
      <c r="K18" s="203" t="e">
        <f ca="1">VLOOKUP(F18,'2.ポータル'!$A:$G,7,FALSE)</f>
        <v>#NAME?</v>
      </c>
      <c r="M18" s="184"/>
      <c r="N18" s="185"/>
      <c r="O18" s="185"/>
      <c r="P18" s="185"/>
      <c r="Q18" s="193"/>
    </row>
    <row r="19" spans="1:17" ht="15.75" customHeight="1">
      <c r="A19" s="198">
        <f t="shared" si="0"/>
        <v>13</v>
      </c>
      <c r="B19" s="192" t="s">
        <v>450</v>
      </c>
      <c r="C19" s="188" t="s">
        <v>100</v>
      </c>
      <c r="D19" s="199" t="str">
        <f t="shared" si="2"/>
        <v>Agent01</v>
      </c>
      <c r="E19" s="200" t="s">
        <v>210</v>
      </c>
      <c r="F19" s="200" t="s">
        <v>174</v>
      </c>
      <c r="G19" s="201" t="str">
        <f>VLOOKUP(E19,'2.ポータル'!$A:$F,6,FALSE)</f>
        <v>P44:米子城(再現イメージ)</v>
      </c>
      <c r="H19" s="201" t="str">
        <f>VLOOKUP(F19,'2.ポータル'!$A:$F,6,FALSE)</f>
        <v>P26:宇気河口神社 鳥居</v>
      </c>
      <c r="I19" s="193"/>
      <c r="J19" s="202" t="e">
        <f t="shared" ca="1" si="1"/>
        <v>#NAME?</v>
      </c>
      <c r="K19" s="203" t="e">
        <f ca="1">VLOOKUP(F19,'2.ポータル'!$A:$G,7,FALSE)</f>
        <v>#NAME?</v>
      </c>
      <c r="M19" s="184"/>
      <c r="N19" s="185"/>
      <c r="O19" s="185"/>
      <c r="P19" s="185"/>
      <c r="Q19" s="193"/>
    </row>
    <row r="20" spans="1:17" ht="15.75" customHeight="1">
      <c r="A20" s="198">
        <f t="shared" si="0"/>
        <v>14</v>
      </c>
      <c r="B20" s="192" t="s">
        <v>450</v>
      </c>
      <c r="C20" s="188" t="s">
        <v>100</v>
      </c>
      <c r="D20" s="199" t="str">
        <f t="shared" si="2"/>
        <v>Agent01</v>
      </c>
      <c r="E20" s="200" t="s">
        <v>210</v>
      </c>
      <c r="F20" s="200" t="s">
        <v>196</v>
      </c>
      <c r="G20" s="201" t="str">
        <f>VLOOKUP(E20,'2.ポータル'!$A:$F,6,FALSE)</f>
        <v>P44:米子城(再現イメージ)</v>
      </c>
      <c r="H20" s="201" t="str">
        <f>VLOOKUP(F20,'2.ポータル'!$A:$F,6,FALSE)</f>
        <v>P37:中ノ棚橋地蔵</v>
      </c>
      <c r="I20" s="193"/>
      <c r="J20" s="202" t="e">
        <f t="shared" ca="1" si="1"/>
        <v>#NAME?</v>
      </c>
      <c r="K20" s="203" t="e">
        <f ca="1">VLOOKUP(F20,'2.ポータル'!$A:$G,7,FALSE)</f>
        <v>#NAME?</v>
      </c>
      <c r="M20" s="184"/>
      <c r="N20" s="185"/>
      <c r="O20" s="185"/>
      <c r="P20" s="185"/>
      <c r="Q20" s="193"/>
    </row>
    <row r="21" spans="1:17" ht="15.75" customHeight="1">
      <c r="A21" s="198">
        <f t="shared" si="0"/>
        <v>15</v>
      </c>
      <c r="B21" s="192" t="s">
        <v>450</v>
      </c>
      <c r="C21" s="188" t="s">
        <v>100</v>
      </c>
      <c r="D21" s="199" t="str">
        <f t="shared" si="2"/>
        <v>Agent01</v>
      </c>
      <c r="E21" s="200" t="s">
        <v>210</v>
      </c>
      <c r="F21" s="200" t="s">
        <v>230</v>
      </c>
      <c r="G21" s="201" t="str">
        <f>VLOOKUP(E21,'2.ポータル'!$A:$F,6,FALSE)</f>
        <v>P44:米子城(再現イメージ)</v>
      </c>
      <c r="H21" s="201" t="str">
        <f>VLOOKUP(F21,'2.ポータル'!$A:$F,6,FALSE)</f>
        <v>P54:心光寺 山門</v>
      </c>
      <c r="I21" s="193"/>
      <c r="J21" s="202" t="e">
        <f t="shared" ca="1" si="1"/>
        <v>#NAME?</v>
      </c>
      <c r="K21" s="203" t="e">
        <f ca="1">VLOOKUP(F21,'2.ポータル'!$A:$G,7,FALSE)</f>
        <v>#NAME?</v>
      </c>
      <c r="M21" s="184"/>
      <c r="N21" s="185"/>
      <c r="O21" s="185"/>
      <c r="P21" s="185"/>
      <c r="Q21" s="193"/>
    </row>
    <row r="22" spans="1:17" ht="15.75" customHeight="1">
      <c r="A22" s="198">
        <f>A20+1</f>
        <v>15</v>
      </c>
      <c r="B22" s="192" t="s">
        <v>450</v>
      </c>
      <c r="C22" s="188" t="s">
        <v>100</v>
      </c>
      <c r="D22" s="199" t="str">
        <f t="shared" si="2"/>
        <v>Agent01</v>
      </c>
      <c r="E22" s="200" t="s">
        <v>224</v>
      </c>
      <c r="F22" s="200" t="s">
        <v>174</v>
      </c>
      <c r="G22" s="201" t="str">
        <f>VLOOKUP(E22,'2.ポータル'!$A:$F,6,FALSE)</f>
        <v>P51:吉祥院地蔵</v>
      </c>
      <c r="H22" s="201" t="str">
        <f>VLOOKUP(F22,'2.ポータル'!$A:$F,6,FALSE)</f>
        <v>P26:宇気河口神社 鳥居</v>
      </c>
      <c r="I22" s="193"/>
      <c r="J22" s="202" t="e">
        <f t="shared" ca="1" si="1"/>
        <v>#NAME?</v>
      </c>
      <c r="K22" s="203" t="e">
        <f ca="1">VLOOKUP(F22,'2.ポータル'!$A:$G,7,FALSE)</f>
        <v>#NAME?</v>
      </c>
      <c r="M22" s="184"/>
      <c r="N22" s="185"/>
      <c r="O22" s="185"/>
      <c r="P22" s="185"/>
      <c r="Q22" s="193"/>
    </row>
    <row r="23" spans="1:17" ht="15.75" customHeight="1">
      <c r="A23" s="198">
        <f t="shared" ref="A23:A27" si="3">A22+1</f>
        <v>16</v>
      </c>
      <c r="B23" s="192" t="s">
        <v>450</v>
      </c>
      <c r="C23" s="188" t="s">
        <v>100</v>
      </c>
      <c r="D23" s="199" t="str">
        <f t="shared" si="2"/>
        <v>Agent01</v>
      </c>
      <c r="E23" s="200" t="s">
        <v>224</v>
      </c>
      <c r="F23" s="200" t="s">
        <v>210</v>
      </c>
      <c r="G23" s="201" t="str">
        <f>VLOOKUP(E23,'2.ポータル'!$A:$F,6,FALSE)</f>
        <v>P51:吉祥院地蔵</v>
      </c>
      <c r="H23" s="201" t="str">
        <f>VLOOKUP(F23,'2.ポータル'!$A:$F,6,FALSE)</f>
        <v>P44:米子城(再現イメージ)</v>
      </c>
      <c r="I23" s="193"/>
      <c r="J23" s="202" t="e">
        <f t="shared" ca="1" si="1"/>
        <v>#NAME?</v>
      </c>
      <c r="K23" s="203" t="e">
        <f ca="1">VLOOKUP(F23,'2.ポータル'!$A:$G,7,FALSE)</f>
        <v>#NAME?</v>
      </c>
      <c r="M23" s="184"/>
      <c r="N23" s="185"/>
      <c r="O23" s="185"/>
      <c r="P23" s="185"/>
      <c r="Q23" s="193"/>
    </row>
    <row r="24" spans="1:17" ht="15.75" customHeight="1">
      <c r="A24" s="198">
        <f t="shared" si="3"/>
        <v>17</v>
      </c>
      <c r="B24" s="192" t="s">
        <v>450</v>
      </c>
      <c r="C24" s="188" t="s">
        <v>100</v>
      </c>
      <c r="D24" s="199" t="str">
        <f t="shared" si="2"/>
        <v>Agent01</v>
      </c>
      <c r="E24" s="200" t="s">
        <v>224</v>
      </c>
      <c r="F24" s="200" t="s">
        <v>230</v>
      </c>
      <c r="G24" s="201" t="str">
        <f>VLOOKUP(E24,'2.ポータル'!$A:$F,6,FALSE)</f>
        <v>P51:吉祥院地蔵</v>
      </c>
      <c r="H24" s="201" t="str">
        <f>VLOOKUP(F24,'2.ポータル'!$A:$F,6,FALSE)</f>
        <v>P54:心光寺 山門</v>
      </c>
      <c r="I24" s="193"/>
      <c r="J24" s="202" t="e">
        <f t="shared" ca="1" si="1"/>
        <v>#NAME?</v>
      </c>
      <c r="K24" s="203" t="e">
        <f ca="1">VLOOKUP(F24,'2.ポータル'!$A:$G,7,FALSE)</f>
        <v>#NAME?</v>
      </c>
      <c r="M24" s="184"/>
      <c r="N24" s="185"/>
      <c r="O24" s="185"/>
      <c r="P24" s="185"/>
      <c r="Q24" s="193"/>
    </row>
    <row r="25" spans="1:17" ht="15.75" customHeight="1">
      <c r="A25" s="198">
        <f t="shared" si="3"/>
        <v>18</v>
      </c>
      <c r="B25" s="192" t="s">
        <v>450</v>
      </c>
      <c r="C25" s="188" t="s">
        <v>100</v>
      </c>
      <c r="D25" s="199" t="str">
        <f t="shared" si="2"/>
        <v>Agent01</v>
      </c>
      <c r="E25" s="200" t="s">
        <v>224</v>
      </c>
      <c r="F25" s="200" t="s">
        <v>248</v>
      </c>
      <c r="G25" s="201" t="str">
        <f>VLOOKUP(E25,'2.ポータル'!$A:$F,6,FALSE)</f>
        <v>P51:吉祥院地蔵</v>
      </c>
      <c r="H25" s="201" t="str">
        <f>VLOOKUP(F25,'2.ポータル'!$A:$F,6,FALSE)</f>
        <v>P63:Rochelle Antique</v>
      </c>
      <c r="I25" s="193"/>
      <c r="J25" s="202" t="e">
        <f t="shared" ca="1" si="1"/>
        <v>#NAME?</v>
      </c>
      <c r="K25" s="203" t="e">
        <f ca="1">VLOOKUP(F25,'2.ポータル'!$A:$G,7,FALSE)</f>
        <v>#NAME?</v>
      </c>
      <c r="M25" s="184"/>
      <c r="N25" s="185"/>
      <c r="O25" s="185"/>
      <c r="P25" s="185"/>
      <c r="Q25" s="193"/>
    </row>
    <row r="26" spans="1:17" ht="15.75" customHeight="1">
      <c r="A26" s="198">
        <f t="shared" si="3"/>
        <v>19</v>
      </c>
      <c r="B26" s="192" t="s">
        <v>450</v>
      </c>
      <c r="C26" s="188" t="s">
        <v>100</v>
      </c>
      <c r="D26" s="199" t="str">
        <f t="shared" si="2"/>
        <v>Agent01</v>
      </c>
      <c r="E26" s="200" t="s">
        <v>224</v>
      </c>
      <c r="F26" s="200" t="s">
        <v>244</v>
      </c>
      <c r="G26" s="201" t="str">
        <f>VLOOKUP(E26,'2.ポータル'!$A:$F,6,FALSE)</f>
        <v>P51:吉祥院地蔵</v>
      </c>
      <c r="H26" s="201" t="str">
        <f>VLOOKUP(F26,'2.ポータル'!$A:$F,6,FALSE)</f>
        <v>P61:どらやき神社</v>
      </c>
      <c r="I26" s="193"/>
      <c r="J26" s="202" t="e">
        <f t="shared" ca="1" si="1"/>
        <v>#NAME?</v>
      </c>
      <c r="K26" s="203" t="e">
        <f ca="1">VLOOKUP(F26,'2.ポータル'!$A:$G,7,FALSE)</f>
        <v>#NAME?</v>
      </c>
      <c r="M26" s="184"/>
      <c r="N26" s="185"/>
      <c r="O26" s="185"/>
      <c r="P26" s="185"/>
      <c r="Q26" s="193"/>
    </row>
    <row r="27" spans="1:17" ht="15.75" customHeight="1">
      <c r="A27" s="198">
        <f t="shared" si="3"/>
        <v>20</v>
      </c>
      <c r="B27" s="192" t="s">
        <v>450</v>
      </c>
      <c r="C27" s="188" t="s">
        <v>100</v>
      </c>
      <c r="D27" s="199" t="str">
        <f t="shared" si="2"/>
        <v>Agent01</v>
      </c>
      <c r="E27" s="200" t="s">
        <v>224</v>
      </c>
      <c r="F27" s="200" t="s">
        <v>258</v>
      </c>
      <c r="G27" s="201" t="str">
        <f>VLOOKUP(E27,'2.ポータル'!$A:$F,6,FALSE)</f>
        <v>P51:吉祥院地蔵</v>
      </c>
      <c r="H27" s="201" t="str">
        <f>VLOOKUP(F27,'2.ポータル'!$A:$F,6,FALSE)</f>
        <v>P68:住居表示街区案内図 米子市旗ヶ崎1丁目</v>
      </c>
      <c r="I27" s="193"/>
      <c r="J27" s="202" t="e">
        <f t="shared" ca="1" si="1"/>
        <v>#NAME?</v>
      </c>
      <c r="K27" s="203" t="e">
        <f ca="1">VLOOKUP(F27,'2.ポータル'!$A:$G,7,FALSE)</f>
        <v>#NAME?</v>
      </c>
      <c r="M27" s="184"/>
      <c r="N27" s="185"/>
      <c r="O27" s="185"/>
      <c r="P27" s="185"/>
      <c r="Q27" s="193"/>
    </row>
    <row r="28" spans="1:17" ht="15.75" customHeight="1">
      <c r="A28" s="205"/>
      <c r="B28" s="206" t="s">
        <v>451</v>
      </c>
      <c r="C28" s="207"/>
      <c r="D28" s="208"/>
      <c r="E28" s="209"/>
      <c r="F28" s="209"/>
      <c r="G28" s="210"/>
      <c r="H28" s="210"/>
      <c r="I28" s="209"/>
      <c r="J28" s="211"/>
      <c r="K28" s="210"/>
      <c r="L28" s="193"/>
      <c r="N28" s="193"/>
      <c r="O28" s="193"/>
      <c r="P28" s="193"/>
      <c r="Q28" s="193"/>
    </row>
    <row r="29" spans="1:17" ht="15.75" customHeight="1">
      <c r="A29" s="183"/>
      <c r="B29" s="192"/>
      <c r="C29" s="183"/>
      <c r="D29" s="212"/>
      <c r="E29" s="213"/>
      <c r="F29" s="213"/>
      <c r="G29" s="212"/>
      <c r="H29" s="214"/>
      <c r="I29" s="193"/>
      <c r="J29" s="215"/>
      <c r="K29" s="212"/>
      <c r="N29" s="193"/>
      <c r="O29" s="193"/>
      <c r="P29" s="193"/>
      <c r="Q29" s="193"/>
    </row>
    <row r="30" spans="1:17" ht="15.75" customHeight="1">
      <c r="A30" s="188"/>
      <c r="B30" s="189" t="s">
        <v>452</v>
      </c>
      <c r="C30" s="188"/>
      <c r="D30" s="190"/>
      <c r="E30" s="185"/>
      <c r="F30" s="185"/>
      <c r="G30" s="191" t="s">
        <v>453</v>
      </c>
      <c r="H30" s="192" t="s">
        <v>454</v>
      </c>
      <c r="I30" s="193" t="s">
        <v>455</v>
      </c>
      <c r="J30" s="194"/>
      <c r="K30" s="192"/>
      <c r="L30" s="183"/>
      <c r="N30" s="185"/>
      <c r="O30" s="185"/>
      <c r="P30" s="185"/>
      <c r="Q30" s="185"/>
    </row>
    <row r="31" spans="1:17" ht="15.75" customHeight="1">
      <c r="A31" s="177"/>
      <c r="B31" s="178" t="s">
        <v>437</v>
      </c>
      <c r="C31" s="177" t="s">
        <v>91</v>
      </c>
      <c r="D31" s="178" t="s">
        <v>438</v>
      </c>
      <c r="E31" s="179" t="s">
        <v>439</v>
      </c>
      <c r="F31" s="179" t="s">
        <v>440</v>
      </c>
      <c r="G31" s="178" t="s">
        <v>441</v>
      </c>
      <c r="H31" s="180" t="s">
        <v>442</v>
      </c>
      <c r="I31" s="181" t="s">
        <v>443</v>
      </c>
      <c r="J31" s="182"/>
      <c r="K31" s="178" t="s">
        <v>444</v>
      </c>
      <c r="L31" s="183"/>
      <c r="N31" s="184"/>
      <c r="O31" s="185"/>
      <c r="P31" s="185"/>
      <c r="Q31" s="185"/>
    </row>
    <row r="32" spans="1:17" ht="15.75" customHeight="1">
      <c r="A32" s="195"/>
      <c r="B32" s="195" t="s">
        <v>449</v>
      </c>
      <c r="C32" s="195"/>
      <c r="D32" s="195"/>
      <c r="E32" s="195"/>
      <c r="F32" s="195"/>
      <c r="G32" s="195"/>
      <c r="H32" s="196"/>
      <c r="I32" s="196"/>
      <c r="J32" s="197"/>
      <c r="K32" s="195"/>
      <c r="N32" s="184"/>
      <c r="O32" s="185"/>
      <c r="P32" s="185"/>
      <c r="Q32" s="193"/>
    </row>
    <row r="33" spans="1:17" ht="17.5">
      <c r="A33" s="198">
        <f t="shared" ref="A33:A59" si="4">A32+1</f>
        <v>1</v>
      </c>
      <c r="B33" s="192" t="s">
        <v>450</v>
      </c>
      <c r="C33" s="188" t="s">
        <v>100</v>
      </c>
      <c r="D33" s="199" t="str">
        <f>B30</f>
        <v>Agent02</v>
      </c>
      <c r="E33" s="200" t="s">
        <v>148</v>
      </c>
      <c r="F33" s="200" t="s">
        <v>433</v>
      </c>
      <c r="G33" s="201" t="str">
        <f>VLOOKUP(E33,'2.ポータル'!$A:$F,6,FALSE)</f>
        <v>P13:やっちゃん</v>
      </c>
      <c r="H33" s="201" t="str">
        <f>VLOOKUP(F33,'2.ポータル'!$A:$F,6,FALSE)</f>
        <v>ポータルをキャプチャします</v>
      </c>
      <c r="I33" s="193"/>
      <c r="J33" s="202" t="str">
        <f t="shared" ref="J33:J59" si="5">IF(F33="X99"," ", IF(D33=K33,"","★"))</f>
        <v xml:space="preserve"> </v>
      </c>
      <c r="K33" s="203">
        <f>VLOOKUP(F33,'2.ポータル'!$A:$G,7,FALSE)</f>
        <v>0</v>
      </c>
      <c r="N33" s="184"/>
      <c r="O33" s="185"/>
      <c r="P33" s="185"/>
      <c r="Q33" s="193"/>
    </row>
    <row r="34" spans="1:17" ht="17.5">
      <c r="A34" s="198">
        <f t="shared" si="4"/>
        <v>2</v>
      </c>
      <c r="B34" s="192" t="s">
        <v>450</v>
      </c>
      <c r="C34" s="188" t="s">
        <v>100</v>
      </c>
      <c r="D34" s="199" t="str">
        <f t="shared" ref="D34:D59" si="6">D33</f>
        <v>Agent02</v>
      </c>
      <c r="E34" s="200" t="s">
        <v>138</v>
      </c>
      <c r="F34" s="200" t="s">
        <v>148</v>
      </c>
      <c r="G34" s="201" t="str">
        <f>VLOOKUP(E34,'2.ポータル'!$A:$F,6,FALSE)</f>
        <v>P08:米子合同庁舎</v>
      </c>
      <c r="H34" s="201" t="str">
        <f>VLOOKUP(F34,'2.ポータル'!$A:$F,6,FALSE)</f>
        <v>P13:やっちゃん</v>
      </c>
      <c r="I34" s="193"/>
      <c r="J34" s="202" t="e">
        <f t="shared" ca="1" si="5"/>
        <v>#NAME?</v>
      </c>
      <c r="K34" s="203" t="e">
        <f ca="1">VLOOKUP(F34,'2.ポータル'!$A:$G,7,FALSE)</f>
        <v>#NAME?</v>
      </c>
      <c r="N34" s="184"/>
      <c r="O34" s="185"/>
      <c r="P34" s="185"/>
      <c r="Q34" s="193"/>
    </row>
    <row r="35" spans="1:17" ht="17.5">
      <c r="A35" s="198">
        <f t="shared" si="4"/>
        <v>3</v>
      </c>
      <c r="B35" s="192" t="s">
        <v>450</v>
      </c>
      <c r="C35" s="188" t="s">
        <v>100</v>
      </c>
      <c r="D35" s="199" t="str">
        <f t="shared" si="6"/>
        <v>Agent02</v>
      </c>
      <c r="E35" s="200" t="s">
        <v>130</v>
      </c>
      <c r="F35" s="200" t="s">
        <v>433</v>
      </c>
      <c r="G35" s="201" t="str">
        <f>VLOOKUP(E35,'2.ポータル'!$A:$F,6,FALSE)</f>
        <v>P04:海鮮居酒屋 とみ家</v>
      </c>
      <c r="H35" s="201" t="str">
        <f>VLOOKUP(F35,'2.ポータル'!$A:$F,6,FALSE)</f>
        <v>ポータルをキャプチャします</v>
      </c>
      <c r="I35" s="193"/>
      <c r="J35" s="202" t="str">
        <f t="shared" si="5"/>
        <v xml:space="preserve"> </v>
      </c>
      <c r="K35" s="203">
        <f>VLOOKUP(F35,'2.ポータル'!$A:$G,7,FALSE)</f>
        <v>0</v>
      </c>
      <c r="N35" s="204"/>
      <c r="O35" s="185"/>
      <c r="P35" s="185"/>
      <c r="Q35" s="193"/>
    </row>
    <row r="36" spans="1:17" ht="17.5">
      <c r="A36" s="198">
        <f t="shared" si="4"/>
        <v>4</v>
      </c>
      <c r="B36" s="192" t="s">
        <v>450</v>
      </c>
      <c r="C36" s="188" t="s">
        <v>100</v>
      </c>
      <c r="D36" s="199" t="str">
        <f t="shared" si="6"/>
        <v>Agent02</v>
      </c>
      <c r="E36" s="200" t="s">
        <v>142</v>
      </c>
      <c r="F36" s="200" t="s">
        <v>138</v>
      </c>
      <c r="G36" s="201" t="str">
        <f>VLOOKUP(E36,'2.ポータル'!$A:$F,6,FALSE)</f>
        <v>P10:東京2020記念ゴールドポスト</v>
      </c>
      <c r="H36" s="201" t="str">
        <f>VLOOKUP(F36,'2.ポータル'!$A:$F,6,FALSE)</f>
        <v>P08:米子合同庁舎</v>
      </c>
      <c r="I36" s="193"/>
      <c r="J36" s="202" t="e">
        <f t="shared" ca="1" si="5"/>
        <v>#NAME?</v>
      </c>
      <c r="K36" s="203" t="e">
        <f ca="1">VLOOKUP(F36,'2.ポータル'!$A:$G,7,FALSE)</f>
        <v>#NAME?</v>
      </c>
      <c r="N36" s="184"/>
      <c r="O36" s="185"/>
      <c r="P36" s="185"/>
      <c r="Q36" s="193"/>
    </row>
    <row r="37" spans="1:17" ht="17.5">
      <c r="A37" s="198">
        <f t="shared" si="4"/>
        <v>5</v>
      </c>
      <c r="B37" s="192" t="s">
        <v>450</v>
      </c>
      <c r="C37" s="188" t="s">
        <v>100</v>
      </c>
      <c r="D37" s="199" t="str">
        <f t="shared" si="6"/>
        <v>Agent02</v>
      </c>
      <c r="E37" s="200" t="s">
        <v>152</v>
      </c>
      <c r="F37" s="200" t="s">
        <v>142</v>
      </c>
      <c r="G37" s="201" t="str">
        <f>VLOOKUP(E37,'2.ポータル'!$A:$F,6,FALSE)</f>
        <v>P15:米子市役所</v>
      </c>
      <c r="H37" s="201" t="str">
        <f>VLOOKUP(F37,'2.ポータル'!$A:$F,6,FALSE)</f>
        <v>P10:東京2020記念ゴールドポスト</v>
      </c>
      <c r="I37" s="193"/>
      <c r="J37" s="202" t="e">
        <f t="shared" ca="1" si="5"/>
        <v>#NAME?</v>
      </c>
      <c r="K37" s="203" t="e">
        <f ca="1">VLOOKUP(F37,'2.ポータル'!$A:$G,7,FALSE)</f>
        <v>#NAME?</v>
      </c>
      <c r="N37" s="184"/>
      <c r="O37" s="185"/>
      <c r="P37" s="185"/>
      <c r="Q37" s="193"/>
    </row>
    <row r="38" spans="1:17" ht="17.5">
      <c r="A38" s="198">
        <f t="shared" si="4"/>
        <v>6</v>
      </c>
      <c r="B38" s="192" t="s">
        <v>450</v>
      </c>
      <c r="C38" s="188" t="s">
        <v>100</v>
      </c>
      <c r="D38" s="199" t="str">
        <f t="shared" si="6"/>
        <v>Agent02</v>
      </c>
      <c r="E38" s="200" t="s">
        <v>158</v>
      </c>
      <c r="F38" s="200" t="s">
        <v>152</v>
      </c>
      <c r="G38" s="201" t="str">
        <f>VLOOKUP(E38,'2.ポータル'!$A:$F,6,FALSE)</f>
        <v>P18:山陰歴史館</v>
      </c>
      <c r="H38" s="201" t="str">
        <f>VLOOKUP(F38,'2.ポータル'!$A:$F,6,FALSE)</f>
        <v>P15:米子市役所</v>
      </c>
      <c r="I38" s="193"/>
      <c r="J38" s="202" t="e">
        <f t="shared" ca="1" si="5"/>
        <v>#NAME?</v>
      </c>
      <c r="K38" s="203" t="e">
        <f ca="1">VLOOKUP(F38,'2.ポータル'!$A:$G,7,FALSE)</f>
        <v>#NAME?</v>
      </c>
      <c r="M38" s="184"/>
      <c r="N38" s="184"/>
      <c r="O38" s="185"/>
      <c r="P38" s="185"/>
      <c r="Q38" s="193"/>
    </row>
    <row r="39" spans="1:17" ht="17.5">
      <c r="A39" s="198">
        <f t="shared" si="4"/>
        <v>7</v>
      </c>
      <c r="B39" s="192" t="s">
        <v>450</v>
      </c>
      <c r="C39" s="188" t="s">
        <v>100</v>
      </c>
      <c r="D39" s="199" t="str">
        <f t="shared" si="6"/>
        <v>Agent02</v>
      </c>
      <c r="E39" s="200" t="s">
        <v>168</v>
      </c>
      <c r="F39" s="200" t="s">
        <v>433</v>
      </c>
      <c r="G39" s="201" t="str">
        <f>VLOOKUP(E39,'2.ポータル'!$A:$F,6,FALSE)</f>
        <v>P23:出現地蔵</v>
      </c>
      <c r="H39" s="201" t="str">
        <f>VLOOKUP(F39,'2.ポータル'!$A:$F,6,FALSE)</f>
        <v>ポータルをキャプチャします</v>
      </c>
      <c r="I39" s="193"/>
      <c r="J39" s="202" t="str">
        <f t="shared" si="5"/>
        <v xml:space="preserve"> </v>
      </c>
      <c r="K39" s="203">
        <f>VLOOKUP(F39,'2.ポータル'!$A:$G,7,FALSE)</f>
        <v>0</v>
      </c>
      <c r="M39" s="184"/>
      <c r="N39" s="184"/>
      <c r="O39" s="185"/>
      <c r="P39" s="185"/>
      <c r="Q39" s="193"/>
    </row>
    <row r="40" spans="1:17" ht="17.5">
      <c r="A40" s="198">
        <f t="shared" si="4"/>
        <v>8</v>
      </c>
      <c r="B40" s="192" t="s">
        <v>450</v>
      </c>
      <c r="C40" s="188" t="s">
        <v>100</v>
      </c>
      <c r="D40" s="199" t="str">
        <f t="shared" si="6"/>
        <v>Agent02</v>
      </c>
      <c r="E40" s="200" t="s">
        <v>170</v>
      </c>
      <c r="F40" s="200" t="s">
        <v>168</v>
      </c>
      <c r="G40" s="201" t="str">
        <f>VLOOKUP(E40,'2.ポータル'!$A:$F,6,FALSE)</f>
        <v>P24:咲い地蔵</v>
      </c>
      <c r="H40" s="201" t="str">
        <f>VLOOKUP(F40,'2.ポータル'!$A:$F,6,FALSE)</f>
        <v>P23:出現地蔵</v>
      </c>
      <c r="I40" s="193"/>
      <c r="J40" s="202" t="e">
        <f t="shared" ca="1" si="5"/>
        <v>#NAME?</v>
      </c>
      <c r="K40" s="203" t="e">
        <f ca="1">VLOOKUP(F40,'2.ポータル'!$A:$G,7,FALSE)</f>
        <v>#NAME?</v>
      </c>
      <c r="M40" s="184"/>
      <c r="N40" s="185"/>
      <c r="O40" s="185"/>
      <c r="P40" s="185"/>
      <c r="Q40" s="193"/>
    </row>
    <row r="41" spans="1:17" ht="17.5">
      <c r="A41" s="198">
        <f t="shared" si="4"/>
        <v>9</v>
      </c>
      <c r="B41" s="192" t="s">
        <v>450</v>
      </c>
      <c r="C41" s="188" t="s">
        <v>100</v>
      </c>
      <c r="D41" s="199" t="str">
        <f t="shared" si="6"/>
        <v>Agent02</v>
      </c>
      <c r="E41" s="200" t="s">
        <v>166</v>
      </c>
      <c r="F41" s="200" t="s">
        <v>168</v>
      </c>
      <c r="G41" s="201" t="str">
        <f>VLOOKUP(E41,'2.ポータル'!$A:$F,6,FALSE)</f>
        <v>P22:旭橋のステンドグラスみたいな欄干</v>
      </c>
      <c r="H41" s="201" t="str">
        <f>VLOOKUP(F41,'2.ポータル'!$A:$F,6,FALSE)</f>
        <v>P23:出現地蔵</v>
      </c>
      <c r="I41" s="193"/>
      <c r="J41" s="202" t="e">
        <f t="shared" ca="1" si="5"/>
        <v>#NAME?</v>
      </c>
      <c r="K41" s="203" t="e">
        <f ca="1">VLOOKUP(F41,'2.ポータル'!$A:$G,7,FALSE)</f>
        <v>#NAME?</v>
      </c>
      <c r="M41" s="184"/>
      <c r="N41" s="185"/>
      <c r="O41" s="185"/>
      <c r="P41" s="185"/>
      <c r="Q41" s="193"/>
    </row>
    <row r="42" spans="1:17" ht="17.5">
      <c r="A42" s="198">
        <f t="shared" si="4"/>
        <v>10</v>
      </c>
      <c r="B42" s="192" t="s">
        <v>450</v>
      </c>
      <c r="C42" s="188" t="s">
        <v>100</v>
      </c>
      <c r="D42" s="199" t="str">
        <f t="shared" si="6"/>
        <v>Agent02</v>
      </c>
      <c r="E42" s="200" t="s">
        <v>166</v>
      </c>
      <c r="F42" s="200" t="s">
        <v>170</v>
      </c>
      <c r="G42" s="201" t="str">
        <f>VLOOKUP(E42,'2.ポータル'!$A:$F,6,FALSE)</f>
        <v>P22:旭橋のステンドグラスみたいな欄干</v>
      </c>
      <c r="H42" s="201" t="str">
        <f>VLOOKUP(F42,'2.ポータル'!$A:$F,6,FALSE)</f>
        <v>P24:咲い地蔵</v>
      </c>
      <c r="I42" s="193"/>
      <c r="J42" s="202" t="e">
        <f t="shared" ca="1" si="5"/>
        <v>#NAME?</v>
      </c>
      <c r="K42" s="203" t="e">
        <f ca="1">VLOOKUP(F42,'2.ポータル'!$A:$G,7,FALSE)</f>
        <v>#NAME?</v>
      </c>
      <c r="M42" s="184"/>
      <c r="N42" s="185"/>
      <c r="O42" s="185"/>
      <c r="P42" s="185"/>
      <c r="Q42" s="193"/>
    </row>
    <row r="43" spans="1:17" ht="17.5">
      <c r="A43" s="198">
        <f t="shared" si="4"/>
        <v>11</v>
      </c>
      <c r="B43" s="192" t="s">
        <v>450</v>
      </c>
      <c r="C43" s="188" t="s">
        <v>100</v>
      </c>
      <c r="D43" s="199" t="str">
        <f t="shared" si="6"/>
        <v>Agent02</v>
      </c>
      <c r="E43" s="200" t="s">
        <v>162</v>
      </c>
      <c r="F43" s="200" t="s">
        <v>158</v>
      </c>
      <c r="G43" s="201" t="str">
        <f>VLOOKUP(E43,'2.ポータル'!$A:$F,6,FALSE)</f>
        <v>P20:加茂かめ</v>
      </c>
      <c r="H43" s="201" t="str">
        <f>VLOOKUP(F43,'2.ポータル'!$A:$F,6,FALSE)</f>
        <v>P18:山陰歴史館</v>
      </c>
      <c r="I43" s="193"/>
      <c r="J43" s="202" t="e">
        <f t="shared" ca="1" si="5"/>
        <v>#NAME?</v>
      </c>
      <c r="K43" s="203" t="e">
        <f ca="1">VLOOKUP(F43,'2.ポータル'!$A:$G,7,FALSE)</f>
        <v>#NAME?</v>
      </c>
      <c r="M43" s="184"/>
      <c r="N43" s="185"/>
      <c r="O43" s="185"/>
      <c r="P43" s="185"/>
      <c r="Q43" s="193"/>
    </row>
    <row r="44" spans="1:17" ht="17.5">
      <c r="A44" s="198">
        <f t="shared" si="4"/>
        <v>12</v>
      </c>
      <c r="B44" s="192" t="s">
        <v>450</v>
      </c>
      <c r="C44" s="188" t="s">
        <v>100</v>
      </c>
      <c r="D44" s="199" t="str">
        <f t="shared" si="6"/>
        <v>Agent02</v>
      </c>
      <c r="E44" s="200" t="s">
        <v>164</v>
      </c>
      <c r="F44" s="200" t="s">
        <v>162</v>
      </c>
      <c r="G44" s="201" t="str">
        <f>VLOOKUP(E44,'2.ポータル'!$A:$F,6,FALSE)</f>
        <v>P21:瑜伽堂地蔵</v>
      </c>
      <c r="H44" s="201" t="str">
        <f>VLOOKUP(F44,'2.ポータル'!$A:$F,6,FALSE)</f>
        <v>P20:加茂かめ</v>
      </c>
      <c r="I44" s="193"/>
      <c r="J44" s="202" t="e">
        <f t="shared" ca="1" si="5"/>
        <v>#NAME?</v>
      </c>
      <c r="K44" s="203" t="e">
        <f ca="1">VLOOKUP(F44,'2.ポータル'!$A:$G,7,FALSE)</f>
        <v>#NAME?</v>
      </c>
      <c r="M44" s="184"/>
      <c r="N44" s="185"/>
      <c r="O44" s="185"/>
      <c r="P44" s="185"/>
      <c r="Q44" s="193"/>
    </row>
    <row r="45" spans="1:17" ht="17.5">
      <c r="A45" s="198">
        <f t="shared" si="4"/>
        <v>13</v>
      </c>
      <c r="B45" s="192" t="s">
        <v>450</v>
      </c>
      <c r="C45" s="188" t="s">
        <v>100</v>
      </c>
      <c r="D45" s="199" t="str">
        <f t="shared" si="6"/>
        <v>Agent02</v>
      </c>
      <c r="E45" s="200" t="s">
        <v>160</v>
      </c>
      <c r="F45" s="200" t="s">
        <v>164</v>
      </c>
      <c r="G45" s="201" t="str">
        <f>VLOOKUP(E45,'2.ポータル'!$A:$F,6,FALSE)</f>
        <v>P19:天理教米城分教会</v>
      </c>
      <c r="H45" s="201" t="str">
        <f>VLOOKUP(F45,'2.ポータル'!$A:$F,6,FALSE)</f>
        <v>P21:瑜伽堂地蔵</v>
      </c>
      <c r="I45" s="193"/>
      <c r="J45" s="202" t="e">
        <f t="shared" ca="1" si="5"/>
        <v>#NAME?</v>
      </c>
      <c r="K45" s="203" t="e">
        <f ca="1">VLOOKUP(F45,'2.ポータル'!$A:$G,7,FALSE)</f>
        <v>#NAME?</v>
      </c>
      <c r="M45" s="184"/>
      <c r="N45" s="185"/>
      <c r="O45" s="185"/>
      <c r="P45" s="185"/>
      <c r="Q45" s="193"/>
    </row>
    <row r="46" spans="1:17" ht="17.5">
      <c r="A46" s="198">
        <f t="shared" si="4"/>
        <v>14</v>
      </c>
      <c r="B46" s="192" t="s">
        <v>450</v>
      </c>
      <c r="C46" s="188" t="s">
        <v>100</v>
      </c>
      <c r="D46" s="199" t="str">
        <f t="shared" si="6"/>
        <v>Agent02</v>
      </c>
      <c r="E46" s="200" t="s">
        <v>156</v>
      </c>
      <c r="F46" s="200" t="s">
        <v>160</v>
      </c>
      <c r="G46" s="201" t="str">
        <f>VLOOKUP(E46,'2.ポータル'!$A:$F,6,FALSE)</f>
        <v>P17:法勝寺町橋地蔵</v>
      </c>
      <c r="H46" s="201" t="str">
        <f>VLOOKUP(F46,'2.ポータル'!$A:$F,6,FALSE)</f>
        <v>P19:天理教米城分教会</v>
      </c>
      <c r="I46" s="193"/>
      <c r="J46" s="202" t="e">
        <f t="shared" ca="1" si="5"/>
        <v>#NAME?</v>
      </c>
      <c r="K46" s="203" t="e">
        <f ca="1">VLOOKUP(F46,'2.ポータル'!$A:$G,7,FALSE)</f>
        <v>#NAME?</v>
      </c>
      <c r="M46" s="184"/>
      <c r="N46" s="185"/>
      <c r="O46" s="185"/>
      <c r="P46" s="185"/>
      <c r="Q46" s="193"/>
    </row>
    <row r="47" spans="1:17" ht="17.5">
      <c r="A47" s="198">
        <f t="shared" si="4"/>
        <v>15</v>
      </c>
      <c r="B47" s="192" t="s">
        <v>450</v>
      </c>
      <c r="C47" s="188" t="s">
        <v>100</v>
      </c>
      <c r="D47" s="199" t="str">
        <f t="shared" si="6"/>
        <v>Agent02</v>
      </c>
      <c r="E47" s="200" t="s">
        <v>156</v>
      </c>
      <c r="F47" s="200" t="s">
        <v>164</v>
      </c>
      <c r="G47" s="201" t="str">
        <f>VLOOKUP(E47,'2.ポータル'!$A:$F,6,FALSE)</f>
        <v>P17:法勝寺町橋地蔵</v>
      </c>
      <c r="H47" s="201" t="str">
        <f>VLOOKUP(F47,'2.ポータル'!$A:$F,6,FALSE)</f>
        <v>P21:瑜伽堂地蔵</v>
      </c>
      <c r="I47" s="193"/>
      <c r="J47" s="202" t="e">
        <f t="shared" ca="1" si="5"/>
        <v>#NAME?</v>
      </c>
      <c r="K47" s="203" t="e">
        <f ca="1">VLOOKUP(F47,'2.ポータル'!$A:$G,7,FALSE)</f>
        <v>#NAME?</v>
      </c>
      <c r="M47" s="184"/>
      <c r="N47" s="185"/>
      <c r="O47" s="185"/>
      <c r="P47" s="185"/>
      <c r="Q47" s="193"/>
    </row>
    <row r="48" spans="1:17" ht="17.5">
      <c r="A48" s="198">
        <f t="shared" si="4"/>
        <v>16</v>
      </c>
      <c r="B48" s="192" t="s">
        <v>450</v>
      </c>
      <c r="C48" s="188" t="s">
        <v>100</v>
      </c>
      <c r="D48" s="199" t="str">
        <f t="shared" si="6"/>
        <v>Agent02</v>
      </c>
      <c r="E48" s="200" t="s">
        <v>156</v>
      </c>
      <c r="F48" s="200" t="s">
        <v>162</v>
      </c>
      <c r="G48" s="201" t="str">
        <f>VLOOKUP(E48,'2.ポータル'!$A:$F,6,FALSE)</f>
        <v>P17:法勝寺町橋地蔵</v>
      </c>
      <c r="H48" s="201" t="str">
        <f>VLOOKUP(F48,'2.ポータル'!$A:$F,6,FALSE)</f>
        <v>P20:加茂かめ</v>
      </c>
      <c r="I48" s="193"/>
      <c r="J48" s="202" t="e">
        <f t="shared" ca="1" si="5"/>
        <v>#NAME?</v>
      </c>
      <c r="K48" s="203" t="e">
        <f ca="1">VLOOKUP(F48,'2.ポータル'!$A:$G,7,FALSE)</f>
        <v>#NAME?</v>
      </c>
      <c r="M48" s="184"/>
      <c r="N48" s="185"/>
      <c r="O48" s="185"/>
      <c r="P48" s="185"/>
      <c r="Q48" s="193"/>
    </row>
    <row r="49" spans="1:17" ht="17.5">
      <c r="A49" s="198">
        <f t="shared" si="4"/>
        <v>17</v>
      </c>
      <c r="B49" s="192" t="s">
        <v>450</v>
      </c>
      <c r="C49" s="188" t="s">
        <v>100</v>
      </c>
      <c r="D49" s="199" t="str">
        <f t="shared" si="6"/>
        <v>Agent02</v>
      </c>
      <c r="E49" s="200" t="s">
        <v>156</v>
      </c>
      <c r="F49" s="200" t="s">
        <v>158</v>
      </c>
      <c r="G49" s="201" t="str">
        <f>VLOOKUP(E49,'2.ポータル'!$A:$F,6,FALSE)</f>
        <v>P17:法勝寺町橋地蔵</v>
      </c>
      <c r="H49" s="201" t="str">
        <f>VLOOKUP(F49,'2.ポータル'!$A:$F,6,FALSE)</f>
        <v>P18:山陰歴史館</v>
      </c>
      <c r="I49" s="193"/>
      <c r="J49" s="202" t="e">
        <f t="shared" ca="1" si="5"/>
        <v>#NAME?</v>
      </c>
      <c r="K49" s="203" t="e">
        <f ca="1">VLOOKUP(F49,'2.ポータル'!$A:$G,7,FALSE)</f>
        <v>#NAME?</v>
      </c>
      <c r="M49" s="184"/>
      <c r="N49" s="185"/>
      <c r="O49" s="185"/>
      <c r="P49" s="185"/>
      <c r="Q49" s="193"/>
    </row>
    <row r="50" spans="1:17" ht="17.5">
      <c r="A50" s="198">
        <f t="shared" si="4"/>
        <v>18</v>
      </c>
      <c r="B50" s="192" t="s">
        <v>450</v>
      </c>
      <c r="C50" s="188" t="s">
        <v>100</v>
      </c>
      <c r="D50" s="199" t="str">
        <f t="shared" si="6"/>
        <v>Agent02</v>
      </c>
      <c r="E50" s="200" t="s">
        <v>156</v>
      </c>
      <c r="F50" s="200" t="s">
        <v>152</v>
      </c>
      <c r="G50" s="201" t="str">
        <f>VLOOKUP(E50,'2.ポータル'!$A:$F,6,FALSE)</f>
        <v>P17:法勝寺町橋地蔵</v>
      </c>
      <c r="H50" s="201" t="str">
        <f>VLOOKUP(F50,'2.ポータル'!$A:$F,6,FALSE)</f>
        <v>P15:米子市役所</v>
      </c>
      <c r="I50" s="193"/>
      <c r="J50" s="202" t="e">
        <f t="shared" ca="1" si="5"/>
        <v>#NAME?</v>
      </c>
      <c r="K50" s="203" t="e">
        <f ca="1">VLOOKUP(F50,'2.ポータル'!$A:$G,7,FALSE)</f>
        <v>#NAME?</v>
      </c>
      <c r="M50" s="184"/>
      <c r="N50" s="185"/>
      <c r="O50" s="185"/>
      <c r="P50" s="185"/>
      <c r="Q50" s="193"/>
    </row>
    <row r="51" spans="1:17" ht="17.5">
      <c r="A51" s="198">
        <f t="shared" si="4"/>
        <v>19</v>
      </c>
      <c r="B51" s="192" t="s">
        <v>450</v>
      </c>
      <c r="C51" s="188" t="s">
        <v>100</v>
      </c>
      <c r="D51" s="199" t="str">
        <f t="shared" si="6"/>
        <v>Agent02</v>
      </c>
      <c r="E51" s="200" t="s">
        <v>156</v>
      </c>
      <c r="F51" s="200" t="s">
        <v>142</v>
      </c>
      <c r="G51" s="201" t="str">
        <f>VLOOKUP(E51,'2.ポータル'!$A:$F,6,FALSE)</f>
        <v>P17:法勝寺町橋地蔵</v>
      </c>
      <c r="H51" s="201" t="str">
        <f>VLOOKUP(F51,'2.ポータル'!$A:$F,6,FALSE)</f>
        <v>P10:東京2020記念ゴールドポスト</v>
      </c>
      <c r="I51" s="193"/>
      <c r="J51" s="202" t="e">
        <f t="shared" ca="1" si="5"/>
        <v>#NAME?</v>
      </c>
      <c r="K51" s="203" t="e">
        <f ca="1">VLOOKUP(F51,'2.ポータル'!$A:$G,7,FALSE)</f>
        <v>#NAME?</v>
      </c>
      <c r="M51" s="184"/>
      <c r="N51" s="185"/>
      <c r="O51" s="185"/>
      <c r="P51" s="185"/>
      <c r="Q51" s="193"/>
    </row>
    <row r="52" spans="1:17" ht="17.5">
      <c r="A52" s="198">
        <f t="shared" si="4"/>
        <v>20</v>
      </c>
      <c r="B52" s="192" t="s">
        <v>450</v>
      </c>
      <c r="C52" s="188" t="s">
        <v>100</v>
      </c>
      <c r="D52" s="199" t="str">
        <f t="shared" si="6"/>
        <v>Agent02</v>
      </c>
      <c r="E52" s="200" t="s">
        <v>156</v>
      </c>
      <c r="F52" s="200" t="s">
        <v>138</v>
      </c>
      <c r="G52" s="201" t="str">
        <f>VLOOKUP(E52,'2.ポータル'!$A:$F,6,FALSE)</f>
        <v>P17:法勝寺町橋地蔵</v>
      </c>
      <c r="H52" s="201" t="str">
        <f>VLOOKUP(F52,'2.ポータル'!$A:$F,6,FALSE)</f>
        <v>P08:米子合同庁舎</v>
      </c>
      <c r="I52" s="193"/>
      <c r="J52" s="202" t="e">
        <f t="shared" ca="1" si="5"/>
        <v>#NAME?</v>
      </c>
      <c r="K52" s="203" t="e">
        <f ca="1">VLOOKUP(F52,'2.ポータル'!$A:$G,7,FALSE)</f>
        <v>#NAME?</v>
      </c>
      <c r="M52" s="184"/>
      <c r="N52" s="185"/>
      <c r="O52" s="185"/>
      <c r="P52" s="185"/>
      <c r="Q52" s="193"/>
    </row>
    <row r="53" spans="1:17" ht="17.5">
      <c r="A53" s="198">
        <f t="shared" si="4"/>
        <v>21</v>
      </c>
      <c r="B53" s="192" t="s">
        <v>450</v>
      </c>
      <c r="C53" s="188" t="s">
        <v>100</v>
      </c>
      <c r="D53" s="199" t="str">
        <f t="shared" si="6"/>
        <v>Agent02</v>
      </c>
      <c r="E53" s="200" t="s">
        <v>156</v>
      </c>
      <c r="F53" s="200" t="s">
        <v>148</v>
      </c>
      <c r="G53" s="201" t="str">
        <f>VLOOKUP(E53,'2.ポータル'!$A:$F,6,FALSE)</f>
        <v>P17:法勝寺町橋地蔵</v>
      </c>
      <c r="H53" s="201" t="str">
        <f>VLOOKUP(F53,'2.ポータル'!$A:$F,6,FALSE)</f>
        <v>P13:やっちゃん</v>
      </c>
      <c r="I53" s="193"/>
      <c r="J53" s="202" t="e">
        <f t="shared" ca="1" si="5"/>
        <v>#NAME?</v>
      </c>
      <c r="K53" s="203" t="e">
        <f ca="1">VLOOKUP(F53,'2.ポータル'!$A:$G,7,FALSE)</f>
        <v>#NAME?</v>
      </c>
      <c r="M53" s="184"/>
      <c r="N53" s="185"/>
      <c r="O53" s="185"/>
      <c r="P53" s="185"/>
      <c r="Q53" s="193"/>
    </row>
    <row r="54" spans="1:17" ht="17.5">
      <c r="A54" s="198">
        <f t="shared" si="4"/>
        <v>22</v>
      </c>
      <c r="B54" s="192" t="s">
        <v>450</v>
      </c>
      <c r="C54" s="188" t="s">
        <v>100</v>
      </c>
      <c r="D54" s="199" t="str">
        <f t="shared" si="6"/>
        <v>Agent02</v>
      </c>
      <c r="E54" s="200" t="s">
        <v>154</v>
      </c>
      <c r="F54" s="200" t="s">
        <v>433</v>
      </c>
      <c r="G54" s="201" t="str">
        <f>VLOOKUP(E54,'2.ポータル'!$A:$F,6,FALSE)</f>
        <v>P16:延命院地蔵</v>
      </c>
      <c r="H54" s="201" t="str">
        <f>VLOOKUP(F54,'2.ポータル'!$A:$F,6,FALSE)</f>
        <v>ポータルをキャプチャします</v>
      </c>
      <c r="I54" s="193"/>
      <c r="J54" s="202" t="str">
        <f t="shared" si="5"/>
        <v xml:space="preserve"> </v>
      </c>
      <c r="K54" s="203">
        <f>VLOOKUP(F54,'2.ポータル'!$A:$G,7,FALSE)</f>
        <v>0</v>
      </c>
      <c r="M54" s="184"/>
      <c r="N54" s="185"/>
      <c r="O54" s="185"/>
      <c r="P54" s="185"/>
      <c r="Q54" s="193"/>
    </row>
    <row r="55" spans="1:17" ht="17.5">
      <c r="A55" s="198">
        <f t="shared" si="4"/>
        <v>23</v>
      </c>
      <c r="B55" s="192" t="s">
        <v>450</v>
      </c>
      <c r="C55" s="188" t="s">
        <v>100</v>
      </c>
      <c r="D55" s="199" t="str">
        <f t="shared" si="6"/>
        <v>Agent02</v>
      </c>
      <c r="E55" s="200" t="s">
        <v>134</v>
      </c>
      <c r="F55" s="200" t="s">
        <v>154</v>
      </c>
      <c r="G55" s="201" t="str">
        <f>VLOOKUP(E55,'2.ポータル'!$A:$F,6,FALSE)</f>
        <v>P06:旧法勝寺電車</v>
      </c>
      <c r="H55" s="201" t="str">
        <f>VLOOKUP(F55,'2.ポータル'!$A:$F,6,FALSE)</f>
        <v>P16:延命院地蔵</v>
      </c>
      <c r="I55" s="193"/>
      <c r="J55" s="202" t="e">
        <f t="shared" ca="1" si="5"/>
        <v>#NAME?</v>
      </c>
      <c r="K55" s="203" t="e">
        <f ca="1">VLOOKUP(F55,'2.ポータル'!$A:$G,7,FALSE)</f>
        <v>#NAME?</v>
      </c>
      <c r="M55" s="184"/>
      <c r="N55" s="185"/>
      <c r="O55" s="185"/>
      <c r="P55" s="185"/>
      <c r="Q55" s="193"/>
    </row>
    <row r="56" spans="1:17" ht="17.5">
      <c r="A56" s="198">
        <f t="shared" si="4"/>
        <v>24</v>
      </c>
      <c r="B56" s="192" t="s">
        <v>450</v>
      </c>
      <c r="C56" s="188" t="s">
        <v>100</v>
      </c>
      <c r="D56" s="199" t="str">
        <f t="shared" si="6"/>
        <v>Agent02</v>
      </c>
      <c r="E56" s="200" t="s">
        <v>134</v>
      </c>
      <c r="F56" s="200" t="s">
        <v>130</v>
      </c>
      <c r="G56" s="201" t="str">
        <f>VLOOKUP(E56,'2.ポータル'!$A:$F,6,FALSE)</f>
        <v>P06:旧法勝寺電車</v>
      </c>
      <c r="H56" s="201" t="str">
        <f>VLOOKUP(F56,'2.ポータル'!$A:$F,6,FALSE)</f>
        <v>P04:海鮮居酒屋 とみ家</v>
      </c>
      <c r="I56" s="193"/>
      <c r="J56" s="202" t="e">
        <f t="shared" ca="1" si="5"/>
        <v>#NAME?</v>
      </c>
      <c r="K56" s="203" t="e">
        <f ca="1">VLOOKUP(F56,'2.ポータル'!$A:$G,7,FALSE)</f>
        <v>#NAME?</v>
      </c>
      <c r="M56" s="184"/>
      <c r="N56" s="185"/>
      <c r="O56" s="185"/>
      <c r="P56" s="185"/>
      <c r="Q56" s="193"/>
    </row>
    <row r="57" spans="1:17" ht="17.5">
      <c r="A57" s="198">
        <f t="shared" si="4"/>
        <v>25</v>
      </c>
      <c r="B57" s="192" t="s">
        <v>450</v>
      </c>
      <c r="C57" s="188" t="s">
        <v>100</v>
      </c>
      <c r="D57" s="199" t="str">
        <f t="shared" si="6"/>
        <v>Agent02</v>
      </c>
      <c r="E57" s="200" t="s">
        <v>124</v>
      </c>
      <c r="F57" s="200" t="s">
        <v>130</v>
      </c>
      <c r="G57" s="201" t="str">
        <f>VLOOKUP(E57,'2.ポータル'!$A:$F,6,FALSE)</f>
        <v>P01:たいやきとお茶の店あんあん</v>
      </c>
      <c r="H57" s="201" t="str">
        <f>VLOOKUP(F57,'2.ポータル'!$A:$F,6,FALSE)</f>
        <v>P04:海鮮居酒屋 とみ家</v>
      </c>
      <c r="I57" s="193"/>
      <c r="J57" s="202" t="e">
        <f t="shared" ca="1" si="5"/>
        <v>#NAME?</v>
      </c>
      <c r="K57" s="203" t="e">
        <f ca="1">VLOOKUP(F57,'2.ポータル'!$A:$G,7,FALSE)</f>
        <v>#NAME?</v>
      </c>
      <c r="M57" s="184"/>
      <c r="N57" s="185"/>
      <c r="O57" s="185"/>
      <c r="P57" s="185"/>
      <c r="Q57" s="193"/>
    </row>
    <row r="58" spans="1:17" ht="17.5">
      <c r="A58" s="198">
        <f t="shared" si="4"/>
        <v>26</v>
      </c>
      <c r="B58" s="192" t="s">
        <v>450</v>
      </c>
      <c r="C58" s="188" t="s">
        <v>100</v>
      </c>
      <c r="D58" s="199" t="str">
        <f t="shared" si="6"/>
        <v>Agent02</v>
      </c>
      <c r="E58" s="200" t="s">
        <v>124</v>
      </c>
      <c r="F58" s="200" t="s">
        <v>134</v>
      </c>
      <c r="G58" s="201" t="str">
        <f>VLOOKUP(E58,'2.ポータル'!$A:$F,6,FALSE)</f>
        <v>P01:たいやきとお茶の店あんあん</v>
      </c>
      <c r="H58" s="201" t="str">
        <f>VLOOKUP(F58,'2.ポータル'!$A:$F,6,FALSE)</f>
        <v>P06:旧法勝寺電車</v>
      </c>
      <c r="I58" s="193"/>
      <c r="J58" s="202" t="e">
        <f t="shared" ca="1" si="5"/>
        <v>#NAME?</v>
      </c>
      <c r="K58" s="203" t="e">
        <f ca="1">VLOOKUP(F58,'2.ポータル'!$A:$G,7,FALSE)</f>
        <v>#NAME?</v>
      </c>
      <c r="M58" s="184"/>
      <c r="N58" s="185"/>
      <c r="O58" s="185"/>
      <c r="P58" s="185"/>
      <c r="Q58" s="193"/>
    </row>
    <row r="59" spans="1:17" ht="17.5">
      <c r="A59" s="198">
        <f t="shared" si="4"/>
        <v>27</v>
      </c>
      <c r="B59" s="192" t="s">
        <v>450</v>
      </c>
      <c r="C59" s="188" t="s">
        <v>100</v>
      </c>
      <c r="D59" s="199" t="str">
        <f t="shared" si="6"/>
        <v>Agent02</v>
      </c>
      <c r="E59" s="200" t="s">
        <v>124</v>
      </c>
      <c r="F59" s="200" t="s">
        <v>154</v>
      </c>
      <c r="G59" s="201" t="str">
        <f>VLOOKUP(E59,'2.ポータル'!$A:$F,6,FALSE)</f>
        <v>P01:たいやきとお茶の店あんあん</v>
      </c>
      <c r="H59" s="201" t="str">
        <f>VLOOKUP(F59,'2.ポータル'!$A:$F,6,FALSE)</f>
        <v>P16:延命院地蔵</v>
      </c>
      <c r="I59" s="193"/>
      <c r="J59" s="202" t="e">
        <f t="shared" ca="1" si="5"/>
        <v>#NAME?</v>
      </c>
      <c r="K59" s="203" t="e">
        <f ca="1">VLOOKUP(F59,'2.ポータル'!$A:$G,7,FALSE)</f>
        <v>#NAME?</v>
      </c>
      <c r="M59" s="184"/>
      <c r="N59" s="185"/>
      <c r="O59" s="185"/>
      <c r="P59" s="185"/>
      <c r="Q59" s="193"/>
    </row>
    <row r="60" spans="1:17" ht="17.5">
      <c r="A60" s="205"/>
      <c r="B60" s="206" t="s">
        <v>451</v>
      </c>
      <c r="C60" s="207"/>
      <c r="D60" s="208"/>
      <c r="E60" s="209"/>
      <c r="F60" s="209"/>
      <c r="G60" s="210"/>
      <c r="H60" s="210"/>
      <c r="I60" s="209"/>
      <c r="J60" s="211"/>
      <c r="K60" s="210"/>
      <c r="L60" s="193"/>
      <c r="N60" s="193"/>
      <c r="O60" s="193"/>
      <c r="P60" s="193"/>
      <c r="Q60" s="193"/>
    </row>
    <row r="61" spans="1:17" ht="17.5">
      <c r="A61" s="183"/>
      <c r="B61" s="192"/>
      <c r="C61" s="183"/>
      <c r="D61" s="212"/>
      <c r="E61" s="213"/>
      <c r="F61" s="213"/>
      <c r="G61" s="212"/>
      <c r="H61" s="214"/>
      <c r="I61" s="193"/>
      <c r="J61" s="215"/>
      <c r="K61" s="212"/>
      <c r="N61" s="193"/>
      <c r="O61" s="193"/>
      <c r="P61" s="193"/>
      <c r="Q61" s="193"/>
    </row>
    <row r="62" spans="1:17" ht="28.5">
      <c r="A62" s="188"/>
      <c r="B62" s="189" t="s">
        <v>456</v>
      </c>
      <c r="C62" s="188"/>
      <c r="D62" s="190"/>
      <c r="E62" s="185"/>
      <c r="F62" s="185"/>
      <c r="G62" s="191" t="s">
        <v>457</v>
      </c>
      <c r="H62" s="192" t="s">
        <v>458</v>
      </c>
      <c r="I62" s="193"/>
      <c r="J62" s="194"/>
      <c r="K62" s="192"/>
      <c r="L62" s="183"/>
      <c r="N62" s="185"/>
      <c r="O62" s="185"/>
      <c r="P62" s="185"/>
      <c r="Q62" s="185"/>
    </row>
    <row r="63" spans="1:17" ht="17.5">
      <c r="A63" s="177"/>
      <c r="B63" s="178" t="s">
        <v>437</v>
      </c>
      <c r="C63" s="177" t="s">
        <v>91</v>
      </c>
      <c r="D63" s="178" t="s">
        <v>438</v>
      </c>
      <c r="E63" s="179" t="s">
        <v>439</v>
      </c>
      <c r="F63" s="179" t="s">
        <v>440</v>
      </c>
      <c r="G63" s="178" t="s">
        <v>441</v>
      </c>
      <c r="H63" s="180" t="s">
        <v>442</v>
      </c>
      <c r="I63" s="181" t="s">
        <v>443</v>
      </c>
      <c r="J63" s="182"/>
      <c r="K63" s="178" t="s">
        <v>444</v>
      </c>
      <c r="L63" s="183"/>
      <c r="N63" s="184"/>
      <c r="O63" s="185"/>
      <c r="P63" s="185"/>
      <c r="Q63" s="185"/>
    </row>
    <row r="64" spans="1:17" ht="17.5">
      <c r="A64" s="195"/>
      <c r="B64" s="195" t="s">
        <v>449</v>
      </c>
      <c r="C64" s="195"/>
      <c r="D64" s="195"/>
      <c r="E64" s="195"/>
      <c r="F64" s="195"/>
      <c r="G64" s="195"/>
      <c r="H64" s="196"/>
      <c r="I64" s="196"/>
      <c r="J64" s="197"/>
      <c r="K64" s="195"/>
      <c r="N64" s="184"/>
      <c r="O64" s="185"/>
      <c r="P64" s="185"/>
      <c r="Q64" s="193"/>
    </row>
    <row r="65" spans="1:17" ht="17.5">
      <c r="A65" s="198">
        <f t="shared" ref="A65:A92" si="7">A64+1</f>
        <v>1</v>
      </c>
      <c r="B65" s="192" t="s">
        <v>450</v>
      </c>
      <c r="C65" s="188" t="s">
        <v>100</v>
      </c>
      <c r="D65" s="199" t="str">
        <f>B62</f>
        <v>Agent03</v>
      </c>
      <c r="E65" s="200" t="s">
        <v>196</v>
      </c>
      <c r="F65" s="200" t="s">
        <v>433</v>
      </c>
      <c r="G65" s="201" t="str">
        <f>VLOOKUP(E65,'2.ポータル'!$A:$F,6,FALSE)</f>
        <v>P37:中ノ棚橋地蔵</v>
      </c>
      <c r="H65" s="201" t="str">
        <f>VLOOKUP(F65,'2.ポータル'!$A:$F,6,FALSE)</f>
        <v>ポータルをキャプチャします</v>
      </c>
      <c r="I65" s="193"/>
      <c r="J65" s="202" t="str">
        <f t="shared" ref="J65:J92" si="8">IF(F65="X99"," ", IF(D65=K65,"","★"))</f>
        <v xml:space="preserve"> </v>
      </c>
      <c r="K65" s="203">
        <f>VLOOKUP(F65,'2.ポータル'!$A:$G,7,FALSE)</f>
        <v>0</v>
      </c>
      <c r="N65" s="184"/>
      <c r="O65" s="185"/>
      <c r="P65" s="185"/>
      <c r="Q65" s="193"/>
    </row>
    <row r="66" spans="1:17" ht="17.5">
      <c r="A66" s="198">
        <f t="shared" si="7"/>
        <v>2</v>
      </c>
      <c r="B66" s="192" t="s">
        <v>450</v>
      </c>
      <c r="C66" s="188" t="s">
        <v>100</v>
      </c>
      <c r="D66" s="199" t="str">
        <f t="shared" ref="D66:D91" si="9">D65</f>
        <v>Agent03</v>
      </c>
      <c r="E66" s="200" t="s">
        <v>176</v>
      </c>
      <c r="F66" s="200" t="s">
        <v>433</v>
      </c>
      <c r="G66" s="201" t="str">
        <f>VLOOKUP(E66,'2.ポータル'!$A:$F,6,FALSE)</f>
        <v>P27:感謝之碑</v>
      </c>
      <c r="H66" s="201" t="str">
        <f>VLOOKUP(F66,'2.ポータル'!$A:$F,6,FALSE)</f>
        <v>ポータルをキャプチャします</v>
      </c>
      <c r="I66" s="193"/>
      <c r="J66" s="202" t="str">
        <f t="shared" si="8"/>
        <v xml:space="preserve"> </v>
      </c>
      <c r="K66" s="203">
        <f>VLOOKUP(F66,'2.ポータル'!$A:$G,7,FALSE)</f>
        <v>0</v>
      </c>
      <c r="N66" s="184"/>
      <c r="O66" s="185"/>
      <c r="P66" s="185"/>
      <c r="Q66" s="193"/>
    </row>
    <row r="67" spans="1:17" ht="17.5">
      <c r="A67" s="198">
        <f t="shared" si="7"/>
        <v>3</v>
      </c>
      <c r="B67" s="192" t="s">
        <v>450</v>
      </c>
      <c r="C67" s="188" t="s">
        <v>100</v>
      </c>
      <c r="D67" s="199" t="str">
        <f t="shared" si="9"/>
        <v>Agent03</v>
      </c>
      <c r="E67" s="200" t="s">
        <v>172</v>
      </c>
      <c r="F67" s="200" t="s">
        <v>176</v>
      </c>
      <c r="G67" s="201" t="str">
        <f>VLOOKUP(E67,'2.ポータル'!$A:$F,6,FALSE)</f>
        <v>P25:カッパのコンちゃん</v>
      </c>
      <c r="H67" s="201" t="str">
        <f>VLOOKUP(F67,'2.ポータル'!$A:$F,6,FALSE)</f>
        <v>P27:感謝之碑</v>
      </c>
      <c r="I67" s="193"/>
      <c r="J67" s="202" t="e">
        <f t="shared" ca="1" si="8"/>
        <v>#NAME?</v>
      </c>
      <c r="K67" s="203" t="e">
        <f ca="1">VLOOKUP(F67,'2.ポータル'!$A:$G,7,FALSE)</f>
        <v>#NAME?</v>
      </c>
      <c r="N67" s="204"/>
      <c r="O67" s="185"/>
      <c r="P67" s="185"/>
      <c r="Q67" s="193"/>
    </row>
    <row r="68" spans="1:17" ht="17.5">
      <c r="A68" s="198">
        <f t="shared" si="7"/>
        <v>4</v>
      </c>
      <c r="B68" s="192" t="s">
        <v>450</v>
      </c>
      <c r="C68" s="188" t="s">
        <v>100</v>
      </c>
      <c r="D68" s="199" t="str">
        <f t="shared" si="9"/>
        <v>Agent03</v>
      </c>
      <c r="E68" s="200" t="s">
        <v>182</v>
      </c>
      <c r="F68" s="200" t="s">
        <v>433</v>
      </c>
      <c r="G68" s="201" t="str">
        <f>VLOOKUP(E68,'2.ポータル'!$A:$F,6,FALSE)</f>
        <v>P30:今井書店創業の地</v>
      </c>
      <c r="H68" s="201" t="str">
        <f>VLOOKUP(F68,'2.ポータル'!$A:$F,6,FALSE)</f>
        <v>ポータルをキャプチャします</v>
      </c>
      <c r="I68" s="193"/>
      <c r="J68" s="202" t="str">
        <f t="shared" si="8"/>
        <v xml:space="preserve"> </v>
      </c>
      <c r="K68" s="203">
        <f>VLOOKUP(F68,'2.ポータル'!$A:$G,7,FALSE)</f>
        <v>0</v>
      </c>
      <c r="N68" s="184"/>
      <c r="O68" s="185"/>
      <c r="P68" s="185"/>
      <c r="Q68" s="193"/>
    </row>
    <row r="69" spans="1:17" ht="17.5">
      <c r="A69" s="198">
        <f t="shared" si="7"/>
        <v>5</v>
      </c>
      <c r="B69" s="192" t="s">
        <v>450</v>
      </c>
      <c r="C69" s="188" t="s">
        <v>100</v>
      </c>
      <c r="D69" s="199" t="str">
        <f t="shared" si="9"/>
        <v>Agent03</v>
      </c>
      <c r="E69" s="200" t="s">
        <v>202</v>
      </c>
      <c r="F69" s="200" t="s">
        <v>176</v>
      </c>
      <c r="G69" s="201" t="str">
        <f>VLOOKUP(E69,'2.ポータル'!$A:$F,6,FALSE)</f>
        <v>P40:涼善寺 本堂</v>
      </c>
      <c r="H69" s="201" t="str">
        <f>VLOOKUP(F69,'2.ポータル'!$A:$F,6,FALSE)</f>
        <v>P27:感謝之碑</v>
      </c>
      <c r="I69" s="193"/>
      <c r="J69" s="202" t="e">
        <f t="shared" ca="1" si="8"/>
        <v>#NAME?</v>
      </c>
      <c r="K69" s="203" t="e">
        <f ca="1">VLOOKUP(F69,'2.ポータル'!$A:$G,7,FALSE)</f>
        <v>#NAME?</v>
      </c>
      <c r="N69" s="184"/>
      <c r="O69" s="185"/>
      <c r="P69" s="185"/>
      <c r="Q69" s="193"/>
    </row>
    <row r="70" spans="1:17" ht="17.5">
      <c r="A70" s="198">
        <f t="shared" si="7"/>
        <v>6</v>
      </c>
      <c r="B70" s="192" t="s">
        <v>450</v>
      </c>
      <c r="C70" s="188" t="s">
        <v>100</v>
      </c>
      <c r="D70" s="199" t="str">
        <f t="shared" si="9"/>
        <v>Agent03</v>
      </c>
      <c r="E70" s="200" t="s">
        <v>202</v>
      </c>
      <c r="F70" s="200" t="s">
        <v>172</v>
      </c>
      <c r="G70" s="201" t="str">
        <f>VLOOKUP(E70,'2.ポータル'!$A:$F,6,FALSE)</f>
        <v>P40:涼善寺 本堂</v>
      </c>
      <c r="H70" s="201" t="str">
        <f>VLOOKUP(F70,'2.ポータル'!$A:$F,6,FALSE)</f>
        <v>P25:カッパのコンちゃん</v>
      </c>
      <c r="I70" s="193"/>
      <c r="J70" s="202" t="e">
        <f t="shared" ca="1" si="8"/>
        <v>#NAME?</v>
      </c>
      <c r="K70" s="203" t="e">
        <f ca="1">VLOOKUP(F70,'2.ポータル'!$A:$G,7,FALSE)</f>
        <v>#NAME?</v>
      </c>
      <c r="M70" s="184"/>
      <c r="N70" s="184"/>
      <c r="O70" s="185"/>
      <c r="P70" s="185"/>
      <c r="Q70" s="193"/>
    </row>
    <row r="71" spans="1:17" ht="17.5">
      <c r="A71" s="198">
        <f t="shared" si="7"/>
        <v>7</v>
      </c>
      <c r="B71" s="192" t="s">
        <v>450</v>
      </c>
      <c r="C71" s="188" t="s">
        <v>100</v>
      </c>
      <c r="D71" s="199" t="str">
        <f t="shared" si="9"/>
        <v>Agent03</v>
      </c>
      <c r="E71" s="200" t="s">
        <v>202</v>
      </c>
      <c r="F71" s="200" t="s">
        <v>182</v>
      </c>
      <c r="G71" s="201" t="str">
        <f>VLOOKUP(E71,'2.ポータル'!$A:$F,6,FALSE)</f>
        <v>P40:涼善寺 本堂</v>
      </c>
      <c r="H71" s="201" t="str">
        <f>VLOOKUP(F71,'2.ポータル'!$A:$F,6,FALSE)</f>
        <v>P30:今井書店創業の地</v>
      </c>
      <c r="I71" s="193"/>
      <c r="J71" s="202" t="e">
        <f t="shared" ca="1" si="8"/>
        <v>#NAME?</v>
      </c>
      <c r="K71" s="203" t="e">
        <f ca="1">VLOOKUP(F71,'2.ポータル'!$A:$G,7,FALSE)</f>
        <v>#NAME?</v>
      </c>
      <c r="M71" s="184"/>
      <c r="N71" s="184"/>
      <c r="O71" s="185"/>
      <c r="P71" s="185"/>
      <c r="Q71" s="193"/>
    </row>
    <row r="72" spans="1:17" ht="17.5">
      <c r="A72" s="198">
        <f t="shared" si="7"/>
        <v>8</v>
      </c>
      <c r="B72" s="192" t="s">
        <v>450</v>
      </c>
      <c r="C72" s="188" t="s">
        <v>100</v>
      </c>
      <c r="D72" s="199" t="str">
        <f t="shared" si="9"/>
        <v>Agent03</v>
      </c>
      <c r="E72" s="200" t="s">
        <v>180</v>
      </c>
      <c r="F72" s="200" t="s">
        <v>172</v>
      </c>
      <c r="G72" s="201" t="str">
        <f>VLOOKUP(E72,'2.ポータル'!$A:$F,6,FALSE)</f>
        <v>P29:川守り地蔵</v>
      </c>
      <c r="H72" s="201" t="str">
        <f>VLOOKUP(F72,'2.ポータル'!$A:$F,6,FALSE)</f>
        <v>P25:カッパのコンちゃん</v>
      </c>
      <c r="I72" s="193"/>
      <c r="J72" s="202" t="e">
        <f t="shared" ca="1" si="8"/>
        <v>#NAME?</v>
      </c>
      <c r="K72" s="203" t="e">
        <f ca="1">VLOOKUP(F72,'2.ポータル'!$A:$G,7,FALSE)</f>
        <v>#NAME?</v>
      </c>
      <c r="M72" s="184"/>
      <c r="N72" s="185"/>
      <c r="O72" s="185"/>
      <c r="P72" s="185"/>
      <c r="Q72" s="193"/>
    </row>
    <row r="73" spans="1:17" ht="17.5">
      <c r="A73" s="198">
        <f t="shared" si="7"/>
        <v>9</v>
      </c>
      <c r="B73" s="192" t="s">
        <v>450</v>
      </c>
      <c r="C73" s="188" t="s">
        <v>100</v>
      </c>
      <c r="D73" s="199" t="str">
        <f t="shared" si="9"/>
        <v>Agent03</v>
      </c>
      <c r="E73" s="200" t="s">
        <v>200</v>
      </c>
      <c r="F73" s="200" t="s">
        <v>202</v>
      </c>
      <c r="G73" s="201" t="str">
        <f>VLOOKUP(E73,'2.ポータル'!$A:$F,6,FALSE)</f>
        <v>P39:朝日公園</v>
      </c>
      <c r="H73" s="201" t="str">
        <f>VLOOKUP(F73,'2.ポータル'!$A:$F,6,FALSE)</f>
        <v>P40:涼善寺 本堂</v>
      </c>
      <c r="I73" s="193"/>
      <c r="J73" s="202" t="e">
        <f t="shared" ca="1" si="8"/>
        <v>#NAME?</v>
      </c>
      <c r="K73" s="203" t="e">
        <f ca="1">VLOOKUP(F73,'2.ポータル'!$A:$G,7,FALSE)</f>
        <v>#NAME?</v>
      </c>
      <c r="M73" s="184"/>
      <c r="N73" s="185"/>
      <c r="O73" s="185"/>
      <c r="P73" s="185"/>
      <c r="Q73" s="193"/>
    </row>
    <row r="74" spans="1:17" ht="17.5">
      <c r="A74" s="198">
        <f t="shared" si="7"/>
        <v>10</v>
      </c>
      <c r="B74" s="192" t="s">
        <v>450</v>
      </c>
      <c r="C74" s="188" t="s">
        <v>100</v>
      </c>
      <c r="D74" s="199" t="str">
        <f t="shared" si="9"/>
        <v>Agent03</v>
      </c>
      <c r="E74" s="200" t="s">
        <v>200</v>
      </c>
      <c r="F74" s="200" t="s">
        <v>182</v>
      </c>
      <c r="G74" s="201" t="str">
        <f>VLOOKUP(E74,'2.ポータル'!$A:$F,6,FALSE)</f>
        <v>P39:朝日公園</v>
      </c>
      <c r="H74" s="201" t="str">
        <f>VLOOKUP(F74,'2.ポータル'!$A:$F,6,FALSE)</f>
        <v>P30:今井書店創業の地</v>
      </c>
      <c r="I74" s="193"/>
      <c r="J74" s="202" t="e">
        <f t="shared" ca="1" si="8"/>
        <v>#NAME?</v>
      </c>
      <c r="K74" s="203" t="e">
        <f ca="1">VLOOKUP(F74,'2.ポータル'!$A:$G,7,FALSE)</f>
        <v>#NAME?</v>
      </c>
      <c r="M74" s="184"/>
      <c r="N74" s="185"/>
      <c r="O74" s="185"/>
      <c r="P74" s="185"/>
      <c r="Q74" s="193"/>
    </row>
    <row r="75" spans="1:17" ht="17.5">
      <c r="A75" s="198">
        <f t="shared" si="7"/>
        <v>11</v>
      </c>
      <c r="B75" s="192" t="s">
        <v>450</v>
      </c>
      <c r="C75" s="188" t="s">
        <v>100</v>
      </c>
      <c r="D75" s="199" t="str">
        <f t="shared" si="9"/>
        <v>Agent03</v>
      </c>
      <c r="E75" s="200" t="s">
        <v>200</v>
      </c>
      <c r="F75" s="200" t="s">
        <v>172</v>
      </c>
      <c r="G75" s="201" t="str">
        <f>VLOOKUP(E75,'2.ポータル'!$A:$F,6,FALSE)</f>
        <v>P39:朝日公園</v>
      </c>
      <c r="H75" s="201" t="str">
        <f>VLOOKUP(F75,'2.ポータル'!$A:$F,6,FALSE)</f>
        <v>P25:カッパのコンちゃん</v>
      </c>
      <c r="I75" s="193"/>
      <c r="J75" s="202" t="e">
        <f t="shared" ca="1" si="8"/>
        <v>#NAME?</v>
      </c>
      <c r="K75" s="203" t="e">
        <f ca="1">VLOOKUP(F75,'2.ポータル'!$A:$G,7,FALSE)</f>
        <v>#NAME?</v>
      </c>
      <c r="M75" s="184"/>
      <c r="N75" s="185"/>
      <c r="O75" s="185"/>
      <c r="P75" s="185"/>
      <c r="Q75" s="193"/>
    </row>
    <row r="76" spans="1:17" ht="17.5">
      <c r="A76" s="198">
        <f t="shared" si="7"/>
        <v>12</v>
      </c>
      <c r="B76" s="192" t="s">
        <v>450</v>
      </c>
      <c r="C76" s="188" t="s">
        <v>100</v>
      </c>
      <c r="D76" s="199" t="str">
        <f t="shared" si="9"/>
        <v>Agent03</v>
      </c>
      <c r="E76" s="200" t="s">
        <v>200</v>
      </c>
      <c r="F76" s="200" t="s">
        <v>180</v>
      </c>
      <c r="G76" s="201" t="str">
        <f>VLOOKUP(E76,'2.ポータル'!$A:$F,6,FALSE)</f>
        <v>P39:朝日公園</v>
      </c>
      <c r="H76" s="201" t="str">
        <f>VLOOKUP(F76,'2.ポータル'!$A:$F,6,FALSE)</f>
        <v>P29:川守り地蔵</v>
      </c>
      <c r="I76" s="193"/>
      <c r="J76" s="202" t="e">
        <f t="shared" ca="1" si="8"/>
        <v>#NAME?</v>
      </c>
      <c r="K76" s="203" t="e">
        <f ca="1">VLOOKUP(F76,'2.ポータル'!$A:$G,7,FALSE)</f>
        <v>#NAME?</v>
      </c>
      <c r="M76" s="184"/>
      <c r="N76" s="185"/>
      <c r="O76" s="185"/>
      <c r="P76" s="185"/>
      <c r="Q76" s="193"/>
    </row>
    <row r="77" spans="1:17" ht="17.5">
      <c r="A77" s="198">
        <f t="shared" si="7"/>
        <v>13</v>
      </c>
      <c r="B77" s="192" t="s">
        <v>450</v>
      </c>
      <c r="C77" s="188" t="s">
        <v>100</v>
      </c>
      <c r="D77" s="199" t="str">
        <f t="shared" si="9"/>
        <v>Agent03</v>
      </c>
      <c r="E77" s="200" t="s">
        <v>216</v>
      </c>
      <c r="F77" s="200" t="s">
        <v>200</v>
      </c>
      <c r="G77" s="201" t="str">
        <f>VLOOKUP(E77,'2.ポータル'!$A:$F,6,FALSE)</f>
        <v>P47:与太郎地蔵</v>
      </c>
      <c r="H77" s="201" t="str">
        <f>VLOOKUP(F77,'2.ポータル'!$A:$F,6,FALSE)</f>
        <v>P39:朝日公園</v>
      </c>
      <c r="I77" s="193"/>
      <c r="J77" s="202" t="e">
        <f t="shared" ca="1" si="8"/>
        <v>#NAME?</v>
      </c>
      <c r="K77" s="203" t="e">
        <f ca="1">VLOOKUP(F77,'2.ポータル'!$A:$G,7,FALSE)</f>
        <v>#NAME?</v>
      </c>
      <c r="M77" s="184"/>
      <c r="N77" s="185"/>
      <c r="O77" s="185"/>
      <c r="P77" s="185"/>
      <c r="Q77" s="193"/>
    </row>
    <row r="78" spans="1:17" ht="17.5">
      <c r="A78" s="198">
        <f t="shared" si="7"/>
        <v>14</v>
      </c>
      <c r="B78" s="192" t="s">
        <v>450</v>
      </c>
      <c r="C78" s="188" t="s">
        <v>100</v>
      </c>
      <c r="D78" s="199" t="str">
        <f t="shared" si="9"/>
        <v>Agent03</v>
      </c>
      <c r="E78" s="200" t="s">
        <v>216</v>
      </c>
      <c r="F78" s="200" t="s">
        <v>196</v>
      </c>
      <c r="G78" s="201" t="str">
        <f>VLOOKUP(E78,'2.ポータル'!$A:$F,6,FALSE)</f>
        <v>P47:与太郎地蔵</v>
      </c>
      <c r="H78" s="201" t="str">
        <f>VLOOKUP(F78,'2.ポータル'!$A:$F,6,FALSE)</f>
        <v>P37:中ノ棚橋地蔵</v>
      </c>
      <c r="I78" s="193"/>
      <c r="J78" s="202" t="e">
        <f t="shared" ca="1" si="8"/>
        <v>#NAME?</v>
      </c>
      <c r="K78" s="203" t="e">
        <f ca="1">VLOOKUP(F78,'2.ポータル'!$A:$G,7,FALSE)</f>
        <v>#NAME?</v>
      </c>
      <c r="M78" s="184"/>
      <c r="N78" s="185"/>
      <c r="O78" s="185"/>
      <c r="P78" s="185"/>
      <c r="Q78" s="193"/>
    </row>
    <row r="79" spans="1:17" ht="17.5">
      <c r="A79" s="198">
        <f t="shared" si="7"/>
        <v>15</v>
      </c>
      <c r="B79" s="192" t="s">
        <v>450</v>
      </c>
      <c r="C79" s="188" t="s">
        <v>100</v>
      </c>
      <c r="D79" s="199" t="str">
        <f t="shared" si="9"/>
        <v>Agent03</v>
      </c>
      <c r="E79" s="200" t="s">
        <v>216</v>
      </c>
      <c r="F79" s="200" t="s">
        <v>228</v>
      </c>
      <c r="G79" s="201" t="str">
        <f>VLOOKUP(E79,'2.ポータル'!$A:$F,6,FALSE)</f>
        <v>P47:与太郎地蔵</v>
      </c>
      <c r="H79" s="201" t="str">
        <f>VLOOKUP(F79,'2.ポータル'!$A:$F,6,FALSE)</f>
        <v>P53:法蔵寺地蔵尊(みそなめ地蔵)</v>
      </c>
      <c r="I79" s="193"/>
      <c r="J79" s="202" t="e">
        <f t="shared" ca="1" si="8"/>
        <v>#NAME?</v>
      </c>
      <c r="K79" s="203" t="e">
        <f ca="1">VLOOKUP(F79,'2.ポータル'!$A:$G,7,FALSE)</f>
        <v>#NAME?</v>
      </c>
      <c r="M79" s="184"/>
      <c r="N79" s="185"/>
      <c r="O79" s="185"/>
      <c r="P79" s="185"/>
      <c r="Q79" s="193"/>
    </row>
    <row r="80" spans="1:17" ht="17.5">
      <c r="A80" s="198">
        <f t="shared" si="7"/>
        <v>16</v>
      </c>
      <c r="B80" s="192" t="s">
        <v>450</v>
      </c>
      <c r="C80" s="188" t="s">
        <v>100</v>
      </c>
      <c r="D80" s="199" t="str">
        <f t="shared" si="9"/>
        <v>Agent03</v>
      </c>
      <c r="E80" s="200" t="s">
        <v>206</v>
      </c>
      <c r="F80" s="200" t="s">
        <v>200</v>
      </c>
      <c r="G80" s="201" t="str">
        <f>VLOOKUP(E80,'2.ポータル'!$A:$F,6,FALSE)</f>
        <v>P42:本教寺</v>
      </c>
      <c r="H80" s="201" t="str">
        <f>VLOOKUP(F80,'2.ポータル'!$A:$F,6,FALSE)</f>
        <v>P39:朝日公園</v>
      </c>
      <c r="I80" s="193"/>
      <c r="J80" s="202" t="e">
        <f t="shared" ca="1" si="8"/>
        <v>#NAME?</v>
      </c>
      <c r="K80" s="203" t="e">
        <f ca="1">VLOOKUP(F80,'2.ポータル'!$A:$G,7,FALSE)</f>
        <v>#NAME?</v>
      </c>
      <c r="M80" s="184"/>
      <c r="N80" s="185"/>
      <c r="O80" s="185"/>
      <c r="P80" s="185"/>
      <c r="Q80" s="193"/>
    </row>
    <row r="81" spans="1:17" ht="17.5">
      <c r="A81" s="198">
        <f t="shared" si="7"/>
        <v>17</v>
      </c>
      <c r="B81" s="192" t="s">
        <v>450</v>
      </c>
      <c r="C81" s="188" t="s">
        <v>100</v>
      </c>
      <c r="D81" s="199" t="str">
        <f t="shared" si="9"/>
        <v>Agent03</v>
      </c>
      <c r="E81" s="200" t="s">
        <v>206</v>
      </c>
      <c r="F81" s="200" t="s">
        <v>196</v>
      </c>
      <c r="G81" s="201" t="str">
        <f>VLOOKUP(E81,'2.ポータル'!$A:$F,6,FALSE)</f>
        <v>P42:本教寺</v>
      </c>
      <c r="H81" s="201" t="str">
        <f>VLOOKUP(F81,'2.ポータル'!$A:$F,6,FALSE)</f>
        <v>P37:中ノ棚橋地蔵</v>
      </c>
      <c r="I81" s="193"/>
      <c r="J81" s="202" t="e">
        <f t="shared" ca="1" si="8"/>
        <v>#NAME?</v>
      </c>
      <c r="K81" s="203" t="e">
        <f ca="1">VLOOKUP(F81,'2.ポータル'!$A:$G,7,FALSE)</f>
        <v>#NAME?</v>
      </c>
      <c r="M81" s="184"/>
      <c r="N81" s="185"/>
      <c r="O81" s="185"/>
      <c r="P81" s="185"/>
      <c r="Q81" s="193"/>
    </row>
    <row r="82" spans="1:17" ht="17.5">
      <c r="A82" s="198">
        <f t="shared" si="7"/>
        <v>18</v>
      </c>
      <c r="B82" s="192" t="s">
        <v>450</v>
      </c>
      <c r="C82" s="188" t="s">
        <v>100</v>
      </c>
      <c r="D82" s="199" t="str">
        <f t="shared" si="9"/>
        <v>Agent03</v>
      </c>
      <c r="E82" s="200" t="s">
        <v>206</v>
      </c>
      <c r="F82" s="200" t="s">
        <v>216</v>
      </c>
      <c r="G82" s="201" t="str">
        <f>VLOOKUP(E82,'2.ポータル'!$A:$F,6,FALSE)</f>
        <v>P42:本教寺</v>
      </c>
      <c r="H82" s="201" t="str">
        <f>VLOOKUP(F82,'2.ポータル'!$A:$F,6,FALSE)</f>
        <v>P47:与太郎地蔵</v>
      </c>
      <c r="I82" s="193"/>
      <c r="J82" s="202" t="e">
        <f t="shared" ca="1" si="8"/>
        <v>#NAME?</v>
      </c>
      <c r="K82" s="203" t="e">
        <f ca="1">VLOOKUP(F82,'2.ポータル'!$A:$G,7,FALSE)</f>
        <v>#NAME?</v>
      </c>
      <c r="M82" s="184"/>
      <c r="N82" s="185"/>
      <c r="O82" s="185"/>
      <c r="P82" s="185"/>
      <c r="Q82" s="193"/>
    </row>
    <row r="83" spans="1:17" ht="17.5">
      <c r="A83" s="198">
        <f t="shared" si="7"/>
        <v>19</v>
      </c>
      <c r="B83" s="192" t="s">
        <v>450</v>
      </c>
      <c r="C83" s="188" t="s">
        <v>100</v>
      </c>
      <c r="D83" s="199" t="str">
        <f t="shared" si="9"/>
        <v>Agent03</v>
      </c>
      <c r="E83" s="200" t="s">
        <v>222</v>
      </c>
      <c r="F83" s="200" t="s">
        <v>433</v>
      </c>
      <c r="G83" s="201" t="str">
        <f>VLOOKUP(E83,'2.ポータル'!$A:$F,6,FALSE)</f>
        <v>P50:福厳院六地蔵</v>
      </c>
      <c r="H83" s="201" t="str">
        <f>VLOOKUP(F83,'2.ポータル'!$A:$F,6,FALSE)</f>
        <v>ポータルをキャプチャします</v>
      </c>
      <c r="I83" s="193"/>
      <c r="J83" s="202" t="str">
        <f t="shared" si="8"/>
        <v xml:space="preserve"> </v>
      </c>
      <c r="K83" s="203">
        <f>VLOOKUP(F83,'2.ポータル'!$A:$G,7,FALSE)</f>
        <v>0</v>
      </c>
      <c r="M83" s="184"/>
      <c r="N83" s="185"/>
      <c r="O83" s="185"/>
      <c r="P83" s="185"/>
      <c r="Q83" s="193"/>
    </row>
    <row r="84" spans="1:17" ht="17.5">
      <c r="A84" s="198">
        <f t="shared" si="7"/>
        <v>20</v>
      </c>
      <c r="B84" s="192" t="s">
        <v>450</v>
      </c>
      <c r="C84" s="188" t="s">
        <v>100</v>
      </c>
      <c r="D84" s="199" t="str">
        <f t="shared" si="9"/>
        <v>Agent03</v>
      </c>
      <c r="E84" s="200" t="s">
        <v>242</v>
      </c>
      <c r="F84" s="200" t="s">
        <v>222</v>
      </c>
      <c r="G84" s="201" t="str">
        <f>VLOOKUP(E84,'2.ポータル'!$A:$F,6,FALSE)</f>
        <v>P60:恒久平和 戦没者慰霊碑</v>
      </c>
      <c r="H84" s="201" t="str">
        <f>VLOOKUP(F84,'2.ポータル'!$A:$F,6,FALSE)</f>
        <v>P50:福厳院六地蔵</v>
      </c>
      <c r="I84" s="193"/>
      <c r="J84" s="202" t="e">
        <f t="shared" ca="1" si="8"/>
        <v>#NAME?</v>
      </c>
      <c r="K84" s="203" t="e">
        <f ca="1">VLOOKUP(F84,'2.ポータル'!$A:$G,7,FALSE)</f>
        <v>#NAME?</v>
      </c>
      <c r="M84" s="184"/>
      <c r="N84" s="185"/>
      <c r="O84" s="185"/>
      <c r="P84" s="185"/>
      <c r="Q84" s="193"/>
    </row>
    <row r="85" spans="1:17" ht="17.5">
      <c r="A85" s="198">
        <f t="shared" si="7"/>
        <v>21</v>
      </c>
      <c r="B85" s="192" t="s">
        <v>450</v>
      </c>
      <c r="C85" s="188" t="s">
        <v>100</v>
      </c>
      <c r="D85" s="199" t="str">
        <f t="shared" si="9"/>
        <v>Agent03</v>
      </c>
      <c r="E85" s="200" t="s">
        <v>242</v>
      </c>
      <c r="F85" s="200" t="s">
        <v>284</v>
      </c>
      <c r="G85" s="201" t="str">
        <f>VLOOKUP(E85,'2.ポータル'!$A:$F,6,FALSE)</f>
        <v>P60:恒久平和 戦没者慰霊碑</v>
      </c>
      <c r="H85" s="201" t="str">
        <f>VLOOKUP(F85,'2.ポータル'!$A:$F,6,FALSE)</f>
        <v>P81:米原南土地区画整理竣工記念碑</v>
      </c>
      <c r="I85" s="193"/>
      <c r="J85" s="202" t="e">
        <f t="shared" ca="1" si="8"/>
        <v>#NAME?</v>
      </c>
      <c r="K85" s="203" t="e">
        <f ca="1">VLOOKUP(F85,'2.ポータル'!$A:$G,7,FALSE)</f>
        <v>#NAME?</v>
      </c>
      <c r="M85" s="184"/>
      <c r="N85" s="185"/>
      <c r="O85" s="185"/>
      <c r="P85" s="185"/>
      <c r="Q85" s="193"/>
    </row>
    <row r="86" spans="1:17" ht="17.5">
      <c r="A86" s="198">
        <f t="shared" si="7"/>
        <v>22</v>
      </c>
      <c r="B86" s="192" t="s">
        <v>450</v>
      </c>
      <c r="C86" s="188" t="s">
        <v>100</v>
      </c>
      <c r="D86" s="199" t="str">
        <f t="shared" si="9"/>
        <v>Agent03</v>
      </c>
      <c r="E86" s="200" t="s">
        <v>252</v>
      </c>
      <c r="F86" s="200" t="s">
        <v>242</v>
      </c>
      <c r="G86" s="201" t="str">
        <f>VLOOKUP(E86,'2.ポータル'!$A:$F,6,FALSE)</f>
        <v>P65:錦町２丁目１区自治会掲示板</v>
      </c>
      <c r="H86" s="201" t="str">
        <f>VLOOKUP(F86,'2.ポータル'!$A:$F,6,FALSE)</f>
        <v>P60:恒久平和 戦没者慰霊碑</v>
      </c>
      <c r="I86" s="193"/>
      <c r="J86" s="202" t="e">
        <f t="shared" ca="1" si="8"/>
        <v>#NAME?</v>
      </c>
      <c r="K86" s="203" t="e">
        <f ca="1">VLOOKUP(F86,'2.ポータル'!$A:$G,7,FALSE)</f>
        <v>#NAME?</v>
      </c>
      <c r="M86" s="184"/>
      <c r="N86" s="185"/>
      <c r="O86" s="185"/>
      <c r="P86" s="185"/>
      <c r="Q86" s="193"/>
    </row>
    <row r="87" spans="1:17" ht="17.5">
      <c r="A87" s="198">
        <f t="shared" si="7"/>
        <v>23</v>
      </c>
      <c r="B87" s="192" t="s">
        <v>450</v>
      </c>
      <c r="C87" s="188" t="s">
        <v>100</v>
      </c>
      <c r="D87" s="199" t="str">
        <f t="shared" si="9"/>
        <v>Agent03</v>
      </c>
      <c r="E87" s="200" t="s">
        <v>252</v>
      </c>
      <c r="F87" s="200" t="s">
        <v>222</v>
      </c>
      <c r="G87" s="201" t="str">
        <f>VLOOKUP(E87,'2.ポータル'!$A:$F,6,FALSE)</f>
        <v>P65:錦町２丁目１区自治会掲示板</v>
      </c>
      <c r="H87" s="201" t="str">
        <f>VLOOKUP(F87,'2.ポータル'!$A:$F,6,FALSE)</f>
        <v>P50:福厳院六地蔵</v>
      </c>
      <c r="I87" s="193"/>
      <c r="J87" s="202" t="e">
        <f t="shared" ca="1" si="8"/>
        <v>#NAME?</v>
      </c>
      <c r="K87" s="203" t="e">
        <f ca="1">VLOOKUP(F87,'2.ポータル'!$A:$G,7,FALSE)</f>
        <v>#NAME?</v>
      </c>
      <c r="M87" s="184"/>
      <c r="N87" s="185"/>
      <c r="O87" s="185"/>
      <c r="P87" s="185"/>
      <c r="Q87" s="193"/>
    </row>
    <row r="88" spans="1:17" ht="17.5">
      <c r="A88" s="198">
        <f t="shared" si="7"/>
        <v>24</v>
      </c>
      <c r="B88" s="192" t="s">
        <v>450</v>
      </c>
      <c r="C88" s="188" t="s">
        <v>100</v>
      </c>
      <c r="D88" s="199" t="str">
        <f t="shared" si="9"/>
        <v>Agent03</v>
      </c>
      <c r="E88" s="200" t="s">
        <v>252</v>
      </c>
      <c r="F88" s="200" t="s">
        <v>216</v>
      </c>
      <c r="G88" s="201" t="str">
        <f>VLOOKUP(E88,'2.ポータル'!$A:$F,6,FALSE)</f>
        <v>P65:錦町２丁目１区自治会掲示板</v>
      </c>
      <c r="H88" s="201" t="str">
        <f>VLOOKUP(F88,'2.ポータル'!$A:$F,6,FALSE)</f>
        <v>P47:与太郎地蔵</v>
      </c>
      <c r="I88" s="193"/>
      <c r="J88" s="202" t="e">
        <f t="shared" ca="1" si="8"/>
        <v>#NAME?</v>
      </c>
      <c r="K88" s="203" t="e">
        <f ca="1">VLOOKUP(F88,'2.ポータル'!$A:$G,7,FALSE)</f>
        <v>#NAME?</v>
      </c>
      <c r="M88" s="184"/>
      <c r="N88" s="185"/>
      <c r="O88" s="185"/>
      <c r="P88" s="185"/>
      <c r="Q88" s="193"/>
    </row>
    <row r="89" spans="1:17" ht="17.5">
      <c r="A89" s="198">
        <f t="shared" si="7"/>
        <v>25</v>
      </c>
      <c r="B89" s="192" t="s">
        <v>450</v>
      </c>
      <c r="C89" s="188" t="s">
        <v>100</v>
      </c>
      <c r="D89" s="199" t="str">
        <f t="shared" si="9"/>
        <v>Agent03</v>
      </c>
      <c r="E89" s="200" t="s">
        <v>252</v>
      </c>
      <c r="F89" s="200" t="s">
        <v>228</v>
      </c>
      <c r="G89" s="201" t="str">
        <f>VLOOKUP(E89,'2.ポータル'!$A:$F,6,FALSE)</f>
        <v>P65:錦町２丁目１区自治会掲示板</v>
      </c>
      <c r="H89" s="201" t="str">
        <f>VLOOKUP(F89,'2.ポータル'!$A:$F,6,FALSE)</f>
        <v>P53:法蔵寺地蔵尊(みそなめ地蔵)</v>
      </c>
      <c r="I89" s="193"/>
      <c r="J89" s="202" t="e">
        <f t="shared" ca="1" si="8"/>
        <v>#NAME?</v>
      </c>
      <c r="K89" s="203" t="e">
        <f ca="1">VLOOKUP(F89,'2.ポータル'!$A:$G,7,FALSE)</f>
        <v>#NAME?</v>
      </c>
      <c r="M89" s="184"/>
      <c r="N89" s="185"/>
      <c r="O89" s="185"/>
      <c r="P89" s="185"/>
      <c r="Q89" s="193"/>
    </row>
    <row r="90" spans="1:17" ht="17.5">
      <c r="A90" s="198">
        <f t="shared" si="7"/>
        <v>26</v>
      </c>
      <c r="B90" s="192" t="s">
        <v>450</v>
      </c>
      <c r="C90" s="188" t="s">
        <v>100</v>
      </c>
      <c r="D90" s="199" t="str">
        <f t="shared" si="9"/>
        <v>Agent03</v>
      </c>
      <c r="E90" s="200" t="s">
        <v>252</v>
      </c>
      <c r="F90" s="200" t="s">
        <v>278</v>
      </c>
      <c r="G90" s="201" t="str">
        <f>VLOOKUP(E90,'2.ポータル'!$A:$F,6,FALSE)</f>
        <v>P65:錦町２丁目１区自治会掲示板</v>
      </c>
      <c r="H90" s="201" t="str">
        <f>VLOOKUP(F90,'2.ポータル'!$A:$F,6,FALSE)</f>
        <v>P78:米子市中心市街地地図</v>
      </c>
      <c r="I90" s="193"/>
      <c r="J90" s="202" t="e">
        <f t="shared" ca="1" si="8"/>
        <v>#NAME?</v>
      </c>
      <c r="K90" s="203" t="e">
        <f ca="1">VLOOKUP(F90,'2.ポータル'!$A:$G,7,FALSE)</f>
        <v>#NAME?</v>
      </c>
      <c r="M90" s="184"/>
      <c r="N90" s="185"/>
      <c r="O90" s="185"/>
      <c r="P90" s="185"/>
      <c r="Q90" s="193"/>
    </row>
    <row r="91" spans="1:17" ht="17.5">
      <c r="A91" s="198">
        <f t="shared" si="7"/>
        <v>27</v>
      </c>
      <c r="B91" s="192" t="s">
        <v>450</v>
      </c>
      <c r="C91" s="216" t="s">
        <v>100</v>
      </c>
      <c r="D91" s="217" t="str">
        <f t="shared" si="9"/>
        <v>Agent03</v>
      </c>
      <c r="E91" s="132" t="s">
        <v>252</v>
      </c>
      <c r="F91" s="132" t="s">
        <v>310</v>
      </c>
      <c r="G91" s="218" t="str">
        <f>VLOOKUP(E91,'2.ポータル'!$A:$F,6,FALSE)</f>
        <v>P65:錦町２丁目１区自治会掲示板</v>
      </c>
      <c r="H91" s="218" t="str">
        <f>VLOOKUP(F91,'2.ポータル'!$A:$F,6,FALSE)</f>
        <v>P94:住居表示街区案内図 米子市米原3丁目</v>
      </c>
      <c r="I91" s="40"/>
      <c r="J91" s="202" t="e">
        <f t="shared" ca="1" si="8"/>
        <v>#NAME?</v>
      </c>
      <c r="K91" s="143" t="e">
        <f ca="1">VLOOKUP(F91,'2.ポータル'!$A:$G,7,FALSE)</f>
        <v>#NAME?</v>
      </c>
      <c r="L91" s="40"/>
      <c r="M91" s="40"/>
      <c r="N91" s="40"/>
      <c r="O91" s="40"/>
      <c r="P91" s="40"/>
      <c r="Q91" s="40"/>
    </row>
    <row r="92" spans="1:17" ht="17.5">
      <c r="A92" s="198">
        <f t="shared" si="7"/>
        <v>28</v>
      </c>
      <c r="B92" s="192" t="s">
        <v>450</v>
      </c>
      <c r="C92" s="188" t="s">
        <v>100</v>
      </c>
      <c r="D92" s="199" t="str">
        <f>D90</f>
        <v>Agent03</v>
      </c>
      <c r="E92" s="200" t="s">
        <v>252</v>
      </c>
      <c r="F92" s="200" t="s">
        <v>284</v>
      </c>
      <c r="G92" s="201" t="str">
        <f>VLOOKUP(E92,'2.ポータル'!$A:$F,6,FALSE)</f>
        <v>P65:錦町２丁目１区自治会掲示板</v>
      </c>
      <c r="H92" s="201" t="str">
        <f>VLOOKUP(F92,'2.ポータル'!$A:$F,6,FALSE)</f>
        <v>P81:米原南土地区画整理竣工記念碑</v>
      </c>
      <c r="I92" s="193"/>
      <c r="J92" s="202" t="e">
        <f t="shared" ca="1" si="8"/>
        <v>#NAME?</v>
      </c>
      <c r="K92" s="203" t="e">
        <f ca="1">VLOOKUP(F92,'2.ポータル'!$A:$G,7,FALSE)</f>
        <v>#NAME?</v>
      </c>
      <c r="M92" s="184"/>
      <c r="N92" s="185"/>
      <c r="O92" s="185"/>
      <c r="P92" s="185"/>
      <c r="Q92" s="193"/>
    </row>
    <row r="93" spans="1:17" ht="17.5">
      <c r="A93" s="205"/>
      <c r="B93" s="206" t="s">
        <v>451</v>
      </c>
      <c r="C93" s="207"/>
      <c r="D93" s="208"/>
      <c r="E93" s="209"/>
      <c r="F93" s="209"/>
      <c r="G93" s="210"/>
      <c r="H93" s="210"/>
      <c r="I93" s="209"/>
      <c r="J93" s="211"/>
      <c r="K93" s="210"/>
      <c r="L93" s="193"/>
      <c r="N93" s="193"/>
      <c r="O93" s="193"/>
      <c r="P93" s="193"/>
      <c r="Q93" s="193"/>
    </row>
    <row r="94" spans="1:17" ht="17.5">
      <c r="A94" s="183"/>
      <c r="B94" s="192"/>
      <c r="C94" s="183"/>
      <c r="D94" s="212"/>
      <c r="E94" s="213"/>
      <c r="F94" s="213"/>
      <c r="G94" s="212"/>
      <c r="H94" s="214"/>
      <c r="I94" s="193"/>
      <c r="J94" s="215"/>
      <c r="K94" s="212"/>
      <c r="N94" s="193"/>
      <c r="O94" s="193"/>
      <c r="P94" s="193"/>
      <c r="Q94" s="193"/>
    </row>
    <row r="95" spans="1:17" ht="28.5">
      <c r="A95" s="188"/>
      <c r="B95" s="189" t="s">
        <v>459</v>
      </c>
      <c r="C95" s="188"/>
      <c r="D95" s="190"/>
      <c r="E95" s="185"/>
      <c r="F95" s="185"/>
      <c r="G95" s="191" t="s">
        <v>460</v>
      </c>
      <c r="H95" s="192" t="s">
        <v>461</v>
      </c>
      <c r="I95" s="193"/>
      <c r="J95" s="194"/>
      <c r="K95" s="192"/>
      <c r="L95" s="183"/>
      <c r="N95" s="185"/>
      <c r="O95" s="185"/>
      <c r="P95" s="185"/>
      <c r="Q95" s="185"/>
    </row>
    <row r="96" spans="1:17" ht="17.5">
      <c r="A96" s="177"/>
      <c r="B96" s="178" t="s">
        <v>437</v>
      </c>
      <c r="C96" s="177" t="s">
        <v>91</v>
      </c>
      <c r="D96" s="178" t="s">
        <v>438</v>
      </c>
      <c r="E96" s="179" t="s">
        <v>439</v>
      </c>
      <c r="F96" s="179" t="s">
        <v>440</v>
      </c>
      <c r="G96" s="178" t="s">
        <v>441</v>
      </c>
      <c r="H96" s="180" t="s">
        <v>442</v>
      </c>
      <c r="I96" s="181" t="s">
        <v>443</v>
      </c>
      <c r="J96" s="182"/>
      <c r="K96" s="178" t="s">
        <v>444</v>
      </c>
      <c r="L96" s="183"/>
      <c r="N96" s="184"/>
      <c r="O96" s="185"/>
      <c r="P96" s="185"/>
      <c r="Q96" s="185"/>
    </row>
    <row r="97" spans="1:17" ht="17.5">
      <c r="A97" s="195"/>
      <c r="B97" s="195" t="s">
        <v>449</v>
      </c>
      <c r="C97" s="195"/>
      <c r="D97" s="195"/>
      <c r="E97" s="195"/>
      <c r="F97" s="195"/>
      <c r="G97" s="195"/>
      <c r="H97" s="196"/>
      <c r="I97" s="196"/>
      <c r="J97" s="197"/>
      <c r="K97" s="195"/>
      <c r="N97" s="184"/>
      <c r="O97" s="185"/>
      <c r="P97" s="185"/>
      <c r="Q97" s="193"/>
    </row>
    <row r="98" spans="1:17" ht="17.5">
      <c r="A98" s="198">
        <f t="shared" ref="A98:A128" si="10">A97+1</f>
        <v>1</v>
      </c>
      <c r="B98" s="192" t="s">
        <v>450</v>
      </c>
      <c r="C98" s="188" t="s">
        <v>100</v>
      </c>
      <c r="D98" s="199" t="str">
        <f>B95</f>
        <v>Agent04</v>
      </c>
      <c r="E98" s="200" t="s">
        <v>228</v>
      </c>
      <c r="F98" s="200" t="s">
        <v>433</v>
      </c>
      <c r="G98" s="201" t="str">
        <f>VLOOKUP(E98,'2.ポータル'!$A:$F,6,FALSE)</f>
        <v>P53:法蔵寺地蔵尊(みそなめ地蔵)</v>
      </c>
      <c r="H98" s="201" t="str">
        <f>VLOOKUP(F98,'2.ポータル'!$A:$F,6,FALSE)</f>
        <v>ポータルをキャプチャします</v>
      </c>
      <c r="I98" s="193"/>
      <c r="J98" s="202" t="str">
        <f t="shared" ref="J98:J128" si="11">IF(F98="X99"," ", IF(D98=K98,"","★"))</f>
        <v xml:space="preserve"> </v>
      </c>
      <c r="K98" s="203">
        <f>VLOOKUP(F98,'2.ポータル'!$A:$G,7,FALSE)</f>
        <v>0</v>
      </c>
      <c r="N98" s="184"/>
      <c r="O98" s="185"/>
      <c r="P98" s="185"/>
      <c r="Q98" s="193"/>
    </row>
    <row r="99" spans="1:17" ht="17.5">
      <c r="A99" s="198">
        <f t="shared" si="10"/>
        <v>2</v>
      </c>
      <c r="B99" s="192" t="s">
        <v>450</v>
      </c>
      <c r="C99" s="188" t="s">
        <v>100</v>
      </c>
      <c r="D99" s="199" t="str">
        <f t="shared" ref="D99:D128" si="12">D98</f>
        <v>Agent04</v>
      </c>
      <c r="E99" s="200" t="s">
        <v>230</v>
      </c>
      <c r="F99" s="200" t="s">
        <v>196</v>
      </c>
      <c r="G99" s="201" t="str">
        <f>VLOOKUP(E99,'2.ポータル'!$A:$F,6,FALSE)</f>
        <v>P54:心光寺 山門</v>
      </c>
      <c r="H99" s="201" t="str">
        <f>VLOOKUP(F99,'2.ポータル'!$A:$F,6,FALSE)</f>
        <v>P37:中ノ棚橋地蔵</v>
      </c>
      <c r="I99" s="193"/>
      <c r="J99" s="202" t="e">
        <f t="shared" ca="1" si="11"/>
        <v>#NAME?</v>
      </c>
      <c r="K99" s="203" t="e">
        <f ca="1">VLOOKUP(F99,'2.ポータル'!$A:$G,7,FALSE)</f>
        <v>#NAME?</v>
      </c>
      <c r="N99" s="184"/>
      <c r="O99" s="185"/>
      <c r="P99" s="185"/>
      <c r="Q99" s="193"/>
    </row>
    <row r="100" spans="1:17" ht="17.5">
      <c r="A100" s="198">
        <f t="shared" si="10"/>
        <v>3</v>
      </c>
      <c r="B100" s="192" t="s">
        <v>450</v>
      </c>
      <c r="C100" s="188" t="s">
        <v>100</v>
      </c>
      <c r="D100" s="199" t="str">
        <f t="shared" si="12"/>
        <v>Agent04</v>
      </c>
      <c r="E100" s="200" t="s">
        <v>248</v>
      </c>
      <c r="F100" s="200" t="s">
        <v>230</v>
      </c>
      <c r="G100" s="201" t="str">
        <f>VLOOKUP(E100,'2.ポータル'!$A:$F,6,FALSE)</f>
        <v>P63:Rochelle Antique</v>
      </c>
      <c r="H100" s="201" t="str">
        <f>VLOOKUP(F100,'2.ポータル'!$A:$F,6,FALSE)</f>
        <v>P54:心光寺 山門</v>
      </c>
      <c r="I100" s="193"/>
      <c r="J100" s="202" t="e">
        <f t="shared" ca="1" si="11"/>
        <v>#NAME?</v>
      </c>
      <c r="K100" s="203" t="e">
        <f ca="1">VLOOKUP(F100,'2.ポータル'!$A:$G,7,FALSE)</f>
        <v>#NAME?</v>
      </c>
      <c r="N100" s="204"/>
      <c r="O100" s="185"/>
      <c r="P100" s="185"/>
      <c r="Q100" s="193"/>
    </row>
    <row r="101" spans="1:17" ht="17.5">
      <c r="A101" s="198">
        <f t="shared" si="10"/>
        <v>4</v>
      </c>
      <c r="B101" s="192" t="s">
        <v>450</v>
      </c>
      <c r="C101" s="188" t="s">
        <v>100</v>
      </c>
      <c r="D101" s="199" t="str">
        <f t="shared" si="12"/>
        <v>Agent04</v>
      </c>
      <c r="E101" s="200" t="s">
        <v>244</v>
      </c>
      <c r="F101" s="200" t="s">
        <v>248</v>
      </c>
      <c r="G101" s="201" t="str">
        <f>VLOOKUP(E101,'2.ポータル'!$A:$F,6,FALSE)</f>
        <v>P61:どらやき神社</v>
      </c>
      <c r="H101" s="201" t="str">
        <f>VLOOKUP(F101,'2.ポータル'!$A:$F,6,FALSE)</f>
        <v>P63:Rochelle Antique</v>
      </c>
      <c r="I101" s="193"/>
      <c r="J101" s="202" t="e">
        <f t="shared" ca="1" si="11"/>
        <v>#NAME?</v>
      </c>
      <c r="K101" s="203" t="e">
        <f ca="1">VLOOKUP(F101,'2.ポータル'!$A:$G,7,FALSE)</f>
        <v>#NAME?</v>
      </c>
      <c r="N101" s="184"/>
      <c r="O101" s="185"/>
      <c r="P101" s="185"/>
      <c r="Q101" s="193"/>
    </row>
    <row r="102" spans="1:17" ht="17.5">
      <c r="A102" s="198">
        <f t="shared" si="10"/>
        <v>5</v>
      </c>
      <c r="B102" s="192" t="s">
        <v>450</v>
      </c>
      <c r="C102" s="188" t="s">
        <v>100</v>
      </c>
      <c r="D102" s="199" t="str">
        <f t="shared" si="12"/>
        <v>Agent04</v>
      </c>
      <c r="E102" s="200" t="s">
        <v>258</v>
      </c>
      <c r="F102" s="200" t="s">
        <v>248</v>
      </c>
      <c r="G102" s="201" t="str">
        <f>VLOOKUP(E102,'2.ポータル'!$A:$F,6,FALSE)</f>
        <v>P68:住居表示街区案内図 米子市旗ヶ崎1丁目</v>
      </c>
      <c r="H102" s="201" t="str">
        <f>VLOOKUP(F102,'2.ポータル'!$A:$F,6,FALSE)</f>
        <v>P63:Rochelle Antique</v>
      </c>
      <c r="I102" s="193"/>
      <c r="J102" s="202" t="e">
        <f t="shared" ca="1" si="11"/>
        <v>#NAME?</v>
      </c>
      <c r="K102" s="203" t="e">
        <f ca="1">VLOOKUP(F102,'2.ポータル'!$A:$G,7,FALSE)</f>
        <v>#NAME?</v>
      </c>
      <c r="N102" s="184"/>
      <c r="O102" s="185"/>
      <c r="P102" s="185"/>
      <c r="Q102" s="193"/>
    </row>
    <row r="103" spans="1:17" ht="17.5">
      <c r="A103" s="198">
        <f t="shared" si="10"/>
        <v>6</v>
      </c>
      <c r="B103" s="192" t="s">
        <v>450</v>
      </c>
      <c r="C103" s="188" t="s">
        <v>100</v>
      </c>
      <c r="D103" s="199" t="str">
        <f t="shared" si="12"/>
        <v>Agent04</v>
      </c>
      <c r="E103" s="200" t="s">
        <v>258</v>
      </c>
      <c r="F103" s="200" t="s">
        <v>244</v>
      </c>
      <c r="G103" s="201" t="str">
        <f>VLOOKUP(E103,'2.ポータル'!$A:$F,6,FALSE)</f>
        <v>P68:住居表示街区案内図 米子市旗ヶ崎1丁目</v>
      </c>
      <c r="H103" s="201" t="str">
        <f>VLOOKUP(F103,'2.ポータル'!$A:$F,6,FALSE)</f>
        <v>P61:どらやき神社</v>
      </c>
      <c r="I103" s="193"/>
      <c r="J103" s="202" t="e">
        <f t="shared" ca="1" si="11"/>
        <v>#NAME?</v>
      </c>
      <c r="K103" s="203" t="e">
        <f ca="1">VLOOKUP(F103,'2.ポータル'!$A:$G,7,FALSE)</f>
        <v>#NAME?</v>
      </c>
      <c r="M103" s="184"/>
      <c r="N103" s="184"/>
      <c r="O103" s="185"/>
      <c r="P103" s="185"/>
      <c r="Q103" s="193"/>
    </row>
    <row r="104" spans="1:17" ht="17.5">
      <c r="A104" s="198">
        <f t="shared" si="10"/>
        <v>7</v>
      </c>
      <c r="B104" s="192" t="s">
        <v>450</v>
      </c>
      <c r="C104" s="188" t="s">
        <v>100</v>
      </c>
      <c r="D104" s="199" t="str">
        <f t="shared" si="12"/>
        <v>Agent04</v>
      </c>
      <c r="E104" s="200" t="s">
        <v>288</v>
      </c>
      <c r="F104" s="200" t="s">
        <v>306</v>
      </c>
      <c r="G104" s="201" t="str">
        <f>VLOOKUP(E104,'2.ポータル'!$A:$F,6,FALSE)</f>
        <v>P83:エースドライ</v>
      </c>
      <c r="H104" s="201" t="str">
        <f>VLOOKUP(F104,'2.ポータル'!$A:$F,6,FALSE)</f>
        <v>P92:米子福音ルーテル教会</v>
      </c>
      <c r="I104" s="193"/>
      <c r="J104" s="202" t="e">
        <f t="shared" ca="1" si="11"/>
        <v>#NAME?</v>
      </c>
      <c r="K104" s="203" t="e">
        <f ca="1">VLOOKUP(F104,'2.ポータル'!$A:$G,7,FALSE)</f>
        <v>#NAME?</v>
      </c>
      <c r="M104" s="184"/>
      <c r="N104" s="184"/>
      <c r="O104" s="185"/>
      <c r="P104" s="185"/>
      <c r="Q104" s="193"/>
    </row>
    <row r="105" spans="1:17" ht="17.5">
      <c r="A105" s="198">
        <f t="shared" si="10"/>
        <v>8</v>
      </c>
      <c r="B105" s="192" t="s">
        <v>450</v>
      </c>
      <c r="C105" s="188" t="s">
        <v>100</v>
      </c>
      <c r="D105" s="199" t="str">
        <f t="shared" si="12"/>
        <v>Agent04</v>
      </c>
      <c r="E105" s="200" t="s">
        <v>288</v>
      </c>
      <c r="F105" s="32" t="s">
        <v>276</v>
      </c>
      <c r="G105" s="201" t="str">
        <f>VLOOKUP(E105,'2.ポータル'!$A:$F,6,FALSE)</f>
        <v>P83:エースドライ</v>
      </c>
      <c r="H105" s="201" t="str">
        <f>VLOOKUP(F105,'2.ポータル'!$A:$F,6,FALSE)</f>
        <v>P77:理想教 米子法堂</v>
      </c>
      <c r="I105" s="193"/>
      <c r="J105" s="202" t="e">
        <f t="shared" ca="1" si="11"/>
        <v>#NAME?</v>
      </c>
      <c r="K105" s="203" t="e">
        <f ca="1">VLOOKUP(F105,'2.ポータル'!$A:$G,7,FALSE)</f>
        <v>#NAME?</v>
      </c>
      <c r="M105" s="184"/>
      <c r="N105" s="185"/>
      <c r="O105" s="185"/>
      <c r="P105" s="185"/>
      <c r="Q105" s="193"/>
    </row>
    <row r="106" spans="1:17" ht="17.5">
      <c r="A106" s="198">
        <f t="shared" si="10"/>
        <v>9</v>
      </c>
      <c r="B106" s="192" t="s">
        <v>450</v>
      </c>
      <c r="C106" s="188" t="s">
        <v>100</v>
      </c>
      <c r="D106" s="199" t="str">
        <f t="shared" si="12"/>
        <v>Agent04</v>
      </c>
      <c r="E106" s="200" t="s">
        <v>264</v>
      </c>
      <c r="F106" s="200" t="s">
        <v>258</v>
      </c>
      <c r="G106" s="201" t="str">
        <f>VLOOKUP(E106,'2.ポータル'!$A:$F,6,FALSE)</f>
        <v>P71:義方公民館</v>
      </c>
      <c r="H106" s="201" t="str">
        <f>VLOOKUP(F106,'2.ポータル'!$A:$F,6,FALSE)</f>
        <v>P68:住居表示街区案内図 米子市旗ヶ崎1丁目</v>
      </c>
      <c r="I106" s="193"/>
      <c r="J106" s="202" t="e">
        <f t="shared" ca="1" si="11"/>
        <v>#NAME?</v>
      </c>
      <c r="K106" s="203" t="e">
        <f ca="1">VLOOKUP(F106,'2.ポータル'!$A:$G,7,FALSE)</f>
        <v>#NAME?</v>
      </c>
      <c r="M106" s="184"/>
      <c r="N106" s="185"/>
      <c r="O106" s="185"/>
      <c r="P106" s="185"/>
      <c r="Q106" s="193"/>
    </row>
    <row r="107" spans="1:17" ht="17.5">
      <c r="A107" s="198">
        <f t="shared" si="10"/>
        <v>10</v>
      </c>
      <c r="B107" s="192" t="s">
        <v>450</v>
      </c>
      <c r="C107" s="188" t="s">
        <v>100</v>
      </c>
      <c r="D107" s="199" t="str">
        <f t="shared" si="12"/>
        <v>Agent04</v>
      </c>
      <c r="E107" s="200" t="s">
        <v>264</v>
      </c>
      <c r="F107" s="200" t="s">
        <v>248</v>
      </c>
      <c r="G107" s="201" t="str">
        <f>VLOOKUP(E107,'2.ポータル'!$A:$F,6,FALSE)</f>
        <v>P71:義方公民館</v>
      </c>
      <c r="H107" s="201" t="str">
        <f>VLOOKUP(F107,'2.ポータル'!$A:$F,6,FALSE)</f>
        <v>P63:Rochelle Antique</v>
      </c>
      <c r="I107" s="193"/>
      <c r="J107" s="202" t="e">
        <f t="shared" ca="1" si="11"/>
        <v>#NAME?</v>
      </c>
      <c r="K107" s="203" t="e">
        <f ca="1">VLOOKUP(F107,'2.ポータル'!$A:$G,7,FALSE)</f>
        <v>#NAME?</v>
      </c>
      <c r="M107" s="184"/>
      <c r="N107" s="185"/>
      <c r="O107" s="185"/>
      <c r="P107" s="185"/>
      <c r="Q107" s="193"/>
    </row>
    <row r="108" spans="1:17" ht="17.5">
      <c r="A108" s="198">
        <f t="shared" si="10"/>
        <v>11</v>
      </c>
      <c r="B108" s="192" t="s">
        <v>450</v>
      </c>
      <c r="C108" s="188" t="s">
        <v>100</v>
      </c>
      <c r="D108" s="199" t="str">
        <f t="shared" si="12"/>
        <v>Agent04</v>
      </c>
      <c r="E108" s="200" t="s">
        <v>268</v>
      </c>
      <c r="F108" s="200" t="s">
        <v>258</v>
      </c>
      <c r="G108" s="201" t="str">
        <f>VLOOKUP(E108,'2.ポータル'!$A:$F,6,FALSE)</f>
        <v>P73:三界萬霊塔</v>
      </c>
      <c r="H108" s="201" t="str">
        <f>VLOOKUP(F108,'2.ポータル'!$A:$F,6,FALSE)</f>
        <v>P68:住居表示街区案内図 米子市旗ヶ崎1丁目</v>
      </c>
      <c r="I108" s="193"/>
      <c r="J108" s="202" t="e">
        <f t="shared" ca="1" si="11"/>
        <v>#NAME?</v>
      </c>
      <c r="K108" s="203" t="e">
        <f ca="1">VLOOKUP(F108,'2.ポータル'!$A:$G,7,FALSE)</f>
        <v>#NAME?</v>
      </c>
      <c r="M108" s="184"/>
      <c r="N108" s="185"/>
      <c r="O108" s="185"/>
      <c r="P108" s="185"/>
      <c r="Q108" s="193"/>
    </row>
    <row r="109" spans="1:17" ht="17.5">
      <c r="A109" s="198">
        <f t="shared" si="10"/>
        <v>12</v>
      </c>
      <c r="B109" s="192" t="s">
        <v>450</v>
      </c>
      <c r="C109" s="188" t="s">
        <v>100</v>
      </c>
      <c r="D109" s="199" t="str">
        <f t="shared" si="12"/>
        <v>Agent04</v>
      </c>
      <c r="E109" s="200" t="s">
        <v>268</v>
      </c>
      <c r="F109" s="200" t="s">
        <v>248</v>
      </c>
      <c r="G109" s="201" t="str">
        <f>VLOOKUP(E109,'2.ポータル'!$A:$F,6,FALSE)</f>
        <v>P73:三界萬霊塔</v>
      </c>
      <c r="H109" s="201" t="str">
        <f>VLOOKUP(F109,'2.ポータル'!$A:$F,6,FALSE)</f>
        <v>P63:Rochelle Antique</v>
      </c>
      <c r="I109" s="193"/>
      <c r="J109" s="202" t="e">
        <f t="shared" ca="1" si="11"/>
        <v>#NAME?</v>
      </c>
      <c r="K109" s="203" t="e">
        <f ca="1">VLOOKUP(F109,'2.ポータル'!$A:$G,7,FALSE)</f>
        <v>#NAME?</v>
      </c>
      <c r="M109" s="184"/>
      <c r="N109" s="185"/>
      <c r="O109" s="185"/>
      <c r="P109" s="185"/>
      <c r="Q109" s="193"/>
    </row>
    <row r="110" spans="1:17" ht="17.5">
      <c r="A110" s="198">
        <f t="shared" si="10"/>
        <v>13</v>
      </c>
      <c r="B110" s="192" t="s">
        <v>450</v>
      </c>
      <c r="C110" s="188" t="s">
        <v>100</v>
      </c>
      <c r="D110" s="199" t="str">
        <f t="shared" si="12"/>
        <v>Agent04</v>
      </c>
      <c r="E110" s="200" t="s">
        <v>268</v>
      </c>
      <c r="F110" s="200" t="s">
        <v>264</v>
      </c>
      <c r="G110" s="201" t="str">
        <f>VLOOKUP(E110,'2.ポータル'!$A:$F,6,FALSE)</f>
        <v>P73:三界萬霊塔</v>
      </c>
      <c r="H110" s="201" t="str">
        <f>VLOOKUP(F110,'2.ポータル'!$A:$F,6,FALSE)</f>
        <v>P71:義方公民館</v>
      </c>
      <c r="I110" s="193"/>
      <c r="J110" s="202" t="e">
        <f t="shared" ca="1" si="11"/>
        <v>#NAME?</v>
      </c>
      <c r="K110" s="203" t="e">
        <f ca="1">VLOOKUP(F110,'2.ポータル'!$A:$G,7,FALSE)</f>
        <v>#NAME?</v>
      </c>
      <c r="M110" s="184"/>
      <c r="N110" s="185"/>
      <c r="O110" s="185"/>
      <c r="P110" s="185"/>
      <c r="Q110" s="193"/>
    </row>
    <row r="111" spans="1:17" ht="17.5">
      <c r="A111" s="198">
        <f t="shared" si="10"/>
        <v>14</v>
      </c>
      <c r="B111" s="192" t="s">
        <v>450</v>
      </c>
      <c r="C111" s="188" t="s">
        <v>100</v>
      </c>
      <c r="D111" s="199" t="str">
        <f t="shared" si="12"/>
        <v>Agent04</v>
      </c>
      <c r="E111" s="200" t="s">
        <v>268</v>
      </c>
      <c r="F111" s="200" t="s">
        <v>288</v>
      </c>
      <c r="G111" s="201" t="str">
        <f>VLOOKUP(E111,'2.ポータル'!$A:$F,6,FALSE)</f>
        <v>P73:三界萬霊塔</v>
      </c>
      <c r="H111" s="201" t="str">
        <f>VLOOKUP(F111,'2.ポータル'!$A:$F,6,FALSE)</f>
        <v>P83:エースドライ</v>
      </c>
      <c r="I111" s="193"/>
      <c r="J111" s="202" t="e">
        <f t="shared" ca="1" si="11"/>
        <v>#NAME?</v>
      </c>
      <c r="K111" s="203" t="e">
        <f ca="1">VLOOKUP(F111,'2.ポータル'!$A:$G,7,FALSE)</f>
        <v>#NAME?</v>
      </c>
      <c r="M111" s="184"/>
      <c r="N111" s="185"/>
      <c r="O111" s="185"/>
      <c r="P111" s="185"/>
      <c r="Q111" s="193"/>
    </row>
    <row r="112" spans="1:17" ht="17.5">
      <c r="A112" s="198">
        <f t="shared" si="10"/>
        <v>15</v>
      </c>
      <c r="B112" s="192" t="s">
        <v>450</v>
      </c>
      <c r="C112" s="188" t="s">
        <v>100</v>
      </c>
      <c r="D112" s="199" t="str">
        <f t="shared" si="12"/>
        <v>Agent04</v>
      </c>
      <c r="E112" s="200" t="s">
        <v>266</v>
      </c>
      <c r="F112" s="200" t="s">
        <v>268</v>
      </c>
      <c r="G112" s="201" t="str">
        <f>VLOOKUP(E112,'2.ポータル'!$A:$F,6,FALSE)</f>
        <v>P72:糺神社 本殿</v>
      </c>
      <c r="H112" s="201" t="str">
        <f>VLOOKUP(F112,'2.ポータル'!$A:$F,6,FALSE)</f>
        <v>P73:三界萬霊塔</v>
      </c>
      <c r="I112" s="193"/>
      <c r="J112" s="202" t="e">
        <f t="shared" ca="1" si="11"/>
        <v>#NAME?</v>
      </c>
      <c r="K112" s="203" t="e">
        <f ca="1">VLOOKUP(F112,'2.ポータル'!$A:$G,7,FALSE)</f>
        <v>#NAME?</v>
      </c>
      <c r="M112" s="184"/>
      <c r="N112" s="185"/>
      <c r="O112" s="185"/>
      <c r="P112" s="185"/>
      <c r="Q112" s="193"/>
    </row>
    <row r="113" spans="1:17" ht="17.5">
      <c r="A113" s="198">
        <f t="shared" si="10"/>
        <v>16</v>
      </c>
      <c r="B113" s="192" t="s">
        <v>450</v>
      </c>
      <c r="C113" s="188" t="s">
        <v>100</v>
      </c>
      <c r="D113" s="199" t="str">
        <f t="shared" si="12"/>
        <v>Agent04</v>
      </c>
      <c r="E113" s="200" t="s">
        <v>266</v>
      </c>
      <c r="F113" s="200" t="s">
        <v>248</v>
      </c>
      <c r="G113" s="201" t="str">
        <f>VLOOKUP(E113,'2.ポータル'!$A:$F,6,FALSE)</f>
        <v>P72:糺神社 本殿</v>
      </c>
      <c r="H113" s="201" t="str">
        <f>VLOOKUP(F113,'2.ポータル'!$A:$F,6,FALSE)</f>
        <v>P63:Rochelle Antique</v>
      </c>
      <c r="I113" s="193"/>
      <c r="J113" s="202" t="e">
        <f t="shared" ca="1" si="11"/>
        <v>#NAME?</v>
      </c>
      <c r="K113" s="203" t="e">
        <f ca="1">VLOOKUP(F113,'2.ポータル'!$A:$G,7,FALSE)</f>
        <v>#NAME?</v>
      </c>
      <c r="M113" s="184"/>
      <c r="N113" s="185"/>
      <c r="O113" s="185"/>
      <c r="P113" s="185"/>
      <c r="Q113" s="193"/>
    </row>
    <row r="114" spans="1:17" ht="17.5">
      <c r="A114" s="198">
        <f t="shared" si="10"/>
        <v>17</v>
      </c>
      <c r="B114" s="192" t="s">
        <v>450</v>
      </c>
      <c r="C114" s="188" t="s">
        <v>100</v>
      </c>
      <c r="D114" s="199" t="str">
        <f t="shared" si="12"/>
        <v>Agent04</v>
      </c>
      <c r="E114" s="200" t="s">
        <v>274</v>
      </c>
      <c r="F114" s="200" t="s">
        <v>268</v>
      </c>
      <c r="G114" s="201" t="str">
        <f>VLOOKUP(E114,'2.ポータル'!$A:$F,6,FALSE)</f>
        <v>P76:焼肉大門</v>
      </c>
      <c r="H114" s="201" t="str">
        <f>VLOOKUP(F114,'2.ポータル'!$A:$F,6,FALSE)</f>
        <v>P73:三界萬霊塔</v>
      </c>
      <c r="I114" s="193"/>
      <c r="J114" s="202" t="e">
        <f t="shared" ca="1" si="11"/>
        <v>#NAME?</v>
      </c>
      <c r="K114" s="203" t="e">
        <f ca="1">VLOOKUP(F114,'2.ポータル'!$A:$G,7,FALSE)</f>
        <v>#NAME?</v>
      </c>
      <c r="M114" s="184"/>
      <c r="N114" s="185"/>
      <c r="O114" s="185"/>
      <c r="P114" s="185"/>
      <c r="Q114" s="193"/>
    </row>
    <row r="115" spans="1:17" ht="17.5">
      <c r="A115" s="198">
        <f t="shared" si="10"/>
        <v>18</v>
      </c>
      <c r="B115" s="192" t="s">
        <v>450</v>
      </c>
      <c r="C115" s="188" t="s">
        <v>100</v>
      </c>
      <c r="D115" s="199" t="str">
        <f t="shared" si="12"/>
        <v>Agent04</v>
      </c>
      <c r="E115" s="200" t="s">
        <v>274</v>
      </c>
      <c r="F115" s="200" t="s">
        <v>248</v>
      </c>
      <c r="G115" s="201" t="str">
        <f>VLOOKUP(E115,'2.ポータル'!$A:$F,6,FALSE)</f>
        <v>P76:焼肉大門</v>
      </c>
      <c r="H115" s="201" t="str">
        <f>VLOOKUP(F115,'2.ポータル'!$A:$F,6,FALSE)</f>
        <v>P63:Rochelle Antique</v>
      </c>
      <c r="I115" s="193"/>
      <c r="J115" s="202" t="e">
        <f t="shared" ca="1" si="11"/>
        <v>#NAME?</v>
      </c>
      <c r="K115" s="203" t="e">
        <f ca="1">VLOOKUP(F115,'2.ポータル'!$A:$G,7,FALSE)</f>
        <v>#NAME?</v>
      </c>
      <c r="M115" s="184"/>
      <c r="N115" s="185"/>
      <c r="O115" s="185"/>
      <c r="P115" s="185"/>
      <c r="Q115" s="193"/>
    </row>
    <row r="116" spans="1:17" ht="17.5">
      <c r="A116" s="198">
        <f t="shared" si="10"/>
        <v>19</v>
      </c>
      <c r="B116" s="192" t="s">
        <v>450</v>
      </c>
      <c r="C116" s="188" t="s">
        <v>100</v>
      </c>
      <c r="D116" s="199" t="str">
        <f t="shared" si="12"/>
        <v>Agent04</v>
      </c>
      <c r="E116" s="200" t="s">
        <v>274</v>
      </c>
      <c r="F116" s="200" t="s">
        <v>266</v>
      </c>
      <c r="G116" s="201" t="str">
        <f>VLOOKUP(E116,'2.ポータル'!$A:$F,6,FALSE)</f>
        <v>P76:焼肉大門</v>
      </c>
      <c r="H116" s="201" t="str">
        <f>VLOOKUP(F116,'2.ポータル'!$A:$F,6,FALSE)</f>
        <v>P72:糺神社 本殿</v>
      </c>
      <c r="I116" s="193"/>
      <c r="J116" s="202" t="e">
        <f t="shared" ca="1" si="11"/>
        <v>#NAME?</v>
      </c>
      <c r="K116" s="203" t="e">
        <f ca="1">VLOOKUP(F116,'2.ポータル'!$A:$G,7,FALSE)</f>
        <v>#NAME?</v>
      </c>
      <c r="M116" s="184"/>
      <c r="N116" s="185"/>
      <c r="O116" s="185"/>
      <c r="P116" s="185"/>
      <c r="Q116" s="193"/>
    </row>
    <row r="117" spans="1:17" ht="17.5">
      <c r="A117" s="198">
        <f t="shared" si="10"/>
        <v>20</v>
      </c>
      <c r="B117" s="192" t="s">
        <v>450</v>
      </c>
      <c r="C117" s="188" t="s">
        <v>100</v>
      </c>
      <c r="D117" s="199" t="str">
        <f t="shared" si="12"/>
        <v>Agent04</v>
      </c>
      <c r="E117" s="200" t="s">
        <v>274</v>
      </c>
      <c r="F117" s="200" t="s">
        <v>288</v>
      </c>
      <c r="G117" s="201" t="str">
        <f>VLOOKUP(E117,'2.ポータル'!$A:$F,6,FALSE)</f>
        <v>P76:焼肉大門</v>
      </c>
      <c r="H117" s="201" t="str">
        <f>VLOOKUP(F117,'2.ポータル'!$A:$F,6,FALSE)</f>
        <v>P83:エースドライ</v>
      </c>
      <c r="I117" s="193"/>
      <c r="J117" s="202" t="e">
        <f t="shared" ca="1" si="11"/>
        <v>#NAME?</v>
      </c>
      <c r="K117" s="203" t="e">
        <f ca="1">VLOOKUP(F117,'2.ポータル'!$A:$G,7,FALSE)</f>
        <v>#NAME?</v>
      </c>
      <c r="M117" s="184"/>
      <c r="N117" s="185"/>
      <c r="O117" s="185"/>
      <c r="P117" s="185"/>
      <c r="Q117" s="193"/>
    </row>
    <row r="118" spans="1:17" ht="17.5">
      <c r="A118" s="198">
        <f t="shared" si="10"/>
        <v>21</v>
      </c>
      <c r="B118" s="192" t="s">
        <v>450</v>
      </c>
      <c r="C118" s="188" t="s">
        <v>100</v>
      </c>
      <c r="D118" s="199" t="str">
        <f t="shared" si="12"/>
        <v>Agent04</v>
      </c>
      <c r="E118" s="200" t="s">
        <v>274</v>
      </c>
      <c r="F118" s="200" t="s">
        <v>306</v>
      </c>
      <c r="G118" s="201" t="str">
        <f>VLOOKUP(E118,'2.ポータル'!$A:$F,6,FALSE)</f>
        <v>P76:焼肉大門</v>
      </c>
      <c r="H118" s="201" t="str">
        <f>VLOOKUP(F118,'2.ポータル'!$A:$F,6,FALSE)</f>
        <v>P92:米子福音ルーテル教会</v>
      </c>
      <c r="I118" s="193"/>
      <c r="J118" s="202" t="e">
        <f t="shared" ca="1" si="11"/>
        <v>#NAME?</v>
      </c>
      <c r="K118" s="203" t="e">
        <f ca="1">VLOOKUP(F118,'2.ポータル'!$A:$G,7,FALSE)</f>
        <v>#NAME?</v>
      </c>
      <c r="M118" s="184"/>
      <c r="N118" s="185"/>
      <c r="O118" s="185"/>
      <c r="P118" s="185"/>
      <c r="Q118" s="193"/>
    </row>
    <row r="119" spans="1:17" ht="17.5">
      <c r="A119" s="198">
        <f t="shared" si="10"/>
        <v>22</v>
      </c>
      <c r="B119" s="192" t="s">
        <v>450</v>
      </c>
      <c r="C119" s="188" t="s">
        <v>100</v>
      </c>
      <c r="D119" s="199" t="str">
        <f t="shared" si="12"/>
        <v>Agent04</v>
      </c>
      <c r="E119" s="200" t="s">
        <v>274</v>
      </c>
      <c r="F119" s="200" t="s">
        <v>276</v>
      </c>
      <c r="G119" s="201" t="str">
        <f>VLOOKUP(E119,'2.ポータル'!$A:$F,6,FALSE)</f>
        <v>P76:焼肉大門</v>
      </c>
      <c r="H119" s="201" t="str">
        <f>VLOOKUP(F119,'2.ポータル'!$A:$F,6,FALSE)</f>
        <v>P77:理想教 米子法堂</v>
      </c>
      <c r="I119" s="193"/>
      <c r="J119" s="202" t="e">
        <f t="shared" ca="1" si="11"/>
        <v>#NAME?</v>
      </c>
      <c r="K119" s="203" t="e">
        <f ca="1">VLOOKUP(F119,'2.ポータル'!$A:$G,7,FALSE)</f>
        <v>#NAME?</v>
      </c>
      <c r="M119" s="184"/>
      <c r="N119" s="185"/>
      <c r="O119" s="185"/>
      <c r="P119" s="185"/>
      <c r="Q119" s="193"/>
    </row>
    <row r="120" spans="1:17" ht="17.5">
      <c r="A120" s="198">
        <f t="shared" si="10"/>
        <v>23</v>
      </c>
      <c r="B120" s="192" t="s">
        <v>450</v>
      </c>
      <c r="C120" s="188" t="s">
        <v>100</v>
      </c>
      <c r="D120" s="199" t="str">
        <f t="shared" si="12"/>
        <v>Agent04</v>
      </c>
      <c r="E120" s="200" t="s">
        <v>274</v>
      </c>
      <c r="F120" s="200" t="s">
        <v>294</v>
      </c>
      <c r="G120" s="201" t="str">
        <f>VLOOKUP(E120,'2.ポータル'!$A:$F,6,FALSE)</f>
        <v>P76:焼肉大門</v>
      </c>
      <c r="H120" s="201" t="str">
        <f>VLOOKUP(F120,'2.ポータル'!$A:$F,6,FALSE)</f>
        <v>P86:立町の遊歩道</v>
      </c>
      <c r="I120" s="193"/>
      <c r="J120" s="202" t="e">
        <f t="shared" ca="1" si="11"/>
        <v>#NAME?</v>
      </c>
      <c r="K120" s="203" t="e">
        <f ca="1">VLOOKUP(F120,'2.ポータル'!$A:$G,7,FALSE)</f>
        <v>#NAME?</v>
      </c>
      <c r="M120" s="184"/>
      <c r="N120" s="185"/>
      <c r="O120" s="185"/>
      <c r="P120" s="185"/>
      <c r="Q120" s="193"/>
    </row>
    <row r="121" spans="1:17" ht="17.5">
      <c r="A121" s="198">
        <f t="shared" si="10"/>
        <v>24</v>
      </c>
      <c r="B121" s="192" t="s">
        <v>450</v>
      </c>
      <c r="C121" s="188" t="s">
        <v>100</v>
      </c>
      <c r="D121" s="199" t="str">
        <f t="shared" si="12"/>
        <v>Agent04</v>
      </c>
      <c r="E121" s="200" t="s">
        <v>274</v>
      </c>
      <c r="F121" s="200" t="s">
        <v>292</v>
      </c>
      <c r="G121" s="201" t="str">
        <f>VLOOKUP(E121,'2.ポータル'!$A:$F,6,FALSE)</f>
        <v>P76:焼肉大門</v>
      </c>
      <c r="H121" s="201" t="str">
        <f>VLOOKUP(F121,'2.ポータル'!$A:$F,6,FALSE)</f>
        <v>P85:揺れるパンダ</v>
      </c>
      <c r="I121" s="193"/>
      <c r="J121" s="202" t="e">
        <f t="shared" ca="1" si="11"/>
        <v>#NAME?</v>
      </c>
      <c r="K121" s="203" t="e">
        <f ca="1">VLOOKUP(F121,'2.ポータル'!$A:$G,7,FALSE)</f>
        <v>#NAME?</v>
      </c>
      <c r="M121" s="184"/>
      <c r="N121" s="185"/>
      <c r="O121" s="185"/>
      <c r="P121" s="185"/>
      <c r="Q121" s="193"/>
    </row>
    <row r="122" spans="1:17" ht="17.5">
      <c r="A122" s="198">
        <f t="shared" si="10"/>
        <v>25</v>
      </c>
      <c r="B122" s="192" t="s">
        <v>450</v>
      </c>
      <c r="C122" s="188" t="s">
        <v>100</v>
      </c>
      <c r="D122" s="199" t="str">
        <f t="shared" si="12"/>
        <v>Agent04</v>
      </c>
      <c r="E122" s="200" t="s">
        <v>256</v>
      </c>
      <c r="F122" s="200" t="s">
        <v>274</v>
      </c>
      <c r="G122" s="201" t="str">
        <f>VLOOKUP(E122,'2.ポータル'!$A:$F,6,FALSE)</f>
        <v>P67:ちとせ</v>
      </c>
      <c r="H122" s="201" t="str">
        <f>VLOOKUP(F122,'2.ポータル'!$A:$F,6,FALSE)</f>
        <v>P76:焼肉大門</v>
      </c>
      <c r="I122" s="193"/>
      <c r="J122" s="202" t="e">
        <f t="shared" ca="1" si="11"/>
        <v>#NAME?</v>
      </c>
      <c r="K122" s="203" t="e">
        <f ca="1">VLOOKUP(F122,'2.ポータル'!$A:$G,7,FALSE)</f>
        <v>#NAME?</v>
      </c>
      <c r="M122" s="184"/>
      <c r="N122" s="185"/>
      <c r="O122" s="185"/>
      <c r="P122" s="185"/>
      <c r="Q122" s="193"/>
    </row>
    <row r="123" spans="1:17" ht="17.5">
      <c r="A123" s="198">
        <f t="shared" si="10"/>
        <v>26</v>
      </c>
      <c r="B123" s="192" t="s">
        <v>450</v>
      </c>
      <c r="C123" s="188" t="s">
        <v>100</v>
      </c>
      <c r="D123" s="199" t="str">
        <f t="shared" si="12"/>
        <v>Agent04</v>
      </c>
      <c r="E123" s="200" t="s">
        <v>256</v>
      </c>
      <c r="F123" s="200" t="s">
        <v>248</v>
      </c>
      <c r="G123" s="201" t="str">
        <f>VLOOKUP(E123,'2.ポータル'!$A:$F,6,FALSE)</f>
        <v>P67:ちとせ</v>
      </c>
      <c r="H123" s="201" t="str">
        <f>VLOOKUP(F123,'2.ポータル'!$A:$F,6,FALSE)</f>
        <v>P63:Rochelle Antique</v>
      </c>
      <c r="I123" s="193"/>
      <c r="J123" s="202" t="e">
        <f t="shared" ca="1" si="11"/>
        <v>#NAME?</v>
      </c>
      <c r="K123" s="203" t="e">
        <f ca="1">VLOOKUP(F123,'2.ポータル'!$A:$G,7,FALSE)</f>
        <v>#NAME?</v>
      </c>
      <c r="M123" s="184"/>
      <c r="N123" s="185"/>
      <c r="O123" s="185"/>
      <c r="P123" s="185"/>
      <c r="Q123" s="193"/>
    </row>
    <row r="124" spans="1:17" ht="17.5">
      <c r="A124" s="198">
        <f t="shared" si="10"/>
        <v>27</v>
      </c>
      <c r="B124" s="192" t="s">
        <v>450</v>
      </c>
      <c r="C124" s="188" t="s">
        <v>100</v>
      </c>
      <c r="D124" s="199" t="str">
        <f t="shared" si="12"/>
        <v>Agent04</v>
      </c>
      <c r="E124" s="200" t="s">
        <v>256</v>
      </c>
      <c r="F124" s="200" t="s">
        <v>230</v>
      </c>
      <c r="G124" s="201" t="str">
        <f>VLOOKUP(E124,'2.ポータル'!$A:$F,6,FALSE)</f>
        <v>P67:ちとせ</v>
      </c>
      <c r="H124" s="201" t="str">
        <f>VLOOKUP(F124,'2.ポータル'!$A:$F,6,FALSE)</f>
        <v>P54:心光寺 山門</v>
      </c>
      <c r="I124" s="193"/>
      <c r="J124" s="202" t="e">
        <f t="shared" ca="1" si="11"/>
        <v>#NAME?</v>
      </c>
      <c r="K124" s="203" t="e">
        <f ca="1">VLOOKUP(F124,'2.ポータル'!$A:$G,7,FALSE)</f>
        <v>#NAME?</v>
      </c>
      <c r="M124" s="184"/>
      <c r="N124" s="185"/>
      <c r="O124" s="185"/>
      <c r="P124" s="185"/>
      <c r="Q124" s="193"/>
    </row>
    <row r="125" spans="1:17" ht="17.5">
      <c r="A125" s="198">
        <f t="shared" si="10"/>
        <v>28</v>
      </c>
      <c r="B125" s="192" t="s">
        <v>450</v>
      </c>
      <c r="C125" s="188" t="s">
        <v>100</v>
      </c>
      <c r="D125" s="199" t="str">
        <f t="shared" si="12"/>
        <v>Agent04</v>
      </c>
      <c r="E125" s="200" t="s">
        <v>256</v>
      </c>
      <c r="F125" s="200" t="s">
        <v>228</v>
      </c>
      <c r="G125" s="201" t="str">
        <f>VLOOKUP(E125,'2.ポータル'!$A:$F,6,FALSE)</f>
        <v>P67:ちとせ</v>
      </c>
      <c r="H125" s="201" t="str">
        <f>VLOOKUP(F125,'2.ポータル'!$A:$F,6,FALSE)</f>
        <v>P53:法蔵寺地蔵尊(みそなめ地蔵)</v>
      </c>
      <c r="I125" s="193"/>
      <c r="J125" s="202" t="e">
        <f t="shared" ca="1" si="11"/>
        <v>#NAME?</v>
      </c>
      <c r="K125" s="203" t="e">
        <f ca="1">VLOOKUP(F125,'2.ポータル'!$A:$G,7,FALSE)</f>
        <v>#NAME?</v>
      </c>
      <c r="M125" s="184"/>
      <c r="N125" s="185"/>
      <c r="O125" s="185"/>
      <c r="P125" s="185"/>
      <c r="Q125" s="193"/>
    </row>
    <row r="126" spans="1:17" ht="17.5">
      <c r="A126" s="198">
        <f t="shared" si="10"/>
        <v>29</v>
      </c>
      <c r="B126" s="192" t="s">
        <v>450</v>
      </c>
      <c r="C126" s="188" t="s">
        <v>100</v>
      </c>
      <c r="D126" s="199" t="str">
        <f t="shared" si="12"/>
        <v>Agent04</v>
      </c>
      <c r="E126" s="200" t="s">
        <v>256</v>
      </c>
      <c r="F126" s="200" t="s">
        <v>252</v>
      </c>
      <c r="G126" s="201" t="str">
        <f>VLOOKUP(E126,'2.ポータル'!$A:$F,6,FALSE)</f>
        <v>P67:ちとせ</v>
      </c>
      <c r="H126" s="201" t="str">
        <f>VLOOKUP(F126,'2.ポータル'!$A:$F,6,FALSE)</f>
        <v>P65:錦町２丁目１区自治会掲示板</v>
      </c>
      <c r="I126" s="193"/>
      <c r="J126" s="202" t="e">
        <f t="shared" ca="1" si="11"/>
        <v>#NAME?</v>
      </c>
      <c r="K126" s="203" t="e">
        <f ca="1">VLOOKUP(F126,'2.ポータル'!$A:$G,7,FALSE)</f>
        <v>#NAME?</v>
      </c>
      <c r="M126" s="184"/>
      <c r="N126" s="185"/>
      <c r="O126" s="185"/>
      <c r="P126" s="185"/>
      <c r="Q126" s="193"/>
    </row>
    <row r="127" spans="1:17" ht="17.5">
      <c r="A127" s="198">
        <f t="shared" si="10"/>
        <v>30</v>
      </c>
      <c r="B127" s="192" t="s">
        <v>450</v>
      </c>
      <c r="C127" s="188" t="s">
        <v>100</v>
      </c>
      <c r="D127" s="199" t="str">
        <f t="shared" si="12"/>
        <v>Agent04</v>
      </c>
      <c r="E127" s="200" t="s">
        <v>256</v>
      </c>
      <c r="F127" s="200" t="s">
        <v>292</v>
      </c>
      <c r="G127" s="201" t="str">
        <f>VLOOKUP(E127,'2.ポータル'!$A:$F,6,FALSE)</f>
        <v>P67:ちとせ</v>
      </c>
      <c r="H127" s="201" t="str">
        <f>VLOOKUP(F127,'2.ポータル'!$A:$F,6,FALSE)</f>
        <v>P85:揺れるパンダ</v>
      </c>
      <c r="I127" s="193"/>
      <c r="J127" s="202" t="e">
        <f t="shared" ca="1" si="11"/>
        <v>#NAME?</v>
      </c>
      <c r="K127" s="203" t="e">
        <f ca="1">VLOOKUP(F127,'2.ポータル'!$A:$G,7,FALSE)</f>
        <v>#NAME?</v>
      </c>
      <c r="M127" s="184"/>
      <c r="N127" s="185"/>
      <c r="O127" s="185"/>
      <c r="P127" s="185"/>
      <c r="Q127" s="193"/>
    </row>
    <row r="128" spans="1:17" ht="17.5">
      <c r="A128" s="198">
        <f t="shared" si="10"/>
        <v>31</v>
      </c>
      <c r="B128" s="192" t="s">
        <v>450</v>
      </c>
      <c r="C128" s="188" t="s">
        <v>100</v>
      </c>
      <c r="D128" s="199" t="str">
        <f t="shared" si="12"/>
        <v>Agent04</v>
      </c>
      <c r="E128" s="200" t="s">
        <v>256</v>
      </c>
      <c r="F128" s="200" t="s">
        <v>278</v>
      </c>
      <c r="G128" s="201" t="str">
        <f>VLOOKUP(E128,'2.ポータル'!$A:$F,6,FALSE)</f>
        <v>P67:ちとせ</v>
      </c>
      <c r="H128" s="201" t="str">
        <f>VLOOKUP(F128,'2.ポータル'!$A:$F,6,FALSE)</f>
        <v>P78:米子市中心市街地地図</v>
      </c>
      <c r="I128" s="193"/>
      <c r="J128" s="202" t="e">
        <f t="shared" ca="1" si="11"/>
        <v>#NAME?</v>
      </c>
      <c r="K128" s="203" t="e">
        <f ca="1">VLOOKUP(F128,'2.ポータル'!$A:$G,7,FALSE)</f>
        <v>#NAME?</v>
      </c>
      <c r="M128" s="184"/>
      <c r="N128" s="185"/>
      <c r="O128" s="185"/>
      <c r="P128" s="185"/>
      <c r="Q128" s="193"/>
    </row>
    <row r="129" spans="1:17" ht="17.5">
      <c r="A129" s="205"/>
      <c r="B129" s="206" t="s">
        <v>451</v>
      </c>
      <c r="C129" s="207"/>
      <c r="D129" s="208"/>
      <c r="E129" s="209"/>
      <c r="F129" s="209"/>
      <c r="G129" s="210"/>
      <c r="H129" s="210"/>
      <c r="I129" s="209"/>
      <c r="J129" s="211"/>
      <c r="K129" s="210"/>
      <c r="L129" s="193"/>
      <c r="N129" s="193"/>
      <c r="O129" s="193"/>
      <c r="P129" s="193"/>
      <c r="Q129" s="193"/>
    </row>
    <row r="130" spans="1:17" ht="17.5">
      <c r="A130" s="183"/>
      <c r="B130" s="192"/>
      <c r="C130" s="183"/>
      <c r="D130" s="212"/>
      <c r="E130" s="213"/>
      <c r="F130" s="213"/>
      <c r="G130" s="212"/>
      <c r="H130" s="214"/>
      <c r="I130" s="193"/>
      <c r="J130" s="215"/>
      <c r="K130" s="212"/>
      <c r="N130" s="193"/>
      <c r="O130" s="193"/>
      <c r="P130" s="193"/>
      <c r="Q130" s="193"/>
    </row>
    <row r="131" spans="1:17" ht="28.5">
      <c r="A131" s="188"/>
      <c r="B131" s="189" t="s">
        <v>462</v>
      </c>
      <c r="C131" s="188"/>
      <c r="D131" s="190"/>
      <c r="E131" s="185"/>
      <c r="F131" s="185"/>
      <c r="G131" s="191" t="s">
        <v>463</v>
      </c>
      <c r="H131" s="192" t="s">
        <v>464</v>
      </c>
      <c r="I131" s="193"/>
      <c r="J131" s="194"/>
      <c r="K131" s="192"/>
      <c r="L131" s="183"/>
      <c r="N131" s="185"/>
      <c r="O131" s="185"/>
      <c r="P131" s="185"/>
      <c r="Q131" s="185"/>
    </row>
    <row r="132" spans="1:17" ht="17.5">
      <c r="A132" s="177"/>
      <c r="B132" s="178" t="s">
        <v>437</v>
      </c>
      <c r="C132" s="177" t="s">
        <v>91</v>
      </c>
      <c r="D132" s="178" t="s">
        <v>438</v>
      </c>
      <c r="E132" s="179" t="s">
        <v>439</v>
      </c>
      <c r="F132" s="179" t="s">
        <v>440</v>
      </c>
      <c r="G132" s="178" t="s">
        <v>441</v>
      </c>
      <c r="H132" s="180" t="s">
        <v>442</v>
      </c>
      <c r="I132" s="181" t="s">
        <v>443</v>
      </c>
      <c r="J132" s="182"/>
      <c r="K132" s="178" t="s">
        <v>444</v>
      </c>
      <c r="L132" s="183"/>
      <c r="N132" s="184"/>
      <c r="O132" s="185"/>
      <c r="P132" s="185"/>
      <c r="Q132" s="185"/>
    </row>
    <row r="133" spans="1:17" ht="17.5">
      <c r="A133" s="195"/>
      <c r="B133" s="195" t="s">
        <v>449</v>
      </c>
      <c r="C133" s="195"/>
      <c r="D133" s="195"/>
      <c r="E133" s="195"/>
      <c r="F133" s="195"/>
      <c r="G133" s="195"/>
      <c r="H133" s="196"/>
      <c r="I133" s="196"/>
      <c r="J133" s="197"/>
      <c r="K133" s="195"/>
      <c r="N133" s="184"/>
      <c r="O133" s="185"/>
      <c r="P133" s="185"/>
      <c r="Q133" s="193"/>
    </row>
    <row r="134" spans="1:17" ht="17.5">
      <c r="A134" s="198">
        <f t="shared" ref="A134:A164" si="13">A133+1</f>
        <v>1</v>
      </c>
      <c r="B134" s="192" t="s">
        <v>450</v>
      </c>
      <c r="C134" s="188" t="s">
        <v>100</v>
      </c>
      <c r="D134" s="199" t="str">
        <f>B131</f>
        <v>Agent05</v>
      </c>
      <c r="E134" s="200" t="s">
        <v>298</v>
      </c>
      <c r="F134" s="200" t="s">
        <v>433</v>
      </c>
      <c r="G134" s="201" t="str">
        <f>VLOOKUP(E134,'2.ポータル'!$A:$F,6,FALSE)</f>
        <v>P88:どろたぼう駅</v>
      </c>
      <c r="H134" s="201" t="str">
        <f>VLOOKUP(F134,'2.ポータル'!$A:$F,6,FALSE)</f>
        <v>ポータルをキャプチャします</v>
      </c>
      <c r="I134" s="193"/>
      <c r="J134" s="202" t="str">
        <f t="shared" ref="J134:J164" si="14">IF(F134="X99"," ", IF(D134=K134,"","★"))</f>
        <v xml:space="preserve"> </v>
      </c>
      <c r="K134" s="203">
        <f>VLOOKUP(F134,'2.ポータル'!$A:$G,7,FALSE)</f>
        <v>0</v>
      </c>
      <c r="N134" s="184"/>
      <c r="O134" s="185"/>
      <c r="P134" s="185"/>
      <c r="Q134" s="193"/>
    </row>
    <row r="135" spans="1:17" ht="17.5">
      <c r="A135" s="198">
        <f t="shared" si="13"/>
        <v>2</v>
      </c>
      <c r="B135" s="192" t="s">
        <v>450</v>
      </c>
      <c r="C135" s="188" t="s">
        <v>100</v>
      </c>
      <c r="D135" s="199" t="str">
        <f t="shared" ref="D135:D157" si="15">D134</f>
        <v>Agent05</v>
      </c>
      <c r="E135" s="200" t="s">
        <v>282</v>
      </c>
      <c r="F135" s="200" t="s">
        <v>433</v>
      </c>
      <c r="G135" s="201" t="str">
        <f>VLOOKUP(E135,'2.ポータル'!$A:$F,6,FALSE)</f>
        <v>P80:JR後藤駅</v>
      </c>
      <c r="H135" s="201" t="str">
        <f>VLOOKUP(F135,'2.ポータル'!$A:$F,6,FALSE)</f>
        <v>ポータルをキャプチャします</v>
      </c>
      <c r="I135" s="193"/>
      <c r="J135" s="202" t="str">
        <f t="shared" si="14"/>
        <v xml:space="preserve"> </v>
      </c>
      <c r="K135" s="203">
        <f>VLOOKUP(F135,'2.ポータル'!$A:$G,7,FALSE)</f>
        <v>0</v>
      </c>
      <c r="N135" s="184"/>
      <c r="O135" s="185"/>
      <c r="P135" s="185"/>
      <c r="Q135" s="193"/>
    </row>
    <row r="136" spans="1:17" ht="17.5">
      <c r="A136" s="198">
        <f t="shared" si="13"/>
        <v>3</v>
      </c>
      <c r="B136" s="192" t="s">
        <v>450</v>
      </c>
      <c r="C136" s="188" t="s">
        <v>100</v>
      </c>
      <c r="D136" s="199" t="str">
        <f t="shared" si="15"/>
        <v>Agent05</v>
      </c>
      <c r="E136" s="200" t="s">
        <v>278</v>
      </c>
      <c r="F136" s="200" t="s">
        <v>298</v>
      </c>
      <c r="G136" s="201" t="str">
        <f>VLOOKUP(E136,'2.ポータル'!$A:$F,6,FALSE)</f>
        <v>P78:米子市中心市街地地図</v>
      </c>
      <c r="H136" s="201" t="str">
        <f>VLOOKUP(F136,'2.ポータル'!$A:$F,6,FALSE)</f>
        <v>P88:どろたぼう駅</v>
      </c>
      <c r="I136" s="193"/>
      <c r="J136" s="202" t="e">
        <f t="shared" ca="1" si="14"/>
        <v>#NAME?</v>
      </c>
      <c r="K136" s="203" t="e">
        <f ca="1">VLOOKUP(F136,'2.ポータル'!$A:$G,7,FALSE)</f>
        <v>#NAME?</v>
      </c>
      <c r="N136" s="204"/>
      <c r="O136" s="185"/>
      <c r="P136" s="185"/>
      <c r="Q136" s="193"/>
    </row>
    <row r="137" spans="1:17" ht="17.5">
      <c r="A137" s="198">
        <f t="shared" si="13"/>
        <v>4</v>
      </c>
      <c r="B137" s="192" t="s">
        <v>450</v>
      </c>
      <c r="C137" s="188" t="s">
        <v>100</v>
      </c>
      <c r="D137" s="199" t="str">
        <f t="shared" si="15"/>
        <v>Agent05</v>
      </c>
      <c r="E137" s="200" t="s">
        <v>278</v>
      </c>
      <c r="F137" s="200" t="s">
        <v>282</v>
      </c>
      <c r="G137" s="201" t="str">
        <f>VLOOKUP(E137,'2.ポータル'!$A:$F,6,FALSE)</f>
        <v>P78:米子市中心市街地地図</v>
      </c>
      <c r="H137" s="201" t="str">
        <f>VLOOKUP(F137,'2.ポータル'!$A:$F,6,FALSE)</f>
        <v>P80:JR後藤駅</v>
      </c>
      <c r="I137" s="193"/>
      <c r="J137" s="202" t="e">
        <f t="shared" ca="1" si="14"/>
        <v>#NAME?</v>
      </c>
      <c r="K137" s="203" t="e">
        <f ca="1">VLOOKUP(F137,'2.ポータル'!$A:$G,7,FALSE)</f>
        <v>#NAME?</v>
      </c>
      <c r="N137" s="184"/>
      <c r="O137" s="185"/>
      <c r="P137" s="185"/>
      <c r="Q137" s="193"/>
    </row>
    <row r="138" spans="1:17" ht="17.5">
      <c r="A138" s="198">
        <f t="shared" si="13"/>
        <v>5</v>
      </c>
      <c r="B138" s="192" t="s">
        <v>450</v>
      </c>
      <c r="C138" s="188" t="s">
        <v>100</v>
      </c>
      <c r="D138" s="199" t="str">
        <f t="shared" si="15"/>
        <v>Agent05</v>
      </c>
      <c r="E138" s="200" t="s">
        <v>278</v>
      </c>
      <c r="F138" s="200" t="s">
        <v>298</v>
      </c>
      <c r="G138" s="201" t="str">
        <f>VLOOKUP(E138,'2.ポータル'!$A:$F,6,FALSE)</f>
        <v>P78:米子市中心市街地地図</v>
      </c>
      <c r="H138" s="201" t="str">
        <f>VLOOKUP(F138,'2.ポータル'!$A:$F,6,FALSE)</f>
        <v>P88:どろたぼう駅</v>
      </c>
      <c r="I138" s="193"/>
      <c r="J138" s="202" t="e">
        <f t="shared" ca="1" si="14"/>
        <v>#NAME?</v>
      </c>
      <c r="K138" s="203" t="e">
        <f ca="1">VLOOKUP(F138,'2.ポータル'!$A:$G,7,FALSE)</f>
        <v>#NAME?</v>
      </c>
      <c r="N138" s="184"/>
      <c r="O138" s="185"/>
      <c r="P138" s="185"/>
      <c r="Q138" s="193"/>
    </row>
    <row r="139" spans="1:17" ht="17.5">
      <c r="A139" s="198">
        <f t="shared" si="13"/>
        <v>6</v>
      </c>
      <c r="B139" s="192" t="s">
        <v>450</v>
      </c>
      <c r="C139" s="188" t="s">
        <v>100</v>
      </c>
      <c r="D139" s="199" t="str">
        <f t="shared" si="15"/>
        <v>Agent05</v>
      </c>
      <c r="E139" s="200" t="s">
        <v>296</v>
      </c>
      <c r="F139" s="200" t="s">
        <v>278</v>
      </c>
      <c r="G139" s="201" t="str">
        <f>VLOOKUP(E139,'2.ポータル'!$A:$F,6,FALSE)</f>
        <v>P87:米原1丁目住宅案内図</v>
      </c>
      <c r="H139" s="201" t="str">
        <f>VLOOKUP(F139,'2.ポータル'!$A:$F,6,FALSE)</f>
        <v>P78:米子市中心市街地地図</v>
      </c>
      <c r="I139" s="193"/>
      <c r="J139" s="202" t="e">
        <f t="shared" ca="1" si="14"/>
        <v>#NAME?</v>
      </c>
      <c r="K139" s="203" t="e">
        <f ca="1">VLOOKUP(F139,'2.ポータル'!$A:$G,7,FALSE)</f>
        <v>#NAME?</v>
      </c>
      <c r="M139" s="184"/>
      <c r="N139" s="184"/>
      <c r="O139" s="185"/>
      <c r="P139" s="185"/>
      <c r="Q139" s="193"/>
    </row>
    <row r="140" spans="1:17" ht="17.5">
      <c r="A140" s="198">
        <f t="shared" si="13"/>
        <v>7</v>
      </c>
      <c r="B140" s="192" t="s">
        <v>450</v>
      </c>
      <c r="C140" s="188" t="s">
        <v>100</v>
      </c>
      <c r="D140" s="199" t="str">
        <f t="shared" si="15"/>
        <v>Agent05</v>
      </c>
      <c r="E140" s="200" t="s">
        <v>292</v>
      </c>
      <c r="F140" s="200" t="s">
        <v>296</v>
      </c>
      <c r="G140" s="201" t="str">
        <f>VLOOKUP(E140,'2.ポータル'!$A:$F,6,FALSE)</f>
        <v>P85:揺れるパンダ</v>
      </c>
      <c r="H140" s="201" t="str">
        <f>VLOOKUP(F140,'2.ポータル'!$A:$F,6,FALSE)</f>
        <v>P87:米原1丁目住宅案内図</v>
      </c>
      <c r="I140" s="193"/>
      <c r="J140" s="202" t="e">
        <f t="shared" ca="1" si="14"/>
        <v>#NAME?</v>
      </c>
      <c r="K140" s="203" t="e">
        <f ca="1">VLOOKUP(F140,'2.ポータル'!$A:$G,7,FALSE)</f>
        <v>#NAME?</v>
      </c>
      <c r="M140" s="184"/>
      <c r="N140" s="184"/>
      <c r="O140" s="185"/>
      <c r="P140" s="185"/>
      <c r="Q140" s="193"/>
    </row>
    <row r="141" spans="1:17" ht="17.5">
      <c r="A141" s="198">
        <f t="shared" si="13"/>
        <v>8</v>
      </c>
      <c r="B141" s="192" t="s">
        <v>450</v>
      </c>
      <c r="C141" s="188" t="s">
        <v>100</v>
      </c>
      <c r="D141" s="199" t="str">
        <f t="shared" si="15"/>
        <v>Agent05</v>
      </c>
      <c r="E141" s="200" t="s">
        <v>292</v>
      </c>
      <c r="F141" s="200" t="s">
        <v>278</v>
      </c>
      <c r="G141" s="201" t="str">
        <f>VLOOKUP(E141,'2.ポータル'!$A:$F,6,FALSE)</f>
        <v>P85:揺れるパンダ</v>
      </c>
      <c r="H141" s="201" t="str">
        <f>VLOOKUP(F141,'2.ポータル'!$A:$F,6,FALSE)</f>
        <v>P78:米子市中心市街地地図</v>
      </c>
      <c r="I141" s="193"/>
      <c r="J141" s="202" t="e">
        <f t="shared" ca="1" si="14"/>
        <v>#NAME?</v>
      </c>
      <c r="K141" s="203" t="e">
        <f ca="1">VLOOKUP(F141,'2.ポータル'!$A:$G,7,FALSE)</f>
        <v>#NAME?</v>
      </c>
      <c r="M141" s="184"/>
      <c r="N141" s="185"/>
      <c r="O141" s="185"/>
      <c r="P141" s="185"/>
      <c r="Q141" s="193"/>
    </row>
    <row r="142" spans="1:17" ht="17.5">
      <c r="A142" s="198">
        <f t="shared" si="13"/>
        <v>9</v>
      </c>
      <c r="B142" s="192" t="s">
        <v>450</v>
      </c>
      <c r="C142" s="188" t="s">
        <v>100</v>
      </c>
      <c r="D142" s="199" t="str">
        <f t="shared" si="15"/>
        <v>Agent05</v>
      </c>
      <c r="E142" s="200" t="s">
        <v>294</v>
      </c>
      <c r="F142" s="200" t="s">
        <v>433</v>
      </c>
      <c r="G142" s="201" t="str">
        <f>VLOOKUP(E142,'2.ポータル'!$A:$F,6,FALSE)</f>
        <v>P86:立町の遊歩道</v>
      </c>
      <c r="H142" s="201" t="str">
        <f>VLOOKUP(F142,'2.ポータル'!$A:$F,6,FALSE)</f>
        <v>ポータルをキャプチャします</v>
      </c>
      <c r="I142" s="193"/>
      <c r="J142" s="202" t="str">
        <f t="shared" si="14"/>
        <v xml:space="preserve"> </v>
      </c>
      <c r="K142" s="203">
        <f>VLOOKUP(F142,'2.ポータル'!$A:$G,7,FALSE)</f>
        <v>0</v>
      </c>
      <c r="M142" s="184"/>
      <c r="N142" s="185"/>
      <c r="O142" s="185"/>
      <c r="P142" s="185"/>
      <c r="Q142" s="193"/>
    </row>
    <row r="143" spans="1:17" ht="17.5">
      <c r="A143" s="198">
        <f t="shared" si="13"/>
        <v>10</v>
      </c>
      <c r="B143" s="192" t="s">
        <v>450</v>
      </c>
      <c r="C143" s="188" t="s">
        <v>100</v>
      </c>
      <c r="D143" s="199" t="str">
        <f t="shared" si="15"/>
        <v>Agent05</v>
      </c>
      <c r="E143" s="200" t="s">
        <v>276</v>
      </c>
      <c r="F143" s="200" t="s">
        <v>433</v>
      </c>
      <c r="G143" s="201" t="str">
        <f>VLOOKUP(E143,'2.ポータル'!$A:$F,6,FALSE)</f>
        <v>P77:理想教 米子法堂</v>
      </c>
      <c r="H143" s="201" t="str">
        <f>VLOOKUP(F143,'2.ポータル'!$A:$F,6,FALSE)</f>
        <v>ポータルをキャプチャします</v>
      </c>
      <c r="I143" s="193"/>
      <c r="J143" s="202" t="str">
        <f t="shared" si="14"/>
        <v xml:space="preserve"> </v>
      </c>
      <c r="K143" s="203">
        <f>VLOOKUP(F143,'2.ポータル'!$A:$G,7,FALSE)</f>
        <v>0</v>
      </c>
      <c r="M143" s="184"/>
      <c r="N143" s="185"/>
      <c r="O143" s="185"/>
      <c r="P143" s="185"/>
      <c r="Q143" s="193"/>
    </row>
    <row r="144" spans="1:17" ht="17.5">
      <c r="A144" s="198">
        <f t="shared" si="13"/>
        <v>11</v>
      </c>
      <c r="B144" s="192" t="s">
        <v>450</v>
      </c>
      <c r="C144" s="188" t="s">
        <v>100</v>
      </c>
      <c r="D144" s="199" t="str">
        <f t="shared" si="15"/>
        <v>Agent05</v>
      </c>
      <c r="E144" s="200" t="s">
        <v>312</v>
      </c>
      <c r="F144" s="200" t="s">
        <v>433</v>
      </c>
      <c r="G144" s="201" t="str">
        <f>VLOOKUP(E144,'2.ポータル'!$A:$F,6,FALSE)</f>
        <v>P95:Casa Dea</v>
      </c>
      <c r="H144" s="201" t="str">
        <f>VLOOKUP(F144,'2.ポータル'!$A:$F,6,FALSE)</f>
        <v>ポータルをキャプチャします</v>
      </c>
      <c r="I144" s="193"/>
      <c r="J144" s="202" t="str">
        <f t="shared" si="14"/>
        <v xml:space="preserve"> </v>
      </c>
      <c r="K144" s="203">
        <f>VLOOKUP(F144,'2.ポータル'!$A:$G,7,FALSE)</f>
        <v>0</v>
      </c>
      <c r="M144" s="184"/>
      <c r="N144" s="185"/>
      <c r="O144" s="185"/>
      <c r="P144" s="185"/>
      <c r="Q144" s="193"/>
    </row>
    <row r="145" spans="1:17" ht="17.5">
      <c r="A145" s="198">
        <f t="shared" si="13"/>
        <v>12</v>
      </c>
      <c r="B145" s="192" t="s">
        <v>450</v>
      </c>
      <c r="C145" s="188" t="s">
        <v>100</v>
      </c>
      <c r="D145" s="199" t="str">
        <f t="shared" si="15"/>
        <v>Agent05</v>
      </c>
      <c r="E145" s="200" t="s">
        <v>318</v>
      </c>
      <c r="F145" s="200" t="s">
        <v>312</v>
      </c>
      <c r="G145" s="201" t="str">
        <f>VLOOKUP(E145,'2.ポータル'!$A:$F,6,FALSE)</f>
        <v>P98:公園のブランコ</v>
      </c>
      <c r="H145" s="201" t="str">
        <f>VLOOKUP(F145,'2.ポータル'!$A:$F,6,FALSE)</f>
        <v>P95:Casa Dea</v>
      </c>
      <c r="I145" s="193"/>
      <c r="J145" s="202" t="e">
        <f t="shared" ca="1" si="14"/>
        <v>#NAME?</v>
      </c>
      <c r="K145" s="203" t="e">
        <f ca="1">VLOOKUP(F145,'2.ポータル'!$A:$G,7,FALSE)</f>
        <v>#NAME?</v>
      </c>
      <c r="M145" s="184"/>
      <c r="N145" s="185"/>
      <c r="O145" s="185"/>
      <c r="P145" s="185"/>
      <c r="Q145" s="193"/>
    </row>
    <row r="146" spans="1:17" ht="17.5">
      <c r="A146" s="198">
        <f t="shared" si="13"/>
        <v>13</v>
      </c>
      <c r="B146" s="192" t="s">
        <v>450</v>
      </c>
      <c r="C146" s="188" t="s">
        <v>100</v>
      </c>
      <c r="D146" s="199" t="str">
        <f t="shared" si="15"/>
        <v>Agent05</v>
      </c>
      <c r="E146" s="200" t="s">
        <v>306</v>
      </c>
      <c r="F146" s="200" t="s">
        <v>312</v>
      </c>
      <c r="G146" s="201" t="str">
        <f>VLOOKUP(E146,'2.ポータル'!$A:$F,6,FALSE)</f>
        <v>P92:米子福音ルーテル教会</v>
      </c>
      <c r="H146" s="201" t="str">
        <f>VLOOKUP(F146,'2.ポータル'!$A:$F,6,FALSE)</f>
        <v>P95:Casa Dea</v>
      </c>
      <c r="I146" s="193"/>
      <c r="J146" s="202" t="e">
        <f t="shared" ca="1" si="14"/>
        <v>#NAME?</v>
      </c>
      <c r="K146" s="203" t="e">
        <f ca="1">VLOOKUP(F146,'2.ポータル'!$A:$G,7,FALSE)</f>
        <v>#NAME?</v>
      </c>
      <c r="M146" s="184"/>
      <c r="N146" s="185"/>
      <c r="O146" s="185"/>
      <c r="P146" s="185"/>
      <c r="Q146" s="193"/>
    </row>
    <row r="147" spans="1:17" ht="17.5">
      <c r="A147" s="198">
        <f t="shared" si="13"/>
        <v>14</v>
      </c>
      <c r="B147" s="192" t="s">
        <v>450</v>
      </c>
      <c r="C147" s="188" t="s">
        <v>100</v>
      </c>
      <c r="D147" s="199" t="str">
        <f t="shared" si="15"/>
        <v>Agent05</v>
      </c>
      <c r="E147" s="200" t="s">
        <v>306</v>
      </c>
      <c r="F147" s="200" t="s">
        <v>276</v>
      </c>
      <c r="G147" s="201" t="str">
        <f>VLOOKUP(E147,'2.ポータル'!$A:$F,6,FALSE)</f>
        <v>P92:米子福音ルーテル教会</v>
      </c>
      <c r="H147" s="201" t="str">
        <f>VLOOKUP(F147,'2.ポータル'!$A:$F,6,FALSE)</f>
        <v>P77:理想教 米子法堂</v>
      </c>
      <c r="I147" s="193"/>
      <c r="J147" s="202" t="e">
        <f t="shared" ca="1" si="14"/>
        <v>#NAME?</v>
      </c>
      <c r="K147" s="203" t="e">
        <f ca="1">VLOOKUP(F147,'2.ポータル'!$A:$G,7,FALSE)</f>
        <v>#NAME?</v>
      </c>
      <c r="M147" s="184"/>
      <c r="N147" s="185"/>
      <c r="O147" s="185"/>
      <c r="P147" s="185"/>
      <c r="Q147" s="193"/>
    </row>
    <row r="148" spans="1:17" ht="17.5">
      <c r="A148" s="198">
        <f t="shared" si="13"/>
        <v>15</v>
      </c>
      <c r="B148" s="192" t="s">
        <v>450</v>
      </c>
      <c r="C148" s="188" t="s">
        <v>100</v>
      </c>
      <c r="D148" s="199" t="str">
        <f t="shared" si="15"/>
        <v>Agent05</v>
      </c>
      <c r="E148" s="200" t="s">
        <v>306</v>
      </c>
      <c r="F148" s="200" t="s">
        <v>294</v>
      </c>
      <c r="G148" s="201" t="str">
        <f>VLOOKUP(E148,'2.ポータル'!$A:$F,6,FALSE)</f>
        <v>P92:米子福音ルーテル教会</v>
      </c>
      <c r="H148" s="201" t="str">
        <f>VLOOKUP(F148,'2.ポータル'!$A:$F,6,FALSE)</f>
        <v>P86:立町の遊歩道</v>
      </c>
      <c r="I148" s="193"/>
      <c r="J148" s="202" t="e">
        <f t="shared" ca="1" si="14"/>
        <v>#NAME?</v>
      </c>
      <c r="K148" s="203" t="e">
        <f ca="1">VLOOKUP(F148,'2.ポータル'!$A:$G,7,FALSE)</f>
        <v>#NAME?</v>
      </c>
      <c r="M148" s="184"/>
      <c r="N148" s="185"/>
      <c r="O148" s="185"/>
      <c r="P148" s="185"/>
      <c r="Q148" s="193"/>
    </row>
    <row r="149" spans="1:17" ht="17.5">
      <c r="A149" s="198">
        <f t="shared" si="13"/>
        <v>16</v>
      </c>
      <c r="B149" s="192" t="s">
        <v>450</v>
      </c>
      <c r="C149" s="188" t="s">
        <v>100</v>
      </c>
      <c r="D149" s="199" t="str">
        <f t="shared" si="15"/>
        <v>Agent05</v>
      </c>
      <c r="E149" s="200" t="s">
        <v>314</v>
      </c>
      <c r="F149" s="200" t="s">
        <v>312</v>
      </c>
      <c r="G149" s="201" t="str">
        <f>VLOOKUP(E149,'2.ポータル'!$A:$F,6,FALSE)</f>
        <v>P96:米原のINFORMATION</v>
      </c>
      <c r="H149" s="201" t="str">
        <f>VLOOKUP(F149,'2.ポータル'!$A:$F,6,FALSE)</f>
        <v>P95:Casa Dea</v>
      </c>
      <c r="I149" s="193"/>
      <c r="J149" s="202" t="e">
        <f t="shared" ca="1" si="14"/>
        <v>#NAME?</v>
      </c>
      <c r="K149" s="203" t="e">
        <f ca="1">VLOOKUP(F149,'2.ポータル'!$A:$G,7,FALSE)</f>
        <v>#NAME?</v>
      </c>
      <c r="M149" s="184"/>
      <c r="N149" s="185"/>
      <c r="O149" s="185"/>
      <c r="P149" s="185"/>
      <c r="Q149" s="193"/>
    </row>
    <row r="150" spans="1:17" ht="17.5">
      <c r="A150" s="198">
        <f t="shared" si="13"/>
        <v>17</v>
      </c>
      <c r="B150" s="192" t="s">
        <v>450</v>
      </c>
      <c r="C150" s="188" t="s">
        <v>100</v>
      </c>
      <c r="D150" s="199" t="str">
        <f t="shared" si="15"/>
        <v>Agent05</v>
      </c>
      <c r="E150" s="200" t="s">
        <v>314</v>
      </c>
      <c r="F150" s="200" t="s">
        <v>318</v>
      </c>
      <c r="G150" s="201" t="str">
        <f>VLOOKUP(E150,'2.ポータル'!$A:$F,6,FALSE)</f>
        <v>P96:米原のINFORMATION</v>
      </c>
      <c r="H150" s="201" t="str">
        <f>VLOOKUP(F150,'2.ポータル'!$A:$F,6,FALSE)</f>
        <v>P98:公園のブランコ</v>
      </c>
      <c r="I150" s="193"/>
      <c r="J150" s="202" t="e">
        <f t="shared" ca="1" si="14"/>
        <v>#NAME?</v>
      </c>
      <c r="K150" s="203" t="e">
        <f ca="1">VLOOKUP(F150,'2.ポータル'!$A:$G,7,FALSE)</f>
        <v>#NAME?</v>
      </c>
      <c r="M150" s="184"/>
      <c r="N150" s="185"/>
      <c r="O150" s="185"/>
      <c r="P150" s="185"/>
      <c r="Q150" s="193"/>
    </row>
    <row r="151" spans="1:17" ht="17.5">
      <c r="A151" s="198">
        <f t="shared" si="13"/>
        <v>18</v>
      </c>
      <c r="B151" s="192" t="s">
        <v>450</v>
      </c>
      <c r="C151" s="188" t="s">
        <v>100</v>
      </c>
      <c r="D151" s="199" t="str">
        <f t="shared" si="15"/>
        <v>Agent05</v>
      </c>
      <c r="E151" s="200" t="s">
        <v>314</v>
      </c>
      <c r="F151" s="200" t="s">
        <v>306</v>
      </c>
      <c r="G151" s="201" t="str">
        <f>VLOOKUP(E151,'2.ポータル'!$A:$F,6,FALSE)</f>
        <v>P96:米原のINFORMATION</v>
      </c>
      <c r="H151" s="201" t="str">
        <f>VLOOKUP(F151,'2.ポータル'!$A:$F,6,FALSE)</f>
        <v>P92:米子福音ルーテル教会</v>
      </c>
      <c r="I151" s="193"/>
      <c r="J151" s="202" t="e">
        <f t="shared" ca="1" si="14"/>
        <v>#NAME?</v>
      </c>
      <c r="K151" s="203" t="e">
        <f ca="1">VLOOKUP(F151,'2.ポータル'!$A:$G,7,FALSE)</f>
        <v>#NAME?</v>
      </c>
      <c r="M151" s="184"/>
      <c r="N151" s="185"/>
      <c r="O151" s="185"/>
      <c r="P151" s="185"/>
      <c r="Q151" s="193"/>
    </row>
    <row r="152" spans="1:17" ht="17.5">
      <c r="A152" s="198">
        <f t="shared" si="13"/>
        <v>19</v>
      </c>
      <c r="B152" s="192" t="s">
        <v>450</v>
      </c>
      <c r="C152" s="188" t="s">
        <v>100</v>
      </c>
      <c r="D152" s="199" t="str">
        <f t="shared" si="15"/>
        <v>Agent05</v>
      </c>
      <c r="E152" s="200" t="s">
        <v>314</v>
      </c>
      <c r="F152" s="200" t="s">
        <v>294</v>
      </c>
      <c r="G152" s="201" t="str">
        <f>VLOOKUP(E152,'2.ポータル'!$A:$F,6,FALSE)</f>
        <v>P96:米原のINFORMATION</v>
      </c>
      <c r="H152" s="201" t="str">
        <f>VLOOKUP(F152,'2.ポータル'!$A:$F,6,FALSE)</f>
        <v>P86:立町の遊歩道</v>
      </c>
      <c r="I152" s="193"/>
      <c r="J152" s="202" t="e">
        <f t="shared" ca="1" si="14"/>
        <v>#NAME?</v>
      </c>
      <c r="K152" s="203" t="e">
        <f ca="1">VLOOKUP(F152,'2.ポータル'!$A:$G,7,FALSE)</f>
        <v>#NAME?</v>
      </c>
      <c r="M152" s="184"/>
      <c r="N152" s="185"/>
      <c r="O152" s="185"/>
      <c r="P152" s="185"/>
      <c r="Q152" s="193"/>
    </row>
    <row r="153" spans="1:17" ht="17.5">
      <c r="A153" s="198">
        <f t="shared" si="13"/>
        <v>20</v>
      </c>
      <c r="B153" s="192" t="s">
        <v>450</v>
      </c>
      <c r="C153" s="188" t="s">
        <v>100</v>
      </c>
      <c r="D153" s="199" t="str">
        <f t="shared" si="15"/>
        <v>Agent05</v>
      </c>
      <c r="E153" s="200" t="s">
        <v>314</v>
      </c>
      <c r="F153" s="200" t="s">
        <v>292</v>
      </c>
      <c r="G153" s="201" t="str">
        <f>VLOOKUP(E153,'2.ポータル'!$A:$F,6,FALSE)</f>
        <v>P96:米原のINFORMATION</v>
      </c>
      <c r="H153" s="201" t="str">
        <f>VLOOKUP(F153,'2.ポータル'!$A:$F,6,FALSE)</f>
        <v>P85:揺れるパンダ</v>
      </c>
      <c r="I153" s="193"/>
      <c r="J153" s="202" t="e">
        <f t="shared" ca="1" si="14"/>
        <v>#NAME?</v>
      </c>
      <c r="K153" s="203" t="e">
        <f ca="1">VLOOKUP(F153,'2.ポータル'!$A:$G,7,FALSE)</f>
        <v>#NAME?</v>
      </c>
      <c r="M153" s="184"/>
      <c r="N153" s="185"/>
      <c r="O153" s="185"/>
      <c r="P153" s="185"/>
      <c r="Q153" s="193"/>
    </row>
    <row r="154" spans="1:17" ht="17.5">
      <c r="A154" s="198">
        <f t="shared" si="13"/>
        <v>21</v>
      </c>
      <c r="B154" s="192" t="s">
        <v>450</v>
      </c>
      <c r="C154" s="188" t="s">
        <v>100</v>
      </c>
      <c r="D154" s="199" t="str">
        <f t="shared" si="15"/>
        <v>Agent05</v>
      </c>
      <c r="E154" s="200" t="s">
        <v>314</v>
      </c>
      <c r="F154" s="200" t="s">
        <v>278</v>
      </c>
      <c r="G154" s="201" t="str">
        <f>VLOOKUP(E154,'2.ポータル'!$A:$F,6,FALSE)</f>
        <v>P96:米原のINFORMATION</v>
      </c>
      <c r="H154" s="201" t="str">
        <f>VLOOKUP(F154,'2.ポータル'!$A:$F,6,FALSE)</f>
        <v>P78:米子市中心市街地地図</v>
      </c>
      <c r="I154" s="193"/>
      <c r="J154" s="202" t="e">
        <f t="shared" ca="1" si="14"/>
        <v>#NAME?</v>
      </c>
      <c r="K154" s="203" t="e">
        <f ca="1">VLOOKUP(F154,'2.ポータル'!$A:$G,7,FALSE)</f>
        <v>#NAME?</v>
      </c>
      <c r="M154" s="184"/>
      <c r="N154" s="185"/>
      <c r="O154" s="185"/>
      <c r="P154" s="185"/>
      <c r="Q154" s="193"/>
    </row>
    <row r="155" spans="1:17" ht="17.5">
      <c r="A155" s="198">
        <f t="shared" si="13"/>
        <v>22</v>
      </c>
      <c r="B155" s="192" t="s">
        <v>450</v>
      </c>
      <c r="C155" s="188" t="s">
        <v>100</v>
      </c>
      <c r="D155" s="199" t="str">
        <f t="shared" si="15"/>
        <v>Agent05</v>
      </c>
      <c r="E155" s="200" t="s">
        <v>314</v>
      </c>
      <c r="F155" s="200" t="s">
        <v>296</v>
      </c>
      <c r="G155" s="201" t="str">
        <f>VLOOKUP(E155,'2.ポータル'!$A:$F,6,FALSE)</f>
        <v>P96:米原のINFORMATION</v>
      </c>
      <c r="H155" s="201" t="str">
        <f>VLOOKUP(F155,'2.ポータル'!$A:$F,6,FALSE)</f>
        <v>P87:米原1丁目住宅案内図</v>
      </c>
      <c r="I155" s="193"/>
      <c r="J155" s="202" t="e">
        <f t="shared" ca="1" si="14"/>
        <v>#NAME?</v>
      </c>
      <c r="K155" s="203" t="e">
        <f ca="1">VLOOKUP(F155,'2.ポータル'!$A:$G,7,FALSE)</f>
        <v>#NAME?</v>
      </c>
      <c r="M155" s="184"/>
      <c r="N155" s="185"/>
      <c r="O155" s="185"/>
      <c r="P155" s="185"/>
      <c r="Q155" s="193"/>
    </row>
    <row r="156" spans="1:17" ht="17.5">
      <c r="A156" s="198">
        <f t="shared" si="13"/>
        <v>23</v>
      </c>
      <c r="B156" s="192" t="s">
        <v>450</v>
      </c>
      <c r="C156" s="188" t="s">
        <v>100</v>
      </c>
      <c r="D156" s="199" t="str">
        <f t="shared" si="15"/>
        <v>Agent05</v>
      </c>
      <c r="E156" s="200" t="s">
        <v>314</v>
      </c>
      <c r="F156" s="200" t="s">
        <v>298</v>
      </c>
      <c r="G156" s="201" t="str">
        <f>VLOOKUP(E156,'2.ポータル'!$A:$F,6,FALSE)</f>
        <v>P96:米原のINFORMATION</v>
      </c>
      <c r="H156" s="201" t="str">
        <f>VLOOKUP(F156,'2.ポータル'!$A:$F,6,FALSE)</f>
        <v>P88:どろたぼう駅</v>
      </c>
      <c r="I156" s="193"/>
      <c r="J156" s="202" t="e">
        <f t="shared" ca="1" si="14"/>
        <v>#NAME?</v>
      </c>
      <c r="K156" s="203" t="e">
        <f ca="1">VLOOKUP(F156,'2.ポータル'!$A:$G,7,FALSE)</f>
        <v>#NAME?</v>
      </c>
      <c r="M156" s="184"/>
      <c r="N156" s="185"/>
      <c r="O156" s="185"/>
      <c r="P156" s="185"/>
      <c r="Q156" s="193"/>
    </row>
    <row r="157" spans="1:17" ht="17.5">
      <c r="A157" s="198">
        <f t="shared" si="13"/>
        <v>24</v>
      </c>
      <c r="B157" s="192" t="s">
        <v>450</v>
      </c>
      <c r="C157" s="188" t="s">
        <v>100</v>
      </c>
      <c r="D157" s="199" t="str">
        <f t="shared" si="15"/>
        <v>Agent05</v>
      </c>
      <c r="E157" s="200" t="s">
        <v>314</v>
      </c>
      <c r="F157" s="200" t="s">
        <v>322</v>
      </c>
      <c r="G157" s="201" t="str">
        <f>VLOOKUP(E157,'2.ポータル'!$A:$F,6,FALSE)</f>
        <v>P96:米原のINFORMATION</v>
      </c>
      <c r="H157" s="201" t="str">
        <f>VLOOKUP(F157,'2.ポータル'!$A:$F,6,FALSE)</f>
        <v>P100:MEGAドン・キホーテ米子店の壁画</v>
      </c>
      <c r="I157" s="193"/>
      <c r="J157" s="202" t="e">
        <f t="shared" ca="1" si="14"/>
        <v>#NAME?</v>
      </c>
      <c r="K157" s="203" t="e">
        <f ca="1">VLOOKUP(F157,'2.ポータル'!$A:$G,7,FALSE)</f>
        <v>#NAME?</v>
      </c>
      <c r="M157" s="184"/>
      <c r="N157" s="185"/>
      <c r="O157" s="185"/>
      <c r="P157" s="185"/>
      <c r="Q157" s="193"/>
    </row>
    <row r="158" spans="1:17" ht="17.5">
      <c r="A158" s="198">
        <f t="shared" si="13"/>
        <v>25</v>
      </c>
      <c r="B158" s="192" t="s">
        <v>450</v>
      </c>
      <c r="C158" s="188" t="s">
        <v>100</v>
      </c>
      <c r="D158" s="199" t="s">
        <v>462</v>
      </c>
      <c r="E158" s="200" t="s">
        <v>314</v>
      </c>
      <c r="F158" s="200" t="s">
        <v>324</v>
      </c>
      <c r="G158" s="201" t="s">
        <v>465</v>
      </c>
      <c r="H158" s="201" t="s">
        <v>466</v>
      </c>
      <c r="I158" s="193"/>
      <c r="J158" s="202" t="e">
        <f t="shared" ca="1" si="14"/>
        <v>#NAME?</v>
      </c>
      <c r="K158" s="203" t="e">
        <f ca="1">VLOOKUP(F158,'2.ポータル'!$A:$G,7,FALSE)</f>
        <v>#NAME?</v>
      </c>
      <c r="M158" s="184"/>
      <c r="N158" s="185"/>
      <c r="O158" s="185"/>
      <c r="P158" s="185"/>
      <c r="Q158" s="193"/>
    </row>
    <row r="159" spans="1:17" ht="17.5">
      <c r="A159" s="198">
        <f t="shared" si="13"/>
        <v>26</v>
      </c>
      <c r="B159" s="192" t="s">
        <v>450</v>
      </c>
      <c r="C159" s="188" t="s">
        <v>100</v>
      </c>
      <c r="D159" s="199" t="str">
        <f>D157</f>
        <v>Agent05</v>
      </c>
      <c r="E159" s="200" t="s">
        <v>314</v>
      </c>
      <c r="F159" s="200" t="s">
        <v>274</v>
      </c>
      <c r="G159" s="201" t="str">
        <f>VLOOKUP(E159,'2.ポータル'!$A:$F,6,FALSE)</f>
        <v>P96:米原のINFORMATION</v>
      </c>
      <c r="H159" s="201" t="str">
        <f>VLOOKUP(F159,'2.ポータル'!$A:$F,6,FALSE)</f>
        <v>P76:焼肉大門</v>
      </c>
      <c r="I159" s="193"/>
      <c r="J159" s="202" t="e">
        <f t="shared" ca="1" si="14"/>
        <v>#NAME?</v>
      </c>
      <c r="K159" s="203" t="e">
        <f ca="1">VLOOKUP(F159,'2.ポータル'!$A:$G,7,FALSE)</f>
        <v>#NAME?</v>
      </c>
      <c r="M159" s="184"/>
      <c r="N159" s="185"/>
      <c r="O159" s="185"/>
      <c r="P159" s="185"/>
      <c r="Q159" s="193"/>
    </row>
    <row r="160" spans="1:17" ht="17.5">
      <c r="A160" s="198">
        <f t="shared" si="13"/>
        <v>27</v>
      </c>
      <c r="B160" s="192" t="s">
        <v>450</v>
      </c>
      <c r="C160" s="188" t="s">
        <v>100</v>
      </c>
      <c r="D160" s="199" t="str">
        <f t="shared" ref="D160:D164" si="16">D159</f>
        <v>Agent05</v>
      </c>
      <c r="E160" s="200" t="s">
        <v>330</v>
      </c>
      <c r="F160" s="200" t="s">
        <v>314</v>
      </c>
      <c r="G160" s="201" t="str">
        <f>VLOOKUP(E160,'2.ポータル'!$A:$F,6,FALSE)</f>
        <v>P104:ホリデイスポーツクラブ</v>
      </c>
      <c r="H160" s="201" t="str">
        <f>VLOOKUP(F160,'2.ポータル'!$A:$F,6,FALSE)</f>
        <v>P96:米原のINFORMATION</v>
      </c>
      <c r="I160" s="193"/>
      <c r="J160" s="202" t="e">
        <f t="shared" ca="1" si="14"/>
        <v>#NAME?</v>
      </c>
      <c r="K160" s="203" t="e">
        <f ca="1">VLOOKUP(F160,'2.ポータル'!$A:$G,7,FALSE)</f>
        <v>#NAME?</v>
      </c>
      <c r="M160" s="184"/>
      <c r="N160" s="185"/>
      <c r="O160" s="185"/>
      <c r="P160" s="185"/>
      <c r="Q160" s="193"/>
    </row>
    <row r="161" spans="1:17" ht="17.5">
      <c r="A161" s="198">
        <f t="shared" si="13"/>
        <v>28</v>
      </c>
      <c r="B161" s="192" t="s">
        <v>450</v>
      </c>
      <c r="C161" s="188" t="s">
        <v>100</v>
      </c>
      <c r="D161" s="199" t="str">
        <f t="shared" si="16"/>
        <v>Agent05</v>
      </c>
      <c r="E161" s="200" t="s">
        <v>330</v>
      </c>
      <c r="F161" s="200" t="s">
        <v>312</v>
      </c>
      <c r="G161" s="201" t="str">
        <f>VLOOKUP(E161,'2.ポータル'!$A:$F,6,FALSE)</f>
        <v>P104:ホリデイスポーツクラブ</v>
      </c>
      <c r="H161" s="201" t="str">
        <f>VLOOKUP(F161,'2.ポータル'!$A:$F,6,FALSE)</f>
        <v>P95:Casa Dea</v>
      </c>
      <c r="I161" s="193"/>
      <c r="J161" s="202" t="e">
        <f t="shared" ca="1" si="14"/>
        <v>#NAME?</v>
      </c>
      <c r="K161" s="203" t="e">
        <f ca="1">VLOOKUP(F161,'2.ポータル'!$A:$G,7,FALSE)</f>
        <v>#NAME?</v>
      </c>
      <c r="M161" s="184"/>
      <c r="N161" s="185"/>
      <c r="O161" s="185"/>
      <c r="P161" s="185"/>
      <c r="Q161" s="193"/>
    </row>
    <row r="162" spans="1:17" ht="17.5">
      <c r="A162" s="198">
        <f t="shared" si="13"/>
        <v>29</v>
      </c>
      <c r="B162" s="192" t="s">
        <v>450</v>
      </c>
      <c r="C162" s="188" t="s">
        <v>100</v>
      </c>
      <c r="D162" s="199" t="str">
        <f t="shared" si="16"/>
        <v>Agent05</v>
      </c>
      <c r="E162" s="200" t="s">
        <v>330</v>
      </c>
      <c r="F162" s="200" t="s">
        <v>318</v>
      </c>
      <c r="G162" s="201" t="str">
        <f>VLOOKUP(E162,'2.ポータル'!$A:$F,6,FALSE)</f>
        <v>P104:ホリデイスポーツクラブ</v>
      </c>
      <c r="H162" s="201" t="str">
        <f>VLOOKUP(F162,'2.ポータル'!$A:$F,6,FALSE)</f>
        <v>P98:公園のブランコ</v>
      </c>
      <c r="I162" s="193"/>
      <c r="J162" s="202" t="e">
        <f t="shared" ca="1" si="14"/>
        <v>#NAME?</v>
      </c>
      <c r="K162" s="203" t="e">
        <f ca="1">VLOOKUP(F162,'2.ポータル'!$A:$G,7,FALSE)</f>
        <v>#NAME?</v>
      </c>
      <c r="M162" s="184"/>
      <c r="N162" s="185"/>
      <c r="O162" s="185"/>
      <c r="P162" s="185"/>
      <c r="Q162" s="193"/>
    </row>
    <row r="163" spans="1:17" ht="17.5">
      <c r="A163" s="198">
        <f t="shared" si="13"/>
        <v>30</v>
      </c>
      <c r="B163" s="192" t="s">
        <v>450</v>
      </c>
      <c r="C163" s="188" t="s">
        <v>100</v>
      </c>
      <c r="D163" s="199" t="str">
        <f t="shared" si="16"/>
        <v>Agent05</v>
      </c>
      <c r="E163" s="200" t="s">
        <v>330</v>
      </c>
      <c r="F163" s="200" t="s">
        <v>324</v>
      </c>
      <c r="G163" s="201" t="str">
        <f>VLOOKUP(E163,'2.ポータル'!$A:$F,6,FALSE)</f>
        <v>P104:ホリデイスポーツクラブ</v>
      </c>
      <c r="H163" s="201" t="str">
        <f>VLOOKUP(F163,'2.ポータル'!$A:$F,6,FALSE)</f>
        <v>P101:弓ヶ浜の母なる水 米川</v>
      </c>
      <c r="I163" s="193"/>
      <c r="J163" s="202" t="e">
        <f t="shared" ca="1" si="14"/>
        <v>#NAME?</v>
      </c>
      <c r="K163" s="203" t="e">
        <f ca="1">VLOOKUP(F163,'2.ポータル'!$A:$G,7,FALSE)</f>
        <v>#NAME?</v>
      </c>
      <c r="M163" s="184"/>
      <c r="N163" s="185"/>
      <c r="O163" s="185"/>
      <c r="P163" s="185"/>
      <c r="Q163" s="193"/>
    </row>
    <row r="164" spans="1:17" ht="17.5">
      <c r="A164" s="198">
        <f t="shared" si="13"/>
        <v>31</v>
      </c>
      <c r="B164" s="192" t="s">
        <v>450</v>
      </c>
      <c r="C164" s="188" t="s">
        <v>100</v>
      </c>
      <c r="D164" s="199" t="str">
        <f t="shared" si="16"/>
        <v>Agent05</v>
      </c>
      <c r="E164" s="200" t="s">
        <v>330</v>
      </c>
      <c r="F164" s="200" t="s">
        <v>322</v>
      </c>
      <c r="G164" s="201" t="str">
        <f>VLOOKUP(E164,'2.ポータル'!$A:$F,6,FALSE)</f>
        <v>P104:ホリデイスポーツクラブ</v>
      </c>
      <c r="H164" s="201" t="str">
        <f>VLOOKUP(F164,'2.ポータル'!$A:$F,6,FALSE)</f>
        <v>P100:MEGAドン・キホーテ米子店の壁画</v>
      </c>
      <c r="I164" s="193"/>
      <c r="J164" s="202" t="e">
        <f t="shared" ca="1" si="14"/>
        <v>#NAME?</v>
      </c>
      <c r="K164" s="203" t="e">
        <f ca="1">VLOOKUP(F164,'2.ポータル'!$A:$G,7,FALSE)</f>
        <v>#NAME?</v>
      </c>
      <c r="M164" s="184"/>
      <c r="N164" s="185"/>
      <c r="O164" s="185"/>
      <c r="P164" s="185"/>
      <c r="Q164" s="193"/>
    </row>
    <row r="165" spans="1:17" ht="17.5">
      <c r="A165" s="205"/>
      <c r="B165" s="206" t="s">
        <v>451</v>
      </c>
      <c r="C165" s="207"/>
      <c r="D165" s="208"/>
      <c r="E165" s="209"/>
      <c r="F165" s="209"/>
      <c r="G165" s="210"/>
      <c r="H165" s="210"/>
      <c r="I165" s="209"/>
      <c r="J165" s="211"/>
      <c r="K165" s="210"/>
      <c r="L165" s="193"/>
      <c r="N165" s="193"/>
      <c r="O165" s="193"/>
      <c r="P165" s="193"/>
      <c r="Q165" s="193"/>
    </row>
    <row r="166" spans="1:17" ht="17.5">
      <c r="A166" s="183"/>
      <c r="B166" s="192"/>
      <c r="C166" s="183"/>
      <c r="D166" s="212"/>
      <c r="E166" s="213"/>
      <c r="F166" s="213"/>
      <c r="G166" s="212"/>
      <c r="H166" s="214"/>
      <c r="I166" s="193"/>
      <c r="J166" s="215"/>
      <c r="K166" s="212"/>
      <c r="N166" s="193"/>
      <c r="O166" s="193"/>
      <c r="P166" s="193"/>
      <c r="Q166" s="193"/>
    </row>
    <row r="167" spans="1:17" ht="28.5">
      <c r="A167" s="188"/>
      <c r="B167" s="189" t="s">
        <v>467</v>
      </c>
      <c r="C167" s="188"/>
      <c r="D167" s="190"/>
      <c r="E167" s="185"/>
      <c r="F167" s="185"/>
      <c r="G167" s="191" t="s">
        <v>468</v>
      </c>
      <c r="H167" s="192" t="s">
        <v>469</v>
      </c>
      <c r="I167" s="193" t="s">
        <v>470</v>
      </c>
      <c r="J167" s="194"/>
      <c r="K167" s="192"/>
      <c r="L167" s="183"/>
      <c r="N167" s="185"/>
      <c r="O167" s="185"/>
      <c r="P167" s="185"/>
      <c r="Q167" s="185"/>
    </row>
    <row r="168" spans="1:17" ht="17.5">
      <c r="A168" s="177"/>
      <c r="B168" s="178" t="s">
        <v>437</v>
      </c>
      <c r="C168" s="177" t="s">
        <v>91</v>
      </c>
      <c r="D168" s="178" t="s">
        <v>438</v>
      </c>
      <c r="E168" s="179" t="s">
        <v>439</v>
      </c>
      <c r="F168" s="179" t="s">
        <v>440</v>
      </c>
      <c r="G168" s="178" t="s">
        <v>441</v>
      </c>
      <c r="H168" s="180" t="s">
        <v>442</v>
      </c>
      <c r="I168" s="181" t="s">
        <v>443</v>
      </c>
      <c r="J168" s="182"/>
      <c r="K168" s="178" t="s">
        <v>444</v>
      </c>
      <c r="L168" s="183"/>
      <c r="N168" s="184"/>
      <c r="O168" s="185"/>
      <c r="P168" s="185"/>
      <c r="Q168" s="185"/>
    </row>
    <row r="169" spans="1:17" ht="17.5">
      <c r="A169" s="195"/>
      <c r="B169" s="195" t="s">
        <v>449</v>
      </c>
      <c r="C169" s="195"/>
      <c r="D169" s="195"/>
      <c r="E169" s="195"/>
      <c r="F169" s="195"/>
      <c r="G169" s="195"/>
      <c r="H169" s="196"/>
      <c r="I169" s="196"/>
      <c r="J169" s="197"/>
      <c r="K169" s="195"/>
      <c r="N169" s="184"/>
      <c r="O169" s="185"/>
      <c r="P169" s="185"/>
      <c r="Q169" s="193"/>
    </row>
    <row r="170" spans="1:17" ht="17.5">
      <c r="A170" s="198">
        <f t="shared" ref="A170:A218" si="17">A169+1</f>
        <v>1</v>
      </c>
      <c r="B170" s="192" t="s">
        <v>450</v>
      </c>
      <c r="C170" s="188" t="s">
        <v>100</v>
      </c>
      <c r="D170" s="199" t="str">
        <f>B167</f>
        <v>Agent06</v>
      </c>
      <c r="E170" s="200" t="s">
        <v>322</v>
      </c>
      <c r="F170" s="200" t="s">
        <v>433</v>
      </c>
      <c r="G170" s="201" t="str">
        <f>VLOOKUP(E170,'2.ポータル'!$A:$F,6,FALSE)</f>
        <v>P100:MEGAドン・キホーテ米子店の壁画</v>
      </c>
      <c r="H170" s="201" t="str">
        <f>VLOOKUP(F170,'2.ポータル'!$A:$F,6,FALSE)</f>
        <v>ポータルをキャプチャします</v>
      </c>
      <c r="I170" s="193"/>
      <c r="J170" s="202" t="str">
        <f t="shared" ref="J170:J218" si="18">IF(F170="X99"," ", IF(D170=K170,"","★"))</f>
        <v xml:space="preserve"> </v>
      </c>
      <c r="K170" s="203">
        <f>VLOOKUP(F170,'2.ポータル'!$A:$G,7,FALSE)</f>
        <v>0</v>
      </c>
      <c r="N170" s="184"/>
      <c r="O170" s="185"/>
      <c r="P170" s="185"/>
      <c r="Q170" s="193"/>
    </row>
    <row r="171" spans="1:17" ht="17.5">
      <c r="A171" s="198">
        <f t="shared" si="17"/>
        <v>2</v>
      </c>
      <c r="B171" s="192" t="s">
        <v>450</v>
      </c>
      <c r="C171" s="188" t="s">
        <v>100</v>
      </c>
      <c r="D171" s="199" t="str">
        <f t="shared" ref="D171:D175" si="19">D170</f>
        <v>Agent06</v>
      </c>
      <c r="E171" s="200" t="s">
        <v>324</v>
      </c>
      <c r="F171" s="200" t="s">
        <v>322</v>
      </c>
      <c r="G171" s="201" t="str">
        <f>VLOOKUP(E171,'2.ポータル'!$A:$F,6,FALSE)</f>
        <v>P101:弓ヶ浜の母なる水 米川</v>
      </c>
      <c r="H171" s="201" t="str">
        <f>VLOOKUP(F171,'2.ポータル'!$A:$F,6,FALSE)</f>
        <v>P100:MEGAドン・キホーテ米子店の壁画</v>
      </c>
      <c r="I171" s="193"/>
      <c r="J171" s="202" t="e">
        <f t="shared" ca="1" si="18"/>
        <v>#NAME?</v>
      </c>
      <c r="K171" s="203" t="e">
        <f ca="1">VLOOKUP(F171,'2.ポータル'!$A:$G,7,FALSE)</f>
        <v>#NAME?</v>
      </c>
      <c r="N171" s="184"/>
      <c r="O171" s="185"/>
      <c r="P171" s="185"/>
      <c r="Q171" s="193"/>
    </row>
    <row r="172" spans="1:17" ht="17.5">
      <c r="A172" s="198">
        <f t="shared" si="17"/>
        <v>3</v>
      </c>
      <c r="B172" s="192" t="s">
        <v>450</v>
      </c>
      <c r="C172" s="188" t="s">
        <v>100</v>
      </c>
      <c r="D172" s="199" t="str">
        <f t="shared" si="19"/>
        <v>Agent06</v>
      </c>
      <c r="E172" s="200" t="s">
        <v>324</v>
      </c>
      <c r="F172" s="200" t="s">
        <v>298</v>
      </c>
      <c r="G172" s="201" t="str">
        <f>VLOOKUP(E172,'2.ポータル'!$A:$F,6,FALSE)</f>
        <v>P101:弓ヶ浜の母なる水 米川</v>
      </c>
      <c r="H172" s="201" t="str">
        <f>VLOOKUP(F172,'2.ポータル'!$A:$F,6,FALSE)</f>
        <v>P88:どろたぼう駅</v>
      </c>
      <c r="I172" s="193"/>
      <c r="J172" s="202" t="e">
        <f t="shared" ca="1" si="18"/>
        <v>#NAME?</v>
      </c>
      <c r="K172" s="203" t="e">
        <f ca="1">VLOOKUP(F172,'2.ポータル'!$A:$G,7,FALSE)</f>
        <v>#NAME?</v>
      </c>
      <c r="N172" s="204"/>
      <c r="O172" s="185"/>
      <c r="P172" s="185"/>
      <c r="Q172" s="193"/>
    </row>
    <row r="173" spans="1:17" ht="17.5">
      <c r="A173" s="198">
        <f t="shared" si="17"/>
        <v>4</v>
      </c>
      <c r="B173" s="192" t="s">
        <v>450</v>
      </c>
      <c r="C173" s="188" t="s">
        <v>100</v>
      </c>
      <c r="D173" s="199" t="str">
        <f t="shared" si="19"/>
        <v>Agent06</v>
      </c>
      <c r="E173" s="200" t="s">
        <v>324</v>
      </c>
      <c r="F173" s="200" t="s">
        <v>282</v>
      </c>
      <c r="G173" s="201" t="str">
        <f>VLOOKUP(E173,'2.ポータル'!$A:$F,6,FALSE)</f>
        <v>P101:弓ヶ浜の母なる水 米川</v>
      </c>
      <c r="H173" s="201" t="str">
        <f>VLOOKUP(F173,'2.ポータル'!$A:$F,6,FALSE)</f>
        <v>P80:JR後藤駅</v>
      </c>
      <c r="I173" s="193"/>
      <c r="J173" s="202" t="e">
        <f t="shared" ca="1" si="18"/>
        <v>#NAME?</v>
      </c>
      <c r="K173" s="203" t="e">
        <f ca="1">VLOOKUP(F173,'2.ポータル'!$A:$G,7,FALSE)</f>
        <v>#NAME?</v>
      </c>
      <c r="N173" s="184"/>
      <c r="O173" s="185"/>
      <c r="P173" s="185"/>
      <c r="Q173" s="193"/>
    </row>
    <row r="174" spans="1:17" ht="17.5">
      <c r="A174" s="198">
        <f t="shared" si="17"/>
        <v>5</v>
      </c>
      <c r="B174" s="192" t="s">
        <v>450</v>
      </c>
      <c r="C174" s="188" t="s">
        <v>100</v>
      </c>
      <c r="D174" s="199" t="str">
        <f t="shared" si="19"/>
        <v>Agent06</v>
      </c>
      <c r="E174" s="200" t="s">
        <v>324</v>
      </c>
      <c r="F174" s="200" t="s">
        <v>278</v>
      </c>
      <c r="G174" s="201" t="str">
        <f>VLOOKUP(E174,'2.ポータル'!$A:$F,6,FALSE)</f>
        <v>P101:弓ヶ浜の母なる水 米川</v>
      </c>
      <c r="H174" s="201" t="str">
        <f>VLOOKUP(F174,'2.ポータル'!$A:$F,6,FALSE)</f>
        <v>P78:米子市中心市街地地図</v>
      </c>
      <c r="I174" s="193"/>
      <c r="J174" s="202" t="e">
        <f t="shared" ca="1" si="18"/>
        <v>#NAME?</v>
      </c>
      <c r="K174" s="203" t="e">
        <f ca="1">VLOOKUP(F174,'2.ポータル'!$A:$G,7,FALSE)</f>
        <v>#NAME?</v>
      </c>
      <c r="N174" s="184"/>
      <c r="O174" s="185"/>
      <c r="P174" s="185"/>
      <c r="Q174" s="193"/>
    </row>
    <row r="175" spans="1:17" ht="17.5">
      <c r="A175" s="198">
        <f t="shared" si="17"/>
        <v>6</v>
      </c>
      <c r="B175" s="192" t="s">
        <v>450</v>
      </c>
      <c r="C175" s="188" t="s">
        <v>100</v>
      </c>
      <c r="D175" s="199" t="str">
        <f t="shared" si="19"/>
        <v>Agent06</v>
      </c>
      <c r="E175" s="200" t="s">
        <v>332</v>
      </c>
      <c r="F175" s="200" t="s">
        <v>324</v>
      </c>
      <c r="G175" s="201" t="str">
        <f>VLOOKUP(E175,'2.ポータル'!$A:$F,6,FALSE)</f>
        <v>P105:米子米原郵便局</v>
      </c>
      <c r="H175" s="201" t="str">
        <f>VLOOKUP(F175,'2.ポータル'!$A:$F,6,FALSE)</f>
        <v>P101:弓ヶ浜の母なる水 米川</v>
      </c>
      <c r="I175" s="193"/>
      <c r="J175" s="202" t="e">
        <f t="shared" ca="1" si="18"/>
        <v>#NAME?</v>
      </c>
      <c r="K175" s="203" t="e">
        <f ca="1">VLOOKUP(F175,'2.ポータル'!$A:$G,7,FALSE)</f>
        <v>#NAME?</v>
      </c>
      <c r="N175" s="184"/>
      <c r="O175" s="185"/>
      <c r="P175" s="185"/>
      <c r="Q175" s="193"/>
    </row>
    <row r="176" spans="1:17" ht="17.5">
      <c r="A176" s="198">
        <f t="shared" si="17"/>
        <v>7</v>
      </c>
      <c r="B176" s="192" t="s">
        <v>450</v>
      </c>
      <c r="C176" s="188" t="s">
        <v>100</v>
      </c>
      <c r="D176" s="199" t="str">
        <f>D174</f>
        <v>Agent06</v>
      </c>
      <c r="E176" s="200" t="s">
        <v>328</v>
      </c>
      <c r="F176" s="200" t="s">
        <v>332</v>
      </c>
      <c r="G176" s="201" t="str">
        <f>VLOOKUP(E176,'2.ポータル'!$A:$F,6,FALSE)</f>
        <v>P103:ソフトバンク米子中央</v>
      </c>
      <c r="H176" s="201" t="str">
        <f>VLOOKUP(F176,'2.ポータル'!$A:$F,6,FALSE)</f>
        <v>P105:米子米原郵便局</v>
      </c>
      <c r="I176" s="193"/>
      <c r="J176" s="202" t="e">
        <f t="shared" ca="1" si="18"/>
        <v>#NAME?</v>
      </c>
      <c r="K176" s="203" t="e">
        <f ca="1">VLOOKUP(F176,'2.ポータル'!$A:$G,7,FALSE)</f>
        <v>#NAME?</v>
      </c>
      <c r="M176" s="184"/>
      <c r="N176" s="184"/>
      <c r="O176" s="185"/>
      <c r="P176" s="185"/>
      <c r="Q176" s="193"/>
    </row>
    <row r="177" spans="1:17" ht="17.5">
      <c r="A177" s="198">
        <f t="shared" si="17"/>
        <v>8</v>
      </c>
      <c r="B177" s="192" t="s">
        <v>450</v>
      </c>
      <c r="C177" s="188" t="s">
        <v>100</v>
      </c>
      <c r="D177" s="199" t="str">
        <f t="shared" ref="D177:D179" si="20">D176</f>
        <v>Agent06</v>
      </c>
      <c r="E177" s="200" t="s">
        <v>316</v>
      </c>
      <c r="F177" s="200" t="s">
        <v>332</v>
      </c>
      <c r="G177" s="201" t="str">
        <f>VLOOKUP(E177,'2.ポータル'!$A:$F,6,FALSE)</f>
        <v>P97:世界真光文明教団 米子センター</v>
      </c>
      <c r="H177" s="201" t="str">
        <f>VLOOKUP(F177,'2.ポータル'!$A:$F,6,FALSE)</f>
        <v>P105:米子米原郵便局</v>
      </c>
      <c r="I177" s="193"/>
      <c r="J177" s="202" t="e">
        <f t="shared" ca="1" si="18"/>
        <v>#NAME?</v>
      </c>
      <c r="K177" s="203" t="e">
        <f ca="1">VLOOKUP(F177,'2.ポータル'!$A:$G,7,FALSE)</f>
        <v>#NAME?</v>
      </c>
      <c r="M177" s="184"/>
      <c r="N177" s="184"/>
      <c r="O177" s="185"/>
      <c r="P177" s="185"/>
      <c r="Q177" s="193"/>
    </row>
    <row r="178" spans="1:17" ht="17.5">
      <c r="A178" s="198">
        <f t="shared" si="17"/>
        <v>9</v>
      </c>
      <c r="B178" s="192" t="s">
        <v>450</v>
      </c>
      <c r="C178" s="188" t="s">
        <v>100</v>
      </c>
      <c r="D178" s="199" t="str">
        <f t="shared" si="20"/>
        <v>Agent06</v>
      </c>
      <c r="E178" s="200" t="s">
        <v>316</v>
      </c>
      <c r="F178" s="200" t="s">
        <v>328</v>
      </c>
      <c r="G178" s="201" t="str">
        <f>VLOOKUP(E178,'2.ポータル'!$A:$F,6,FALSE)</f>
        <v>P97:世界真光文明教団 米子センター</v>
      </c>
      <c r="H178" s="201" t="str">
        <f>VLOOKUP(F178,'2.ポータル'!$A:$F,6,FALSE)</f>
        <v>P103:ソフトバンク米子中央</v>
      </c>
      <c r="I178" s="193"/>
      <c r="J178" s="202" t="e">
        <f t="shared" ca="1" si="18"/>
        <v>#NAME?</v>
      </c>
      <c r="K178" s="203" t="e">
        <f ca="1">VLOOKUP(F178,'2.ポータル'!$A:$G,7,FALSE)</f>
        <v>#NAME?</v>
      </c>
      <c r="M178" s="184"/>
      <c r="N178" s="185"/>
      <c r="O178" s="185"/>
      <c r="P178" s="185"/>
      <c r="Q178" s="193"/>
    </row>
    <row r="179" spans="1:17" ht="17.5">
      <c r="A179" s="198">
        <f t="shared" si="17"/>
        <v>10</v>
      </c>
      <c r="B179" s="192" t="s">
        <v>450</v>
      </c>
      <c r="C179" s="188" t="s">
        <v>100</v>
      </c>
      <c r="D179" s="199" t="str">
        <f t="shared" si="20"/>
        <v>Agent06</v>
      </c>
      <c r="E179" s="200" t="s">
        <v>320</v>
      </c>
      <c r="F179" s="200" t="s">
        <v>316</v>
      </c>
      <c r="G179" s="201" t="str">
        <f>VLOOKUP(E179,'2.ポータル'!$A:$F,6,FALSE)</f>
        <v>P99:米子復活教会</v>
      </c>
      <c r="H179" s="201" t="str">
        <f>VLOOKUP(F179,'2.ポータル'!$A:$F,6,FALSE)</f>
        <v>P97:世界真光文明教団 米子センター</v>
      </c>
      <c r="I179" s="193"/>
      <c r="J179" s="202" t="e">
        <f t="shared" ca="1" si="18"/>
        <v>#NAME?</v>
      </c>
      <c r="K179" s="203" t="e">
        <f ca="1">VLOOKUP(F179,'2.ポータル'!$A:$G,7,FALSE)</f>
        <v>#NAME?</v>
      </c>
      <c r="M179" s="184"/>
      <c r="N179" s="185"/>
      <c r="O179" s="185"/>
      <c r="P179" s="185"/>
      <c r="Q179" s="193"/>
    </row>
    <row r="180" spans="1:17" ht="17.5">
      <c r="A180" s="198">
        <f t="shared" si="17"/>
        <v>11</v>
      </c>
      <c r="B180" s="192" t="s">
        <v>450</v>
      </c>
      <c r="C180" s="188" t="s">
        <v>100</v>
      </c>
      <c r="D180" s="199" t="str">
        <f>D178</f>
        <v>Agent06</v>
      </c>
      <c r="E180" s="200" t="s">
        <v>304</v>
      </c>
      <c r="F180" s="200" t="s">
        <v>316</v>
      </c>
      <c r="G180" s="201" t="str">
        <f>VLOOKUP(E180,'2.ポータル'!$A:$F,6,FALSE)</f>
        <v>P91:YONAGO SWIMING SCHOOL</v>
      </c>
      <c r="H180" s="201" t="str">
        <f>VLOOKUP(F180,'2.ポータル'!$A:$F,6,FALSE)</f>
        <v>P97:世界真光文明教団 米子センター</v>
      </c>
      <c r="I180" s="193"/>
      <c r="J180" s="202" t="e">
        <f t="shared" ca="1" si="18"/>
        <v>#NAME?</v>
      </c>
      <c r="K180" s="203" t="e">
        <f ca="1">VLOOKUP(F180,'2.ポータル'!$A:$G,7,FALSE)</f>
        <v>#NAME?</v>
      </c>
      <c r="M180" s="184"/>
      <c r="N180" s="185"/>
      <c r="O180" s="185"/>
      <c r="P180" s="185"/>
      <c r="Q180" s="193"/>
    </row>
    <row r="181" spans="1:17" ht="17.5">
      <c r="A181" s="198">
        <f t="shared" si="17"/>
        <v>12</v>
      </c>
      <c r="B181" s="192" t="s">
        <v>450</v>
      </c>
      <c r="C181" s="188" t="s">
        <v>100</v>
      </c>
      <c r="D181" s="199" t="str">
        <f>D178</f>
        <v>Agent06</v>
      </c>
      <c r="E181" s="200" t="s">
        <v>310</v>
      </c>
      <c r="F181" s="200" t="s">
        <v>316</v>
      </c>
      <c r="G181" s="201" t="str">
        <f>VLOOKUP(E181,'2.ポータル'!$A:$F,6,FALSE)</f>
        <v>P94:住居表示街区案内図 米子市米原3丁目</v>
      </c>
      <c r="H181" s="201" t="str">
        <f>VLOOKUP(F181,'2.ポータル'!$A:$F,6,FALSE)</f>
        <v>P97:世界真光文明教団 米子センター</v>
      </c>
      <c r="I181" s="193"/>
      <c r="J181" s="202" t="e">
        <f t="shared" ca="1" si="18"/>
        <v>#NAME?</v>
      </c>
      <c r="K181" s="203" t="e">
        <f ca="1">VLOOKUP(F181,'2.ポータル'!$A:$G,7,FALSE)</f>
        <v>#NAME?</v>
      </c>
      <c r="M181" s="184"/>
      <c r="N181" s="185"/>
      <c r="O181" s="185"/>
      <c r="P181" s="185"/>
      <c r="Q181" s="193"/>
    </row>
    <row r="182" spans="1:17" ht="17.5">
      <c r="A182" s="198">
        <f t="shared" si="17"/>
        <v>13</v>
      </c>
      <c r="B182" s="192" t="s">
        <v>450</v>
      </c>
      <c r="C182" s="216" t="s">
        <v>100</v>
      </c>
      <c r="D182" s="199" t="str">
        <f t="shared" ref="D182:D196" si="21">D181</f>
        <v>Agent06</v>
      </c>
      <c r="E182" s="200" t="s">
        <v>310</v>
      </c>
      <c r="F182" s="132" t="s">
        <v>304</v>
      </c>
      <c r="G182" s="218" t="str">
        <f>VLOOKUP(E182,'2.ポータル'!$A:$F,6,FALSE)</f>
        <v>P94:住居表示街区案内図 米子市米原3丁目</v>
      </c>
      <c r="H182" s="218" t="str">
        <f>VLOOKUP(F182,'2.ポータル'!$A:$F,6,FALSE)</f>
        <v>P91:YONAGO SWIMING SCHOOL</v>
      </c>
      <c r="I182" s="40"/>
      <c r="J182" s="202" t="e">
        <f t="shared" ca="1" si="18"/>
        <v>#NAME?</v>
      </c>
      <c r="K182" s="143" t="e">
        <f ca="1">VLOOKUP(F182,'2.ポータル'!$A:$G,7,FALSE)</f>
        <v>#NAME?</v>
      </c>
      <c r="L182" s="40"/>
      <c r="M182" s="40"/>
      <c r="N182" s="40"/>
      <c r="O182" s="40"/>
      <c r="P182" s="40"/>
      <c r="Q182" s="40"/>
    </row>
    <row r="183" spans="1:17" ht="17.5">
      <c r="A183" s="198">
        <f t="shared" si="17"/>
        <v>14</v>
      </c>
      <c r="B183" s="192" t="s">
        <v>450</v>
      </c>
      <c r="C183" s="188" t="s">
        <v>100</v>
      </c>
      <c r="D183" s="199" t="str">
        <f t="shared" si="21"/>
        <v>Agent06</v>
      </c>
      <c r="E183" s="200" t="s">
        <v>310</v>
      </c>
      <c r="F183" s="200" t="s">
        <v>332</v>
      </c>
      <c r="G183" s="201" t="str">
        <f>VLOOKUP(E183,'2.ポータル'!$A:$F,6,FALSE)</f>
        <v>P94:住居表示街区案内図 米子市米原3丁目</v>
      </c>
      <c r="H183" s="201" t="str">
        <f>VLOOKUP(F183,'2.ポータル'!$A:$F,6,FALSE)</f>
        <v>P105:米子米原郵便局</v>
      </c>
      <c r="I183" s="193"/>
      <c r="J183" s="202" t="e">
        <f t="shared" ca="1" si="18"/>
        <v>#NAME?</v>
      </c>
      <c r="K183" s="203" t="e">
        <f ca="1">VLOOKUP(F183,'2.ポータル'!$A:$G,7,FALSE)</f>
        <v>#NAME?</v>
      </c>
      <c r="M183" s="184"/>
      <c r="N183" s="185"/>
      <c r="O183" s="185"/>
      <c r="P183" s="185"/>
      <c r="Q183" s="193"/>
    </row>
    <row r="184" spans="1:17" ht="17.5">
      <c r="A184" s="198">
        <f t="shared" si="17"/>
        <v>15</v>
      </c>
      <c r="B184" s="192" t="s">
        <v>450</v>
      </c>
      <c r="C184" s="188" t="s">
        <v>100</v>
      </c>
      <c r="D184" s="199" t="str">
        <f t="shared" si="21"/>
        <v>Agent06</v>
      </c>
      <c r="E184" s="200" t="s">
        <v>310</v>
      </c>
      <c r="F184" s="200" t="s">
        <v>328</v>
      </c>
      <c r="G184" s="201" t="str">
        <f>VLOOKUP(E184,'2.ポータル'!$A:$F,6,FALSE)</f>
        <v>P94:住居表示街区案内図 米子市米原3丁目</v>
      </c>
      <c r="H184" s="201" t="str">
        <f>VLOOKUP(F184,'2.ポータル'!$A:$F,6,FALSE)</f>
        <v>P103:ソフトバンク米子中央</v>
      </c>
      <c r="I184" s="193"/>
      <c r="J184" s="202" t="e">
        <f t="shared" ca="1" si="18"/>
        <v>#NAME?</v>
      </c>
      <c r="K184" s="203" t="e">
        <f ca="1">VLOOKUP(F184,'2.ポータル'!$A:$G,7,FALSE)</f>
        <v>#NAME?</v>
      </c>
      <c r="M184" s="184"/>
      <c r="N184" s="185"/>
      <c r="O184" s="185"/>
      <c r="P184" s="185"/>
      <c r="Q184" s="193"/>
    </row>
    <row r="185" spans="1:17" ht="17.5">
      <c r="A185" s="198">
        <f t="shared" si="17"/>
        <v>16</v>
      </c>
      <c r="B185" s="192" t="s">
        <v>450</v>
      </c>
      <c r="C185" s="188" t="s">
        <v>100</v>
      </c>
      <c r="D185" s="199" t="str">
        <f t="shared" si="21"/>
        <v>Agent06</v>
      </c>
      <c r="E185" s="200" t="s">
        <v>310</v>
      </c>
      <c r="F185" s="200" t="s">
        <v>324</v>
      </c>
      <c r="G185" s="201" t="str">
        <f>VLOOKUP(E185,'2.ポータル'!$A:$F,6,FALSE)</f>
        <v>P94:住居表示街区案内図 米子市米原3丁目</v>
      </c>
      <c r="H185" s="201" t="str">
        <f>VLOOKUP(F185,'2.ポータル'!$A:$F,6,FALSE)</f>
        <v>P101:弓ヶ浜の母なる水 米川</v>
      </c>
      <c r="I185" s="193"/>
      <c r="J185" s="202" t="e">
        <f t="shared" ca="1" si="18"/>
        <v>#NAME?</v>
      </c>
      <c r="K185" s="203" t="e">
        <f ca="1">VLOOKUP(F185,'2.ポータル'!$A:$G,7,FALSE)</f>
        <v>#NAME?</v>
      </c>
      <c r="M185" s="184"/>
      <c r="N185" s="185"/>
      <c r="O185" s="185"/>
      <c r="P185" s="185"/>
      <c r="Q185" s="193"/>
    </row>
    <row r="186" spans="1:17" ht="17.5">
      <c r="A186" s="198">
        <f t="shared" si="17"/>
        <v>17</v>
      </c>
      <c r="B186" s="192" t="s">
        <v>450</v>
      </c>
      <c r="C186" s="188" t="s">
        <v>100</v>
      </c>
      <c r="D186" s="199" t="str">
        <f t="shared" si="21"/>
        <v>Agent06</v>
      </c>
      <c r="E186" s="200" t="s">
        <v>310</v>
      </c>
      <c r="F186" s="200" t="s">
        <v>278</v>
      </c>
      <c r="G186" s="201" t="str">
        <f>VLOOKUP(E186,'2.ポータル'!$A:$F,6,FALSE)</f>
        <v>P94:住居表示街区案内図 米子市米原3丁目</v>
      </c>
      <c r="H186" s="201" t="str">
        <f>VLOOKUP(F186,'2.ポータル'!$A:$F,6,FALSE)</f>
        <v>P78:米子市中心市街地地図</v>
      </c>
      <c r="I186" s="193"/>
      <c r="J186" s="202" t="e">
        <f t="shared" ca="1" si="18"/>
        <v>#NAME?</v>
      </c>
      <c r="K186" s="203" t="e">
        <f ca="1">VLOOKUP(F186,'2.ポータル'!$A:$G,7,FALSE)</f>
        <v>#NAME?</v>
      </c>
      <c r="M186" s="184"/>
      <c r="N186" s="185"/>
      <c r="O186" s="185"/>
      <c r="P186" s="185"/>
      <c r="Q186" s="193"/>
    </row>
    <row r="187" spans="1:17" ht="17.5">
      <c r="A187" s="198">
        <f t="shared" si="17"/>
        <v>18</v>
      </c>
      <c r="B187" s="192" t="s">
        <v>450</v>
      </c>
      <c r="C187" s="188" t="s">
        <v>100</v>
      </c>
      <c r="D187" s="199" t="str">
        <f t="shared" si="21"/>
        <v>Agent06</v>
      </c>
      <c r="E187" s="200" t="s">
        <v>310</v>
      </c>
      <c r="F187" s="200" t="s">
        <v>282</v>
      </c>
      <c r="G187" s="201" t="str">
        <f>VLOOKUP(E187,'2.ポータル'!$A:$F,6,FALSE)</f>
        <v>P94:住居表示街区案内図 米子市米原3丁目</v>
      </c>
      <c r="H187" s="201" t="str">
        <f>VLOOKUP(F187,'2.ポータル'!$A:$F,6,FALSE)</f>
        <v>P80:JR後藤駅</v>
      </c>
      <c r="I187" s="193"/>
      <c r="J187" s="202" t="e">
        <f t="shared" ca="1" si="18"/>
        <v>#NAME?</v>
      </c>
      <c r="K187" s="203" t="e">
        <f ca="1">VLOOKUP(F187,'2.ポータル'!$A:$G,7,FALSE)</f>
        <v>#NAME?</v>
      </c>
      <c r="M187" s="184"/>
      <c r="N187" s="185"/>
      <c r="O187" s="185"/>
      <c r="P187" s="185"/>
      <c r="Q187" s="193"/>
    </row>
    <row r="188" spans="1:17" ht="17.5">
      <c r="A188" s="198">
        <f t="shared" si="17"/>
        <v>19</v>
      </c>
      <c r="B188" s="192" t="s">
        <v>450</v>
      </c>
      <c r="C188" s="216" t="s">
        <v>100</v>
      </c>
      <c r="D188" s="199" t="str">
        <f t="shared" si="21"/>
        <v>Agent06</v>
      </c>
      <c r="E188" s="132" t="s">
        <v>284</v>
      </c>
      <c r="F188" s="132" t="s">
        <v>310</v>
      </c>
      <c r="G188" s="218" t="str">
        <f>VLOOKUP(E188,'2.ポータル'!$A:$F,6,FALSE)</f>
        <v>P81:米原南土地区画整理竣工記念碑</v>
      </c>
      <c r="H188" s="218" t="str">
        <f>VLOOKUP(F188,'2.ポータル'!$A:$F,6,FALSE)</f>
        <v>P94:住居表示街区案内図 米子市米原3丁目</v>
      </c>
      <c r="I188" s="40"/>
      <c r="J188" s="202" t="e">
        <f t="shared" ca="1" si="18"/>
        <v>#NAME?</v>
      </c>
      <c r="K188" s="143" t="e">
        <f ca="1">VLOOKUP(F188,'2.ポータル'!$A:$G,7,FALSE)</f>
        <v>#NAME?</v>
      </c>
      <c r="L188" s="40"/>
      <c r="M188" s="40"/>
      <c r="N188" s="40"/>
      <c r="O188" s="40"/>
      <c r="P188" s="40"/>
      <c r="Q188" s="40"/>
    </row>
    <row r="189" spans="1:17" ht="17.5">
      <c r="A189" s="198">
        <f t="shared" si="17"/>
        <v>20</v>
      </c>
      <c r="B189" s="192" t="s">
        <v>450</v>
      </c>
      <c r="C189" s="188" t="s">
        <v>100</v>
      </c>
      <c r="D189" s="199" t="str">
        <f t="shared" si="21"/>
        <v>Agent06</v>
      </c>
      <c r="E189" s="132" t="s">
        <v>284</v>
      </c>
      <c r="F189" s="200" t="s">
        <v>250</v>
      </c>
      <c r="G189" s="201" t="str">
        <f>VLOOKUP(E189,'2.ポータル'!$A:$F,6,FALSE)</f>
        <v>P81:米原南土地区画整理竣工記念碑</v>
      </c>
      <c r="H189" s="201" t="str">
        <f>VLOOKUP(F189,'2.ポータル'!$A:$F,6,FALSE)</f>
        <v>P64:日ノ出公園</v>
      </c>
      <c r="I189" s="193"/>
      <c r="J189" s="202" t="e">
        <f t="shared" ca="1" si="18"/>
        <v>#NAME?</v>
      </c>
      <c r="K189" s="203" t="e">
        <f ca="1">VLOOKUP(F189,'2.ポータル'!$A:$G,7,FALSE)</f>
        <v>#NAME?</v>
      </c>
      <c r="M189" s="184"/>
      <c r="N189" s="185"/>
      <c r="O189" s="185"/>
      <c r="P189" s="185"/>
      <c r="Q189" s="193"/>
    </row>
    <row r="190" spans="1:17" ht="17.5">
      <c r="A190" s="198">
        <f t="shared" si="17"/>
        <v>21</v>
      </c>
      <c r="B190" s="192" t="s">
        <v>450</v>
      </c>
      <c r="C190" s="188" t="s">
        <v>100</v>
      </c>
      <c r="D190" s="199" t="str">
        <f t="shared" si="21"/>
        <v>Agent06</v>
      </c>
      <c r="E190" s="132" t="s">
        <v>284</v>
      </c>
      <c r="F190" s="200" t="s">
        <v>254</v>
      </c>
      <c r="G190" s="201" t="str">
        <f>VLOOKUP(E190,'2.ポータル'!$A:$F,6,FALSE)</f>
        <v>P81:米原南土地区画整理竣工記念碑</v>
      </c>
      <c r="H190" s="201" t="str">
        <f>VLOOKUP(F190,'2.ポータル'!$A:$F,6,FALSE)</f>
        <v>P66:真如苑 米子支部</v>
      </c>
      <c r="I190" s="193"/>
      <c r="J190" s="202" t="e">
        <f t="shared" ca="1" si="18"/>
        <v>#NAME?</v>
      </c>
      <c r="K190" s="203" t="e">
        <f ca="1">VLOOKUP(F190,'2.ポータル'!$A:$G,7,FALSE)</f>
        <v>#NAME?</v>
      </c>
      <c r="M190" s="184"/>
      <c r="N190" s="185"/>
      <c r="O190" s="185"/>
      <c r="P190" s="185"/>
      <c r="Q190" s="193"/>
    </row>
    <row r="191" spans="1:17" ht="17.5">
      <c r="A191" s="198">
        <f t="shared" si="17"/>
        <v>22</v>
      </c>
      <c r="B191" s="192" t="s">
        <v>450</v>
      </c>
      <c r="C191" s="188" t="s">
        <v>100</v>
      </c>
      <c r="D191" s="199" t="str">
        <f t="shared" si="21"/>
        <v>Agent06</v>
      </c>
      <c r="E191" s="200" t="s">
        <v>286</v>
      </c>
      <c r="F191" s="200" t="s">
        <v>284</v>
      </c>
      <c r="G191" s="201" t="str">
        <f>VLOOKUP(E191,'2.ポータル'!$A:$F,6,FALSE)</f>
        <v>P82:集会所はなみずき</v>
      </c>
      <c r="H191" s="201" t="str">
        <f>VLOOKUP(F191,'2.ポータル'!$A:$F,6,FALSE)</f>
        <v>P81:米原南土地区画整理竣工記念碑</v>
      </c>
      <c r="I191" s="193"/>
      <c r="J191" s="202" t="e">
        <f t="shared" ca="1" si="18"/>
        <v>#NAME?</v>
      </c>
      <c r="K191" s="203" t="e">
        <f ca="1">VLOOKUP(F191,'2.ポータル'!$A:$G,7,FALSE)</f>
        <v>#NAME?</v>
      </c>
      <c r="M191" s="184"/>
      <c r="N191" s="185"/>
      <c r="O191" s="185"/>
      <c r="P191" s="185"/>
      <c r="Q191" s="193"/>
    </row>
    <row r="192" spans="1:17" ht="17.5">
      <c r="A192" s="198">
        <f t="shared" si="17"/>
        <v>23</v>
      </c>
      <c r="B192" s="192" t="s">
        <v>450</v>
      </c>
      <c r="C192" s="188" t="s">
        <v>100</v>
      </c>
      <c r="D192" s="199" t="str">
        <f t="shared" si="21"/>
        <v>Agent06</v>
      </c>
      <c r="E192" s="200" t="s">
        <v>286</v>
      </c>
      <c r="F192" s="200" t="s">
        <v>310</v>
      </c>
      <c r="G192" s="201" t="str">
        <f>VLOOKUP(E192,'2.ポータル'!$A:$F,6,FALSE)</f>
        <v>P82:集会所はなみずき</v>
      </c>
      <c r="H192" s="201" t="str">
        <f>VLOOKUP(F192,'2.ポータル'!$A:$F,6,FALSE)</f>
        <v>P94:住居表示街区案内図 米子市米原3丁目</v>
      </c>
      <c r="I192" s="193"/>
      <c r="J192" s="202" t="e">
        <f t="shared" ca="1" si="18"/>
        <v>#NAME?</v>
      </c>
      <c r="K192" s="203" t="e">
        <f ca="1">VLOOKUP(F192,'2.ポータル'!$A:$G,7,FALSE)</f>
        <v>#NAME?</v>
      </c>
      <c r="M192" s="184"/>
      <c r="N192" s="185"/>
      <c r="O192" s="185"/>
      <c r="P192" s="185"/>
      <c r="Q192" s="193"/>
    </row>
    <row r="193" spans="1:17" ht="17.5">
      <c r="A193" s="198">
        <f t="shared" si="17"/>
        <v>24</v>
      </c>
      <c r="B193" s="192" t="s">
        <v>450</v>
      </c>
      <c r="C193" s="188" t="s">
        <v>100</v>
      </c>
      <c r="D193" s="199" t="str">
        <f t="shared" si="21"/>
        <v>Agent06</v>
      </c>
      <c r="E193" s="200" t="s">
        <v>280</v>
      </c>
      <c r="F193" s="200" t="s">
        <v>284</v>
      </c>
      <c r="G193" s="201" t="str">
        <f>VLOOKUP(E193,'2.ポータル'!$A:$F,6,FALSE)</f>
        <v>P79:住居表示街区案内図 西福原1丁目</v>
      </c>
      <c r="H193" s="201" t="str">
        <f>VLOOKUP(F193,'2.ポータル'!$A:$F,6,FALSE)</f>
        <v>P81:米原南土地区画整理竣工記念碑</v>
      </c>
      <c r="I193" s="193"/>
      <c r="J193" s="202" t="e">
        <f t="shared" ca="1" si="18"/>
        <v>#NAME?</v>
      </c>
      <c r="K193" s="203" t="e">
        <f ca="1">VLOOKUP(F193,'2.ポータル'!$A:$G,7,FALSE)</f>
        <v>#NAME?</v>
      </c>
      <c r="M193" s="184"/>
      <c r="N193" s="185"/>
      <c r="O193" s="185"/>
      <c r="P193" s="185"/>
      <c r="Q193" s="193"/>
    </row>
    <row r="194" spans="1:17" ht="17.5">
      <c r="A194" s="198">
        <f t="shared" si="17"/>
        <v>25</v>
      </c>
      <c r="B194" s="192" t="s">
        <v>450</v>
      </c>
      <c r="C194" s="188" t="s">
        <v>100</v>
      </c>
      <c r="D194" s="199" t="str">
        <f t="shared" si="21"/>
        <v>Agent06</v>
      </c>
      <c r="E194" s="200" t="s">
        <v>280</v>
      </c>
      <c r="F194" s="200" t="s">
        <v>310</v>
      </c>
      <c r="G194" s="201" t="str">
        <f>VLOOKUP(E194,'2.ポータル'!$A:$F,6,FALSE)</f>
        <v>P79:住居表示街区案内図 西福原1丁目</v>
      </c>
      <c r="H194" s="201" t="str">
        <f>VLOOKUP(F194,'2.ポータル'!$A:$F,6,FALSE)</f>
        <v>P94:住居表示街区案内図 米子市米原3丁目</v>
      </c>
      <c r="I194" s="193"/>
      <c r="J194" s="202" t="e">
        <f t="shared" ca="1" si="18"/>
        <v>#NAME?</v>
      </c>
      <c r="K194" s="203" t="e">
        <f ca="1">VLOOKUP(F194,'2.ポータル'!$A:$G,7,FALSE)</f>
        <v>#NAME?</v>
      </c>
      <c r="M194" s="184"/>
      <c r="N194" s="185"/>
      <c r="O194" s="185"/>
      <c r="P194" s="185"/>
      <c r="Q194" s="193"/>
    </row>
    <row r="195" spans="1:17" ht="17.5">
      <c r="A195" s="198">
        <f t="shared" si="17"/>
        <v>26</v>
      </c>
      <c r="B195" s="192" t="s">
        <v>450</v>
      </c>
      <c r="C195" s="188" t="s">
        <v>100</v>
      </c>
      <c r="D195" s="199" t="str">
        <f t="shared" si="21"/>
        <v>Agent06</v>
      </c>
      <c r="E195" s="200" t="s">
        <v>280</v>
      </c>
      <c r="F195" s="200" t="s">
        <v>316</v>
      </c>
      <c r="G195" s="201" t="str">
        <f>VLOOKUP(E195,'2.ポータル'!$A:$F,6,FALSE)</f>
        <v>P79:住居表示街区案内図 西福原1丁目</v>
      </c>
      <c r="H195" s="201" t="str">
        <f>VLOOKUP(F195,'2.ポータル'!$A:$F,6,FALSE)</f>
        <v>P97:世界真光文明教団 米子センター</v>
      </c>
      <c r="I195" s="193"/>
      <c r="J195" s="202" t="e">
        <f t="shared" ca="1" si="18"/>
        <v>#NAME?</v>
      </c>
      <c r="K195" s="203" t="e">
        <f ca="1">VLOOKUP(F195,'2.ポータル'!$A:$G,7,FALSE)</f>
        <v>#NAME?</v>
      </c>
      <c r="M195" s="184"/>
      <c r="N195" s="185"/>
      <c r="O195" s="185"/>
      <c r="P195" s="185"/>
      <c r="Q195" s="193"/>
    </row>
    <row r="196" spans="1:17" ht="17.5">
      <c r="A196" s="198">
        <f t="shared" si="17"/>
        <v>27</v>
      </c>
      <c r="B196" s="192" t="s">
        <v>450</v>
      </c>
      <c r="C196" s="188" t="s">
        <v>100</v>
      </c>
      <c r="D196" s="199" t="str">
        <f t="shared" si="21"/>
        <v>Agent06</v>
      </c>
      <c r="E196" s="200" t="s">
        <v>280</v>
      </c>
      <c r="F196" s="200" t="s">
        <v>304</v>
      </c>
      <c r="G196" s="201" t="str">
        <f>VLOOKUP(E196,'2.ポータル'!$A:$F,6,FALSE)</f>
        <v>P79:住居表示街区案内図 西福原1丁目</v>
      </c>
      <c r="H196" s="201" t="str">
        <f>VLOOKUP(F196,'2.ポータル'!$A:$F,6,FALSE)</f>
        <v>P91:YONAGO SWIMING SCHOOL</v>
      </c>
      <c r="I196" s="193"/>
      <c r="J196" s="202" t="e">
        <f t="shared" ca="1" si="18"/>
        <v>#NAME?</v>
      </c>
      <c r="K196" s="203" t="e">
        <f ca="1">VLOOKUP(F196,'2.ポータル'!$A:$G,7,FALSE)</f>
        <v>#NAME?</v>
      </c>
      <c r="M196" s="184"/>
      <c r="N196" s="185"/>
      <c r="O196" s="185"/>
      <c r="P196" s="185"/>
      <c r="Q196" s="193"/>
    </row>
    <row r="197" spans="1:17" ht="17.5">
      <c r="A197" s="198">
        <f t="shared" si="17"/>
        <v>28</v>
      </c>
      <c r="B197" s="192" t="s">
        <v>450</v>
      </c>
      <c r="C197" s="188" t="s">
        <v>100</v>
      </c>
      <c r="D197" s="199" t="str">
        <f>D194</f>
        <v>Agent06</v>
      </c>
      <c r="E197" s="200" t="s">
        <v>280</v>
      </c>
      <c r="F197" s="200" t="s">
        <v>286</v>
      </c>
      <c r="G197" s="201" t="str">
        <f>VLOOKUP(E197,'2.ポータル'!$A:$F,6,FALSE)</f>
        <v>P79:住居表示街区案内図 西福原1丁目</v>
      </c>
      <c r="H197" s="201" t="str">
        <f>VLOOKUP(F197,'2.ポータル'!$A:$F,6,FALSE)</f>
        <v>P82:集会所はなみずき</v>
      </c>
      <c r="I197" s="193"/>
      <c r="J197" s="202" t="e">
        <f t="shared" ca="1" si="18"/>
        <v>#NAME?</v>
      </c>
      <c r="K197" s="203" t="e">
        <f ca="1">VLOOKUP(F197,'2.ポータル'!$A:$G,7,FALSE)</f>
        <v>#NAME?</v>
      </c>
      <c r="M197" s="184"/>
      <c r="N197" s="185"/>
      <c r="O197" s="185"/>
      <c r="P197" s="185"/>
      <c r="Q197" s="193"/>
    </row>
    <row r="198" spans="1:17" ht="17.5">
      <c r="A198" s="198">
        <f t="shared" si="17"/>
        <v>29</v>
      </c>
      <c r="B198" s="192" t="s">
        <v>450</v>
      </c>
      <c r="C198" s="188" t="s">
        <v>100</v>
      </c>
      <c r="D198" s="199" t="str">
        <f t="shared" ref="D198:D218" si="22">D197</f>
        <v>Agent06</v>
      </c>
      <c r="E198" s="200" t="s">
        <v>280</v>
      </c>
      <c r="F198" s="200" t="s">
        <v>254</v>
      </c>
      <c r="G198" s="201" t="str">
        <f>VLOOKUP(E198,'2.ポータル'!$A:$F,6,FALSE)</f>
        <v>P79:住居表示街区案内図 西福原1丁目</v>
      </c>
      <c r="H198" s="201" t="str">
        <f>VLOOKUP(F198,'2.ポータル'!$A:$F,6,FALSE)</f>
        <v>P66:真如苑 米子支部</v>
      </c>
      <c r="I198" s="193"/>
      <c r="J198" s="202" t="e">
        <f t="shared" ca="1" si="18"/>
        <v>#NAME?</v>
      </c>
      <c r="K198" s="203" t="e">
        <f ca="1">VLOOKUP(F198,'2.ポータル'!$A:$G,7,FALSE)</f>
        <v>#NAME?</v>
      </c>
      <c r="M198" s="184"/>
      <c r="N198" s="185"/>
      <c r="O198" s="185"/>
      <c r="P198" s="185"/>
      <c r="Q198" s="193"/>
    </row>
    <row r="199" spans="1:17" ht="17.5">
      <c r="A199" s="198">
        <f t="shared" si="17"/>
        <v>30</v>
      </c>
      <c r="B199" s="192" t="s">
        <v>450</v>
      </c>
      <c r="C199" s="188" t="s">
        <v>100</v>
      </c>
      <c r="D199" s="199" t="str">
        <f t="shared" si="22"/>
        <v>Agent06</v>
      </c>
      <c r="E199" s="200" t="s">
        <v>280</v>
      </c>
      <c r="F199" s="200" t="s">
        <v>272</v>
      </c>
      <c r="G199" s="201" t="str">
        <f>VLOOKUP(E199,'2.ポータル'!$A:$F,6,FALSE)</f>
        <v>P79:住居表示街区案内図 西福原1丁目</v>
      </c>
      <c r="H199" s="201" t="str">
        <f>VLOOKUP(F199,'2.ポータル'!$A:$F,6,FALSE)</f>
        <v>P75:西部建設会館</v>
      </c>
      <c r="I199" s="193"/>
      <c r="J199" s="202" t="e">
        <f t="shared" ca="1" si="18"/>
        <v>#NAME?</v>
      </c>
      <c r="K199" s="203" t="e">
        <f ca="1">VLOOKUP(F199,'2.ポータル'!$A:$G,7,FALSE)</f>
        <v>#NAME?</v>
      </c>
      <c r="M199" s="184"/>
      <c r="N199" s="185"/>
      <c r="O199" s="185"/>
      <c r="P199" s="185"/>
      <c r="Q199" s="193"/>
    </row>
    <row r="200" spans="1:17" ht="17.5">
      <c r="A200" s="198">
        <f t="shared" si="17"/>
        <v>31</v>
      </c>
      <c r="B200" s="192" t="s">
        <v>450</v>
      </c>
      <c r="C200" s="188" t="s">
        <v>100</v>
      </c>
      <c r="D200" s="199" t="str">
        <f t="shared" si="22"/>
        <v>Agent06</v>
      </c>
      <c r="E200" s="200" t="s">
        <v>280</v>
      </c>
      <c r="F200" s="200" t="s">
        <v>262</v>
      </c>
      <c r="G200" s="201" t="str">
        <f>VLOOKUP(E200,'2.ポータル'!$A:$F,6,FALSE)</f>
        <v>P79:住居表示街区案内図 西福原1丁目</v>
      </c>
      <c r="H200" s="201" t="str">
        <f>VLOOKUP(F200,'2.ポータル'!$A:$F,6,FALSE)</f>
        <v>P70:米川堤防のつつじ</v>
      </c>
      <c r="I200" s="193"/>
      <c r="J200" s="202" t="e">
        <f t="shared" ca="1" si="18"/>
        <v>#NAME?</v>
      </c>
      <c r="K200" s="203" t="e">
        <f ca="1">VLOOKUP(F200,'2.ポータル'!$A:$G,7,FALSE)</f>
        <v>#NAME?</v>
      </c>
      <c r="M200" s="184"/>
      <c r="N200" s="185"/>
      <c r="O200" s="185"/>
      <c r="P200" s="185"/>
      <c r="Q200" s="193"/>
    </row>
    <row r="201" spans="1:17" ht="17.5">
      <c r="A201" s="198">
        <f t="shared" si="17"/>
        <v>32</v>
      </c>
      <c r="B201" s="192" t="s">
        <v>450</v>
      </c>
      <c r="C201" s="188" t="s">
        <v>100</v>
      </c>
      <c r="D201" s="199" t="str">
        <f t="shared" si="22"/>
        <v>Agent06</v>
      </c>
      <c r="E201" s="200" t="s">
        <v>300</v>
      </c>
      <c r="F201" s="200" t="s">
        <v>280</v>
      </c>
      <c r="G201" s="201" t="str">
        <f>VLOOKUP(E201,'2.ポータル'!$A:$F,6,FALSE)</f>
        <v>P89:上場谷神社</v>
      </c>
      <c r="H201" s="201" t="str">
        <f>VLOOKUP(F201,'2.ポータル'!$A:$F,6,FALSE)</f>
        <v>P79:住居表示街区案内図 西福原1丁目</v>
      </c>
      <c r="I201" s="193"/>
      <c r="J201" s="202" t="e">
        <f t="shared" ca="1" si="18"/>
        <v>#NAME?</v>
      </c>
      <c r="K201" s="203" t="e">
        <f ca="1">VLOOKUP(F201,'2.ポータル'!$A:$G,7,FALSE)</f>
        <v>#NAME?</v>
      </c>
      <c r="M201" s="184"/>
      <c r="N201" s="185"/>
      <c r="O201" s="185"/>
      <c r="P201" s="185"/>
      <c r="Q201" s="193"/>
    </row>
    <row r="202" spans="1:17" ht="17.5">
      <c r="A202" s="198">
        <f t="shared" si="17"/>
        <v>33</v>
      </c>
      <c r="B202" s="192" t="s">
        <v>450</v>
      </c>
      <c r="C202" s="188" t="s">
        <v>100</v>
      </c>
      <c r="D202" s="199" t="str">
        <f t="shared" si="22"/>
        <v>Agent06</v>
      </c>
      <c r="E202" s="200" t="s">
        <v>300</v>
      </c>
      <c r="F202" s="200" t="s">
        <v>316</v>
      </c>
      <c r="G202" s="201" t="str">
        <f>VLOOKUP(E202,'2.ポータル'!$A:$F,6,FALSE)</f>
        <v>P89:上場谷神社</v>
      </c>
      <c r="H202" s="201" t="str">
        <f>VLOOKUP(F202,'2.ポータル'!$A:$F,6,FALSE)</f>
        <v>P97:世界真光文明教団 米子センター</v>
      </c>
      <c r="I202" s="193"/>
      <c r="J202" s="202" t="e">
        <f t="shared" ca="1" si="18"/>
        <v>#NAME?</v>
      </c>
      <c r="K202" s="203" t="e">
        <f ca="1">VLOOKUP(F202,'2.ポータル'!$A:$G,7,FALSE)</f>
        <v>#NAME?</v>
      </c>
      <c r="M202" s="184"/>
      <c r="N202" s="185"/>
      <c r="O202" s="185"/>
      <c r="P202" s="185"/>
      <c r="Q202" s="193"/>
    </row>
    <row r="203" spans="1:17" ht="17.5">
      <c r="A203" s="198">
        <f t="shared" si="17"/>
        <v>34</v>
      </c>
      <c r="B203" s="192" t="s">
        <v>450</v>
      </c>
      <c r="C203" s="188" t="s">
        <v>100</v>
      </c>
      <c r="D203" s="199" t="str">
        <f t="shared" si="22"/>
        <v>Agent06</v>
      </c>
      <c r="E203" s="200" t="s">
        <v>308</v>
      </c>
      <c r="F203" s="200" t="s">
        <v>280</v>
      </c>
      <c r="G203" s="201" t="str">
        <f>VLOOKUP(E203,'2.ポータル'!$A:$F,6,FALSE)</f>
        <v>P93:少林寺拳法 米子東道院</v>
      </c>
      <c r="H203" s="201" t="str">
        <f>VLOOKUP(F203,'2.ポータル'!$A:$F,6,FALSE)</f>
        <v>P79:住居表示街区案内図 西福原1丁目</v>
      </c>
      <c r="I203" s="193"/>
      <c r="J203" s="202" t="e">
        <f t="shared" ca="1" si="18"/>
        <v>#NAME?</v>
      </c>
      <c r="K203" s="203" t="e">
        <f ca="1">VLOOKUP(F203,'2.ポータル'!$A:$G,7,FALSE)</f>
        <v>#NAME?</v>
      </c>
      <c r="M203" s="184"/>
      <c r="N203" s="185"/>
      <c r="O203" s="185"/>
      <c r="P203" s="185"/>
      <c r="Q203" s="193"/>
    </row>
    <row r="204" spans="1:17" ht="17.5">
      <c r="A204" s="198">
        <f t="shared" si="17"/>
        <v>35</v>
      </c>
      <c r="B204" s="192" t="s">
        <v>450</v>
      </c>
      <c r="C204" s="188" t="s">
        <v>100</v>
      </c>
      <c r="D204" s="199" t="str">
        <f t="shared" si="22"/>
        <v>Agent06</v>
      </c>
      <c r="E204" s="200" t="s">
        <v>308</v>
      </c>
      <c r="F204" s="200" t="s">
        <v>316</v>
      </c>
      <c r="G204" s="201" t="str">
        <f>VLOOKUP(E204,'2.ポータル'!$A:$F,6,FALSE)</f>
        <v>P93:少林寺拳法 米子東道院</v>
      </c>
      <c r="H204" s="201" t="str">
        <f>VLOOKUP(F204,'2.ポータル'!$A:$F,6,FALSE)</f>
        <v>P97:世界真光文明教団 米子センター</v>
      </c>
      <c r="I204" s="193"/>
      <c r="J204" s="202" t="e">
        <f t="shared" ca="1" si="18"/>
        <v>#NAME?</v>
      </c>
      <c r="K204" s="203" t="e">
        <f ca="1">VLOOKUP(F204,'2.ポータル'!$A:$G,7,FALSE)</f>
        <v>#NAME?</v>
      </c>
      <c r="M204" s="184"/>
      <c r="N204" s="185"/>
      <c r="O204" s="185"/>
      <c r="P204" s="185"/>
      <c r="Q204" s="193"/>
    </row>
    <row r="205" spans="1:17" ht="17.5">
      <c r="A205" s="198">
        <f t="shared" si="17"/>
        <v>36</v>
      </c>
      <c r="B205" s="192" t="s">
        <v>450</v>
      </c>
      <c r="C205" s="188" t="s">
        <v>100</v>
      </c>
      <c r="D205" s="199" t="str">
        <f t="shared" si="22"/>
        <v>Agent06</v>
      </c>
      <c r="E205" s="200" t="s">
        <v>308</v>
      </c>
      <c r="F205" s="200" t="s">
        <v>300</v>
      </c>
      <c r="G205" s="201" t="str">
        <f>VLOOKUP(E205,'2.ポータル'!$A:$F,6,FALSE)</f>
        <v>P93:少林寺拳法 米子東道院</v>
      </c>
      <c r="H205" s="201" t="str">
        <f>VLOOKUP(F205,'2.ポータル'!$A:$F,6,FALSE)</f>
        <v>P89:上場谷神社</v>
      </c>
      <c r="I205" s="193"/>
      <c r="J205" s="202" t="e">
        <f t="shared" ca="1" si="18"/>
        <v>#NAME?</v>
      </c>
      <c r="K205" s="203" t="e">
        <f ca="1">VLOOKUP(F205,'2.ポータル'!$A:$G,7,FALSE)</f>
        <v>#NAME?</v>
      </c>
      <c r="M205" s="184"/>
      <c r="N205" s="185"/>
      <c r="O205" s="185"/>
      <c r="P205" s="185"/>
      <c r="Q205" s="193"/>
    </row>
    <row r="206" spans="1:17" ht="17.5">
      <c r="A206" s="198">
        <f t="shared" si="17"/>
        <v>37</v>
      </c>
      <c r="B206" s="192" t="s">
        <v>450</v>
      </c>
      <c r="C206" s="188" t="s">
        <v>100</v>
      </c>
      <c r="D206" s="199" t="str">
        <f t="shared" si="22"/>
        <v>Agent06</v>
      </c>
      <c r="E206" s="200" t="s">
        <v>308</v>
      </c>
      <c r="F206" s="200" t="s">
        <v>262</v>
      </c>
      <c r="G206" s="201" t="str">
        <f>VLOOKUP(E206,'2.ポータル'!$A:$F,6,FALSE)</f>
        <v>P93:少林寺拳法 米子東道院</v>
      </c>
      <c r="H206" s="201" t="str">
        <f>VLOOKUP(F206,'2.ポータル'!$A:$F,6,FALSE)</f>
        <v>P70:米川堤防のつつじ</v>
      </c>
      <c r="I206" s="193"/>
      <c r="J206" s="202" t="e">
        <f t="shared" ca="1" si="18"/>
        <v>#NAME?</v>
      </c>
      <c r="K206" s="203" t="e">
        <f ca="1">VLOOKUP(F206,'2.ポータル'!$A:$G,7,FALSE)</f>
        <v>#NAME?</v>
      </c>
      <c r="M206" s="184"/>
      <c r="N206" s="185"/>
      <c r="O206" s="185"/>
      <c r="P206" s="185"/>
      <c r="Q206" s="193"/>
    </row>
    <row r="207" spans="1:17" ht="17.5">
      <c r="A207" s="198">
        <f t="shared" si="17"/>
        <v>38</v>
      </c>
      <c r="B207" s="192" t="s">
        <v>450</v>
      </c>
      <c r="C207" s="188" t="s">
        <v>100</v>
      </c>
      <c r="D207" s="199" t="str">
        <f t="shared" si="22"/>
        <v>Agent06</v>
      </c>
      <c r="E207" s="200" t="s">
        <v>308</v>
      </c>
      <c r="F207" s="200" t="s">
        <v>320</v>
      </c>
      <c r="G207" s="201" t="str">
        <f>VLOOKUP(E207,'2.ポータル'!$A:$F,6,FALSE)</f>
        <v>P93:少林寺拳法 米子東道院</v>
      </c>
      <c r="H207" s="201" t="str">
        <f>VLOOKUP(F207,'2.ポータル'!$A:$F,6,FALSE)</f>
        <v>P99:米子復活教会</v>
      </c>
      <c r="I207" s="193"/>
      <c r="J207" s="202" t="e">
        <f t="shared" ca="1" si="18"/>
        <v>#NAME?</v>
      </c>
      <c r="K207" s="203" t="e">
        <f ca="1">VLOOKUP(F207,'2.ポータル'!$A:$G,7,FALSE)</f>
        <v>#NAME?</v>
      </c>
      <c r="M207" s="184"/>
      <c r="N207" s="185"/>
      <c r="O207" s="185"/>
      <c r="P207" s="185"/>
      <c r="Q207" s="193"/>
    </row>
    <row r="208" spans="1:17" ht="17.5">
      <c r="A208" s="198">
        <f t="shared" si="17"/>
        <v>39</v>
      </c>
      <c r="B208" s="192" t="s">
        <v>450</v>
      </c>
      <c r="C208" s="188" t="s">
        <v>100</v>
      </c>
      <c r="D208" s="199" t="str">
        <f t="shared" si="22"/>
        <v>Agent06</v>
      </c>
      <c r="E208" s="40" t="s">
        <v>302</v>
      </c>
      <c r="F208" s="40" t="s">
        <v>308</v>
      </c>
      <c r="G208" s="201" t="str">
        <f>VLOOKUP(E208,'2.ポータル'!$A:$F,6,FALSE)</f>
        <v>P90:ラーメンつけ麺 今を粋ろ</v>
      </c>
      <c r="H208" s="201" t="str">
        <f>VLOOKUP(F208,'2.ポータル'!$A:$F,6,FALSE)</f>
        <v>P93:少林寺拳法 米子東道院</v>
      </c>
      <c r="I208" s="193"/>
      <c r="J208" s="202" t="e">
        <f t="shared" ca="1" si="18"/>
        <v>#NAME?</v>
      </c>
      <c r="K208" s="203" t="e">
        <f ca="1">VLOOKUP(F208,'2.ポータル'!$A:$G,7,FALSE)</f>
        <v>#NAME?</v>
      </c>
      <c r="M208" s="184"/>
      <c r="N208" s="185"/>
      <c r="O208" s="185"/>
      <c r="P208" s="185"/>
      <c r="Q208" s="193"/>
    </row>
    <row r="209" spans="1:17" ht="17.5">
      <c r="A209" s="198">
        <f t="shared" si="17"/>
        <v>40</v>
      </c>
      <c r="B209" s="192" t="s">
        <v>450</v>
      </c>
      <c r="C209" s="216" t="s">
        <v>100</v>
      </c>
      <c r="D209" s="199" t="str">
        <f t="shared" si="22"/>
        <v>Agent06</v>
      </c>
      <c r="E209" s="40" t="s">
        <v>326</v>
      </c>
      <c r="F209" s="40" t="s">
        <v>308</v>
      </c>
      <c r="G209" s="218" t="str">
        <f>VLOOKUP(E209,'2.ポータル'!$A:$F,6,FALSE)</f>
        <v>P102:西福原公園のテニスコート</v>
      </c>
      <c r="H209" s="218" t="str">
        <f>VLOOKUP(F209,'2.ポータル'!$A:$F,6,FALSE)</f>
        <v>P93:少林寺拳法 米子東道院</v>
      </c>
      <c r="I209" s="40"/>
      <c r="J209" s="202" t="e">
        <f t="shared" ca="1" si="18"/>
        <v>#NAME?</v>
      </c>
      <c r="K209" s="219" t="e">
        <f ca="1">VLOOKUP(F209,'2.ポータル'!$A:$G,7,FALSE)</f>
        <v>#NAME?</v>
      </c>
      <c r="L209" s="40"/>
      <c r="M209" s="40"/>
      <c r="N209" s="40"/>
      <c r="O209" s="40"/>
      <c r="P209" s="40"/>
      <c r="Q209" s="40"/>
    </row>
    <row r="210" spans="1:17" ht="17.5">
      <c r="A210" s="198">
        <f t="shared" si="17"/>
        <v>41</v>
      </c>
      <c r="B210" s="192" t="s">
        <v>450</v>
      </c>
      <c r="C210" s="216" t="s">
        <v>100</v>
      </c>
      <c r="D210" s="199" t="str">
        <f t="shared" si="22"/>
        <v>Agent06</v>
      </c>
      <c r="E210" s="40" t="s">
        <v>326</v>
      </c>
      <c r="F210" s="40" t="s">
        <v>316</v>
      </c>
      <c r="G210" s="218" t="str">
        <f>VLOOKUP(E210,'2.ポータル'!$A:$F,6,FALSE)</f>
        <v>P102:西福原公園のテニスコート</v>
      </c>
      <c r="H210" s="218" t="str">
        <f>VLOOKUP(F210,'2.ポータル'!$A:$F,6,FALSE)</f>
        <v>P97:世界真光文明教団 米子センター</v>
      </c>
      <c r="I210" s="40"/>
      <c r="J210" s="202" t="e">
        <f t="shared" ca="1" si="18"/>
        <v>#NAME?</v>
      </c>
      <c r="K210" s="219" t="e">
        <f ca="1">VLOOKUP(F210,'2.ポータル'!$A:$G,7,FALSE)</f>
        <v>#NAME?</v>
      </c>
      <c r="L210" s="40"/>
      <c r="M210" s="40"/>
      <c r="N210" s="40"/>
      <c r="O210" s="40"/>
      <c r="P210" s="40"/>
      <c r="Q210" s="40"/>
    </row>
    <row r="211" spans="1:17" ht="17.5">
      <c r="A211" s="198">
        <f t="shared" si="17"/>
        <v>42</v>
      </c>
      <c r="B211" s="192" t="s">
        <v>450</v>
      </c>
      <c r="C211" s="216" t="s">
        <v>100</v>
      </c>
      <c r="D211" s="199" t="str">
        <f t="shared" si="22"/>
        <v>Agent06</v>
      </c>
      <c r="E211" s="40" t="s">
        <v>326</v>
      </c>
      <c r="F211" s="40" t="s">
        <v>320</v>
      </c>
      <c r="G211" s="218" t="str">
        <f>VLOOKUP(E211,'2.ポータル'!$A:$F,6,FALSE)</f>
        <v>P102:西福原公園のテニスコート</v>
      </c>
      <c r="H211" s="218" t="str">
        <f>VLOOKUP(F211,'2.ポータル'!$A:$F,6,FALSE)</f>
        <v>P99:米子復活教会</v>
      </c>
      <c r="I211" s="40"/>
      <c r="J211" s="202" t="e">
        <f t="shared" ca="1" si="18"/>
        <v>#NAME?</v>
      </c>
      <c r="K211" s="219" t="e">
        <f ca="1">VLOOKUP(F211,'2.ポータル'!$A:$G,7,FALSE)</f>
        <v>#NAME?</v>
      </c>
      <c r="L211" s="40"/>
      <c r="M211" s="40"/>
      <c r="N211" s="40"/>
      <c r="O211" s="40"/>
      <c r="P211" s="40"/>
      <c r="Q211" s="40"/>
    </row>
    <row r="212" spans="1:17" ht="17.5">
      <c r="A212" s="198">
        <f t="shared" si="17"/>
        <v>43</v>
      </c>
      <c r="B212" s="192" t="s">
        <v>450</v>
      </c>
      <c r="C212" s="216" t="s">
        <v>100</v>
      </c>
      <c r="D212" s="199" t="str">
        <f t="shared" si="22"/>
        <v>Agent06</v>
      </c>
      <c r="E212" s="40" t="s">
        <v>326</v>
      </c>
      <c r="F212" s="40" t="s">
        <v>302</v>
      </c>
      <c r="G212" s="218" t="str">
        <f>VLOOKUP(E212,'2.ポータル'!$A:$F,6,FALSE)</f>
        <v>P102:西福原公園のテニスコート</v>
      </c>
      <c r="H212" s="218" t="str">
        <f>VLOOKUP(F212,'2.ポータル'!$A:$F,6,FALSE)</f>
        <v>P90:ラーメンつけ麺 今を粋ろ</v>
      </c>
      <c r="I212" s="40"/>
      <c r="J212" s="202" t="e">
        <f t="shared" ca="1" si="18"/>
        <v>#NAME?</v>
      </c>
      <c r="K212" s="219" t="e">
        <f ca="1">VLOOKUP(F212,'2.ポータル'!$A:$G,7,FALSE)</f>
        <v>#NAME?</v>
      </c>
      <c r="L212" s="40"/>
      <c r="M212" s="40"/>
      <c r="N212" s="40"/>
      <c r="O212" s="40"/>
      <c r="P212" s="40"/>
      <c r="Q212" s="40"/>
    </row>
    <row r="213" spans="1:17" ht="17.5">
      <c r="A213" s="198">
        <f t="shared" si="17"/>
        <v>44</v>
      </c>
      <c r="B213" s="192" t="s">
        <v>450</v>
      </c>
      <c r="C213" s="216" t="s">
        <v>100</v>
      </c>
      <c r="D213" s="199" t="str">
        <f t="shared" si="22"/>
        <v>Agent06</v>
      </c>
      <c r="E213" s="40" t="s">
        <v>290</v>
      </c>
      <c r="F213" s="40" t="s">
        <v>262</v>
      </c>
      <c r="G213" s="218" t="str">
        <f>VLOOKUP(E213,'2.ポータル'!$A:$F,6,FALSE)</f>
        <v>P84:環</v>
      </c>
      <c r="H213" s="218" t="str">
        <f>VLOOKUP(F213,'2.ポータル'!$A:$F,6,FALSE)</f>
        <v>P70:米川堤防のつつじ</v>
      </c>
      <c r="I213" s="40"/>
      <c r="J213" s="202" t="e">
        <f t="shared" ca="1" si="18"/>
        <v>#NAME?</v>
      </c>
      <c r="K213" s="219" t="e">
        <f ca="1">VLOOKUP(F213,'2.ポータル'!$A:$G,7,FALSE)</f>
        <v>#NAME?</v>
      </c>
      <c r="L213" s="40"/>
      <c r="M213" s="40"/>
      <c r="N213" s="40"/>
      <c r="O213" s="40"/>
      <c r="P213" s="40"/>
      <c r="Q213" s="40"/>
    </row>
    <row r="214" spans="1:17" ht="17.5">
      <c r="A214" s="198">
        <f t="shared" si="17"/>
        <v>45</v>
      </c>
      <c r="B214" s="192" t="s">
        <v>450</v>
      </c>
      <c r="C214" s="216" t="s">
        <v>100</v>
      </c>
      <c r="D214" s="199" t="str">
        <f t="shared" si="22"/>
        <v>Agent06</v>
      </c>
      <c r="E214" s="40" t="s">
        <v>290</v>
      </c>
      <c r="F214" s="40" t="s">
        <v>246</v>
      </c>
      <c r="G214" s="218" t="str">
        <f>VLOOKUP(E214,'2.ポータル'!$A:$F,6,FALSE)</f>
        <v>P84:環</v>
      </c>
      <c r="H214" s="218" t="str">
        <f>VLOOKUP(F214,'2.ポータル'!$A:$F,6,FALSE)</f>
        <v>P62:米子市役所博労町庁舎</v>
      </c>
      <c r="I214" s="40"/>
      <c r="J214" s="202" t="e">
        <f t="shared" ca="1" si="18"/>
        <v>#NAME?</v>
      </c>
      <c r="K214" s="219" t="e">
        <f ca="1">VLOOKUP(F214,'2.ポータル'!$A:$G,7,FALSE)</f>
        <v>#NAME?</v>
      </c>
      <c r="L214" s="40"/>
      <c r="M214" s="40"/>
      <c r="N214" s="40"/>
      <c r="O214" s="40"/>
      <c r="P214" s="40"/>
      <c r="Q214" s="40"/>
    </row>
    <row r="215" spans="1:17" ht="17.5">
      <c r="A215" s="198">
        <f t="shared" si="17"/>
        <v>46</v>
      </c>
      <c r="B215" s="192" t="s">
        <v>450</v>
      </c>
      <c r="C215" s="216" t="s">
        <v>100</v>
      </c>
      <c r="D215" s="199" t="str">
        <f t="shared" si="22"/>
        <v>Agent06</v>
      </c>
      <c r="E215" s="40" t="s">
        <v>290</v>
      </c>
      <c r="F215" s="40" t="s">
        <v>260</v>
      </c>
      <c r="G215" s="218" t="str">
        <f>VLOOKUP(E215,'2.ポータル'!$A:$F,6,FALSE)</f>
        <v>P84:環</v>
      </c>
      <c r="H215" s="218" t="str">
        <f>VLOOKUP(F215,'2.ポータル'!$A:$F,6,FALSE)</f>
        <v>P69:住居表示街区案内図 米子市東福原1丁目</v>
      </c>
      <c r="I215" s="40"/>
      <c r="J215" s="202" t="e">
        <f t="shared" ca="1" si="18"/>
        <v>#NAME?</v>
      </c>
      <c r="K215" s="219" t="e">
        <f ca="1">VLOOKUP(F215,'2.ポータル'!$A:$G,7,FALSE)</f>
        <v>#NAME?</v>
      </c>
      <c r="L215" s="40"/>
      <c r="M215" s="40"/>
      <c r="N215" s="40"/>
      <c r="O215" s="40"/>
      <c r="P215" s="40"/>
      <c r="Q215" s="40"/>
    </row>
    <row r="216" spans="1:17" ht="17.5">
      <c r="A216" s="198">
        <f t="shared" si="17"/>
        <v>47</v>
      </c>
      <c r="B216" s="192" t="s">
        <v>450</v>
      </c>
      <c r="C216" s="216" t="s">
        <v>100</v>
      </c>
      <c r="D216" s="199" t="str">
        <f t="shared" si="22"/>
        <v>Agent06</v>
      </c>
      <c r="E216" s="40" t="s">
        <v>270</v>
      </c>
      <c r="F216" s="40" t="s">
        <v>326</v>
      </c>
      <c r="G216" s="218" t="str">
        <f>VLOOKUP(E216,'2.ポータル'!$A:$F,6,FALSE)</f>
        <v>P74:ラッテちゃんボランティアロード</v>
      </c>
      <c r="H216" s="218" t="str">
        <f>VLOOKUP(F216,'2.ポータル'!$A:$F,6,FALSE)</f>
        <v>P102:西福原公園のテニスコート</v>
      </c>
      <c r="I216" s="40"/>
      <c r="J216" s="202" t="e">
        <f t="shared" ca="1" si="18"/>
        <v>#NAME?</v>
      </c>
      <c r="K216" s="219" t="e">
        <f ca="1">VLOOKUP(F216,'2.ポータル'!$A:$G,7,FALSE)</f>
        <v>#NAME?</v>
      </c>
      <c r="L216" s="40"/>
      <c r="M216" s="40"/>
      <c r="N216" s="40"/>
      <c r="O216" s="40"/>
      <c r="P216" s="40"/>
      <c r="Q216" s="40"/>
    </row>
    <row r="217" spans="1:17" ht="17.5">
      <c r="A217" s="198">
        <f t="shared" si="17"/>
        <v>48</v>
      </c>
      <c r="B217" s="192" t="s">
        <v>450</v>
      </c>
      <c r="C217" s="216" t="s">
        <v>100</v>
      </c>
      <c r="D217" s="199" t="str">
        <f t="shared" si="22"/>
        <v>Agent06</v>
      </c>
      <c r="E217" s="40" t="s">
        <v>270</v>
      </c>
      <c r="F217" s="40" t="s">
        <v>308</v>
      </c>
      <c r="G217" s="218" t="str">
        <f>VLOOKUP(E217,'2.ポータル'!$A:$F,6,FALSE)</f>
        <v>P74:ラッテちゃんボランティアロード</v>
      </c>
      <c r="H217" s="218" t="str">
        <f>VLOOKUP(F217,'2.ポータル'!$A:$F,6,FALSE)</f>
        <v>P93:少林寺拳法 米子東道院</v>
      </c>
      <c r="I217" s="40"/>
      <c r="J217" s="202" t="e">
        <f t="shared" ca="1" si="18"/>
        <v>#NAME?</v>
      </c>
      <c r="K217" s="219" t="e">
        <f ca="1">VLOOKUP(F217,'2.ポータル'!$A:$G,7,FALSE)</f>
        <v>#NAME?</v>
      </c>
      <c r="L217" s="40"/>
      <c r="M217" s="40"/>
      <c r="N217" s="40"/>
      <c r="O217" s="40"/>
      <c r="P217" s="40"/>
      <c r="Q217" s="40"/>
    </row>
    <row r="218" spans="1:17" ht="17.5">
      <c r="A218" s="198">
        <f t="shared" si="17"/>
        <v>49</v>
      </c>
      <c r="B218" s="192" t="s">
        <v>450</v>
      </c>
      <c r="C218" s="216" t="s">
        <v>100</v>
      </c>
      <c r="D218" s="199" t="str">
        <f t="shared" si="22"/>
        <v>Agent06</v>
      </c>
      <c r="E218" s="40" t="s">
        <v>270</v>
      </c>
      <c r="F218" s="40" t="s">
        <v>302</v>
      </c>
      <c r="G218" s="218" t="str">
        <f>VLOOKUP(E218,'2.ポータル'!$A:$F,6,FALSE)</f>
        <v>P74:ラッテちゃんボランティアロード</v>
      </c>
      <c r="H218" s="218" t="str">
        <f>VLOOKUP(F218,'2.ポータル'!$A:$F,6,FALSE)</f>
        <v>P90:ラーメンつけ麺 今を粋ろ</v>
      </c>
      <c r="I218" s="40"/>
      <c r="J218" s="202" t="e">
        <f t="shared" ca="1" si="18"/>
        <v>#NAME?</v>
      </c>
      <c r="K218" s="219" t="e">
        <f ca="1">VLOOKUP(F218,'2.ポータル'!$A:$G,7,FALSE)</f>
        <v>#NAME?</v>
      </c>
      <c r="L218" s="40"/>
      <c r="M218" s="40"/>
      <c r="N218" s="40"/>
      <c r="O218" s="40"/>
      <c r="P218" s="40"/>
      <c r="Q218" s="40"/>
    </row>
    <row r="219" spans="1:17" ht="17.5">
      <c r="A219" s="205"/>
      <c r="B219" s="206" t="s">
        <v>451</v>
      </c>
      <c r="C219" s="207"/>
      <c r="D219" s="208"/>
      <c r="E219" s="209"/>
      <c r="F219" s="209"/>
      <c r="G219" s="210"/>
      <c r="H219" s="210"/>
      <c r="I219" s="209"/>
      <c r="J219" s="211"/>
      <c r="K219" s="210"/>
      <c r="L219" s="193"/>
      <c r="N219" s="193"/>
      <c r="O219" s="193"/>
      <c r="P219" s="193"/>
      <c r="Q219" s="193"/>
    </row>
    <row r="220" spans="1:17" ht="17.5">
      <c r="A220" s="183"/>
      <c r="B220" s="192"/>
      <c r="C220" s="183"/>
      <c r="D220" s="212"/>
      <c r="E220" s="213"/>
      <c r="F220" s="213"/>
      <c r="G220" s="212"/>
      <c r="H220" s="214"/>
      <c r="I220" s="193"/>
      <c r="J220" s="215"/>
      <c r="K220" s="212"/>
      <c r="N220" s="193"/>
      <c r="O220" s="193"/>
      <c r="P220" s="193"/>
      <c r="Q220" s="193"/>
    </row>
    <row r="221" spans="1:17" ht="28.5">
      <c r="A221" s="188"/>
      <c r="B221" s="189" t="s">
        <v>471</v>
      </c>
      <c r="C221" s="188"/>
      <c r="D221" s="190"/>
      <c r="E221" s="185"/>
      <c r="F221" s="185"/>
      <c r="G221" s="191" t="s">
        <v>472</v>
      </c>
      <c r="H221" s="192" t="s">
        <v>473</v>
      </c>
      <c r="I221" s="193"/>
      <c r="J221" s="194"/>
      <c r="K221" s="192"/>
      <c r="L221" s="183"/>
      <c r="N221" s="185"/>
      <c r="O221" s="185"/>
      <c r="P221" s="185"/>
      <c r="Q221" s="185"/>
    </row>
    <row r="222" spans="1:17" ht="17.5">
      <c r="A222" s="177"/>
      <c r="B222" s="178" t="s">
        <v>437</v>
      </c>
      <c r="C222" s="177" t="s">
        <v>91</v>
      </c>
      <c r="D222" s="178" t="s">
        <v>438</v>
      </c>
      <c r="E222" s="179" t="s">
        <v>439</v>
      </c>
      <c r="F222" s="179" t="s">
        <v>440</v>
      </c>
      <c r="G222" s="178" t="s">
        <v>441</v>
      </c>
      <c r="H222" s="180" t="s">
        <v>442</v>
      </c>
      <c r="I222" s="181" t="s">
        <v>443</v>
      </c>
      <c r="J222" s="182"/>
      <c r="K222" s="178" t="s">
        <v>444</v>
      </c>
      <c r="L222" s="183"/>
      <c r="N222" s="184"/>
      <c r="O222" s="185"/>
      <c r="P222" s="185"/>
      <c r="Q222" s="185"/>
    </row>
    <row r="223" spans="1:17" ht="17.5">
      <c r="A223" s="195"/>
      <c r="B223" s="195" t="s">
        <v>449</v>
      </c>
      <c r="C223" s="195"/>
      <c r="D223" s="195"/>
      <c r="E223" s="195"/>
      <c r="F223" s="195"/>
      <c r="G223" s="195"/>
      <c r="H223" s="196"/>
      <c r="I223" s="196"/>
      <c r="J223" s="197"/>
      <c r="K223" s="195"/>
      <c r="N223" s="184"/>
      <c r="O223" s="185"/>
      <c r="P223" s="185"/>
      <c r="Q223" s="193"/>
    </row>
    <row r="224" spans="1:17" ht="17.5">
      <c r="A224" s="198">
        <f t="shared" ref="A224:A246" si="23">A223+1</f>
        <v>1</v>
      </c>
      <c r="B224" s="192" t="s">
        <v>450</v>
      </c>
      <c r="C224" s="188" t="s">
        <v>100</v>
      </c>
      <c r="D224" s="199" t="str">
        <f>B221</f>
        <v>Agent07</v>
      </c>
      <c r="E224" s="200" t="s">
        <v>226</v>
      </c>
      <c r="F224" s="200" t="s">
        <v>433</v>
      </c>
      <c r="G224" s="201" t="str">
        <f>VLOOKUP(E224,'2.ポータル'!$A:$F,6,FALSE)</f>
        <v>P52:博労町公園</v>
      </c>
      <c r="H224" s="201" t="str">
        <f>VLOOKUP(F224,'2.ポータル'!$A:$F,6,FALSE)</f>
        <v>ポータルをキャプチャします</v>
      </c>
      <c r="I224" s="193"/>
      <c r="J224" s="202" t="str">
        <f>IF(F224="X99"," ", IF(D224=K224,"","★"))</f>
        <v xml:space="preserve"> </v>
      </c>
      <c r="K224" s="203">
        <f>VLOOKUP(F224,'2.ポータル'!$A:$G,7,FALSE)</f>
        <v>0</v>
      </c>
      <c r="N224" s="184"/>
      <c r="O224" s="185"/>
      <c r="P224" s="185"/>
      <c r="Q224" s="193"/>
    </row>
    <row r="225" spans="1:17" ht="17.5">
      <c r="A225" s="198">
        <f t="shared" si="23"/>
        <v>2</v>
      </c>
      <c r="B225" s="192" t="s">
        <v>450</v>
      </c>
      <c r="C225" s="188" t="s">
        <v>100</v>
      </c>
      <c r="D225" s="199" t="s">
        <v>471</v>
      </c>
      <c r="E225" s="200" t="s">
        <v>234</v>
      </c>
      <c r="F225" s="200" t="s">
        <v>433</v>
      </c>
      <c r="G225" s="201" t="s">
        <v>474</v>
      </c>
      <c r="H225" s="201" t="s">
        <v>434</v>
      </c>
      <c r="I225" s="193"/>
      <c r="J225" s="202" t="s">
        <v>98</v>
      </c>
      <c r="K225" s="203"/>
      <c r="N225" s="184"/>
      <c r="O225" s="185"/>
      <c r="P225" s="185"/>
      <c r="Q225" s="193"/>
    </row>
    <row r="226" spans="1:17" ht="17.5">
      <c r="A226" s="198">
        <f t="shared" si="23"/>
        <v>3</v>
      </c>
      <c r="B226" s="192" t="s">
        <v>450</v>
      </c>
      <c r="C226" s="188" t="s">
        <v>100</v>
      </c>
      <c r="D226" s="199" t="str">
        <f>D224</f>
        <v>Agent07</v>
      </c>
      <c r="E226" s="200" t="s">
        <v>240</v>
      </c>
      <c r="F226" s="200" t="s">
        <v>433</v>
      </c>
      <c r="G226" s="201" t="str">
        <f>VLOOKUP(E226,'2.ポータル'!$A:$F,6,FALSE)</f>
        <v>P59:YSP ボウル</v>
      </c>
      <c r="H226" s="201" t="str">
        <f>VLOOKUP(F226,'2.ポータル'!$A:$F,6,FALSE)</f>
        <v>ポータルをキャプチャします</v>
      </c>
      <c r="I226" s="193"/>
      <c r="J226" s="202" t="str">
        <f t="shared" ref="J226:J246" si="24">IF(F226="X99"," ", IF(D226=K226,"","★"))</f>
        <v xml:space="preserve"> </v>
      </c>
      <c r="K226" s="203">
        <f>VLOOKUP(F226,'2.ポータル'!$A:$G,7,FALSE)</f>
        <v>0</v>
      </c>
      <c r="N226" s="184"/>
      <c r="O226" s="185"/>
      <c r="P226" s="185"/>
      <c r="Q226" s="193"/>
    </row>
    <row r="227" spans="1:17" ht="17.5">
      <c r="A227" s="198">
        <f t="shared" si="23"/>
        <v>4</v>
      </c>
      <c r="B227" s="192" t="s">
        <v>450</v>
      </c>
      <c r="C227" s="188" t="s">
        <v>100</v>
      </c>
      <c r="D227" s="199" t="str">
        <f t="shared" ref="D227:D246" si="25">D226</f>
        <v>Agent07</v>
      </c>
      <c r="E227" s="200" t="s">
        <v>250</v>
      </c>
      <c r="F227" s="200" t="s">
        <v>240</v>
      </c>
      <c r="G227" s="201" t="str">
        <f>VLOOKUP(E227,'2.ポータル'!$A:$F,6,FALSE)</f>
        <v>P64:日ノ出公園</v>
      </c>
      <c r="H227" s="201" t="str">
        <f>VLOOKUP(F227,'2.ポータル'!$A:$F,6,FALSE)</f>
        <v>P59:YSP ボウル</v>
      </c>
      <c r="I227" s="193"/>
      <c r="J227" s="202" t="e">
        <f t="shared" ca="1" si="24"/>
        <v>#NAME?</v>
      </c>
      <c r="K227" s="203" t="e">
        <f ca="1">VLOOKUP(F227,'2.ポータル'!$A:$G,7,FALSE)</f>
        <v>#NAME?</v>
      </c>
      <c r="N227" s="204"/>
      <c r="O227" s="185"/>
      <c r="P227" s="185"/>
      <c r="Q227" s="193"/>
    </row>
    <row r="228" spans="1:17" ht="17.5">
      <c r="A228" s="198">
        <f t="shared" si="23"/>
        <v>5</v>
      </c>
      <c r="B228" s="192" t="s">
        <v>450</v>
      </c>
      <c r="C228" s="188" t="s">
        <v>100</v>
      </c>
      <c r="D228" s="199" t="str">
        <f t="shared" si="25"/>
        <v>Agent07</v>
      </c>
      <c r="E228" s="200" t="s">
        <v>254</v>
      </c>
      <c r="F228" s="200" t="s">
        <v>250</v>
      </c>
      <c r="G228" s="201" t="str">
        <f>VLOOKUP(E228,'2.ポータル'!$A:$F,6,FALSE)</f>
        <v>P66:真如苑 米子支部</v>
      </c>
      <c r="H228" s="201" t="str">
        <f>VLOOKUP(F228,'2.ポータル'!$A:$F,6,FALSE)</f>
        <v>P64:日ノ出公園</v>
      </c>
      <c r="I228" s="193"/>
      <c r="J228" s="202" t="e">
        <f t="shared" ca="1" si="24"/>
        <v>#NAME?</v>
      </c>
      <c r="K228" s="203" t="e">
        <f ca="1">VLOOKUP(F228,'2.ポータル'!$A:$G,7,FALSE)</f>
        <v>#NAME?</v>
      </c>
      <c r="N228" s="184"/>
      <c r="O228" s="185"/>
      <c r="P228" s="185"/>
      <c r="Q228" s="193"/>
    </row>
    <row r="229" spans="1:17" ht="17.5">
      <c r="A229" s="198">
        <f t="shared" si="23"/>
        <v>6</v>
      </c>
      <c r="B229" s="192" t="s">
        <v>450</v>
      </c>
      <c r="C229" s="188" t="s">
        <v>100</v>
      </c>
      <c r="D229" s="199" t="str">
        <f t="shared" si="25"/>
        <v>Agent07</v>
      </c>
      <c r="E229" s="200" t="s">
        <v>254</v>
      </c>
      <c r="F229" s="200" t="s">
        <v>240</v>
      </c>
      <c r="G229" s="201" t="str">
        <f>VLOOKUP(E229,'2.ポータル'!$A:$F,6,FALSE)</f>
        <v>P66:真如苑 米子支部</v>
      </c>
      <c r="H229" s="201" t="str">
        <f>VLOOKUP(F229,'2.ポータル'!$A:$F,6,FALSE)</f>
        <v>P59:YSP ボウル</v>
      </c>
      <c r="I229" s="193"/>
      <c r="J229" s="202" t="e">
        <f t="shared" ca="1" si="24"/>
        <v>#NAME?</v>
      </c>
      <c r="K229" s="203" t="e">
        <f ca="1">VLOOKUP(F229,'2.ポータル'!$A:$G,7,FALSE)</f>
        <v>#NAME?</v>
      </c>
      <c r="N229" s="184"/>
      <c r="O229" s="185"/>
      <c r="P229" s="185"/>
      <c r="Q229" s="193"/>
    </row>
    <row r="230" spans="1:17" ht="17.5">
      <c r="A230" s="198">
        <f t="shared" si="23"/>
        <v>7</v>
      </c>
      <c r="B230" s="192" t="s">
        <v>450</v>
      </c>
      <c r="C230" s="188" t="s">
        <v>100</v>
      </c>
      <c r="D230" s="199" t="str">
        <f t="shared" si="25"/>
        <v>Agent07</v>
      </c>
      <c r="E230" s="200" t="s">
        <v>254</v>
      </c>
      <c r="F230" s="200" t="s">
        <v>234</v>
      </c>
      <c r="G230" s="201" t="str">
        <f>VLOOKUP(E230,'2.ポータル'!$A:$F,6,FALSE)</f>
        <v>P66:真如苑 米子支部</v>
      </c>
      <c r="H230" s="201" t="str">
        <f>VLOOKUP(F230,'2.ポータル'!$A:$F,6,FALSE)</f>
        <v>P56:蝉丸神社</v>
      </c>
      <c r="I230" s="193"/>
      <c r="J230" s="202" t="e">
        <f t="shared" ca="1" si="24"/>
        <v>#NAME?</v>
      </c>
      <c r="K230" s="203" t="e">
        <f ca="1">VLOOKUP(F230,'2.ポータル'!$A:$G,7,FALSE)</f>
        <v>#NAME?</v>
      </c>
      <c r="M230" s="184"/>
      <c r="N230" s="184"/>
      <c r="O230" s="185"/>
      <c r="P230" s="185"/>
      <c r="Q230" s="193"/>
    </row>
    <row r="231" spans="1:17" ht="17.5">
      <c r="A231" s="198">
        <f t="shared" si="23"/>
        <v>8</v>
      </c>
      <c r="B231" s="192" t="s">
        <v>450</v>
      </c>
      <c r="C231" s="188" t="s">
        <v>100</v>
      </c>
      <c r="D231" s="199" t="str">
        <f t="shared" si="25"/>
        <v>Agent07</v>
      </c>
      <c r="E231" s="200" t="s">
        <v>272</v>
      </c>
      <c r="F231" s="200" t="s">
        <v>254</v>
      </c>
      <c r="G231" s="201" t="str">
        <f>VLOOKUP(E231,'2.ポータル'!$A:$F,6,FALSE)</f>
        <v>P75:西部建設会館</v>
      </c>
      <c r="H231" s="201" t="str">
        <f>VLOOKUP(F231,'2.ポータル'!$A:$F,6,FALSE)</f>
        <v>P66:真如苑 米子支部</v>
      </c>
      <c r="I231" s="193"/>
      <c r="J231" s="202" t="e">
        <f t="shared" ca="1" si="24"/>
        <v>#NAME?</v>
      </c>
      <c r="K231" s="203" t="e">
        <f ca="1">VLOOKUP(F231,'2.ポータル'!$A:$G,7,FALSE)</f>
        <v>#NAME?</v>
      </c>
      <c r="M231" s="184"/>
      <c r="N231" s="184"/>
      <c r="O231" s="185"/>
      <c r="P231" s="185"/>
      <c r="Q231" s="193"/>
    </row>
    <row r="232" spans="1:17" ht="17.5">
      <c r="A232" s="198">
        <f t="shared" si="23"/>
        <v>9</v>
      </c>
      <c r="B232" s="192" t="s">
        <v>450</v>
      </c>
      <c r="C232" s="188" t="s">
        <v>100</v>
      </c>
      <c r="D232" s="199" t="str">
        <f t="shared" si="25"/>
        <v>Agent07</v>
      </c>
      <c r="E232" s="200" t="s">
        <v>262</v>
      </c>
      <c r="F232" s="200" t="s">
        <v>272</v>
      </c>
      <c r="G232" s="201" t="str">
        <f>VLOOKUP(E232,'2.ポータル'!$A:$F,6,FALSE)</f>
        <v>P70:米川堤防のつつじ</v>
      </c>
      <c r="H232" s="201" t="str">
        <f>VLOOKUP(F232,'2.ポータル'!$A:$F,6,FALSE)</f>
        <v>P75:西部建設会館</v>
      </c>
      <c r="I232" s="193"/>
      <c r="J232" s="202" t="e">
        <f t="shared" ca="1" si="24"/>
        <v>#NAME?</v>
      </c>
      <c r="K232" s="203" t="e">
        <f ca="1">VLOOKUP(F232,'2.ポータル'!$A:$G,7,FALSE)</f>
        <v>#NAME?</v>
      </c>
      <c r="M232" s="184"/>
      <c r="N232" s="185"/>
      <c r="O232" s="185"/>
      <c r="P232" s="185"/>
      <c r="Q232" s="193"/>
    </row>
    <row r="233" spans="1:17" ht="17.5">
      <c r="A233" s="198">
        <f t="shared" si="23"/>
        <v>10</v>
      </c>
      <c r="B233" s="192" t="s">
        <v>450</v>
      </c>
      <c r="C233" s="188" t="s">
        <v>100</v>
      </c>
      <c r="D233" s="199" t="str">
        <f t="shared" si="25"/>
        <v>Agent07</v>
      </c>
      <c r="E233" s="200" t="s">
        <v>262</v>
      </c>
      <c r="F233" s="200" t="s">
        <v>254</v>
      </c>
      <c r="G233" s="201" t="str">
        <f>VLOOKUP(E233,'2.ポータル'!$A:$F,6,FALSE)</f>
        <v>P70:米川堤防のつつじ</v>
      </c>
      <c r="H233" s="201" t="str">
        <f>VLOOKUP(F233,'2.ポータル'!$A:$F,6,FALSE)</f>
        <v>P66:真如苑 米子支部</v>
      </c>
      <c r="I233" s="193"/>
      <c r="J233" s="202" t="e">
        <f t="shared" ca="1" si="24"/>
        <v>#NAME?</v>
      </c>
      <c r="K233" s="203" t="e">
        <f ca="1">VLOOKUP(F233,'2.ポータル'!$A:$G,7,FALSE)</f>
        <v>#NAME?</v>
      </c>
      <c r="M233" s="184"/>
      <c r="N233" s="185"/>
      <c r="O233" s="185"/>
      <c r="P233" s="185"/>
      <c r="Q233" s="193"/>
    </row>
    <row r="234" spans="1:17" ht="17.5">
      <c r="A234" s="198">
        <f t="shared" si="23"/>
        <v>11</v>
      </c>
      <c r="B234" s="192" t="s">
        <v>450</v>
      </c>
      <c r="C234" s="188" t="s">
        <v>100</v>
      </c>
      <c r="D234" s="199" t="str">
        <f t="shared" si="25"/>
        <v>Agent07</v>
      </c>
      <c r="E234" s="200" t="s">
        <v>262</v>
      </c>
      <c r="F234" s="200" t="s">
        <v>234</v>
      </c>
      <c r="G234" s="201" t="str">
        <f>VLOOKUP(E234,'2.ポータル'!$A:$F,6,FALSE)</f>
        <v>P70:米川堤防のつつじ</v>
      </c>
      <c r="H234" s="201" t="str">
        <f>VLOOKUP(F234,'2.ポータル'!$A:$F,6,FALSE)</f>
        <v>P56:蝉丸神社</v>
      </c>
      <c r="I234" s="193"/>
      <c r="J234" s="202" t="e">
        <f t="shared" ca="1" si="24"/>
        <v>#NAME?</v>
      </c>
      <c r="K234" s="203" t="e">
        <f ca="1">VLOOKUP(F234,'2.ポータル'!$A:$G,7,FALSE)</f>
        <v>#NAME?</v>
      </c>
      <c r="M234" s="184"/>
      <c r="N234" s="185"/>
      <c r="O234" s="185"/>
      <c r="P234" s="185"/>
      <c r="Q234" s="193"/>
    </row>
    <row r="235" spans="1:17" ht="17.5">
      <c r="A235" s="198">
        <f t="shared" si="23"/>
        <v>12</v>
      </c>
      <c r="B235" s="192" t="s">
        <v>450</v>
      </c>
      <c r="C235" s="188" t="s">
        <v>100</v>
      </c>
      <c r="D235" s="199" t="str">
        <f t="shared" si="25"/>
        <v>Agent07</v>
      </c>
      <c r="E235" s="200" t="s">
        <v>260</v>
      </c>
      <c r="F235" s="200" t="s">
        <v>262</v>
      </c>
      <c r="G235" s="201" t="str">
        <f>VLOOKUP(E235,'2.ポータル'!$A:$F,6,FALSE)</f>
        <v>P69:住居表示街区案内図 米子市東福原1丁目</v>
      </c>
      <c r="H235" s="201" t="str">
        <f>VLOOKUP(F235,'2.ポータル'!$A:$F,6,FALSE)</f>
        <v>P70:米川堤防のつつじ</v>
      </c>
      <c r="I235" s="193"/>
      <c r="J235" s="202" t="e">
        <f t="shared" ca="1" si="24"/>
        <v>#NAME?</v>
      </c>
      <c r="K235" s="203" t="e">
        <f ca="1">VLOOKUP(F235,'2.ポータル'!$A:$G,7,FALSE)</f>
        <v>#NAME?</v>
      </c>
      <c r="M235" s="184"/>
      <c r="N235" s="185"/>
      <c r="O235" s="185"/>
      <c r="P235" s="185"/>
      <c r="Q235" s="193"/>
    </row>
    <row r="236" spans="1:17" ht="17.5">
      <c r="A236" s="198">
        <f t="shared" si="23"/>
        <v>13</v>
      </c>
      <c r="B236" s="192" t="s">
        <v>450</v>
      </c>
      <c r="C236" s="188" t="s">
        <v>100</v>
      </c>
      <c r="D236" s="199" t="str">
        <f t="shared" si="25"/>
        <v>Agent07</v>
      </c>
      <c r="E236" s="200" t="s">
        <v>246</v>
      </c>
      <c r="F236" s="200" t="s">
        <v>260</v>
      </c>
      <c r="G236" s="201" t="str">
        <f>VLOOKUP(E236,'2.ポータル'!$A:$F,6,FALSE)</f>
        <v>P62:米子市役所博労町庁舎</v>
      </c>
      <c r="H236" s="201" t="str">
        <f>VLOOKUP(F236,'2.ポータル'!$A:$F,6,FALSE)</f>
        <v>P69:住居表示街区案内図 米子市東福原1丁目</v>
      </c>
      <c r="I236" s="193"/>
      <c r="J236" s="202" t="e">
        <f t="shared" ca="1" si="24"/>
        <v>#NAME?</v>
      </c>
      <c r="K236" s="203" t="e">
        <f ca="1">VLOOKUP(F236,'2.ポータル'!$A:$G,7,FALSE)</f>
        <v>#NAME?</v>
      </c>
      <c r="M236" s="184"/>
      <c r="N236" s="185"/>
      <c r="O236" s="185"/>
      <c r="P236" s="185"/>
      <c r="Q236" s="193"/>
    </row>
    <row r="237" spans="1:17" ht="17.5">
      <c r="A237" s="198">
        <f t="shared" si="23"/>
        <v>14</v>
      </c>
      <c r="B237" s="192" t="s">
        <v>450</v>
      </c>
      <c r="C237" s="188" t="s">
        <v>100</v>
      </c>
      <c r="D237" s="199" t="str">
        <f t="shared" si="25"/>
        <v>Agent07</v>
      </c>
      <c r="E237" s="200" t="s">
        <v>246</v>
      </c>
      <c r="F237" s="200" t="s">
        <v>262</v>
      </c>
      <c r="G237" s="201" t="str">
        <f>VLOOKUP(E237,'2.ポータル'!$A:$F,6,FALSE)</f>
        <v>P62:米子市役所博労町庁舎</v>
      </c>
      <c r="H237" s="201" t="str">
        <f>VLOOKUP(F237,'2.ポータル'!$A:$F,6,FALSE)</f>
        <v>P70:米川堤防のつつじ</v>
      </c>
      <c r="I237" s="193"/>
      <c r="J237" s="202" t="e">
        <f t="shared" ca="1" si="24"/>
        <v>#NAME?</v>
      </c>
      <c r="K237" s="203" t="e">
        <f ca="1">VLOOKUP(F237,'2.ポータル'!$A:$G,7,FALSE)</f>
        <v>#NAME?</v>
      </c>
      <c r="M237" s="184"/>
      <c r="N237" s="185"/>
      <c r="O237" s="185"/>
      <c r="P237" s="185"/>
      <c r="Q237" s="193"/>
    </row>
    <row r="238" spans="1:17" ht="17.5">
      <c r="A238" s="198">
        <f t="shared" si="23"/>
        <v>15</v>
      </c>
      <c r="B238" s="192" t="s">
        <v>450</v>
      </c>
      <c r="C238" s="188" t="s">
        <v>100</v>
      </c>
      <c r="D238" s="199" t="str">
        <f t="shared" si="25"/>
        <v>Agent07</v>
      </c>
      <c r="E238" s="200" t="s">
        <v>190</v>
      </c>
      <c r="F238" s="200" t="s">
        <v>262</v>
      </c>
      <c r="G238" s="201" t="str">
        <f>VLOOKUP(E238,'2.ポータル'!$A:$F,6,FALSE)</f>
        <v>P34:米子 法城寺</v>
      </c>
      <c r="H238" s="201" t="str">
        <f>VLOOKUP(F238,'2.ポータル'!$A:$F,6,FALSE)</f>
        <v>P70:米川堤防のつつじ</v>
      </c>
      <c r="I238" s="193"/>
      <c r="J238" s="202" t="e">
        <f t="shared" ca="1" si="24"/>
        <v>#NAME?</v>
      </c>
      <c r="K238" s="203" t="e">
        <f ca="1">VLOOKUP(F238,'2.ポータル'!$A:$G,7,FALSE)</f>
        <v>#NAME?</v>
      </c>
      <c r="M238" s="184"/>
      <c r="N238" s="185"/>
      <c r="O238" s="185"/>
      <c r="P238" s="185"/>
      <c r="Q238" s="193"/>
    </row>
    <row r="239" spans="1:17" ht="17.5">
      <c r="A239" s="198">
        <f t="shared" si="23"/>
        <v>16</v>
      </c>
      <c r="B239" s="192" t="s">
        <v>450</v>
      </c>
      <c r="C239" s="188" t="s">
        <v>100</v>
      </c>
      <c r="D239" s="199" t="str">
        <f t="shared" si="25"/>
        <v>Agent07</v>
      </c>
      <c r="E239" s="200" t="s">
        <v>192</v>
      </c>
      <c r="F239" s="200" t="s">
        <v>190</v>
      </c>
      <c r="G239" s="201" t="str">
        <f>VLOOKUP(E239,'2.ポータル'!$A:$F,6,FALSE)</f>
        <v>P35:勝田神社の社</v>
      </c>
      <c r="H239" s="201" t="str">
        <f>VLOOKUP(F239,'2.ポータル'!$A:$F,6,FALSE)</f>
        <v>P34:米子 法城寺</v>
      </c>
      <c r="I239" s="193"/>
      <c r="J239" s="202" t="e">
        <f t="shared" ca="1" si="24"/>
        <v>#NAME?</v>
      </c>
      <c r="K239" s="203" t="e">
        <f ca="1">VLOOKUP(F239,'2.ポータル'!$A:$G,7,FALSE)</f>
        <v>#NAME?</v>
      </c>
      <c r="M239" s="184"/>
      <c r="N239" s="185"/>
      <c r="O239" s="185"/>
      <c r="P239" s="185"/>
      <c r="Q239" s="193"/>
    </row>
    <row r="240" spans="1:17" ht="17.5">
      <c r="A240" s="198">
        <f t="shared" si="23"/>
        <v>17</v>
      </c>
      <c r="B240" s="192" t="s">
        <v>450</v>
      </c>
      <c r="C240" s="188" t="s">
        <v>100</v>
      </c>
      <c r="D240" s="199" t="str">
        <f t="shared" si="25"/>
        <v>Agent07</v>
      </c>
      <c r="E240" s="200" t="s">
        <v>192</v>
      </c>
      <c r="F240" s="200" t="s">
        <v>262</v>
      </c>
      <c r="G240" s="201" t="str">
        <f>VLOOKUP(E240,'2.ポータル'!$A:$F,6,FALSE)</f>
        <v>P35:勝田神社の社</v>
      </c>
      <c r="H240" s="201" t="str">
        <f>VLOOKUP(F240,'2.ポータル'!$A:$F,6,FALSE)</f>
        <v>P70:米川堤防のつつじ</v>
      </c>
      <c r="I240" s="193"/>
      <c r="J240" s="202" t="e">
        <f t="shared" ca="1" si="24"/>
        <v>#NAME?</v>
      </c>
      <c r="K240" s="203" t="e">
        <f ca="1">VLOOKUP(F240,'2.ポータル'!$A:$G,7,FALSE)</f>
        <v>#NAME?</v>
      </c>
      <c r="M240" s="184"/>
      <c r="N240" s="185"/>
      <c r="O240" s="185"/>
      <c r="P240" s="185"/>
      <c r="Q240" s="193"/>
    </row>
    <row r="241" spans="1:17" ht="17.5">
      <c r="A241" s="198">
        <f t="shared" si="23"/>
        <v>18</v>
      </c>
      <c r="B241" s="192" t="s">
        <v>450</v>
      </c>
      <c r="C241" s="188" t="s">
        <v>100</v>
      </c>
      <c r="D241" s="199" t="str">
        <f t="shared" si="25"/>
        <v>Agent07</v>
      </c>
      <c r="E241" s="200" t="s">
        <v>188</v>
      </c>
      <c r="F241" s="200" t="s">
        <v>262</v>
      </c>
      <c r="G241" s="201" t="str">
        <f>VLOOKUP(E241,'2.ポータル'!$A:$F,6,FALSE)</f>
        <v>P33:出雲大社 米子分院</v>
      </c>
      <c r="H241" s="201" t="str">
        <f>VLOOKUP(F241,'2.ポータル'!$A:$F,6,FALSE)</f>
        <v>P70:米川堤防のつつじ</v>
      </c>
      <c r="I241" s="193"/>
      <c r="J241" s="202" t="e">
        <f t="shared" ca="1" si="24"/>
        <v>#NAME?</v>
      </c>
      <c r="K241" s="203" t="e">
        <f ca="1">VLOOKUP(F241,'2.ポータル'!$A:$G,7,FALSE)</f>
        <v>#NAME?</v>
      </c>
      <c r="M241" s="184"/>
      <c r="N241" s="184"/>
      <c r="O241" s="185"/>
      <c r="P241" s="185"/>
      <c r="Q241" s="193"/>
    </row>
    <row r="242" spans="1:17" ht="17.5">
      <c r="A242" s="198">
        <f t="shared" si="23"/>
        <v>19</v>
      </c>
      <c r="B242" s="192" t="s">
        <v>450</v>
      </c>
      <c r="C242" s="188" t="s">
        <v>100</v>
      </c>
      <c r="D242" s="199" t="str">
        <f t="shared" si="25"/>
        <v>Agent07</v>
      </c>
      <c r="E242" s="200" t="s">
        <v>194</v>
      </c>
      <c r="F242" s="200" t="s">
        <v>262</v>
      </c>
      <c r="G242" s="201" t="str">
        <f>VLOOKUP(E242,'2.ポータル'!$A:$F,6,FALSE)</f>
        <v>P36:お地蔵さん</v>
      </c>
      <c r="H242" s="201" t="str">
        <f>VLOOKUP(F242,'2.ポータル'!$A:$F,6,FALSE)</f>
        <v>P70:米川堤防のつつじ</v>
      </c>
      <c r="I242" s="193"/>
      <c r="J242" s="202" t="e">
        <f t="shared" ca="1" si="24"/>
        <v>#NAME?</v>
      </c>
      <c r="K242" s="203" t="e">
        <f ca="1">VLOOKUP(F242,'2.ポータル'!$A:$G,7,FALSE)</f>
        <v>#NAME?</v>
      </c>
      <c r="M242" s="184"/>
      <c r="N242" s="184"/>
      <c r="O242" s="185"/>
      <c r="P242" s="185"/>
      <c r="Q242" s="193"/>
    </row>
    <row r="243" spans="1:17" ht="17.5">
      <c r="A243" s="198">
        <f t="shared" si="23"/>
        <v>20</v>
      </c>
      <c r="B243" s="192" t="s">
        <v>450</v>
      </c>
      <c r="C243" s="188" t="s">
        <v>100</v>
      </c>
      <c r="D243" s="199" t="str">
        <f t="shared" si="25"/>
        <v>Agent07</v>
      </c>
      <c r="E243" s="200" t="s">
        <v>194</v>
      </c>
      <c r="F243" s="200" t="s">
        <v>188</v>
      </c>
      <c r="G243" s="201" t="str">
        <f>VLOOKUP(E243,'2.ポータル'!$A:$F,6,FALSE)</f>
        <v>P36:お地蔵さん</v>
      </c>
      <c r="H243" s="201" t="str">
        <f>VLOOKUP(F243,'2.ポータル'!$A:$F,6,FALSE)</f>
        <v>P33:出雲大社 米子分院</v>
      </c>
      <c r="I243" s="193"/>
      <c r="J243" s="202" t="e">
        <f t="shared" ca="1" si="24"/>
        <v>#NAME?</v>
      </c>
      <c r="K243" s="203" t="e">
        <f ca="1">VLOOKUP(F243,'2.ポータル'!$A:$G,7,FALSE)</f>
        <v>#NAME?</v>
      </c>
      <c r="M243" s="184"/>
      <c r="N243" s="185"/>
      <c r="O243" s="185"/>
      <c r="P243" s="185"/>
      <c r="Q243" s="193"/>
    </row>
    <row r="244" spans="1:17" ht="17.5">
      <c r="A244" s="198">
        <f t="shared" si="23"/>
        <v>21</v>
      </c>
      <c r="B244" s="192" t="s">
        <v>450</v>
      </c>
      <c r="C244" s="188" t="s">
        <v>100</v>
      </c>
      <c r="D244" s="199" t="str">
        <f t="shared" si="25"/>
        <v>Agent07</v>
      </c>
      <c r="E244" s="200" t="s">
        <v>178</v>
      </c>
      <c r="F244" s="200" t="s">
        <v>190</v>
      </c>
      <c r="G244" s="201" t="str">
        <f>VLOOKUP(E244,'2.ポータル'!$A:$F,6,FALSE)</f>
        <v>P28:荒魂神社</v>
      </c>
      <c r="H244" s="201" t="str">
        <f>VLOOKUP(F244,'2.ポータル'!$A:$F,6,FALSE)</f>
        <v>P34:米子 法城寺</v>
      </c>
      <c r="I244" s="193"/>
      <c r="J244" s="202" t="e">
        <f t="shared" ca="1" si="24"/>
        <v>#NAME?</v>
      </c>
      <c r="K244" s="203" t="e">
        <f ca="1">VLOOKUP(F244,'2.ポータル'!$A:$G,7,FALSE)</f>
        <v>#NAME?</v>
      </c>
      <c r="M244" s="184"/>
      <c r="N244" s="185"/>
      <c r="O244" s="185"/>
      <c r="P244" s="185"/>
      <c r="Q244" s="193"/>
    </row>
    <row r="245" spans="1:17" ht="17.5">
      <c r="A245" s="198">
        <f t="shared" si="23"/>
        <v>22</v>
      </c>
      <c r="B245" s="192" t="s">
        <v>450</v>
      </c>
      <c r="C245" s="188" t="s">
        <v>100</v>
      </c>
      <c r="D245" s="199" t="str">
        <f t="shared" si="25"/>
        <v>Agent07</v>
      </c>
      <c r="E245" s="200" t="s">
        <v>178</v>
      </c>
      <c r="F245" s="200" t="s">
        <v>262</v>
      </c>
      <c r="G245" s="201" t="str">
        <f>VLOOKUP(E245,'2.ポータル'!$A:$F,6,FALSE)</f>
        <v>P28:荒魂神社</v>
      </c>
      <c r="H245" s="201" t="str">
        <f>VLOOKUP(F245,'2.ポータル'!$A:$F,6,FALSE)</f>
        <v>P70:米川堤防のつつじ</v>
      </c>
      <c r="I245" s="193"/>
      <c r="J245" s="202" t="e">
        <f t="shared" ca="1" si="24"/>
        <v>#NAME?</v>
      </c>
      <c r="K245" s="203" t="e">
        <f ca="1">VLOOKUP(F245,'2.ポータル'!$A:$G,7,FALSE)</f>
        <v>#NAME?</v>
      </c>
      <c r="M245" s="184"/>
      <c r="N245" s="185"/>
      <c r="O245" s="185"/>
      <c r="P245" s="185"/>
      <c r="Q245" s="193"/>
    </row>
    <row r="246" spans="1:17" ht="17.5">
      <c r="A246" s="198">
        <f t="shared" si="23"/>
        <v>23</v>
      </c>
      <c r="B246" s="192" t="s">
        <v>450</v>
      </c>
      <c r="C246" s="188" t="s">
        <v>100</v>
      </c>
      <c r="D246" s="199" t="str">
        <f t="shared" si="25"/>
        <v>Agent07</v>
      </c>
      <c r="E246" s="200" t="s">
        <v>178</v>
      </c>
      <c r="F246" s="200" t="s">
        <v>254</v>
      </c>
      <c r="G246" s="201" t="str">
        <f>VLOOKUP(E246,'2.ポータル'!$A:$F,6,FALSE)</f>
        <v>P28:荒魂神社</v>
      </c>
      <c r="H246" s="201" t="str">
        <f>VLOOKUP(F246,'2.ポータル'!$A:$F,6,FALSE)</f>
        <v>P66:真如苑 米子支部</v>
      </c>
      <c r="I246" s="193"/>
      <c r="J246" s="202" t="e">
        <f t="shared" ca="1" si="24"/>
        <v>#NAME?</v>
      </c>
      <c r="K246" s="203" t="e">
        <f ca="1">VLOOKUP(F246,'2.ポータル'!$A:$G,7,FALSE)</f>
        <v>#NAME?</v>
      </c>
      <c r="M246" s="184"/>
      <c r="N246" s="185"/>
      <c r="O246" s="185"/>
      <c r="P246" s="185"/>
      <c r="Q246" s="193"/>
    </row>
    <row r="247" spans="1:17" ht="17.5">
      <c r="A247" s="205"/>
      <c r="B247" s="206" t="s">
        <v>451</v>
      </c>
      <c r="C247" s="207"/>
      <c r="D247" s="208"/>
      <c r="E247" s="209"/>
      <c r="F247" s="209"/>
      <c r="G247" s="210"/>
      <c r="H247" s="210"/>
      <c r="I247" s="209"/>
      <c r="J247" s="211"/>
      <c r="K247" s="210"/>
      <c r="L247" s="193"/>
      <c r="N247" s="193"/>
      <c r="O247" s="193"/>
      <c r="P247" s="193"/>
      <c r="Q247" s="193"/>
    </row>
    <row r="248" spans="1:17" ht="17.5">
      <c r="A248" s="183"/>
      <c r="B248" s="192"/>
      <c r="C248" s="183"/>
      <c r="D248" s="212"/>
      <c r="E248" s="213"/>
      <c r="F248" s="213"/>
      <c r="G248" s="212"/>
      <c r="H248" s="214"/>
      <c r="I248" s="193"/>
      <c r="J248" s="215"/>
      <c r="K248" s="212"/>
      <c r="N248" s="193"/>
      <c r="O248" s="193"/>
      <c r="P248" s="193"/>
      <c r="Q248" s="193"/>
    </row>
    <row r="249" spans="1:17" ht="28.5">
      <c r="A249" s="188"/>
      <c r="B249" s="189" t="s">
        <v>475</v>
      </c>
      <c r="C249" s="188"/>
      <c r="D249" s="190"/>
      <c r="E249" s="185"/>
      <c r="F249" s="185"/>
      <c r="G249" s="191" t="s">
        <v>476</v>
      </c>
      <c r="H249" s="192" t="s">
        <v>477</v>
      </c>
      <c r="I249" s="193"/>
      <c r="J249" s="194"/>
      <c r="K249" s="192"/>
      <c r="L249" s="183"/>
      <c r="N249" s="185"/>
      <c r="O249" s="185"/>
      <c r="P249" s="185"/>
      <c r="Q249" s="185"/>
    </row>
    <row r="250" spans="1:17" ht="17.5">
      <c r="A250" s="177"/>
      <c r="B250" s="178" t="s">
        <v>437</v>
      </c>
      <c r="C250" s="177" t="s">
        <v>91</v>
      </c>
      <c r="D250" s="178" t="s">
        <v>438</v>
      </c>
      <c r="E250" s="179" t="s">
        <v>439</v>
      </c>
      <c r="F250" s="179" t="s">
        <v>440</v>
      </c>
      <c r="G250" s="178" t="s">
        <v>441</v>
      </c>
      <c r="H250" s="180" t="s">
        <v>442</v>
      </c>
      <c r="I250" s="181" t="s">
        <v>443</v>
      </c>
      <c r="J250" s="182"/>
      <c r="K250" s="178" t="s">
        <v>444</v>
      </c>
      <c r="L250" s="183"/>
      <c r="N250" s="184"/>
      <c r="O250" s="185"/>
      <c r="P250" s="185"/>
      <c r="Q250" s="185"/>
    </row>
    <row r="251" spans="1:17" ht="17.5">
      <c r="A251" s="195"/>
      <c r="B251" s="195" t="s">
        <v>449</v>
      </c>
      <c r="C251" s="195"/>
      <c r="D251" s="195"/>
      <c r="E251" s="195"/>
      <c r="F251" s="195"/>
      <c r="G251" s="195"/>
      <c r="H251" s="196"/>
      <c r="I251" s="196"/>
      <c r="J251" s="197"/>
      <c r="K251" s="195"/>
      <c r="N251" s="184"/>
      <c r="O251" s="185"/>
      <c r="P251" s="185"/>
      <c r="Q251" s="193"/>
    </row>
    <row r="252" spans="1:17" ht="17.5">
      <c r="A252" s="198">
        <f t="shared" ref="A252:A277" si="26">A251+1</f>
        <v>1</v>
      </c>
      <c r="B252" s="192" t="s">
        <v>450</v>
      </c>
      <c r="C252" s="188" t="s">
        <v>100</v>
      </c>
      <c r="D252" s="199" t="str">
        <f>B249</f>
        <v>Agent08</v>
      </c>
      <c r="E252" s="200" t="s">
        <v>220</v>
      </c>
      <c r="F252" s="200" t="s">
        <v>433</v>
      </c>
      <c r="G252" s="201" t="str">
        <f>VLOOKUP(E252,'2.ポータル'!$A:$F,6,FALSE)</f>
        <v>P49:天理教米府分教会</v>
      </c>
      <c r="H252" s="201" t="str">
        <f>VLOOKUP(F252,'2.ポータル'!$A:$F,6,FALSE)</f>
        <v>ポータルをキャプチャします</v>
      </c>
      <c r="I252" s="193"/>
      <c r="J252" s="202" t="str">
        <f t="shared" ref="J252:J277" si="27">IF(F252="X99"," ", IF(D252=K252,"","★"))</f>
        <v xml:space="preserve"> </v>
      </c>
      <c r="K252" s="203">
        <f>VLOOKUP(F252,'2.ポータル'!$A:$G,7,FALSE)</f>
        <v>0</v>
      </c>
      <c r="N252" s="184"/>
      <c r="O252" s="185"/>
      <c r="P252" s="185"/>
      <c r="Q252" s="193"/>
    </row>
    <row r="253" spans="1:17" ht="17.5">
      <c r="A253" s="198">
        <f t="shared" si="26"/>
        <v>2</v>
      </c>
      <c r="B253" s="192" t="s">
        <v>450</v>
      </c>
      <c r="C253" s="188" t="s">
        <v>100</v>
      </c>
      <c r="D253" s="199" t="str">
        <f t="shared" ref="D253:D277" si="28">D252</f>
        <v>Agent08</v>
      </c>
      <c r="E253" s="200" t="s">
        <v>208</v>
      </c>
      <c r="F253" s="200" t="s">
        <v>220</v>
      </c>
      <c r="G253" s="201" t="str">
        <f>VLOOKUP(E253,'2.ポータル'!$A:$F,6,FALSE)</f>
        <v>P43:Big Boy 米子富士見町店</v>
      </c>
      <c r="H253" s="201" t="str">
        <f>VLOOKUP(F253,'2.ポータル'!$A:$F,6,FALSE)</f>
        <v>P49:天理教米府分教会</v>
      </c>
      <c r="I253" s="193"/>
      <c r="J253" s="202" t="e">
        <f t="shared" ca="1" si="27"/>
        <v>#NAME?</v>
      </c>
      <c r="K253" s="203" t="e">
        <f ca="1">VLOOKUP(F253,'2.ポータル'!$A:$G,7,FALSE)</f>
        <v>#NAME?</v>
      </c>
      <c r="N253" s="184"/>
      <c r="O253" s="185"/>
      <c r="P253" s="185"/>
      <c r="Q253" s="193"/>
    </row>
    <row r="254" spans="1:17" ht="17.5">
      <c r="A254" s="198">
        <f t="shared" si="26"/>
        <v>3</v>
      </c>
      <c r="B254" s="192" t="s">
        <v>450</v>
      </c>
      <c r="C254" s="188" t="s">
        <v>100</v>
      </c>
      <c r="D254" s="199" t="str">
        <f t="shared" si="28"/>
        <v>Agent08</v>
      </c>
      <c r="E254" s="200" t="s">
        <v>212</v>
      </c>
      <c r="F254" s="200" t="s">
        <v>433</v>
      </c>
      <c r="G254" s="201" t="str">
        <f>VLOOKUP(E254,'2.ポータル'!$A:$F,6,FALSE)</f>
        <v>P45:米子市公会堂の彫刻</v>
      </c>
      <c r="H254" s="201" t="str">
        <f>VLOOKUP(F254,'2.ポータル'!$A:$F,6,FALSE)</f>
        <v>ポータルをキャプチャします</v>
      </c>
      <c r="I254" s="193"/>
      <c r="J254" s="202" t="str">
        <f t="shared" si="27"/>
        <v xml:space="preserve"> </v>
      </c>
      <c r="K254" s="203">
        <f>VLOOKUP(F254,'2.ポータル'!$A:$G,7,FALSE)</f>
        <v>0</v>
      </c>
      <c r="N254" s="204"/>
      <c r="O254" s="185"/>
      <c r="P254" s="185"/>
      <c r="Q254" s="193"/>
    </row>
    <row r="255" spans="1:17" ht="17.5">
      <c r="A255" s="198">
        <f t="shared" si="26"/>
        <v>4</v>
      </c>
      <c r="B255" s="192" t="s">
        <v>450</v>
      </c>
      <c r="C255" s="188" t="s">
        <v>100</v>
      </c>
      <c r="D255" s="199" t="str">
        <f t="shared" si="28"/>
        <v>Agent08</v>
      </c>
      <c r="E255" s="200" t="s">
        <v>214</v>
      </c>
      <c r="F255" s="200" t="s">
        <v>212</v>
      </c>
      <c r="G255" s="201" t="str">
        <f>VLOOKUP(E255,'2.ポータル'!$A:$F,6,FALSE)</f>
        <v>P46:米子市公会堂</v>
      </c>
      <c r="H255" s="201" t="str">
        <f>VLOOKUP(F255,'2.ポータル'!$A:$F,6,FALSE)</f>
        <v>P45:米子市公会堂の彫刻</v>
      </c>
      <c r="I255" s="193"/>
      <c r="J255" s="202" t="e">
        <f t="shared" ca="1" si="27"/>
        <v>#NAME?</v>
      </c>
      <c r="K255" s="203" t="e">
        <f ca="1">VLOOKUP(F255,'2.ポータル'!$A:$G,7,FALSE)</f>
        <v>#NAME?</v>
      </c>
      <c r="N255" s="184"/>
      <c r="O255" s="185"/>
      <c r="P255" s="185"/>
      <c r="Q255" s="193"/>
    </row>
    <row r="256" spans="1:17" ht="17.5">
      <c r="A256" s="198">
        <f t="shared" si="26"/>
        <v>5</v>
      </c>
      <c r="B256" s="192" t="s">
        <v>450</v>
      </c>
      <c r="C256" s="188" t="s">
        <v>100</v>
      </c>
      <c r="D256" s="199" t="str">
        <f t="shared" si="28"/>
        <v>Agent08</v>
      </c>
      <c r="E256" s="200" t="s">
        <v>232</v>
      </c>
      <c r="F256" s="200" t="s">
        <v>214</v>
      </c>
      <c r="G256" s="201" t="str">
        <f>VLOOKUP(E256,'2.ポータル'!$A:$F,6,FALSE)</f>
        <v>P55:小公園</v>
      </c>
      <c r="H256" s="201" t="str">
        <f>VLOOKUP(F256,'2.ポータル'!$A:$F,6,FALSE)</f>
        <v>P46:米子市公会堂</v>
      </c>
      <c r="I256" s="193"/>
      <c r="J256" s="202" t="e">
        <f t="shared" ca="1" si="27"/>
        <v>#NAME?</v>
      </c>
      <c r="K256" s="203" t="e">
        <f ca="1">VLOOKUP(F256,'2.ポータル'!$A:$G,7,FALSE)</f>
        <v>#NAME?</v>
      </c>
      <c r="N256" s="184"/>
      <c r="O256" s="185"/>
      <c r="P256" s="185"/>
      <c r="Q256" s="193"/>
    </row>
    <row r="257" spans="1:17" ht="17.5">
      <c r="A257" s="198">
        <f t="shared" si="26"/>
        <v>6</v>
      </c>
      <c r="B257" s="192" t="s">
        <v>450</v>
      </c>
      <c r="C257" s="188" t="s">
        <v>100</v>
      </c>
      <c r="D257" s="199" t="str">
        <f t="shared" si="28"/>
        <v>Agent08</v>
      </c>
      <c r="E257" s="200" t="s">
        <v>232</v>
      </c>
      <c r="F257" s="200" t="s">
        <v>212</v>
      </c>
      <c r="G257" s="201" t="str">
        <f>VLOOKUP(E257,'2.ポータル'!$A:$F,6,FALSE)</f>
        <v>P55:小公園</v>
      </c>
      <c r="H257" s="201" t="str">
        <f>VLOOKUP(F257,'2.ポータル'!$A:$F,6,FALSE)</f>
        <v>P45:米子市公会堂の彫刻</v>
      </c>
      <c r="I257" s="193"/>
      <c r="J257" s="202" t="e">
        <f t="shared" ca="1" si="27"/>
        <v>#NAME?</v>
      </c>
      <c r="K257" s="203" t="e">
        <f ca="1">VLOOKUP(F257,'2.ポータル'!$A:$G,7,FALSE)</f>
        <v>#NAME?</v>
      </c>
      <c r="M257" s="184"/>
      <c r="N257" s="184"/>
      <c r="O257" s="185"/>
      <c r="P257" s="185"/>
      <c r="Q257" s="193"/>
    </row>
    <row r="258" spans="1:17" ht="17.5">
      <c r="A258" s="198">
        <f t="shared" si="26"/>
        <v>7</v>
      </c>
      <c r="B258" s="192" t="s">
        <v>450</v>
      </c>
      <c r="C258" s="188" t="s">
        <v>100</v>
      </c>
      <c r="D258" s="199" t="str">
        <f t="shared" si="28"/>
        <v>Agent08</v>
      </c>
      <c r="E258" s="200" t="s">
        <v>238</v>
      </c>
      <c r="F258" s="200" t="s">
        <v>232</v>
      </c>
      <c r="G258" s="201" t="str">
        <f>VLOOKUP(E258,'2.ポータル'!$A:$F,6,FALSE)</f>
        <v>P58:一心延命助地蔵尊</v>
      </c>
      <c r="H258" s="201" t="str">
        <f>VLOOKUP(F258,'2.ポータル'!$A:$F,6,FALSE)</f>
        <v>P55:小公園</v>
      </c>
      <c r="I258" s="193"/>
      <c r="J258" s="202" t="e">
        <f t="shared" ca="1" si="27"/>
        <v>#NAME?</v>
      </c>
      <c r="K258" s="203" t="e">
        <f ca="1">VLOOKUP(F258,'2.ポータル'!$A:$G,7,FALSE)</f>
        <v>#NAME?</v>
      </c>
      <c r="M258" s="184"/>
      <c r="N258" s="184"/>
      <c r="O258" s="185"/>
      <c r="P258" s="185"/>
      <c r="Q258" s="193"/>
    </row>
    <row r="259" spans="1:17" ht="17.5">
      <c r="A259" s="198">
        <f t="shared" si="26"/>
        <v>8</v>
      </c>
      <c r="B259" s="192" t="s">
        <v>450</v>
      </c>
      <c r="C259" s="188" t="s">
        <v>100</v>
      </c>
      <c r="D259" s="199" t="str">
        <f t="shared" si="28"/>
        <v>Agent08</v>
      </c>
      <c r="E259" s="200" t="s">
        <v>236</v>
      </c>
      <c r="F259" s="200" t="s">
        <v>232</v>
      </c>
      <c r="G259" s="201" t="str">
        <f>VLOOKUP(E259,'2.ポータル'!$A:$F,6,FALSE)</f>
        <v>P57:JR富士見町駅</v>
      </c>
      <c r="H259" s="201" t="str">
        <f>VLOOKUP(F259,'2.ポータル'!$A:$F,6,FALSE)</f>
        <v>P55:小公園</v>
      </c>
      <c r="I259" s="193"/>
      <c r="J259" s="202" t="e">
        <f t="shared" ca="1" si="27"/>
        <v>#NAME?</v>
      </c>
      <c r="K259" s="203" t="e">
        <f ca="1">VLOOKUP(F259,'2.ポータル'!$A:$G,7,FALSE)</f>
        <v>#NAME?</v>
      </c>
      <c r="M259" s="184"/>
      <c r="N259" s="185"/>
      <c r="O259" s="185"/>
      <c r="P259" s="185"/>
      <c r="Q259" s="193"/>
    </row>
    <row r="260" spans="1:17" ht="17.5">
      <c r="A260" s="198">
        <f t="shared" si="26"/>
        <v>9</v>
      </c>
      <c r="B260" s="192" t="s">
        <v>450</v>
      </c>
      <c r="C260" s="188" t="s">
        <v>100</v>
      </c>
      <c r="D260" s="199" t="str">
        <f t="shared" si="28"/>
        <v>Agent08</v>
      </c>
      <c r="E260" s="200" t="s">
        <v>236</v>
      </c>
      <c r="F260" s="200" t="s">
        <v>238</v>
      </c>
      <c r="G260" s="201" t="str">
        <f>VLOOKUP(E260,'2.ポータル'!$A:$F,6,FALSE)</f>
        <v>P57:JR富士見町駅</v>
      </c>
      <c r="H260" s="201" t="str">
        <f>VLOOKUP(F260,'2.ポータル'!$A:$F,6,FALSE)</f>
        <v>P58:一心延命助地蔵尊</v>
      </c>
      <c r="I260" s="193"/>
      <c r="J260" s="202" t="e">
        <f t="shared" ca="1" si="27"/>
        <v>#NAME?</v>
      </c>
      <c r="K260" s="203" t="e">
        <f ca="1">VLOOKUP(F260,'2.ポータル'!$A:$G,7,FALSE)</f>
        <v>#NAME?</v>
      </c>
      <c r="M260" s="184"/>
      <c r="N260" s="185"/>
      <c r="O260" s="185"/>
      <c r="P260" s="185"/>
      <c r="Q260" s="193"/>
    </row>
    <row r="261" spans="1:17" ht="17.5">
      <c r="A261" s="198">
        <f t="shared" si="26"/>
        <v>10</v>
      </c>
      <c r="B261" s="192" t="s">
        <v>450</v>
      </c>
      <c r="C261" s="188" t="s">
        <v>100</v>
      </c>
      <c r="D261" s="199" t="str">
        <f t="shared" si="28"/>
        <v>Agent08</v>
      </c>
      <c r="E261" s="200" t="s">
        <v>236</v>
      </c>
      <c r="F261" s="200" t="s">
        <v>226</v>
      </c>
      <c r="G261" s="201" t="str">
        <f>VLOOKUP(E261,'2.ポータル'!$A:$F,6,FALSE)</f>
        <v>P57:JR富士見町駅</v>
      </c>
      <c r="H261" s="201" t="str">
        <f>VLOOKUP(F261,'2.ポータル'!$A:$F,6,FALSE)</f>
        <v>P52:博労町公園</v>
      </c>
      <c r="I261" s="193"/>
      <c r="J261" s="202" t="e">
        <f t="shared" ca="1" si="27"/>
        <v>#NAME?</v>
      </c>
      <c r="K261" s="203" t="e">
        <f ca="1">VLOOKUP(F261,'2.ポータル'!$A:$G,7,FALSE)</f>
        <v>#NAME?</v>
      </c>
      <c r="M261" s="184"/>
      <c r="N261" s="185"/>
      <c r="O261" s="185"/>
      <c r="P261" s="185"/>
      <c r="Q261" s="193"/>
    </row>
    <row r="262" spans="1:17" ht="17.5">
      <c r="A262" s="198">
        <f t="shared" si="26"/>
        <v>11</v>
      </c>
      <c r="B262" s="192" t="s">
        <v>450</v>
      </c>
      <c r="C262" s="188" t="s">
        <v>100</v>
      </c>
      <c r="D262" s="199" t="str">
        <f t="shared" si="28"/>
        <v>Agent08</v>
      </c>
      <c r="E262" s="200" t="s">
        <v>218</v>
      </c>
      <c r="F262" s="200" t="s">
        <v>220</v>
      </c>
      <c r="G262" s="201" t="str">
        <f>VLOOKUP(E262,'2.ポータル'!$A:$F,6,FALSE)</f>
        <v>P48:囚われの馬</v>
      </c>
      <c r="H262" s="201" t="str">
        <f>VLOOKUP(F262,'2.ポータル'!$A:$F,6,FALSE)</f>
        <v>P49:天理教米府分教会</v>
      </c>
      <c r="I262" s="193"/>
      <c r="J262" s="202" t="e">
        <f t="shared" ca="1" si="27"/>
        <v>#NAME?</v>
      </c>
      <c r="K262" s="203" t="e">
        <f ca="1">VLOOKUP(F262,'2.ポータル'!$A:$G,7,FALSE)</f>
        <v>#NAME?</v>
      </c>
      <c r="M262" s="184"/>
      <c r="N262" s="185"/>
      <c r="O262" s="185"/>
      <c r="P262" s="185"/>
      <c r="Q262" s="193"/>
    </row>
    <row r="263" spans="1:17" ht="17.5">
      <c r="A263" s="198">
        <f t="shared" si="26"/>
        <v>12</v>
      </c>
      <c r="B263" s="192" t="s">
        <v>450</v>
      </c>
      <c r="C263" s="188" t="s">
        <v>100</v>
      </c>
      <c r="D263" s="199" t="str">
        <f t="shared" si="28"/>
        <v>Agent08</v>
      </c>
      <c r="E263" s="200" t="s">
        <v>204</v>
      </c>
      <c r="F263" s="200" t="s">
        <v>218</v>
      </c>
      <c r="G263" s="201" t="str">
        <f>VLOOKUP(E263,'2.ポータル'!$A:$F,6,FALSE)</f>
        <v>P41:米子盆踊発祥之地</v>
      </c>
      <c r="H263" s="201" t="str">
        <f>VLOOKUP(F263,'2.ポータル'!$A:$F,6,FALSE)</f>
        <v>P48:囚われの馬</v>
      </c>
      <c r="I263" s="193"/>
      <c r="J263" s="202" t="e">
        <f t="shared" ca="1" si="27"/>
        <v>#NAME?</v>
      </c>
      <c r="K263" s="203" t="e">
        <f ca="1">VLOOKUP(F263,'2.ポータル'!$A:$G,7,FALSE)</f>
        <v>#NAME?</v>
      </c>
      <c r="M263" s="184"/>
      <c r="N263" s="185"/>
      <c r="O263" s="185"/>
      <c r="P263" s="185"/>
      <c r="Q263" s="193"/>
    </row>
    <row r="264" spans="1:17" ht="17.5">
      <c r="A264" s="198">
        <f t="shared" si="26"/>
        <v>13</v>
      </c>
      <c r="B264" s="192" t="s">
        <v>450</v>
      </c>
      <c r="C264" s="188" t="s">
        <v>100</v>
      </c>
      <c r="D264" s="199" t="str">
        <f t="shared" si="28"/>
        <v>Agent08</v>
      </c>
      <c r="E264" s="200" t="s">
        <v>204</v>
      </c>
      <c r="F264" s="200" t="s">
        <v>220</v>
      </c>
      <c r="G264" s="201" t="str">
        <f>VLOOKUP(E264,'2.ポータル'!$A:$F,6,FALSE)</f>
        <v>P41:米子盆踊発祥之地</v>
      </c>
      <c r="H264" s="201" t="str">
        <f>VLOOKUP(F264,'2.ポータル'!$A:$F,6,FALSE)</f>
        <v>P49:天理教米府分教会</v>
      </c>
      <c r="I264" s="193"/>
      <c r="J264" s="202" t="e">
        <f t="shared" ca="1" si="27"/>
        <v>#NAME?</v>
      </c>
      <c r="K264" s="203" t="e">
        <f ca="1">VLOOKUP(F264,'2.ポータル'!$A:$G,7,FALSE)</f>
        <v>#NAME?</v>
      </c>
      <c r="M264" s="184"/>
      <c r="N264" s="185"/>
      <c r="O264" s="185"/>
      <c r="P264" s="185"/>
      <c r="Q264" s="193"/>
    </row>
    <row r="265" spans="1:17" ht="17.5">
      <c r="A265" s="198">
        <f t="shared" si="26"/>
        <v>14</v>
      </c>
      <c r="B265" s="192" t="s">
        <v>450</v>
      </c>
      <c r="C265" s="188" t="s">
        <v>100</v>
      </c>
      <c r="D265" s="199" t="str">
        <f t="shared" si="28"/>
        <v>Agent08</v>
      </c>
      <c r="E265" s="200" t="s">
        <v>198</v>
      </c>
      <c r="F265" s="200" t="s">
        <v>236</v>
      </c>
      <c r="G265" s="201" t="str">
        <f>VLOOKUP(E265,'2.ポータル'!$A:$F,6,FALSE)</f>
        <v>P38:米子市中央隣保館</v>
      </c>
      <c r="H265" s="201" t="str">
        <f>VLOOKUP(F265,'2.ポータル'!$A:$F,6,FALSE)</f>
        <v>P57:JR富士見町駅</v>
      </c>
      <c r="I265" s="193"/>
      <c r="J265" s="202" t="e">
        <f t="shared" ca="1" si="27"/>
        <v>#NAME?</v>
      </c>
      <c r="K265" s="203" t="e">
        <f ca="1">VLOOKUP(F265,'2.ポータル'!$A:$G,7,FALSE)</f>
        <v>#NAME?</v>
      </c>
      <c r="M265" s="184"/>
      <c r="N265" s="185"/>
      <c r="O265" s="185"/>
      <c r="P265" s="185"/>
      <c r="Q265" s="193"/>
    </row>
    <row r="266" spans="1:17" ht="17.5">
      <c r="A266" s="198">
        <f t="shared" si="26"/>
        <v>15</v>
      </c>
      <c r="B266" s="192" t="s">
        <v>450</v>
      </c>
      <c r="C266" s="188" t="s">
        <v>100</v>
      </c>
      <c r="D266" s="199" t="str">
        <f t="shared" si="28"/>
        <v>Agent08</v>
      </c>
      <c r="E266" s="200" t="s">
        <v>198</v>
      </c>
      <c r="F266" s="200" t="s">
        <v>226</v>
      </c>
      <c r="G266" s="201" t="str">
        <f>VLOOKUP(E266,'2.ポータル'!$A:$F,6,FALSE)</f>
        <v>P38:米子市中央隣保館</v>
      </c>
      <c r="H266" s="201" t="str">
        <f>VLOOKUP(F266,'2.ポータル'!$A:$F,6,FALSE)</f>
        <v>P52:博労町公園</v>
      </c>
      <c r="I266" s="193"/>
      <c r="J266" s="202" t="e">
        <f t="shared" ca="1" si="27"/>
        <v>#NAME?</v>
      </c>
      <c r="K266" s="203" t="e">
        <f ca="1">VLOOKUP(F266,'2.ポータル'!$A:$G,7,FALSE)</f>
        <v>#NAME?</v>
      </c>
      <c r="M266" s="184"/>
      <c r="N266" s="185"/>
      <c r="O266" s="185"/>
      <c r="P266" s="185"/>
      <c r="Q266" s="193"/>
    </row>
    <row r="267" spans="1:17" ht="17.5">
      <c r="A267" s="198">
        <f t="shared" si="26"/>
        <v>16</v>
      </c>
      <c r="B267" s="192" t="s">
        <v>450</v>
      </c>
      <c r="C267" s="188" t="s">
        <v>100</v>
      </c>
      <c r="D267" s="199" t="str">
        <f t="shared" si="28"/>
        <v>Agent08</v>
      </c>
      <c r="E267" s="200" t="s">
        <v>198</v>
      </c>
      <c r="F267" s="200" t="s">
        <v>218</v>
      </c>
      <c r="G267" s="201" t="str">
        <f>VLOOKUP(E267,'2.ポータル'!$A:$F,6,FALSE)</f>
        <v>P38:米子市中央隣保館</v>
      </c>
      <c r="H267" s="201" t="str">
        <f>VLOOKUP(F267,'2.ポータル'!$A:$F,6,FALSE)</f>
        <v>P48:囚われの馬</v>
      </c>
      <c r="I267" s="193"/>
      <c r="J267" s="202" t="e">
        <f t="shared" ca="1" si="27"/>
        <v>#NAME?</v>
      </c>
      <c r="K267" s="203" t="e">
        <f ca="1">VLOOKUP(F267,'2.ポータル'!$A:$G,7,FALSE)</f>
        <v>#NAME?</v>
      </c>
      <c r="M267" s="184"/>
      <c r="N267" s="185"/>
      <c r="O267" s="185"/>
      <c r="P267" s="185"/>
      <c r="Q267" s="193"/>
    </row>
    <row r="268" spans="1:17" ht="17.5">
      <c r="A268" s="198">
        <f t="shared" si="26"/>
        <v>17</v>
      </c>
      <c r="B268" s="192" t="s">
        <v>450</v>
      </c>
      <c r="C268" s="188" t="s">
        <v>100</v>
      </c>
      <c r="D268" s="199" t="str">
        <f t="shared" si="28"/>
        <v>Agent08</v>
      </c>
      <c r="E268" s="200" t="s">
        <v>184</v>
      </c>
      <c r="F268" s="200" t="s">
        <v>218</v>
      </c>
      <c r="G268" s="201" t="str">
        <f>VLOOKUP(E268,'2.ポータル'!$A:$F,6,FALSE)</f>
        <v>P31:歯科医院のマスコット</v>
      </c>
      <c r="H268" s="201" t="str">
        <f>VLOOKUP(F268,'2.ポータル'!$A:$F,6,FALSE)</f>
        <v>P48:囚われの馬</v>
      </c>
      <c r="I268" s="193"/>
      <c r="J268" s="202" t="e">
        <f t="shared" ca="1" si="27"/>
        <v>#NAME?</v>
      </c>
      <c r="K268" s="203" t="e">
        <f ca="1">VLOOKUP(F268,'2.ポータル'!$A:$G,7,FALSE)</f>
        <v>#NAME?</v>
      </c>
      <c r="M268" s="184"/>
      <c r="N268" s="185"/>
      <c r="O268" s="185"/>
      <c r="P268" s="185"/>
      <c r="Q268" s="193"/>
    </row>
    <row r="269" spans="1:17" ht="17.5">
      <c r="A269" s="198">
        <f t="shared" si="26"/>
        <v>18</v>
      </c>
      <c r="B269" s="192" t="s">
        <v>450</v>
      </c>
      <c r="C269" s="188" t="s">
        <v>100</v>
      </c>
      <c r="D269" s="199" t="str">
        <f t="shared" si="28"/>
        <v>Agent08</v>
      </c>
      <c r="E269" s="200" t="s">
        <v>184</v>
      </c>
      <c r="F269" s="200" t="s">
        <v>220</v>
      </c>
      <c r="G269" s="201" t="str">
        <f>VLOOKUP(E269,'2.ポータル'!$A:$F,6,FALSE)</f>
        <v>P31:歯科医院のマスコット</v>
      </c>
      <c r="H269" s="201" t="str">
        <f>VLOOKUP(F269,'2.ポータル'!$A:$F,6,FALSE)</f>
        <v>P49:天理教米府分教会</v>
      </c>
      <c r="I269" s="193"/>
      <c r="J269" s="202" t="e">
        <f t="shared" ca="1" si="27"/>
        <v>#NAME?</v>
      </c>
      <c r="K269" s="203" t="e">
        <f ca="1">VLOOKUP(F269,'2.ポータル'!$A:$G,7,FALSE)</f>
        <v>#NAME?</v>
      </c>
      <c r="M269" s="184"/>
      <c r="N269" s="185"/>
      <c r="O269" s="185"/>
      <c r="P269" s="185"/>
      <c r="Q269" s="193"/>
    </row>
    <row r="270" spans="1:17" ht="17.5">
      <c r="A270" s="198">
        <f t="shared" si="26"/>
        <v>19</v>
      </c>
      <c r="B270" s="192" t="s">
        <v>450</v>
      </c>
      <c r="C270" s="188" t="s">
        <v>100</v>
      </c>
      <c r="D270" s="199" t="str">
        <f t="shared" si="28"/>
        <v>Agent08</v>
      </c>
      <c r="E270" s="200" t="s">
        <v>184</v>
      </c>
      <c r="F270" s="200" t="s">
        <v>198</v>
      </c>
      <c r="G270" s="201" t="str">
        <f>VLOOKUP(E270,'2.ポータル'!$A:$F,6,FALSE)</f>
        <v>P31:歯科医院のマスコット</v>
      </c>
      <c r="H270" s="201" t="str">
        <f>VLOOKUP(F270,'2.ポータル'!$A:$F,6,FALSE)</f>
        <v>P38:米子市中央隣保館</v>
      </c>
      <c r="I270" s="193"/>
      <c r="J270" s="202" t="e">
        <f t="shared" ca="1" si="27"/>
        <v>#NAME?</v>
      </c>
      <c r="K270" s="203" t="e">
        <f ca="1">VLOOKUP(F270,'2.ポータル'!$A:$G,7,FALSE)</f>
        <v>#NAME?</v>
      </c>
      <c r="M270" s="184"/>
      <c r="N270" s="185"/>
      <c r="O270" s="185"/>
      <c r="P270" s="185"/>
      <c r="Q270" s="193"/>
    </row>
    <row r="271" spans="1:17" ht="17.5">
      <c r="A271" s="198">
        <f t="shared" si="26"/>
        <v>20</v>
      </c>
      <c r="B271" s="192" t="s">
        <v>450</v>
      </c>
      <c r="C271" s="188" t="s">
        <v>100</v>
      </c>
      <c r="D271" s="199" t="str">
        <f t="shared" si="28"/>
        <v>Agent08</v>
      </c>
      <c r="E271" s="200" t="s">
        <v>186</v>
      </c>
      <c r="F271" s="200" t="s">
        <v>184</v>
      </c>
      <c r="G271" s="201" t="str">
        <f>VLOOKUP(E271,'2.ポータル'!$A:$F,6,FALSE)</f>
        <v>P32:富士見2号公園</v>
      </c>
      <c r="H271" s="201" t="str">
        <f>VLOOKUP(F271,'2.ポータル'!$A:$F,6,FALSE)</f>
        <v>P31:歯科医院のマスコット</v>
      </c>
      <c r="I271" s="193"/>
      <c r="J271" s="202" t="e">
        <f t="shared" ca="1" si="27"/>
        <v>#NAME?</v>
      </c>
      <c r="K271" s="203" t="e">
        <f ca="1">VLOOKUP(F271,'2.ポータル'!$A:$G,7,FALSE)</f>
        <v>#NAME?</v>
      </c>
      <c r="M271" s="184"/>
      <c r="N271" s="185"/>
      <c r="O271" s="185"/>
      <c r="P271" s="185"/>
      <c r="Q271" s="193"/>
    </row>
    <row r="272" spans="1:17" ht="17.5">
      <c r="A272" s="198">
        <f t="shared" si="26"/>
        <v>21</v>
      </c>
      <c r="B272" s="192" t="s">
        <v>450</v>
      </c>
      <c r="C272" s="188" t="s">
        <v>100</v>
      </c>
      <c r="D272" s="199" t="str">
        <f t="shared" si="28"/>
        <v>Agent08</v>
      </c>
      <c r="E272" s="200" t="s">
        <v>186</v>
      </c>
      <c r="F272" s="200" t="s">
        <v>220</v>
      </c>
      <c r="G272" s="201" t="str">
        <f>VLOOKUP(E272,'2.ポータル'!$A:$F,6,FALSE)</f>
        <v>P32:富士見2号公園</v>
      </c>
      <c r="H272" s="201" t="str">
        <f>VLOOKUP(F272,'2.ポータル'!$A:$F,6,FALSE)</f>
        <v>P49:天理教米府分教会</v>
      </c>
      <c r="I272" s="193"/>
      <c r="J272" s="202" t="e">
        <f t="shared" ca="1" si="27"/>
        <v>#NAME?</v>
      </c>
      <c r="K272" s="203" t="e">
        <f ca="1">VLOOKUP(F272,'2.ポータル'!$A:$G,7,FALSE)</f>
        <v>#NAME?</v>
      </c>
      <c r="M272" s="184"/>
      <c r="N272" s="185"/>
      <c r="O272" s="185"/>
      <c r="P272" s="185"/>
      <c r="Q272" s="193"/>
    </row>
    <row r="273" spans="1:17" ht="17.5">
      <c r="A273" s="198">
        <f t="shared" si="26"/>
        <v>22</v>
      </c>
      <c r="B273" s="192" t="s">
        <v>450</v>
      </c>
      <c r="C273" s="188" t="s">
        <v>100</v>
      </c>
      <c r="D273" s="199" t="str">
        <f t="shared" si="28"/>
        <v>Agent08</v>
      </c>
      <c r="E273" s="200" t="s">
        <v>186</v>
      </c>
      <c r="F273" s="200" t="s">
        <v>208</v>
      </c>
      <c r="G273" s="201" t="str">
        <f>VLOOKUP(E273,'2.ポータル'!$A:$F,6,FALSE)</f>
        <v>P32:富士見2号公園</v>
      </c>
      <c r="H273" s="201" t="str">
        <f>VLOOKUP(F273,'2.ポータル'!$A:$F,6,FALSE)</f>
        <v>P43:Big Boy 米子富士見町店</v>
      </c>
      <c r="I273" s="193"/>
      <c r="J273" s="202" t="e">
        <f t="shared" ca="1" si="27"/>
        <v>#NAME?</v>
      </c>
      <c r="K273" s="203" t="e">
        <f ca="1">VLOOKUP(F273,'2.ポータル'!$A:$G,7,FALSE)</f>
        <v>#NAME?</v>
      </c>
      <c r="M273" s="184"/>
      <c r="N273" s="185"/>
      <c r="O273" s="185"/>
      <c r="P273" s="185"/>
      <c r="Q273" s="193"/>
    </row>
    <row r="274" spans="1:17" ht="17.5">
      <c r="A274" s="198">
        <f t="shared" si="26"/>
        <v>23</v>
      </c>
      <c r="B274" s="192" t="s">
        <v>450</v>
      </c>
      <c r="C274" s="188" t="s">
        <v>100</v>
      </c>
      <c r="D274" s="199" t="str">
        <f t="shared" si="28"/>
        <v>Agent08</v>
      </c>
      <c r="E274" s="200" t="s">
        <v>146</v>
      </c>
      <c r="F274" s="200" t="s">
        <v>190</v>
      </c>
      <c r="G274" s="201" t="str">
        <f>VLOOKUP(E274,'2.ポータル'!$A:$F,6,FALSE)</f>
        <v>P12:鳥取県西部総合事務所</v>
      </c>
      <c r="H274" s="201" t="str">
        <f>VLOOKUP(F274,'2.ポータル'!$A:$F,6,FALSE)</f>
        <v>P34:米子 法城寺</v>
      </c>
      <c r="I274" s="193"/>
      <c r="J274" s="202" t="e">
        <f t="shared" ca="1" si="27"/>
        <v>#NAME?</v>
      </c>
      <c r="K274" s="203" t="e">
        <f ca="1">VLOOKUP(F274,'2.ポータル'!$A:$G,7,FALSE)</f>
        <v>#NAME?</v>
      </c>
      <c r="M274" s="184"/>
      <c r="N274" s="185"/>
      <c r="O274" s="185"/>
      <c r="P274" s="185"/>
      <c r="Q274" s="193"/>
    </row>
    <row r="275" spans="1:17" ht="17.5">
      <c r="A275" s="198">
        <f t="shared" si="26"/>
        <v>24</v>
      </c>
      <c r="B275" s="192" t="s">
        <v>450</v>
      </c>
      <c r="C275" s="188" t="s">
        <v>100</v>
      </c>
      <c r="D275" s="199" t="str">
        <f t="shared" si="28"/>
        <v>Agent08</v>
      </c>
      <c r="E275" s="200" t="s">
        <v>146</v>
      </c>
      <c r="F275" s="200" t="s">
        <v>178</v>
      </c>
      <c r="G275" s="201" t="str">
        <f>VLOOKUP(E275,'2.ポータル'!$A:$F,6,FALSE)</f>
        <v>P12:鳥取県西部総合事務所</v>
      </c>
      <c r="H275" s="201" t="str">
        <f>VLOOKUP(F275,'2.ポータル'!$A:$F,6,FALSE)</f>
        <v>P28:荒魂神社</v>
      </c>
      <c r="I275" s="193"/>
      <c r="J275" s="202" t="e">
        <f t="shared" ca="1" si="27"/>
        <v>#NAME?</v>
      </c>
      <c r="K275" s="203" t="e">
        <f ca="1">VLOOKUP(F275,'2.ポータル'!$A:$G,7,FALSE)</f>
        <v>#NAME?</v>
      </c>
      <c r="M275" s="184"/>
      <c r="N275" s="185"/>
      <c r="O275" s="185"/>
      <c r="P275" s="185"/>
      <c r="Q275" s="193"/>
    </row>
    <row r="276" spans="1:17" ht="17.5">
      <c r="A276" s="198">
        <f t="shared" si="26"/>
        <v>25</v>
      </c>
      <c r="B276" s="192" t="s">
        <v>450</v>
      </c>
      <c r="C276" s="188" t="s">
        <v>100</v>
      </c>
      <c r="D276" s="199" t="str">
        <f t="shared" si="28"/>
        <v>Agent08</v>
      </c>
      <c r="E276" s="200" t="s">
        <v>128</v>
      </c>
      <c r="F276" s="200" t="s">
        <v>146</v>
      </c>
      <c r="G276" s="201" t="str">
        <f>VLOOKUP(E276,'2.ポータル'!$A:$F,6,FALSE)</f>
        <v>P03:日本海情報ビジネス専門学校</v>
      </c>
      <c r="H276" s="201" t="str">
        <f>VLOOKUP(F276,'2.ポータル'!$A:$F,6,FALSE)</f>
        <v>P12:鳥取県西部総合事務所</v>
      </c>
      <c r="I276" s="193"/>
      <c r="J276" s="202" t="e">
        <f t="shared" ca="1" si="27"/>
        <v>#NAME?</v>
      </c>
      <c r="K276" s="203" t="e">
        <f ca="1">VLOOKUP(F276,'2.ポータル'!$A:$G,7,FALSE)</f>
        <v>#NAME?</v>
      </c>
      <c r="M276" s="184"/>
      <c r="N276" s="185"/>
      <c r="O276" s="185"/>
      <c r="P276" s="185"/>
      <c r="Q276" s="193"/>
    </row>
    <row r="277" spans="1:17" ht="17.5">
      <c r="A277" s="198">
        <f t="shared" si="26"/>
        <v>26</v>
      </c>
      <c r="B277" s="192" t="s">
        <v>450</v>
      </c>
      <c r="C277" s="188" t="s">
        <v>100</v>
      </c>
      <c r="D277" s="199" t="str">
        <f t="shared" si="28"/>
        <v>Agent08</v>
      </c>
      <c r="E277" s="200" t="s">
        <v>128</v>
      </c>
      <c r="F277" s="200" t="s">
        <v>178</v>
      </c>
      <c r="G277" s="201" t="str">
        <f>VLOOKUP(E277,'2.ポータル'!$A:$F,6,FALSE)</f>
        <v>P03:日本海情報ビジネス専門学校</v>
      </c>
      <c r="H277" s="201" t="str">
        <f>VLOOKUP(F277,'2.ポータル'!$A:$F,6,FALSE)</f>
        <v>P28:荒魂神社</v>
      </c>
      <c r="I277" s="193"/>
      <c r="J277" s="202" t="e">
        <f t="shared" ca="1" si="27"/>
        <v>#NAME?</v>
      </c>
      <c r="K277" s="203" t="e">
        <f ca="1">VLOOKUP(F277,'2.ポータル'!$A:$G,7,FALSE)</f>
        <v>#NAME?</v>
      </c>
      <c r="M277" s="184"/>
      <c r="N277" s="185"/>
      <c r="O277" s="185"/>
      <c r="P277" s="185"/>
      <c r="Q277" s="193"/>
    </row>
    <row r="278" spans="1:17" ht="17.5">
      <c r="A278" s="205"/>
      <c r="B278" s="206" t="s">
        <v>451</v>
      </c>
      <c r="C278" s="207"/>
      <c r="D278" s="208"/>
      <c r="E278" s="209"/>
      <c r="F278" s="209"/>
      <c r="G278" s="210"/>
      <c r="H278" s="210"/>
      <c r="I278" s="209"/>
      <c r="J278" s="211"/>
      <c r="K278" s="210"/>
      <c r="L278" s="193"/>
      <c r="N278" s="193"/>
      <c r="O278" s="193"/>
      <c r="P278" s="193"/>
      <c r="Q278" s="193"/>
    </row>
    <row r="279" spans="1:17" ht="17.5">
      <c r="A279" s="183"/>
      <c r="B279" s="192"/>
      <c r="C279" s="183"/>
      <c r="D279" s="212"/>
      <c r="E279" s="213"/>
      <c r="F279" s="213"/>
      <c r="G279" s="212"/>
      <c r="H279" s="214"/>
      <c r="I279" s="193"/>
      <c r="J279" s="215"/>
      <c r="K279" s="212"/>
      <c r="N279" s="193"/>
      <c r="O279" s="193"/>
      <c r="P279" s="193"/>
      <c r="Q279" s="193"/>
    </row>
    <row r="280" spans="1:17" ht="17.5">
      <c r="A280" s="198"/>
      <c r="B280" s="192"/>
      <c r="C280" s="188"/>
      <c r="D280" s="214"/>
      <c r="E280" s="193"/>
      <c r="F280" s="193"/>
      <c r="G280" s="214"/>
      <c r="H280" s="214"/>
      <c r="I280" s="193"/>
      <c r="J280" s="220"/>
      <c r="K280" s="214"/>
      <c r="L280" s="193"/>
      <c r="M280" s="193"/>
      <c r="N280" s="193"/>
      <c r="O280" s="193"/>
      <c r="P280" s="193"/>
      <c r="Q280" s="193"/>
    </row>
    <row r="281" spans="1:17" ht="17.5">
      <c r="A281" s="198"/>
      <c r="B281" s="192"/>
      <c r="C281" s="188"/>
      <c r="D281" s="214"/>
      <c r="E281" s="193"/>
      <c r="F281" s="193"/>
      <c r="G281" s="214"/>
      <c r="H281" s="214"/>
      <c r="I281" s="193"/>
      <c r="J281" s="220"/>
      <c r="K281" s="214"/>
      <c r="L281" s="193"/>
      <c r="M281" s="193"/>
      <c r="N281" s="193"/>
      <c r="O281" s="193"/>
      <c r="P281" s="193"/>
      <c r="Q281" s="193"/>
    </row>
    <row r="282" spans="1:17" ht="28.5">
      <c r="A282" s="221"/>
      <c r="B282" s="222" t="s">
        <v>478</v>
      </c>
      <c r="C282" s="221"/>
      <c r="D282" s="223"/>
      <c r="E282" s="224"/>
      <c r="F282" s="224"/>
      <c r="G282" s="225"/>
      <c r="H282" s="226"/>
      <c r="I282" s="227"/>
      <c r="J282" s="228"/>
      <c r="K282" s="226"/>
      <c r="L282" s="183"/>
      <c r="N282" s="185"/>
      <c r="O282" s="185"/>
      <c r="P282" s="185"/>
      <c r="Q282" s="185"/>
    </row>
    <row r="283" spans="1:17" ht="28.5">
      <c r="A283" s="188"/>
      <c r="B283" s="189" t="s">
        <v>479</v>
      </c>
      <c r="C283" s="188"/>
      <c r="D283" s="190"/>
      <c r="E283" s="185"/>
      <c r="F283" s="185"/>
      <c r="G283" s="191" t="s">
        <v>480</v>
      </c>
      <c r="H283" s="192" t="s">
        <v>481</v>
      </c>
      <c r="I283" s="193"/>
      <c r="J283" s="194"/>
      <c r="K283" s="192"/>
      <c r="L283" s="183"/>
      <c r="N283" s="185"/>
      <c r="O283" s="185"/>
      <c r="P283" s="185"/>
      <c r="Q283" s="185"/>
    </row>
    <row r="284" spans="1:17" ht="17.5">
      <c r="A284" s="177"/>
      <c r="B284" s="178" t="s">
        <v>437</v>
      </c>
      <c r="C284" s="177" t="s">
        <v>91</v>
      </c>
      <c r="D284" s="178" t="s">
        <v>438</v>
      </c>
      <c r="E284" s="179" t="s">
        <v>439</v>
      </c>
      <c r="F284" s="179" t="s">
        <v>440</v>
      </c>
      <c r="G284" s="178" t="s">
        <v>441</v>
      </c>
      <c r="H284" s="180" t="s">
        <v>442</v>
      </c>
      <c r="I284" s="181" t="s">
        <v>443</v>
      </c>
      <c r="J284" s="182"/>
      <c r="K284" s="178" t="s">
        <v>444</v>
      </c>
      <c r="L284" s="183"/>
      <c r="N284" s="184"/>
      <c r="O284" s="185"/>
      <c r="P284" s="185"/>
      <c r="Q284" s="185"/>
    </row>
    <row r="285" spans="1:17" ht="17.5">
      <c r="A285" s="195"/>
      <c r="B285" s="195" t="s">
        <v>449</v>
      </c>
      <c r="C285" s="195"/>
      <c r="D285" s="195"/>
      <c r="E285" s="195"/>
      <c r="F285" s="195"/>
      <c r="G285" s="195"/>
      <c r="H285" s="196"/>
      <c r="I285" s="196"/>
      <c r="J285" s="197"/>
      <c r="K285" s="195"/>
      <c r="N285" s="184"/>
      <c r="O285" s="185"/>
      <c r="P285" s="185"/>
      <c r="Q285" s="193"/>
    </row>
    <row r="286" spans="1:17" ht="17.5">
      <c r="A286" s="198">
        <f t="shared" ref="A286:A287" si="29">A285+1</f>
        <v>1</v>
      </c>
      <c r="B286" s="192" t="s">
        <v>482</v>
      </c>
      <c r="C286" s="188" t="s">
        <v>100</v>
      </c>
      <c r="D286" s="199" t="str">
        <f>B283</f>
        <v>Agent21</v>
      </c>
      <c r="E286" s="200" t="s">
        <v>338</v>
      </c>
      <c r="F286" s="200" t="s">
        <v>433</v>
      </c>
      <c r="G286" s="201" t="str">
        <f>VLOOKUP(E286,'2.ポータル'!$A:$F,6,FALSE)</f>
        <v>P203:JR米子駅南口</v>
      </c>
      <c r="H286" s="201" t="str">
        <f>VLOOKUP(F286,'2.ポータル'!$A:$F,6,FALSE)</f>
        <v>ポータルをキャプチャします</v>
      </c>
      <c r="I286" s="193"/>
      <c r="J286" s="202" t="str">
        <f t="shared" ref="J286:J294" si="30">IF(F286="X99"," ", IF(D286=K286,"","★"))</f>
        <v xml:space="preserve"> </v>
      </c>
      <c r="K286" s="203">
        <f>VLOOKUP(F286,'2.ポータル'!$A:$G,7,FALSE)</f>
        <v>0</v>
      </c>
      <c r="N286" s="184"/>
      <c r="O286" s="185"/>
      <c r="P286" s="185"/>
      <c r="Q286" s="193"/>
    </row>
    <row r="287" spans="1:17" ht="17.5">
      <c r="A287" s="198">
        <f t="shared" si="29"/>
        <v>2</v>
      </c>
      <c r="B287" s="192" t="s">
        <v>482</v>
      </c>
      <c r="C287" s="188" t="s">
        <v>100</v>
      </c>
      <c r="D287" s="199" t="str">
        <f t="shared" ref="D287:D294" si="31">D286</f>
        <v>Agent21</v>
      </c>
      <c r="E287" s="200" t="s">
        <v>334</v>
      </c>
      <c r="F287" s="200" t="s">
        <v>338</v>
      </c>
      <c r="G287" s="201" t="str">
        <f>VLOOKUP(E287,'2.ポータル'!$A:$F,6,FALSE)</f>
        <v>P201:湊山体育館</v>
      </c>
      <c r="H287" s="201" t="str">
        <f>VLOOKUP(F287,'2.ポータル'!$A:$F,6,FALSE)</f>
        <v>P203:JR米子駅南口</v>
      </c>
      <c r="I287" s="193"/>
      <c r="J287" s="202" t="e">
        <f t="shared" ca="1" si="30"/>
        <v>#NAME?</v>
      </c>
      <c r="K287" s="203" t="e">
        <f ca="1">VLOOKUP(F287,'2.ポータル'!$A:$G,7,FALSE)</f>
        <v>#NAME?</v>
      </c>
      <c r="N287" s="184"/>
      <c r="O287" s="185"/>
      <c r="P287" s="185"/>
      <c r="Q287" s="193"/>
    </row>
    <row r="288" spans="1:17" ht="17.5">
      <c r="A288" s="198">
        <v>4</v>
      </c>
      <c r="B288" s="192" t="s">
        <v>482</v>
      </c>
      <c r="C288" s="188" t="s">
        <v>100</v>
      </c>
      <c r="D288" s="199" t="str">
        <f t="shared" si="31"/>
        <v>Agent21</v>
      </c>
      <c r="E288" s="200" t="s">
        <v>336</v>
      </c>
      <c r="F288" s="200" t="s">
        <v>334</v>
      </c>
      <c r="G288" s="201" t="str">
        <f>VLOOKUP(E288,'2.ポータル'!$A:$F,6,FALSE)</f>
        <v>P202:総泉時 本堂</v>
      </c>
      <c r="H288" s="201" t="str">
        <f>VLOOKUP(F288,'2.ポータル'!$A:$F,6,FALSE)</f>
        <v>P201:湊山体育館</v>
      </c>
      <c r="I288" s="193"/>
      <c r="J288" s="202" t="e">
        <f t="shared" ca="1" si="30"/>
        <v>#NAME?</v>
      </c>
      <c r="K288" s="203" t="e">
        <f ca="1">VLOOKUP(F288,'2.ポータル'!$A:$G,7,FALSE)</f>
        <v>#NAME?</v>
      </c>
      <c r="N288" s="184"/>
      <c r="O288" s="185"/>
      <c r="P288" s="185"/>
      <c r="Q288" s="193"/>
    </row>
    <row r="289" spans="1:17" ht="17.5">
      <c r="A289" s="198">
        <v>5</v>
      </c>
      <c r="B289" s="192" t="s">
        <v>482</v>
      </c>
      <c r="C289" s="188" t="s">
        <v>100</v>
      </c>
      <c r="D289" s="199" t="str">
        <f t="shared" si="31"/>
        <v>Agent21</v>
      </c>
      <c r="E289" s="200" t="s">
        <v>352</v>
      </c>
      <c r="F289" s="200" t="s">
        <v>366</v>
      </c>
      <c r="G289" s="201" t="str">
        <f>VLOOKUP(E289,'2.ポータル'!$A:$F,6,FALSE)</f>
        <v>P210:祇園地蔵</v>
      </c>
      <c r="H289" s="201" t="str">
        <f>VLOOKUP(F289,'2.ポータル'!$A:$F,6,FALSE)</f>
        <v>P217:明治第一公園のパーゴラ休憩所</v>
      </c>
      <c r="I289" s="193"/>
      <c r="J289" s="202" t="e">
        <f t="shared" ca="1" si="30"/>
        <v>#NAME?</v>
      </c>
      <c r="K289" s="203" t="e">
        <f ca="1">VLOOKUP(F289,'2.ポータル'!$A:$G,7,FALSE)</f>
        <v>#NAME?</v>
      </c>
      <c r="N289" s="184"/>
      <c r="O289" s="185"/>
      <c r="P289" s="185"/>
      <c r="Q289" s="193"/>
    </row>
    <row r="290" spans="1:17" ht="17.5">
      <c r="A290" s="198">
        <v>6</v>
      </c>
      <c r="B290" s="192" t="s">
        <v>482</v>
      </c>
      <c r="C290" s="188" t="s">
        <v>100</v>
      </c>
      <c r="D290" s="199" t="str">
        <f t="shared" si="31"/>
        <v>Agent21</v>
      </c>
      <c r="E290" s="200" t="s">
        <v>364</v>
      </c>
      <c r="F290" s="200" t="s">
        <v>336</v>
      </c>
      <c r="G290" s="201" t="str">
        <f>VLOOKUP(E290,'2.ポータル'!$A:$F,6,FALSE)</f>
        <v>P216:繁多寺</v>
      </c>
      <c r="H290" s="201" t="str">
        <f>VLOOKUP(F290,'2.ポータル'!$A:$F,6,FALSE)</f>
        <v>P202:総泉時 本堂</v>
      </c>
      <c r="I290" s="193"/>
      <c r="J290" s="202" t="e">
        <f t="shared" ca="1" si="30"/>
        <v>#NAME?</v>
      </c>
      <c r="K290" s="203" t="e">
        <f ca="1">VLOOKUP(F290,'2.ポータル'!$A:$G,7,FALSE)</f>
        <v>#NAME?</v>
      </c>
      <c r="M290" s="184"/>
      <c r="N290" s="184"/>
      <c r="O290" s="185"/>
      <c r="P290" s="185"/>
      <c r="Q290" s="193"/>
    </row>
    <row r="291" spans="1:17" ht="17.5">
      <c r="A291" s="198">
        <v>7</v>
      </c>
      <c r="B291" s="192" t="s">
        <v>482</v>
      </c>
      <c r="C291" s="188" t="s">
        <v>100</v>
      </c>
      <c r="D291" s="199" t="str">
        <f t="shared" si="31"/>
        <v>Agent21</v>
      </c>
      <c r="E291" s="200" t="s">
        <v>364</v>
      </c>
      <c r="F291" s="200" t="s">
        <v>356</v>
      </c>
      <c r="G291" s="201" t="str">
        <f>VLOOKUP(E291,'2.ポータル'!$A:$F,6,FALSE)</f>
        <v>P216:繁多寺</v>
      </c>
      <c r="H291" s="201" t="str">
        <f>VLOOKUP(F291,'2.ポータル'!$A:$F,6,FALSE)</f>
        <v>P212:彫刻ロード「光」</v>
      </c>
      <c r="I291" s="193"/>
      <c r="J291" s="202" t="e">
        <f t="shared" ca="1" si="30"/>
        <v>#NAME?</v>
      </c>
      <c r="K291" s="203" t="e">
        <f ca="1">VLOOKUP(F291,'2.ポータル'!$A:$G,7,FALSE)</f>
        <v>#NAME?</v>
      </c>
      <c r="M291" s="184"/>
      <c r="N291" s="184"/>
      <c r="O291" s="185"/>
      <c r="P291" s="185"/>
      <c r="Q291" s="193"/>
    </row>
    <row r="292" spans="1:17" ht="17.5">
      <c r="A292" s="198">
        <v>8</v>
      </c>
      <c r="B292" s="192" t="s">
        <v>482</v>
      </c>
      <c r="C292" s="188" t="s">
        <v>100</v>
      </c>
      <c r="D292" s="199" t="str">
        <f t="shared" si="31"/>
        <v>Agent21</v>
      </c>
      <c r="E292" s="200" t="s">
        <v>376</v>
      </c>
      <c r="F292" s="200" t="s">
        <v>364</v>
      </c>
      <c r="G292" s="201" t="str">
        <f>VLOOKUP(E292,'2.ポータル'!$A:$F,6,FALSE)</f>
        <v>P222:米子城跡 上り口</v>
      </c>
      <c r="H292" s="201" t="str">
        <f>VLOOKUP(F292,'2.ポータル'!$A:$F,6,FALSE)</f>
        <v>P216:繁多寺</v>
      </c>
      <c r="I292" s="193"/>
      <c r="J292" s="202" t="e">
        <f t="shared" ca="1" si="30"/>
        <v>#NAME?</v>
      </c>
      <c r="K292" s="203" t="e">
        <f ca="1">VLOOKUP(F292,'2.ポータル'!$A:$G,7,FALSE)</f>
        <v>#NAME?</v>
      </c>
      <c r="M292" s="184"/>
      <c r="N292" s="185"/>
      <c r="O292" s="185"/>
      <c r="P292" s="185"/>
      <c r="Q292" s="193"/>
    </row>
    <row r="293" spans="1:17" ht="17.5">
      <c r="A293" s="198">
        <v>9</v>
      </c>
      <c r="B293" s="192" t="s">
        <v>482</v>
      </c>
      <c r="C293" s="188" t="s">
        <v>100</v>
      </c>
      <c r="D293" s="199" t="str">
        <f t="shared" si="31"/>
        <v>Agent21</v>
      </c>
      <c r="E293" s="200" t="s">
        <v>376</v>
      </c>
      <c r="F293" s="200" t="s">
        <v>378</v>
      </c>
      <c r="G293" s="201" t="str">
        <f>VLOOKUP(E293,'2.ポータル'!$A:$F,6,FALSE)</f>
        <v>P222:米子城跡 上り口</v>
      </c>
      <c r="H293" s="201" t="str">
        <f>VLOOKUP(F293,'2.ポータル'!$A:$F,6,FALSE)</f>
        <v>P223:焼肉韓国料理 大力家族亭</v>
      </c>
      <c r="I293" s="193"/>
      <c r="J293" s="202" t="e">
        <f t="shared" ca="1" si="30"/>
        <v>#NAME?</v>
      </c>
      <c r="K293" s="203" t="e">
        <f ca="1">VLOOKUP(F293,'2.ポータル'!$A:$G,7,FALSE)</f>
        <v>#NAME?</v>
      </c>
      <c r="M293" s="184"/>
      <c r="N293" s="185"/>
      <c r="O293" s="185"/>
      <c r="P293" s="185"/>
      <c r="Q293" s="193"/>
    </row>
    <row r="294" spans="1:17" ht="17.5">
      <c r="A294" s="198">
        <v>10</v>
      </c>
      <c r="B294" s="192" t="s">
        <v>482</v>
      </c>
      <c r="C294" s="188" t="s">
        <v>100</v>
      </c>
      <c r="D294" s="199" t="str">
        <f t="shared" si="31"/>
        <v>Agent21</v>
      </c>
      <c r="E294" s="200" t="s">
        <v>376</v>
      </c>
      <c r="F294" s="200" t="s">
        <v>356</v>
      </c>
      <c r="G294" s="201" t="str">
        <f>VLOOKUP(E294,'2.ポータル'!$A:$F,6,FALSE)</f>
        <v>P222:米子城跡 上り口</v>
      </c>
      <c r="H294" s="201" t="str">
        <f>VLOOKUP(F294,'2.ポータル'!$A:$F,6,FALSE)</f>
        <v>P212:彫刻ロード「光」</v>
      </c>
      <c r="I294" s="193"/>
      <c r="J294" s="202" t="e">
        <f t="shared" ca="1" si="30"/>
        <v>#NAME?</v>
      </c>
      <c r="K294" s="203" t="e">
        <f ca="1">VLOOKUP(F294,'2.ポータル'!$A:$G,7,FALSE)</f>
        <v>#NAME?</v>
      </c>
      <c r="M294" s="184"/>
      <c r="N294" s="185"/>
      <c r="O294" s="185"/>
      <c r="P294" s="185"/>
      <c r="Q294" s="193"/>
    </row>
    <row r="295" spans="1:17" ht="17.5">
      <c r="A295" s="205"/>
      <c r="B295" s="206" t="s">
        <v>451</v>
      </c>
      <c r="C295" s="207"/>
      <c r="D295" s="208"/>
      <c r="E295" s="209"/>
      <c r="F295" s="209"/>
      <c r="G295" s="210"/>
      <c r="H295" s="210"/>
      <c r="I295" s="209"/>
      <c r="J295" s="211"/>
      <c r="K295" s="210"/>
      <c r="L295" s="193"/>
      <c r="N295" s="193"/>
      <c r="O295" s="193"/>
      <c r="P295" s="193"/>
      <c r="Q295" s="193"/>
    </row>
    <row r="296" spans="1:17" ht="17.5">
      <c r="A296" s="198"/>
      <c r="B296" s="192"/>
      <c r="C296" s="188"/>
      <c r="D296" s="214"/>
      <c r="E296" s="193"/>
      <c r="F296" s="193"/>
      <c r="G296" s="214"/>
      <c r="H296" s="214"/>
      <c r="I296" s="193"/>
      <c r="J296" s="220"/>
      <c r="K296" s="214"/>
      <c r="L296" s="193"/>
      <c r="M296" s="193"/>
      <c r="N296" s="193"/>
      <c r="O296" s="193"/>
      <c r="P296" s="193"/>
      <c r="Q296" s="193"/>
    </row>
    <row r="297" spans="1:17" ht="28.5">
      <c r="A297" s="188"/>
      <c r="B297" s="189" t="s">
        <v>483</v>
      </c>
      <c r="C297" s="188"/>
      <c r="D297" s="190"/>
      <c r="E297" s="185"/>
      <c r="F297" s="185"/>
      <c r="G297" s="191" t="s">
        <v>484</v>
      </c>
      <c r="H297" s="192" t="s">
        <v>485</v>
      </c>
      <c r="I297" s="193"/>
      <c r="J297" s="194"/>
      <c r="K297" s="192"/>
      <c r="L297" s="183"/>
      <c r="N297" s="185"/>
      <c r="O297" s="185"/>
      <c r="P297" s="185"/>
      <c r="Q297" s="185"/>
    </row>
    <row r="298" spans="1:17" ht="17.5">
      <c r="A298" s="177"/>
      <c r="B298" s="178" t="s">
        <v>437</v>
      </c>
      <c r="C298" s="177" t="s">
        <v>91</v>
      </c>
      <c r="D298" s="178" t="s">
        <v>438</v>
      </c>
      <c r="E298" s="179" t="s">
        <v>439</v>
      </c>
      <c r="F298" s="179" t="s">
        <v>440</v>
      </c>
      <c r="G298" s="178" t="s">
        <v>441</v>
      </c>
      <c r="H298" s="180" t="s">
        <v>442</v>
      </c>
      <c r="I298" s="181" t="s">
        <v>443</v>
      </c>
      <c r="J298" s="182"/>
      <c r="K298" s="178" t="s">
        <v>444</v>
      </c>
      <c r="L298" s="183"/>
      <c r="N298" s="184"/>
      <c r="O298" s="185"/>
      <c r="P298" s="185"/>
      <c r="Q298" s="185"/>
    </row>
    <row r="299" spans="1:17" ht="17.5">
      <c r="A299" s="195"/>
      <c r="B299" s="195" t="s">
        <v>449</v>
      </c>
      <c r="C299" s="195"/>
      <c r="D299" s="195"/>
      <c r="E299" s="195"/>
      <c r="F299" s="195"/>
      <c r="G299" s="195"/>
      <c r="H299" s="196"/>
      <c r="I299" s="196"/>
      <c r="J299" s="197"/>
      <c r="K299" s="195"/>
      <c r="N299" s="184"/>
      <c r="O299" s="185"/>
      <c r="P299" s="185"/>
      <c r="Q299" s="193"/>
    </row>
    <row r="300" spans="1:17" ht="17.5">
      <c r="A300" s="198">
        <f t="shared" ref="A300:A330" si="32">A299+1</f>
        <v>1</v>
      </c>
      <c r="B300" s="192" t="s">
        <v>482</v>
      </c>
      <c r="C300" s="188" t="s">
        <v>100</v>
      </c>
      <c r="D300" s="199" t="str">
        <f>B297</f>
        <v>Agent22</v>
      </c>
      <c r="E300" s="200" t="s">
        <v>344</v>
      </c>
      <c r="F300" s="200" t="s">
        <v>338</v>
      </c>
      <c r="G300" s="201" t="str">
        <f>VLOOKUP(E300,'2.ポータル'!$A:$F,6,FALSE)</f>
        <v>P206:米子駅バス乗り場 観光案内地図</v>
      </c>
      <c r="H300" s="201" t="str">
        <f>VLOOKUP(F300,'2.ポータル'!$A:$F,6,FALSE)</f>
        <v>P203:JR米子駅南口</v>
      </c>
      <c r="I300" s="193"/>
      <c r="J300" s="202" t="e">
        <f t="shared" ref="J300:J330" ca="1" si="33">IF(F300="X99"," ", IF(D300=K300,"","★"))</f>
        <v>#NAME?</v>
      </c>
      <c r="K300" s="203" t="e">
        <f ca="1">VLOOKUP(F300,'2.ポータル'!$A:$G,7,FALSE)</f>
        <v>#NAME?</v>
      </c>
      <c r="N300" s="184"/>
      <c r="O300" s="185"/>
      <c r="P300" s="185"/>
      <c r="Q300" s="193"/>
    </row>
    <row r="301" spans="1:17" ht="17.5">
      <c r="A301" s="198">
        <f t="shared" si="32"/>
        <v>2</v>
      </c>
      <c r="B301" s="192" t="s">
        <v>482</v>
      </c>
      <c r="C301" s="188" t="s">
        <v>100</v>
      </c>
      <c r="D301" s="199" t="str">
        <f t="shared" ref="D301:D330" si="34">D300</f>
        <v>Agent22</v>
      </c>
      <c r="E301" s="200" t="s">
        <v>344</v>
      </c>
      <c r="F301" s="200" t="s">
        <v>366</v>
      </c>
      <c r="G301" s="201" t="str">
        <f>VLOOKUP(E301,'2.ポータル'!$A:$F,6,FALSE)</f>
        <v>P206:米子駅バス乗り場 観光案内地図</v>
      </c>
      <c r="H301" s="201" t="str">
        <f>VLOOKUP(F301,'2.ポータル'!$A:$F,6,FALSE)</f>
        <v>P217:明治第一公園のパーゴラ休憩所</v>
      </c>
      <c r="I301" s="193"/>
      <c r="J301" s="202" t="e">
        <f t="shared" ca="1" si="33"/>
        <v>#NAME?</v>
      </c>
      <c r="K301" s="203" t="e">
        <f ca="1">VLOOKUP(F301,'2.ポータル'!$A:$G,7,FALSE)</f>
        <v>#NAME?</v>
      </c>
      <c r="N301" s="184"/>
      <c r="O301" s="185"/>
      <c r="P301" s="185"/>
      <c r="Q301" s="193"/>
    </row>
    <row r="302" spans="1:17" ht="17.5">
      <c r="A302" s="198">
        <f t="shared" si="32"/>
        <v>3</v>
      </c>
      <c r="B302" s="192" t="s">
        <v>482</v>
      </c>
      <c r="C302" s="188" t="s">
        <v>100</v>
      </c>
      <c r="D302" s="199" t="str">
        <f t="shared" si="34"/>
        <v>Agent22</v>
      </c>
      <c r="E302" s="200" t="s">
        <v>348</v>
      </c>
      <c r="F302" s="200" t="s">
        <v>366</v>
      </c>
      <c r="G302" s="201" t="str">
        <f>VLOOKUP(E302,'2.ポータル'!$A:$F,6,FALSE)</f>
        <v>P208:だれ</v>
      </c>
      <c r="H302" s="201" t="str">
        <f>VLOOKUP(F302,'2.ポータル'!$A:$F,6,FALSE)</f>
        <v>P217:明治第一公園のパーゴラ休憩所</v>
      </c>
      <c r="I302" s="193"/>
      <c r="J302" s="202" t="e">
        <f t="shared" ca="1" si="33"/>
        <v>#NAME?</v>
      </c>
      <c r="K302" s="203" t="e">
        <f ca="1">VLOOKUP(F302,'2.ポータル'!$A:$G,7,FALSE)</f>
        <v>#NAME?</v>
      </c>
      <c r="N302" s="204"/>
      <c r="O302" s="185"/>
      <c r="P302" s="185"/>
      <c r="Q302" s="193"/>
    </row>
    <row r="303" spans="1:17" ht="17.5">
      <c r="A303" s="198">
        <f t="shared" si="32"/>
        <v>4</v>
      </c>
      <c r="B303" s="192" t="s">
        <v>482</v>
      </c>
      <c r="C303" s="188" t="s">
        <v>100</v>
      </c>
      <c r="D303" s="199" t="str">
        <f t="shared" si="34"/>
        <v>Agent22</v>
      </c>
      <c r="E303" s="200" t="s">
        <v>354</v>
      </c>
      <c r="F303" s="200" t="s">
        <v>366</v>
      </c>
      <c r="G303" s="201" t="str">
        <f>VLOOKUP(E303,'2.ポータル'!$A:$F,6,FALSE)</f>
        <v>P211:油そば 笑ちゃん</v>
      </c>
      <c r="H303" s="201" t="str">
        <f>VLOOKUP(F303,'2.ポータル'!$A:$F,6,FALSE)</f>
        <v>P217:明治第一公園のパーゴラ休憩所</v>
      </c>
      <c r="I303" s="193"/>
      <c r="J303" s="202" t="e">
        <f t="shared" ca="1" si="33"/>
        <v>#NAME?</v>
      </c>
      <c r="K303" s="203" t="e">
        <f ca="1">VLOOKUP(F303,'2.ポータル'!$A:$G,7,FALSE)</f>
        <v>#NAME?</v>
      </c>
      <c r="N303" s="184"/>
      <c r="O303" s="185"/>
      <c r="P303" s="185"/>
      <c r="Q303" s="193"/>
    </row>
    <row r="304" spans="1:17" ht="17.5">
      <c r="A304" s="198">
        <f t="shared" si="32"/>
        <v>5</v>
      </c>
      <c r="B304" s="192" t="s">
        <v>482</v>
      </c>
      <c r="C304" s="188" t="s">
        <v>100</v>
      </c>
      <c r="D304" s="199" t="str">
        <f t="shared" si="34"/>
        <v>Agent22</v>
      </c>
      <c r="E304" s="200" t="s">
        <v>340</v>
      </c>
      <c r="F304" s="200" t="s">
        <v>338</v>
      </c>
      <c r="G304" s="201" t="str">
        <f>VLOOKUP(E304,'2.ポータル'!$A:$F,6,FALSE)</f>
        <v>P204:彫刻ロード「はる」</v>
      </c>
      <c r="H304" s="201" t="str">
        <f>VLOOKUP(F304,'2.ポータル'!$A:$F,6,FALSE)</f>
        <v>P203:JR米子駅南口</v>
      </c>
      <c r="I304" s="193"/>
      <c r="J304" s="202" t="e">
        <f t="shared" ca="1" si="33"/>
        <v>#NAME?</v>
      </c>
      <c r="K304" s="203" t="e">
        <f ca="1">VLOOKUP(F304,'2.ポータル'!$A:$G,7,FALSE)</f>
        <v>#NAME?</v>
      </c>
      <c r="N304" s="184"/>
      <c r="O304" s="185"/>
      <c r="P304" s="185"/>
      <c r="Q304" s="193"/>
    </row>
    <row r="305" spans="1:17" ht="17.5">
      <c r="A305" s="198">
        <f t="shared" si="32"/>
        <v>6</v>
      </c>
      <c r="B305" s="192" t="s">
        <v>482</v>
      </c>
      <c r="C305" s="188" t="s">
        <v>100</v>
      </c>
      <c r="D305" s="199" t="str">
        <f t="shared" si="34"/>
        <v>Agent22</v>
      </c>
      <c r="E305" s="200" t="s">
        <v>340</v>
      </c>
      <c r="F305" s="200" t="s">
        <v>344</v>
      </c>
      <c r="G305" s="201" t="str">
        <f>VLOOKUP(E305,'2.ポータル'!$A:$F,6,FALSE)</f>
        <v>P204:彫刻ロード「はる」</v>
      </c>
      <c r="H305" s="201" t="str">
        <f>VLOOKUP(F305,'2.ポータル'!$A:$F,6,FALSE)</f>
        <v>P206:米子駅バス乗り場 観光案内地図</v>
      </c>
      <c r="I305" s="193"/>
      <c r="J305" s="202" t="e">
        <f t="shared" ca="1" si="33"/>
        <v>#NAME?</v>
      </c>
      <c r="K305" s="203" t="e">
        <f ca="1">VLOOKUP(F305,'2.ポータル'!$A:$G,7,FALSE)</f>
        <v>#NAME?</v>
      </c>
      <c r="M305" s="184"/>
      <c r="N305" s="184"/>
      <c r="O305" s="185"/>
      <c r="P305" s="185"/>
      <c r="Q305" s="193"/>
    </row>
    <row r="306" spans="1:17" ht="17.5">
      <c r="A306" s="198">
        <f t="shared" si="32"/>
        <v>7</v>
      </c>
      <c r="B306" s="192" t="s">
        <v>482</v>
      </c>
      <c r="C306" s="188" t="s">
        <v>100</v>
      </c>
      <c r="D306" s="199" t="str">
        <f t="shared" si="34"/>
        <v>Agent22</v>
      </c>
      <c r="E306" s="200" t="s">
        <v>340</v>
      </c>
      <c r="F306" s="200" t="s">
        <v>334</v>
      </c>
      <c r="G306" s="201" t="str">
        <f>VLOOKUP(E306,'2.ポータル'!$A:$F,6,FALSE)</f>
        <v>P204:彫刻ロード「はる」</v>
      </c>
      <c r="H306" s="201" t="str">
        <f>VLOOKUP(F306,'2.ポータル'!$A:$F,6,FALSE)</f>
        <v>P201:湊山体育館</v>
      </c>
      <c r="I306" s="193"/>
      <c r="J306" s="202" t="e">
        <f t="shared" ca="1" si="33"/>
        <v>#NAME?</v>
      </c>
      <c r="K306" s="203" t="e">
        <f ca="1">VLOOKUP(F306,'2.ポータル'!$A:$G,7,FALSE)</f>
        <v>#NAME?</v>
      </c>
      <c r="M306" s="184"/>
      <c r="N306" s="184"/>
      <c r="O306" s="185"/>
      <c r="P306" s="185"/>
      <c r="Q306" s="193"/>
    </row>
    <row r="307" spans="1:17" ht="17.5">
      <c r="A307" s="198">
        <f t="shared" si="32"/>
        <v>8</v>
      </c>
      <c r="B307" s="192" t="s">
        <v>482</v>
      </c>
      <c r="C307" s="188" t="s">
        <v>100</v>
      </c>
      <c r="D307" s="199" t="str">
        <f t="shared" si="34"/>
        <v>Agent22</v>
      </c>
      <c r="E307" s="200" t="s">
        <v>342</v>
      </c>
      <c r="F307" s="200" t="s">
        <v>344</v>
      </c>
      <c r="G307" s="201" t="str">
        <f>VLOOKUP(E307,'2.ポータル'!$A:$F,6,FALSE)</f>
        <v>P205:大地の刻</v>
      </c>
      <c r="H307" s="201" t="str">
        <f>VLOOKUP(F307,'2.ポータル'!$A:$F,6,FALSE)</f>
        <v>P206:米子駅バス乗り場 観光案内地図</v>
      </c>
      <c r="I307" s="193"/>
      <c r="J307" s="202" t="e">
        <f t="shared" ca="1" si="33"/>
        <v>#NAME?</v>
      </c>
      <c r="K307" s="203" t="e">
        <f ca="1">VLOOKUP(F307,'2.ポータル'!$A:$G,7,FALSE)</f>
        <v>#NAME?</v>
      </c>
      <c r="M307" s="184"/>
      <c r="N307" s="185"/>
      <c r="O307" s="185"/>
      <c r="P307" s="185"/>
      <c r="Q307" s="193"/>
    </row>
    <row r="308" spans="1:17" ht="17.5">
      <c r="A308" s="198">
        <f t="shared" si="32"/>
        <v>9</v>
      </c>
      <c r="B308" s="192" t="s">
        <v>482</v>
      </c>
      <c r="C308" s="188" t="s">
        <v>100</v>
      </c>
      <c r="D308" s="199" t="str">
        <f t="shared" si="34"/>
        <v>Agent22</v>
      </c>
      <c r="E308" s="200" t="s">
        <v>360</v>
      </c>
      <c r="F308" s="200" t="s">
        <v>366</v>
      </c>
      <c r="G308" s="201" t="str">
        <f>VLOOKUP(E308,'2.ポータル'!$A:$F,6,FALSE)</f>
        <v>P214:Café ら・ぼーる</v>
      </c>
      <c r="H308" s="201" t="str">
        <f>VLOOKUP(F308,'2.ポータル'!$A:$F,6,FALSE)</f>
        <v>P217:明治第一公園のパーゴラ休憩所</v>
      </c>
      <c r="I308" s="193"/>
      <c r="J308" s="202" t="e">
        <f t="shared" ca="1" si="33"/>
        <v>#NAME?</v>
      </c>
      <c r="K308" s="203" t="e">
        <f ca="1">VLOOKUP(F308,'2.ポータル'!$A:$G,7,FALSE)</f>
        <v>#NAME?</v>
      </c>
      <c r="M308" s="184"/>
      <c r="N308" s="185"/>
      <c r="O308" s="185"/>
      <c r="P308" s="185"/>
      <c r="Q308" s="193"/>
    </row>
    <row r="309" spans="1:17" ht="17.5">
      <c r="A309" s="198">
        <f t="shared" si="32"/>
        <v>10</v>
      </c>
      <c r="B309" s="192" t="s">
        <v>482</v>
      </c>
      <c r="C309" s="188" t="s">
        <v>100</v>
      </c>
      <c r="D309" s="199" t="str">
        <f t="shared" si="34"/>
        <v>Agent22</v>
      </c>
      <c r="E309" s="200" t="s">
        <v>346</v>
      </c>
      <c r="F309" s="200" t="s">
        <v>366</v>
      </c>
      <c r="G309" s="201" t="str">
        <f>VLOOKUP(E309,'2.ポータル'!$A:$F,6,FALSE)</f>
        <v>P207:Gravitation</v>
      </c>
      <c r="H309" s="201" t="str">
        <f>VLOOKUP(F309,'2.ポータル'!$A:$F,6,FALSE)</f>
        <v>P217:明治第一公園のパーゴラ休憩所</v>
      </c>
      <c r="I309" s="193"/>
      <c r="J309" s="202" t="e">
        <f t="shared" ca="1" si="33"/>
        <v>#NAME?</v>
      </c>
      <c r="K309" s="203" t="e">
        <f ca="1">VLOOKUP(F309,'2.ポータル'!$A:$G,7,FALSE)</f>
        <v>#NAME?</v>
      </c>
      <c r="M309" s="184"/>
      <c r="N309" s="185"/>
      <c r="O309" s="185"/>
      <c r="P309" s="185"/>
      <c r="Q309" s="193"/>
    </row>
    <row r="310" spans="1:17" ht="17.5">
      <c r="A310" s="198">
        <f t="shared" si="32"/>
        <v>11</v>
      </c>
      <c r="B310" s="192" t="s">
        <v>482</v>
      </c>
      <c r="C310" s="188" t="s">
        <v>100</v>
      </c>
      <c r="D310" s="199" t="str">
        <f t="shared" si="34"/>
        <v>Agent22</v>
      </c>
      <c r="E310" s="200" t="s">
        <v>346</v>
      </c>
      <c r="F310" s="200" t="s">
        <v>360</v>
      </c>
      <c r="G310" s="201" t="str">
        <f>VLOOKUP(E310,'2.ポータル'!$A:$F,6,FALSE)</f>
        <v>P207:Gravitation</v>
      </c>
      <c r="H310" s="201" t="str">
        <f>VLOOKUP(F310,'2.ポータル'!$A:$F,6,FALSE)</f>
        <v>P214:Café ら・ぼーる</v>
      </c>
      <c r="I310" s="193"/>
      <c r="J310" s="202" t="e">
        <f t="shared" ca="1" si="33"/>
        <v>#NAME?</v>
      </c>
      <c r="K310" s="203" t="e">
        <f ca="1">VLOOKUP(F310,'2.ポータル'!$A:$G,7,FALSE)</f>
        <v>#NAME?</v>
      </c>
      <c r="L310" s="193"/>
      <c r="N310" s="193"/>
      <c r="O310" s="193"/>
      <c r="P310" s="193"/>
      <c r="Q310" s="193"/>
    </row>
    <row r="311" spans="1:17" ht="17.5">
      <c r="A311" s="198">
        <f t="shared" si="32"/>
        <v>12</v>
      </c>
      <c r="B311" s="192" t="s">
        <v>482</v>
      </c>
      <c r="C311" s="188" t="s">
        <v>100</v>
      </c>
      <c r="D311" s="199" t="str">
        <f t="shared" si="34"/>
        <v>Agent22</v>
      </c>
      <c r="E311" s="200" t="s">
        <v>346</v>
      </c>
      <c r="F311" s="200" t="s">
        <v>354</v>
      </c>
      <c r="G311" s="201" t="str">
        <f>VLOOKUP(E311,'2.ポータル'!$A:$F,6,FALSE)</f>
        <v>P207:Gravitation</v>
      </c>
      <c r="H311" s="201" t="str">
        <f>VLOOKUP(F311,'2.ポータル'!$A:$F,6,FALSE)</f>
        <v>P211:油そば 笑ちゃん</v>
      </c>
      <c r="I311" s="193"/>
      <c r="J311" s="202" t="e">
        <f t="shared" ca="1" si="33"/>
        <v>#NAME?</v>
      </c>
      <c r="K311" s="203" t="e">
        <f ca="1">VLOOKUP(F311,'2.ポータル'!$A:$G,7,FALSE)</f>
        <v>#NAME?</v>
      </c>
      <c r="L311" s="193"/>
      <c r="N311" s="193"/>
      <c r="O311" s="193"/>
      <c r="P311" s="193"/>
      <c r="Q311" s="193"/>
    </row>
    <row r="312" spans="1:17" ht="17.5">
      <c r="A312" s="198">
        <f t="shared" si="32"/>
        <v>13</v>
      </c>
      <c r="B312" s="192" t="s">
        <v>482</v>
      </c>
      <c r="C312" s="188" t="s">
        <v>100</v>
      </c>
      <c r="D312" s="199" t="str">
        <f t="shared" si="34"/>
        <v>Agent22</v>
      </c>
      <c r="E312" s="200" t="s">
        <v>346</v>
      </c>
      <c r="F312" s="200" t="s">
        <v>348</v>
      </c>
      <c r="G312" s="201" t="str">
        <f>VLOOKUP(E312,'2.ポータル'!$A:$F,6,FALSE)</f>
        <v>P207:Gravitation</v>
      </c>
      <c r="H312" s="201" t="str">
        <f>VLOOKUP(F312,'2.ポータル'!$A:$F,6,FALSE)</f>
        <v>P208:だれ</v>
      </c>
      <c r="I312" s="193"/>
      <c r="J312" s="202" t="e">
        <f t="shared" ca="1" si="33"/>
        <v>#NAME?</v>
      </c>
      <c r="K312" s="203" t="e">
        <f ca="1">VLOOKUP(F312,'2.ポータル'!$A:$G,7,FALSE)</f>
        <v>#NAME?</v>
      </c>
      <c r="L312" s="193"/>
      <c r="N312" s="193"/>
      <c r="O312" s="193"/>
      <c r="P312" s="193"/>
      <c r="Q312" s="193"/>
    </row>
    <row r="313" spans="1:17" ht="17.5">
      <c r="A313" s="198">
        <f t="shared" si="32"/>
        <v>14</v>
      </c>
      <c r="B313" s="192" t="s">
        <v>482</v>
      </c>
      <c r="C313" s="188" t="s">
        <v>100</v>
      </c>
      <c r="D313" s="199" t="str">
        <f t="shared" si="34"/>
        <v>Agent22</v>
      </c>
      <c r="E313" s="200" t="s">
        <v>346</v>
      </c>
      <c r="F313" s="200" t="s">
        <v>344</v>
      </c>
      <c r="G313" s="201" t="str">
        <f>VLOOKUP(E313,'2.ポータル'!$A:$F,6,FALSE)</f>
        <v>P207:Gravitation</v>
      </c>
      <c r="H313" s="201" t="str">
        <f>VLOOKUP(F313,'2.ポータル'!$A:$F,6,FALSE)</f>
        <v>P206:米子駅バス乗り場 観光案内地図</v>
      </c>
      <c r="I313" s="193"/>
      <c r="J313" s="202" t="e">
        <f t="shared" ca="1" si="33"/>
        <v>#NAME?</v>
      </c>
      <c r="K313" s="203" t="e">
        <f ca="1">VLOOKUP(F313,'2.ポータル'!$A:$G,7,FALSE)</f>
        <v>#NAME?</v>
      </c>
      <c r="L313" s="193"/>
      <c r="N313" s="193"/>
      <c r="O313" s="193"/>
      <c r="P313" s="193"/>
      <c r="Q313" s="193"/>
    </row>
    <row r="314" spans="1:17" ht="17.5">
      <c r="A314" s="198">
        <f t="shared" si="32"/>
        <v>15</v>
      </c>
      <c r="B314" s="192" t="s">
        <v>482</v>
      </c>
      <c r="C314" s="188" t="s">
        <v>100</v>
      </c>
      <c r="D314" s="199" t="str">
        <f t="shared" si="34"/>
        <v>Agent22</v>
      </c>
      <c r="E314" s="200" t="s">
        <v>346</v>
      </c>
      <c r="F314" s="200" t="s">
        <v>342</v>
      </c>
      <c r="G314" s="201" t="str">
        <f>VLOOKUP(E314,'2.ポータル'!$A:$F,6,FALSE)</f>
        <v>P207:Gravitation</v>
      </c>
      <c r="H314" s="201" t="str">
        <f>VLOOKUP(F314,'2.ポータル'!$A:$F,6,FALSE)</f>
        <v>P205:大地の刻</v>
      </c>
      <c r="I314" s="193"/>
      <c r="J314" s="202" t="e">
        <f t="shared" ca="1" si="33"/>
        <v>#NAME?</v>
      </c>
      <c r="K314" s="203" t="e">
        <f ca="1">VLOOKUP(F314,'2.ポータル'!$A:$G,7,FALSE)</f>
        <v>#NAME?</v>
      </c>
      <c r="L314" s="193"/>
      <c r="N314" s="193"/>
      <c r="O314" s="193"/>
      <c r="P314" s="193"/>
      <c r="Q314" s="193"/>
    </row>
    <row r="315" spans="1:17" ht="17.5">
      <c r="A315" s="198">
        <f t="shared" si="32"/>
        <v>16</v>
      </c>
      <c r="B315" s="192" t="s">
        <v>482</v>
      </c>
      <c r="C315" s="188" t="s">
        <v>100</v>
      </c>
      <c r="D315" s="199" t="str">
        <f t="shared" si="34"/>
        <v>Agent22</v>
      </c>
      <c r="E315" s="200" t="s">
        <v>346</v>
      </c>
      <c r="F315" s="200" t="s">
        <v>340</v>
      </c>
      <c r="G315" s="201" t="str">
        <f>VLOOKUP(E315,'2.ポータル'!$A:$F,6,FALSE)</f>
        <v>P207:Gravitation</v>
      </c>
      <c r="H315" s="201" t="str">
        <f>VLOOKUP(F315,'2.ポータル'!$A:$F,6,FALSE)</f>
        <v>P204:彫刻ロード「はる」</v>
      </c>
      <c r="I315" s="193"/>
      <c r="J315" s="202" t="e">
        <f t="shared" ca="1" si="33"/>
        <v>#NAME?</v>
      </c>
      <c r="K315" s="203" t="e">
        <f ca="1">VLOOKUP(F315,'2.ポータル'!$A:$G,7,FALSE)</f>
        <v>#NAME?</v>
      </c>
      <c r="L315" s="193"/>
      <c r="N315" s="193"/>
      <c r="O315" s="193"/>
      <c r="P315" s="193"/>
      <c r="Q315" s="193"/>
    </row>
    <row r="316" spans="1:17" ht="17.5">
      <c r="A316" s="198">
        <f t="shared" si="32"/>
        <v>17</v>
      </c>
      <c r="B316" s="192" t="s">
        <v>482</v>
      </c>
      <c r="C316" s="188" t="s">
        <v>100</v>
      </c>
      <c r="D316" s="199" t="str">
        <f t="shared" si="34"/>
        <v>Agent22</v>
      </c>
      <c r="E316" s="200" t="s">
        <v>346</v>
      </c>
      <c r="F316" s="200" t="s">
        <v>352</v>
      </c>
      <c r="G316" s="201" t="str">
        <f>VLOOKUP(E316,'2.ポータル'!$A:$F,6,FALSE)</f>
        <v>P207:Gravitation</v>
      </c>
      <c r="H316" s="201" t="str">
        <f>VLOOKUP(F316,'2.ポータル'!$A:$F,6,FALSE)</f>
        <v>P210:祇園地蔵</v>
      </c>
      <c r="I316" s="193"/>
      <c r="J316" s="202" t="e">
        <f t="shared" ca="1" si="33"/>
        <v>#NAME?</v>
      </c>
      <c r="K316" s="203" t="e">
        <f ca="1">VLOOKUP(F316,'2.ポータル'!$A:$G,7,FALSE)</f>
        <v>#NAME?</v>
      </c>
      <c r="L316" s="193"/>
      <c r="N316" s="193"/>
      <c r="O316" s="193"/>
      <c r="P316" s="193"/>
      <c r="Q316" s="193"/>
    </row>
    <row r="317" spans="1:17" ht="17.5">
      <c r="A317" s="198">
        <f t="shared" si="32"/>
        <v>18</v>
      </c>
      <c r="B317" s="192" t="s">
        <v>482</v>
      </c>
      <c r="C317" s="188" t="s">
        <v>100</v>
      </c>
      <c r="D317" s="199" t="str">
        <f t="shared" si="34"/>
        <v>Agent22</v>
      </c>
      <c r="E317" s="200" t="s">
        <v>346</v>
      </c>
      <c r="F317" s="200" t="s">
        <v>334</v>
      </c>
      <c r="G317" s="201" t="str">
        <f>VLOOKUP(E317,'2.ポータル'!$A:$F,6,FALSE)</f>
        <v>P207:Gravitation</v>
      </c>
      <c r="H317" s="201" t="str">
        <f>VLOOKUP(F317,'2.ポータル'!$A:$F,6,FALSE)</f>
        <v>P201:湊山体育館</v>
      </c>
      <c r="I317" s="193"/>
      <c r="J317" s="202" t="e">
        <f t="shared" ca="1" si="33"/>
        <v>#NAME?</v>
      </c>
      <c r="K317" s="203" t="e">
        <f ca="1">VLOOKUP(F317,'2.ポータル'!$A:$G,7,FALSE)</f>
        <v>#NAME?</v>
      </c>
      <c r="L317" s="193"/>
      <c r="N317" s="193"/>
      <c r="O317" s="193"/>
      <c r="P317" s="193"/>
      <c r="Q317" s="193"/>
    </row>
    <row r="318" spans="1:17" ht="17.5">
      <c r="A318" s="198">
        <f t="shared" si="32"/>
        <v>19</v>
      </c>
      <c r="B318" s="192" t="s">
        <v>482</v>
      </c>
      <c r="C318" s="188" t="s">
        <v>100</v>
      </c>
      <c r="D318" s="199" t="str">
        <f t="shared" si="34"/>
        <v>Agent22</v>
      </c>
      <c r="E318" s="200" t="s">
        <v>350</v>
      </c>
      <c r="F318" s="200" t="s">
        <v>346</v>
      </c>
      <c r="G318" s="201" t="str">
        <f>VLOOKUP(E318,'2.ポータル'!$A:$F,6,FALSE)</f>
        <v>P209:地殻-cocoon3-</v>
      </c>
      <c r="H318" s="201" t="str">
        <f>VLOOKUP(F318,'2.ポータル'!$A:$F,6,FALSE)</f>
        <v>P207:Gravitation</v>
      </c>
      <c r="I318" s="193"/>
      <c r="J318" s="202" t="e">
        <f t="shared" ca="1" si="33"/>
        <v>#NAME?</v>
      </c>
      <c r="K318" s="203" t="e">
        <f ca="1">VLOOKUP(F318,'2.ポータル'!$A:$G,7,FALSE)</f>
        <v>#NAME?</v>
      </c>
      <c r="L318" s="193"/>
      <c r="N318" s="193"/>
      <c r="O318" s="193"/>
      <c r="P318" s="193"/>
      <c r="Q318" s="193"/>
    </row>
    <row r="319" spans="1:17" ht="17.5">
      <c r="A319" s="198">
        <f t="shared" si="32"/>
        <v>20</v>
      </c>
      <c r="B319" s="192" t="s">
        <v>482</v>
      </c>
      <c r="C319" s="188" t="s">
        <v>100</v>
      </c>
      <c r="D319" s="199" t="str">
        <f t="shared" si="34"/>
        <v>Agent22</v>
      </c>
      <c r="E319" s="200" t="s">
        <v>350</v>
      </c>
      <c r="F319" s="200" t="s">
        <v>366</v>
      </c>
      <c r="G319" s="201" t="str">
        <f>VLOOKUP(E319,'2.ポータル'!$A:$F,6,FALSE)</f>
        <v>P209:地殻-cocoon3-</v>
      </c>
      <c r="H319" s="201" t="str">
        <f>VLOOKUP(F319,'2.ポータル'!$A:$F,6,FALSE)</f>
        <v>P217:明治第一公園のパーゴラ休憩所</v>
      </c>
      <c r="I319" s="193"/>
      <c r="J319" s="202" t="e">
        <f t="shared" ca="1" si="33"/>
        <v>#NAME?</v>
      </c>
      <c r="K319" s="203" t="e">
        <f ca="1">VLOOKUP(F319,'2.ポータル'!$A:$G,7,FALSE)</f>
        <v>#NAME?</v>
      </c>
      <c r="L319" s="193"/>
      <c r="N319" s="193"/>
      <c r="O319" s="193"/>
      <c r="P319" s="193"/>
      <c r="Q319" s="193"/>
    </row>
    <row r="320" spans="1:17" ht="17.5">
      <c r="A320" s="198">
        <f t="shared" si="32"/>
        <v>21</v>
      </c>
      <c r="B320" s="192" t="s">
        <v>482</v>
      </c>
      <c r="C320" s="188" t="s">
        <v>100</v>
      </c>
      <c r="D320" s="199" t="str">
        <f t="shared" si="34"/>
        <v>Agent22</v>
      </c>
      <c r="E320" s="200" t="s">
        <v>358</v>
      </c>
      <c r="F320" s="200" t="s">
        <v>346</v>
      </c>
      <c r="G320" s="201" t="str">
        <f>VLOOKUP(E320,'2.ポータル'!$A:$F,6,FALSE)</f>
        <v>P213:白鳥</v>
      </c>
      <c r="H320" s="201" t="str">
        <f>VLOOKUP(F320,'2.ポータル'!$A:$F,6,FALSE)</f>
        <v>P207:Gravitation</v>
      </c>
      <c r="I320" s="193"/>
      <c r="J320" s="202" t="e">
        <f t="shared" ca="1" si="33"/>
        <v>#NAME?</v>
      </c>
      <c r="K320" s="203" t="e">
        <f ca="1">VLOOKUP(F320,'2.ポータル'!$A:$G,7,FALSE)</f>
        <v>#NAME?</v>
      </c>
      <c r="L320" s="193"/>
      <c r="N320" s="193"/>
      <c r="O320" s="193"/>
      <c r="P320" s="193"/>
      <c r="Q320" s="193"/>
    </row>
    <row r="321" spans="1:17" ht="17.5">
      <c r="A321" s="198">
        <f t="shared" si="32"/>
        <v>22</v>
      </c>
      <c r="B321" s="192" t="s">
        <v>482</v>
      </c>
      <c r="C321" s="188" t="s">
        <v>100</v>
      </c>
      <c r="D321" s="199" t="str">
        <f t="shared" si="34"/>
        <v>Agent22</v>
      </c>
      <c r="E321" s="200" t="s">
        <v>358</v>
      </c>
      <c r="F321" s="200" t="s">
        <v>366</v>
      </c>
      <c r="G321" s="201" t="str">
        <f>VLOOKUP(E321,'2.ポータル'!$A:$F,6,FALSE)</f>
        <v>P213:白鳥</v>
      </c>
      <c r="H321" s="201" t="str">
        <f>VLOOKUP(F321,'2.ポータル'!$A:$F,6,FALSE)</f>
        <v>P217:明治第一公園のパーゴラ休憩所</v>
      </c>
      <c r="I321" s="193"/>
      <c r="J321" s="202" t="e">
        <f t="shared" ca="1" si="33"/>
        <v>#NAME?</v>
      </c>
      <c r="K321" s="203" t="e">
        <f ca="1">VLOOKUP(F321,'2.ポータル'!$A:$G,7,FALSE)</f>
        <v>#NAME?</v>
      </c>
      <c r="L321" s="193"/>
      <c r="N321" s="193"/>
      <c r="O321" s="193"/>
      <c r="P321" s="193"/>
      <c r="Q321" s="193"/>
    </row>
    <row r="322" spans="1:17" ht="17.5">
      <c r="A322" s="198">
        <f t="shared" si="32"/>
        <v>23</v>
      </c>
      <c r="B322" s="192" t="s">
        <v>482</v>
      </c>
      <c r="C322" s="188" t="s">
        <v>100</v>
      </c>
      <c r="D322" s="199" t="str">
        <f t="shared" si="34"/>
        <v>Agent22</v>
      </c>
      <c r="E322" s="200" t="s">
        <v>362</v>
      </c>
      <c r="F322" s="200" t="s">
        <v>370</v>
      </c>
      <c r="G322" s="201" t="str">
        <f>VLOOKUP(E322,'2.ポータル'!$A:$F,6,FALSE)</f>
        <v>P215:彫刻ロード「再生」</v>
      </c>
      <c r="H322" s="201" t="str">
        <f>VLOOKUP(F322,'2.ポータル'!$A:$F,6,FALSE)</f>
        <v>P219:塩町地蔵</v>
      </c>
      <c r="I322" s="193"/>
      <c r="J322" s="202" t="e">
        <f t="shared" ca="1" si="33"/>
        <v>#NAME?</v>
      </c>
      <c r="K322" s="203" t="e">
        <f ca="1">VLOOKUP(F322,'2.ポータル'!$A:$G,7,FALSE)</f>
        <v>#NAME?</v>
      </c>
      <c r="L322" s="193"/>
      <c r="N322" s="193"/>
      <c r="O322" s="193"/>
      <c r="P322" s="193"/>
      <c r="Q322" s="193"/>
    </row>
    <row r="323" spans="1:17" ht="17.5">
      <c r="A323" s="198">
        <f t="shared" si="32"/>
        <v>24</v>
      </c>
      <c r="B323" s="192" t="s">
        <v>482</v>
      </c>
      <c r="C323" s="188" t="s">
        <v>100</v>
      </c>
      <c r="D323" s="199" t="str">
        <f t="shared" si="34"/>
        <v>Agent22</v>
      </c>
      <c r="E323" s="200" t="s">
        <v>356</v>
      </c>
      <c r="F323" s="200" t="s">
        <v>366</v>
      </c>
      <c r="G323" s="201" t="str">
        <f>VLOOKUP(E323,'2.ポータル'!$A:$F,6,FALSE)</f>
        <v>P212:彫刻ロード「光」</v>
      </c>
      <c r="H323" s="201" t="str">
        <f>VLOOKUP(F323,'2.ポータル'!$A:$F,6,FALSE)</f>
        <v>P217:明治第一公園のパーゴラ休憩所</v>
      </c>
      <c r="I323" s="193"/>
      <c r="J323" s="202" t="e">
        <f t="shared" ca="1" si="33"/>
        <v>#NAME?</v>
      </c>
      <c r="K323" s="203" t="e">
        <f ca="1">VLOOKUP(F323,'2.ポータル'!$A:$G,7,FALSE)</f>
        <v>#NAME?</v>
      </c>
      <c r="L323" s="193"/>
      <c r="N323" s="193"/>
      <c r="O323" s="193"/>
      <c r="P323" s="193"/>
      <c r="Q323" s="193"/>
    </row>
    <row r="324" spans="1:17" ht="17.5">
      <c r="A324" s="198">
        <f t="shared" si="32"/>
        <v>25</v>
      </c>
      <c r="B324" s="192" t="s">
        <v>482</v>
      </c>
      <c r="C324" s="188" t="s">
        <v>100</v>
      </c>
      <c r="D324" s="199" t="str">
        <f t="shared" si="34"/>
        <v>Agent22</v>
      </c>
      <c r="E324" s="200" t="s">
        <v>356</v>
      </c>
      <c r="F324" s="200" t="s">
        <v>368</v>
      </c>
      <c r="G324" s="201" t="str">
        <f>VLOOKUP(E324,'2.ポータル'!$A:$F,6,FALSE)</f>
        <v>P212:彫刻ロード「光」</v>
      </c>
      <c r="H324" s="201" t="str">
        <f>VLOOKUP(F324,'2.ポータル'!$A:$F,6,FALSE)</f>
        <v>P218:ローダンのラーメン 米子駅前店</v>
      </c>
      <c r="I324" s="193"/>
      <c r="J324" s="202" t="e">
        <f t="shared" ca="1" si="33"/>
        <v>#NAME?</v>
      </c>
      <c r="K324" s="203" t="e">
        <f ca="1">VLOOKUP(F324,'2.ポータル'!$A:$G,7,FALSE)</f>
        <v>#NAME?</v>
      </c>
      <c r="L324" s="193"/>
      <c r="N324" s="193"/>
      <c r="O324" s="193"/>
      <c r="P324" s="193"/>
      <c r="Q324" s="193"/>
    </row>
    <row r="325" spans="1:17" ht="17.5">
      <c r="A325" s="198">
        <f t="shared" si="32"/>
        <v>26</v>
      </c>
      <c r="B325" s="192" t="s">
        <v>482</v>
      </c>
      <c r="C325" s="188" t="s">
        <v>100</v>
      </c>
      <c r="D325" s="199" t="str">
        <f t="shared" si="34"/>
        <v>Agent22</v>
      </c>
      <c r="E325" s="200" t="s">
        <v>356</v>
      </c>
      <c r="F325" s="200" t="s">
        <v>362</v>
      </c>
      <c r="G325" s="201" t="str">
        <f>VLOOKUP(E325,'2.ポータル'!$A:$F,6,FALSE)</f>
        <v>P212:彫刻ロード「光」</v>
      </c>
      <c r="H325" s="201" t="str">
        <f>VLOOKUP(F325,'2.ポータル'!$A:$F,6,FALSE)</f>
        <v>P215:彫刻ロード「再生」</v>
      </c>
      <c r="I325" s="193"/>
      <c r="J325" s="202" t="e">
        <f t="shared" ca="1" si="33"/>
        <v>#NAME?</v>
      </c>
      <c r="K325" s="203" t="e">
        <f ca="1">VLOOKUP(F325,'2.ポータル'!$A:$G,7,FALSE)</f>
        <v>#NAME?</v>
      </c>
      <c r="L325" s="193"/>
      <c r="N325" s="193"/>
      <c r="O325" s="193"/>
      <c r="P325" s="193"/>
      <c r="Q325" s="193"/>
    </row>
    <row r="326" spans="1:17" ht="17.5">
      <c r="A326" s="198">
        <f t="shared" si="32"/>
        <v>27</v>
      </c>
      <c r="B326" s="192" t="s">
        <v>482</v>
      </c>
      <c r="C326" s="188" t="s">
        <v>100</v>
      </c>
      <c r="D326" s="199" t="str">
        <f t="shared" si="34"/>
        <v>Agent22</v>
      </c>
      <c r="E326" s="200" t="s">
        <v>356</v>
      </c>
      <c r="F326" s="200" t="s">
        <v>370</v>
      </c>
      <c r="G326" s="201" t="str">
        <f>VLOOKUP(E326,'2.ポータル'!$A:$F,6,FALSE)</f>
        <v>P212:彫刻ロード「光」</v>
      </c>
      <c r="H326" s="201" t="str">
        <f>VLOOKUP(F326,'2.ポータル'!$A:$F,6,FALSE)</f>
        <v>P219:塩町地蔵</v>
      </c>
      <c r="I326" s="193"/>
      <c r="J326" s="202" t="e">
        <f t="shared" ca="1" si="33"/>
        <v>#NAME?</v>
      </c>
      <c r="K326" s="203" t="e">
        <f ca="1">VLOOKUP(F326,'2.ポータル'!$A:$G,7,FALSE)</f>
        <v>#NAME?</v>
      </c>
      <c r="L326" s="193"/>
      <c r="N326" s="193"/>
      <c r="O326" s="193"/>
      <c r="P326" s="193"/>
      <c r="Q326" s="193"/>
    </row>
    <row r="327" spans="1:17" ht="17.5">
      <c r="A327" s="198">
        <f t="shared" si="32"/>
        <v>28</v>
      </c>
      <c r="B327" s="192" t="s">
        <v>482</v>
      </c>
      <c r="C327" s="188" t="s">
        <v>100</v>
      </c>
      <c r="D327" s="199" t="str">
        <f t="shared" si="34"/>
        <v>Agent22</v>
      </c>
      <c r="E327" s="200" t="s">
        <v>356</v>
      </c>
      <c r="F327" s="200" t="s">
        <v>378</v>
      </c>
      <c r="G327" s="201" t="str">
        <f>VLOOKUP(E327,'2.ポータル'!$A:$F,6,FALSE)</f>
        <v>P212:彫刻ロード「光」</v>
      </c>
      <c r="H327" s="201" t="str">
        <f>VLOOKUP(F327,'2.ポータル'!$A:$F,6,FALSE)</f>
        <v>P223:焼肉韓国料理 大力家族亭</v>
      </c>
      <c r="I327" s="193"/>
      <c r="J327" s="202" t="e">
        <f t="shared" ca="1" si="33"/>
        <v>#NAME?</v>
      </c>
      <c r="K327" s="203" t="e">
        <f ca="1">VLOOKUP(F327,'2.ポータル'!$A:$G,7,FALSE)</f>
        <v>#NAME?</v>
      </c>
      <c r="L327" s="193"/>
      <c r="N327" s="193"/>
      <c r="O327" s="193"/>
      <c r="P327" s="193"/>
      <c r="Q327" s="193"/>
    </row>
    <row r="328" spans="1:17" ht="17.5">
      <c r="A328" s="198">
        <f t="shared" si="32"/>
        <v>29</v>
      </c>
      <c r="B328" s="192" t="s">
        <v>482</v>
      </c>
      <c r="C328" s="188" t="s">
        <v>100</v>
      </c>
      <c r="D328" s="199" t="str">
        <f t="shared" si="34"/>
        <v>Agent22</v>
      </c>
      <c r="E328" s="200" t="s">
        <v>356</v>
      </c>
      <c r="F328" s="200" t="s">
        <v>334</v>
      </c>
      <c r="G328" s="201" t="str">
        <f>VLOOKUP(E328,'2.ポータル'!$A:$F,6,FALSE)</f>
        <v>P212:彫刻ロード「光」</v>
      </c>
      <c r="H328" s="201" t="str">
        <f>VLOOKUP(F328,'2.ポータル'!$A:$F,6,FALSE)</f>
        <v>P201:湊山体育館</v>
      </c>
      <c r="I328" s="193"/>
      <c r="J328" s="202" t="e">
        <f t="shared" ca="1" si="33"/>
        <v>#NAME?</v>
      </c>
      <c r="K328" s="203" t="e">
        <f ca="1">VLOOKUP(F328,'2.ポータル'!$A:$G,7,FALSE)</f>
        <v>#NAME?</v>
      </c>
      <c r="L328" s="193"/>
      <c r="N328" s="193"/>
      <c r="O328" s="193"/>
      <c r="P328" s="193"/>
      <c r="Q328" s="193"/>
    </row>
    <row r="329" spans="1:17" ht="17.5">
      <c r="A329" s="198">
        <f t="shared" si="32"/>
        <v>30</v>
      </c>
      <c r="B329" s="192" t="s">
        <v>482</v>
      </c>
      <c r="C329" s="188" t="s">
        <v>100</v>
      </c>
      <c r="D329" s="199" t="str">
        <f t="shared" si="34"/>
        <v>Agent22</v>
      </c>
      <c r="E329" s="200" t="s">
        <v>356</v>
      </c>
      <c r="F329" s="200" t="s">
        <v>336</v>
      </c>
      <c r="G329" s="201" t="str">
        <f>VLOOKUP(E329,'2.ポータル'!$A:$F,6,FALSE)</f>
        <v>P212:彫刻ロード「光」</v>
      </c>
      <c r="H329" s="201" t="str">
        <f>VLOOKUP(F329,'2.ポータル'!$A:$F,6,FALSE)</f>
        <v>P202:総泉時 本堂</v>
      </c>
      <c r="I329" s="193"/>
      <c r="J329" s="202" t="e">
        <f t="shared" ca="1" si="33"/>
        <v>#NAME?</v>
      </c>
      <c r="K329" s="203" t="e">
        <f ca="1">VLOOKUP(F329,'2.ポータル'!$A:$G,7,FALSE)</f>
        <v>#NAME?</v>
      </c>
      <c r="L329" s="193"/>
      <c r="N329" s="193"/>
      <c r="O329" s="193"/>
      <c r="P329" s="193"/>
      <c r="Q329" s="193"/>
    </row>
    <row r="330" spans="1:17" ht="17.5">
      <c r="A330" s="198">
        <f t="shared" si="32"/>
        <v>31</v>
      </c>
      <c r="B330" s="192" t="s">
        <v>482</v>
      </c>
      <c r="C330" s="188" t="s">
        <v>100</v>
      </c>
      <c r="D330" s="199" t="str">
        <f t="shared" si="34"/>
        <v>Agent22</v>
      </c>
      <c r="E330" s="200" t="s">
        <v>356</v>
      </c>
      <c r="F330" s="200" t="s">
        <v>346</v>
      </c>
      <c r="G330" s="201" t="str">
        <f>VLOOKUP(E330,'2.ポータル'!$A:$F,6,FALSE)</f>
        <v>P212:彫刻ロード「光」</v>
      </c>
      <c r="H330" s="201" t="str">
        <f>VLOOKUP(F330,'2.ポータル'!$A:$F,6,FALSE)</f>
        <v>P207:Gravitation</v>
      </c>
      <c r="I330" s="193"/>
      <c r="J330" s="202" t="e">
        <f t="shared" ca="1" si="33"/>
        <v>#NAME?</v>
      </c>
      <c r="K330" s="203" t="e">
        <f ca="1">VLOOKUP(F330,'2.ポータル'!$A:$G,7,FALSE)</f>
        <v>#NAME?</v>
      </c>
      <c r="L330" s="193"/>
      <c r="N330" s="193"/>
      <c r="O330" s="193"/>
      <c r="P330" s="193"/>
      <c r="Q330" s="193"/>
    </row>
    <row r="331" spans="1:17" ht="17.5">
      <c r="A331" s="205"/>
      <c r="B331" s="206" t="s">
        <v>451</v>
      </c>
      <c r="C331" s="207"/>
      <c r="D331" s="208"/>
      <c r="E331" s="209"/>
      <c r="F331" s="209"/>
      <c r="G331" s="210"/>
      <c r="H331" s="210"/>
      <c r="I331" s="209"/>
      <c r="J331" s="211"/>
      <c r="K331" s="210"/>
      <c r="L331" s="193"/>
      <c r="N331" s="193"/>
      <c r="O331" s="193"/>
      <c r="P331" s="193"/>
      <c r="Q331" s="193"/>
    </row>
    <row r="332" spans="1:17" ht="17.5">
      <c r="A332" s="198"/>
      <c r="B332" s="192"/>
      <c r="C332" s="188"/>
      <c r="D332" s="214"/>
      <c r="E332" s="193"/>
      <c r="F332" s="193"/>
      <c r="G332" s="214"/>
      <c r="H332" s="214"/>
      <c r="I332" s="193"/>
      <c r="J332" s="220"/>
      <c r="K332" s="214"/>
      <c r="L332" s="193"/>
      <c r="M332" s="193"/>
      <c r="N332" s="193"/>
      <c r="O332" s="193"/>
      <c r="P332" s="193"/>
      <c r="Q332" s="193"/>
    </row>
    <row r="333" spans="1:17" ht="28.5">
      <c r="A333" s="188"/>
      <c r="B333" s="189" t="s">
        <v>486</v>
      </c>
      <c r="C333" s="188"/>
      <c r="D333" s="190"/>
      <c r="E333" s="185"/>
      <c r="F333" s="185"/>
      <c r="G333" s="191" t="s">
        <v>487</v>
      </c>
      <c r="H333" s="192" t="s">
        <v>488</v>
      </c>
      <c r="I333" s="193"/>
      <c r="J333" s="194"/>
      <c r="K333" s="192"/>
      <c r="L333" s="183"/>
      <c r="N333" s="185"/>
      <c r="O333" s="185"/>
      <c r="P333" s="185"/>
      <c r="Q333" s="185"/>
    </row>
    <row r="334" spans="1:17" ht="17.5">
      <c r="A334" s="177"/>
      <c r="B334" s="178" t="s">
        <v>437</v>
      </c>
      <c r="C334" s="177" t="s">
        <v>91</v>
      </c>
      <c r="D334" s="178" t="s">
        <v>438</v>
      </c>
      <c r="E334" s="179" t="s">
        <v>439</v>
      </c>
      <c r="F334" s="179" t="s">
        <v>440</v>
      </c>
      <c r="G334" s="178" t="s">
        <v>441</v>
      </c>
      <c r="H334" s="180" t="s">
        <v>442</v>
      </c>
      <c r="I334" s="181" t="s">
        <v>443</v>
      </c>
      <c r="J334" s="182"/>
      <c r="K334" s="178" t="s">
        <v>444</v>
      </c>
      <c r="L334" s="183"/>
      <c r="N334" s="184"/>
      <c r="O334" s="185"/>
      <c r="P334" s="185"/>
      <c r="Q334" s="185"/>
    </row>
    <row r="335" spans="1:17" ht="17.5">
      <c r="A335" s="195"/>
      <c r="B335" s="195" t="s">
        <v>449</v>
      </c>
      <c r="C335" s="195"/>
      <c r="D335" s="195"/>
      <c r="E335" s="195"/>
      <c r="F335" s="195"/>
      <c r="G335" s="195"/>
      <c r="H335" s="196"/>
      <c r="I335" s="196"/>
      <c r="J335" s="197"/>
      <c r="K335" s="195"/>
      <c r="N335" s="184"/>
      <c r="O335" s="185"/>
      <c r="P335" s="185"/>
      <c r="Q335" s="193"/>
    </row>
    <row r="336" spans="1:17" ht="17.5">
      <c r="A336" s="198">
        <f t="shared" ref="A336:A346" si="35">A335+1</f>
        <v>1</v>
      </c>
      <c r="B336" s="192" t="s">
        <v>482</v>
      </c>
      <c r="C336" s="188" t="s">
        <v>100</v>
      </c>
      <c r="D336" s="199" t="str">
        <f>B333</f>
        <v>Agent23</v>
      </c>
      <c r="E336" s="200" t="s">
        <v>366</v>
      </c>
      <c r="F336" s="200" t="s">
        <v>433</v>
      </c>
      <c r="G336" s="201" t="str">
        <f>VLOOKUP(E336,'2.ポータル'!$A:$F,6,FALSE)</f>
        <v>P217:明治第一公園のパーゴラ休憩所</v>
      </c>
      <c r="H336" s="201" t="str">
        <f>VLOOKUP(F336,'2.ポータル'!$A:$F,6,FALSE)</f>
        <v>ポータルをキャプチャします</v>
      </c>
      <c r="I336" s="193"/>
      <c r="J336" s="202" t="str">
        <f t="shared" ref="J336:J346" si="36">IF(F336="X99"," ", IF(D336=K336,"","★"))</f>
        <v xml:space="preserve"> </v>
      </c>
      <c r="K336" s="203">
        <f>VLOOKUP(F336,'2.ポータル'!$A:$G,7,FALSE)</f>
        <v>0</v>
      </c>
      <c r="N336" s="184"/>
      <c r="O336" s="185"/>
      <c r="P336" s="185"/>
      <c r="Q336" s="193"/>
    </row>
    <row r="337" spans="1:17" ht="17.5">
      <c r="A337" s="198">
        <f t="shared" si="35"/>
        <v>2</v>
      </c>
      <c r="B337" s="192" t="s">
        <v>482</v>
      </c>
      <c r="C337" s="188" t="s">
        <v>100</v>
      </c>
      <c r="D337" s="199" t="str">
        <f t="shared" ref="D337:D338" si="37">D336</f>
        <v>Agent23</v>
      </c>
      <c r="E337" s="200" t="s">
        <v>372</v>
      </c>
      <c r="F337" s="200" t="s">
        <v>344</v>
      </c>
      <c r="G337" s="201" t="str">
        <f>VLOOKUP(E337,'2.ポータル'!$A:$F,6,FALSE)</f>
        <v>P220:焼肉ホルモン だんだん</v>
      </c>
      <c r="H337" s="201" t="str">
        <f>VLOOKUP(F337,'2.ポータル'!$A:$F,6,FALSE)</f>
        <v>P206:米子駅バス乗り場 観光案内地図</v>
      </c>
      <c r="I337" s="193"/>
      <c r="J337" s="202" t="e">
        <f t="shared" ca="1" si="36"/>
        <v>#NAME?</v>
      </c>
      <c r="K337" s="203" t="e">
        <f ca="1">VLOOKUP(F337,'2.ポータル'!$A:$G,7,FALSE)</f>
        <v>#NAME?</v>
      </c>
      <c r="N337" s="184"/>
      <c r="O337" s="185"/>
      <c r="P337" s="185"/>
      <c r="Q337" s="193"/>
    </row>
    <row r="338" spans="1:17" ht="17.5">
      <c r="A338" s="198">
        <f t="shared" si="35"/>
        <v>3</v>
      </c>
      <c r="B338" s="192" t="s">
        <v>482</v>
      </c>
      <c r="C338" s="188" t="s">
        <v>100</v>
      </c>
      <c r="D338" s="199" t="str">
        <f t="shared" si="37"/>
        <v>Agent23</v>
      </c>
      <c r="E338" s="200" t="s">
        <v>372</v>
      </c>
      <c r="F338" s="200" t="s">
        <v>366</v>
      </c>
      <c r="G338" s="201" t="str">
        <f>VLOOKUP(E338,'2.ポータル'!$A:$F,6,FALSE)</f>
        <v>P220:焼肉ホルモン だんだん</v>
      </c>
      <c r="H338" s="201" t="str">
        <f>VLOOKUP(F338,'2.ポータル'!$A:$F,6,FALSE)</f>
        <v>P217:明治第一公園のパーゴラ休憩所</v>
      </c>
      <c r="I338" s="193"/>
      <c r="J338" s="202" t="e">
        <f t="shared" ca="1" si="36"/>
        <v>#NAME?</v>
      </c>
      <c r="K338" s="203" t="e">
        <f ca="1">VLOOKUP(F338,'2.ポータル'!$A:$G,7,FALSE)</f>
        <v>#NAME?</v>
      </c>
      <c r="N338" s="204"/>
      <c r="O338" s="185"/>
      <c r="P338" s="185"/>
      <c r="Q338" s="193"/>
    </row>
    <row r="339" spans="1:17" ht="17.5">
      <c r="A339" s="198">
        <f t="shared" si="35"/>
        <v>4</v>
      </c>
      <c r="B339" s="192" t="s">
        <v>482</v>
      </c>
      <c r="C339" s="188" t="s">
        <v>100</v>
      </c>
      <c r="D339" s="199" t="s">
        <v>486</v>
      </c>
      <c r="E339" s="200" t="s">
        <v>372</v>
      </c>
      <c r="F339" s="200" t="s">
        <v>338</v>
      </c>
      <c r="G339" s="201" t="str">
        <f>VLOOKUP(E339,'2.ポータル'!$A:$F,6,FALSE)</f>
        <v>P220:焼肉ホルモン だんだん</v>
      </c>
      <c r="H339" s="201" t="str">
        <f>VLOOKUP(F339,'2.ポータル'!$A:$F,6,FALSE)</f>
        <v>P203:JR米子駅南口</v>
      </c>
      <c r="I339" s="193"/>
      <c r="J339" s="202" t="e">
        <f t="shared" ca="1" si="36"/>
        <v>#NAME?</v>
      </c>
      <c r="K339" s="203" t="e">
        <f ca="1">VLOOKUP(F339,'2.ポータル'!$A:$G,7,FALSE)</f>
        <v>#NAME?</v>
      </c>
      <c r="N339" s="184"/>
      <c r="O339" s="185"/>
      <c r="P339" s="185"/>
      <c r="Q339" s="193"/>
    </row>
    <row r="340" spans="1:17" ht="17.5">
      <c r="A340" s="198">
        <f t="shared" si="35"/>
        <v>5</v>
      </c>
      <c r="B340" s="192" t="s">
        <v>482</v>
      </c>
      <c r="C340" s="188" t="s">
        <v>100</v>
      </c>
      <c r="D340" s="199" t="str">
        <f>D338</f>
        <v>Agent23</v>
      </c>
      <c r="E340" s="200" t="s">
        <v>368</v>
      </c>
      <c r="F340" s="200" t="s">
        <v>366</v>
      </c>
      <c r="G340" s="201" t="str">
        <f>VLOOKUP(E340,'2.ポータル'!$A:$F,6,FALSE)</f>
        <v>P218:ローダンのラーメン 米子駅前店</v>
      </c>
      <c r="H340" s="201" t="str">
        <f>VLOOKUP(F340,'2.ポータル'!$A:$F,6,FALSE)</f>
        <v>P217:明治第一公園のパーゴラ休憩所</v>
      </c>
      <c r="I340" s="193"/>
      <c r="J340" s="202" t="e">
        <f t="shared" ca="1" si="36"/>
        <v>#NAME?</v>
      </c>
      <c r="K340" s="203" t="e">
        <f ca="1">VLOOKUP(F340,'2.ポータル'!$A:$G,7,FALSE)</f>
        <v>#NAME?</v>
      </c>
      <c r="N340" s="184"/>
      <c r="O340" s="185"/>
      <c r="P340" s="185"/>
      <c r="Q340" s="193"/>
    </row>
    <row r="341" spans="1:17" ht="17.5">
      <c r="A341" s="198">
        <f t="shared" si="35"/>
        <v>6</v>
      </c>
      <c r="B341" s="192" t="s">
        <v>482</v>
      </c>
      <c r="C341" s="188" t="s">
        <v>100</v>
      </c>
      <c r="D341" s="199" t="str">
        <f t="shared" ref="D341:D346" si="38">D340</f>
        <v>Agent23</v>
      </c>
      <c r="E341" s="200" t="s">
        <v>370</v>
      </c>
      <c r="F341" s="200" t="s">
        <v>366</v>
      </c>
      <c r="G341" s="201" t="str">
        <f>VLOOKUP(E341,'2.ポータル'!$A:$F,6,FALSE)</f>
        <v>P219:塩町地蔵</v>
      </c>
      <c r="H341" s="201" t="str">
        <f>VLOOKUP(F341,'2.ポータル'!$A:$F,6,FALSE)</f>
        <v>P217:明治第一公園のパーゴラ休憩所</v>
      </c>
      <c r="I341" s="193"/>
      <c r="J341" s="202" t="e">
        <f t="shared" ca="1" si="36"/>
        <v>#NAME?</v>
      </c>
      <c r="K341" s="203" t="e">
        <f ca="1">VLOOKUP(F341,'2.ポータル'!$A:$G,7,FALSE)</f>
        <v>#NAME?</v>
      </c>
      <c r="N341" s="184"/>
      <c r="O341" s="185"/>
      <c r="P341" s="185"/>
      <c r="Q341" s="193"/>
    </row>
    <row r="342" spans="1:17" ht="17.5">
      <c r="A342" s="198">
        <f t="shared" si="35"/>
        <v>7</v>
      </c>
      <c r="B342" s="192" t="s">
        <v>482</v>
      </c>
      <c r="C342" s="188" t="s">
        <v>100</v>
      </c>
      <c r="D342" s="199" t="str">
        <f t="shared" si="38"/>
        <v>Agent23</v>
      </c>
      <c r="E342" s="200" t="s">
        <v>374</v>
      </c>
      <c r="F342" s="200" t="s">
        <v>370</v>
      </c>
      <c r="G342" s="201" t="str">
        <f>VLOOKUP(E342,'2.ポータル'!$A:$F,6,FALSE)</f>
        <v>P221:お食事小料理すえ</v>
      </c>
      <c r="H342" s="201" t="str">
        <f>VLOOKUP(F342,'2.ポータル'!$A:$F,6,FALSE)</f>
        <v>P219:塩町地蔵</v>
      </c>
      <c r="I342" s="193"/>
      <c r="J342" s="202" t="e">
        <f t="shared" ca="1" si="36"/>
        <v>#NAME?</v>
      </c>
      <c r="K342" s="203" t="e">
        <f ca="1">VLOOKUP(F342,'2.ポータル'!$A:$G,7,FALSE)</f>
        <v>#NAME?</v>
      </c>
      <c r="M342" s="184"/>
      <c r="N342" s="184"/>
      <c r="O342" s="185"/>
      <c r="P342" s="185"/>
      <c r="Q342" s="193"/>
    </row>
    <row r="343" spans="1:17" ht="17.5">
      <c r="A343" s="198">
        <f t="shared" si="35"/>
        <v>8</v>
      </c>
      <c r="B343" s="192" t="s">
        <v>482</v>
      </c>
      <c r="C343" s="188" t="s">
        <v>100</v>
      </c>
      <c r="D343" s="199" t="str">
        <f t="shared" si="38"/>
        <v>Agent23</v>
      </c>
      <c r="E343" s="200" t="s">
        <v>374</v>
      </c>
      <c r="F343" s="200" t="s">
        <v>366</v>
      </c>
      <c r="G343" s="201" t="str">
        <f>VLOOKUP(E343,'2.ポータル'!$A:$F,6,FALSE)</f>
        <v>P221:お食事小料理すえ</v>
      </c>
      <c r="H343" s="201" t="str">
        <f>VLOOKUP(F343,'2.ポータル'!$A:$F,6,FALSE)</f>
        <v>P217:明治第一公園のパーゴラ休憩所</v>
      </c>
      <c r="I343" s="193"/>
      <c r="J343" s="202" t="e">
        <f t="shared" ca="1" si="36"/>
        <v>#NAME?</v>
      </c>
      <c r="K343" s="203" t="e">
        <f ca="1">VLOOKUP(F343,'2.ポータル'!$A:$G,7,FALSE)</f>
        <v>#NAME?</v>
      </c>
      <c r="M343" s="184"/>
      <c r="N343" s="184"/>
      <c r="O343" s="185"/>
      <c r="P343" s="185"/>
      <c r="Q343" s="193"/>
    </row>
    <row r="344" spans="1:17" ht="17.5">
      <c r="A344" s="198">
        <f t="shared" si="35"/>
        <v>9</v>
      </c>
      <c r="B344" s="192" t="s">
        <v>482</v>
      </c>
      <c r="C344" s="188" t="s">
        <v>100</v>
      </c>
      <c r="D344" s="199" t="str">
        <f t="shared" si="38"/>
        <v>Agent23</v>
      </c>
      <c r="E344" s="200" t="s">
        <v>374</v>
      </c>
      <c r="F344" s="200" t="s">
        <v>372</v>
      </c>
      <c r="G344" s="201" t="str">
        <f>VLOOKUP(E344,'2.ポータル'!$A:$F,6,FALSE)</f>
        <v>P221:お食事小料理すえ</v>
      </c>
      <c r="H344" s="201" t="str">
        <f>VLOOKUP(F344,'2.ポータル'!$A:$F,6,FALSE)</f>
        <v>P220:焼肉ホルモン だんだん</v>
      </c>
      <c r="I344" s="193"/>
      <c r="J344" s="202" t="e">
        <f t="shared" ca="1" si="36"/>
        <v>#NAME?</v>
      </c>
      <c r="K344" s="203" t="e">
        <f ca="1">VLOOKUP(F344,'2.ポータル'!$A:$G,7,FALSE)</f>
        <v>#NAME?</v>
      </c>
      <c r="M344" s="184"/>
      <c r="N344" s="185"/>
      <c r="O344" s="185"/>
      <c r="P344" s="185"/>
      <c r="Q344" s="193"/>
    </row>
    <row r="345" spans="1:17" ht="17.5">
      <c r="A345" s="198">
        <f t="shared" si="35"/>
        <v>10</v>
      </c>
      <c r="B345" s="192" t="s">
        <v>482</v>
      </c>
      <c r="C345" s="188" t="s">
        <v>100</v>
      </c>
      <c r="D345" s="199" t="str">
        <f t="shared" si="38"/>
        <v>Agent23</v>
      </c>
      <c r="E345" s="200" t="s">
        <v>378</v>
      </c>
      <c r="F345" s="200" t="s">
        <v>374</v>
      </c>
      <c r="G345" s="201" t="str">
        <f>VLOOKUP(E345,'2.ポータル'!$A:$F,6,FALSE)</f>
        <v>P223:焼肉韓国料理 大力家族亭</v>
      </c>
      <c r="H345" s="201" t="str">
        <f>VLOOKUP(F345,'2.ポータル'!$A:$F,6,FALSE)</f>
        <v>P221:お食事小料理すえ</v>
      </c>
      <c r="I345" s="193"/>
      <c r="J345" s="202" t="e">
        <f t="shared" ca="1" si="36"/>
        <v>#NAME?</v>
      </c>
      <c r="K345" s="203" t="e">
        <f ca="1">VLOOKUP(F345,'2.ポータル'!$A:$G,7,FALSE)</f>
        <v>#NAME?</v>
      </c>
      <c r="M345" s="184"/>
      <c r="N345" s="185"/>
      <c r="O345" s="185"/>
      <c r="P345" s="185"/>
      <c r="Q345" s="193"/>
    </row>
    <row r="346" spans="1:17" ht="17.5">
      <c r="A346" s="198">
        <f t="shared" si="35"/>
        <v>11</v>
      </c>
      <c r="B346" s="192" t="s">
        <v>482</v>
      </c>
      <c r="C346" s="188" t="s">
        <v>100</v>
      </c>
      <c r="D346" s="199" t="str">
        <f t="shared" si="38"/>
        <v>Agent23</v>
      </c>
      <c r="E346" s="200" t="s">
        <v>378</v>
      </c>
      <c r="F346" s="200" t="s">
        <v>370</v>
      </c>
      <c r="G346" s="201" t="str">
        <f>VLOOKUP(E346,'2.ポータル'!$A:$F,6,FALSE)</f>
        <v>P223:焼肉韓国料理 大力家族亭</v>
      </c>
      <c r="H346" s="201" t="str">
        <f>VLOOKUP(F346,'2.ポータル'!$A:$F,6,FALSE)</f>
        <v>P219:塩町地蔵</v>
      </c>
      <c r="I346" s="193"/>
      <c r="J346" s="202" t="e">
        <f t="shared" ca="1" si="36"/>
        <v>#NAME?</v>
      </c>
      <c r="K346" s="203" t="e">
        <f ca="1">VLOOKUP(F346,'2.ポータル'!$A:$G,7,FALSE)</f>
        <v>#NAME?</v>
      </c>
      <c r="M346" s="184"/>
      <c r="N346" s="185"/>
      <c r="O346" s="185"/>
      <c r="P346" s="185"/>
      <c r="Q346" s="193"/>
    </row>
    <row r="347" spans="1:17" ht="17.5">
      <c r="A347" s="205"/>
      <c r="B347" s="206" t="s">
        <v>451</v>
      </c>
      <c r="C347" s="207"/>
      <c r="D347" s="208"/>
      <c r="E347" s="209"/>
      <c r="F347" s="209"/>
      <c r="G347" s="210"/>
      <c r="H347" s="210"/>
      <c r="I347" s="209"/>
      <c r="J347" s="211"/>
      <c r="K347" s="210"/>
      <c r="L347" s="193"/>
      <c r="N347" s="193"/>
      <c r="O347" s="193"/>
      <c r="P347" s="193"/>
      <c r="Q347" s="193"/>
    </row>
    <row r="348" spans="1:17" ht="17.5">
      <c r="A348" s="198"/>
      <c r="B348" s="192"/>
      <c r="C348" s="188"/>
      <c r="D348" s="214"/>
      <c r="E348" s="193"/>
      <c r="F348" s="193"/>
      <c r="G348" s="214"/>
      <c r="H348" s="214"/>
      <c r="I348" s="193"/>
      <c r="J348" s="220"/>
      <c r="K348" s="214"/>
      <c r="L348" s="193"/>
      <c r="M348" s="193"/>
      <c r="N348" s="193"/>
      <c r="O348" s="193"/>
      <c r="P348" s="193"/>
      <c r="Q348" s="193"/>
    </row>
    <row r="349" spans="1:17" ht="17.5">
      <c r="A349" s="198"/>
      <c r="B349" s="192"/>
      <c r="C349" s="188"/>
      <c r="D349" s="214"/>
      <c r="E349" s="193"/>
      <c r="F349" s="193"/>
      <c r="G349" s="214"/>
      <c r="H349" s="214"/>
      <c r="I349" s="193"/>
      <c r="J349" s="220"/>
      <c r="K349" s="214"/>
      <c r="L349" s="193"/>
      <c r="M349" s="193"/>
      <c r="N349" s="193"/>
      <c r="O349" s="193"/>
      <c r="P349" s="193"/>
      <c r="Q349" s="193"/>
    </row>
    <row r="350" spans="1:17" ht="28.5">
      <c r="A350" s="221"/>
      <c r="B350" s="222" t="s">
        <v>489</v>
      </c>
      <c r="C350" s="221"/>
      <c r="D350" s="223"/>
      <c r="E350" s="224"/>
      <c r="F350" s="224"/>
      <c r="G350" s="225"/>
      <c r="H350" s="226"/>
      <c r="I350" s="227"/>
      <c r="J350" s="228"/>
      <c r="K350" s="226"/>
      <c r="L350" s="183"/>
      <c r="N350" s="185"/>
      <c r="O350" s="185"/>
      <c r="P350" s="185"/>
      <c r="Q350" s="185"/>
    </row>
    <row r="351" spans="1:17" ht="28.5">
      <c r="A351" s="188"/>
      <c r="B351" s="189" t="s">
        <v>490</v>
      </c>
      <c r="C351" s="188"/>
      <c r="D351" s="190"/>
      <c r="E351" s="185"/>
      <c r="F351" s="185"/>
      <c r="G351" s="191" t="s">
        <v>480</v>
      </c>
      <c r="H351" s="192" t="s">
        <v>481</v>
      </c>
      <c r="I351" s="193"/>
      <c r="J351" s="194"/>
      <c r="K351" s="192"/>
      <c r="L351" s="183"/>
      <c r="N351" s="185"/>
      <c r="O351" s="185"/>
      <c r="P351" s="185"/>
      <c r="Q351" s="185"/>
    </row>
    <row r="352" spans="1:17" ht="17.5">
      <c r="A352" s="177"/>
      <c r="B352" s="178" t="s">
        <v>437</v>
      </c>
      <c r="C352" s="177" t="s">
        <v>91</v>
      </c>
      <c r="D352" s="178" t="s">
        <v>438</v>
      </c>
      <c r="E352" s="179" t="s">
        <v>439</v>
      </c>
      <c r="F352" s="179" t="s">
        <v>440</v>
      </c>
      <c r="G352" s="178" t="s">
        <v>441</v>
      </c>
      <c r="H352" s="180" t="s">
        <v>442</v>
      </c>
      <c r="I352" s="181" t="s">
        <v>443</v>
      </c>
      <c r="J352" s="182"/>
      <c r="K352" s="178" t="s">
        <v>444</v>
      </c>
      <c r="L352" s="183"/>
      <c r="N352" s="184"/>
      <c r="O352" s="185"/>
      <c r="P352" s="185"/>
      <c r="Q352" s="185"/>
    </row>
    <row r="353" spans="1:17" ht="17.5">
      <c r="A353" s="195"/>
      <c r="B353" s="195" t="s">
        <v>449</v>
      </c>
      <c r="C353" s="195"/>
      <c r="D353" s="195"/>
      <c r="E353" s="195"/>
      <c r="F353" s="195"/>
      <c r="G353" s="195"/>
      <c r="H353" s="196"/>
      <c r="I353" s="196"/>
      <c r="J353" s="197"/>
      <c r="K353" s="195"/>
      <c r="N353" s="184"/>
      <c r="O353" s="185"/>
      <c r="P353" s="185"/>
      <c r="Q353" s="193"/>
    </row>
    <row r="354" spans="1:17" ht="17.5">
      <c r="A354" s="198">
        <f t="shared" ref="A354:A366" si="39">A353+1</f>
        <v>1</v>
      </c>
      <c r="B354" s="192" t="s">
        <v>491</v>
      </c>
      <c r="C354" s="188" t="s">
        <v>100</v>
      </c>
      <c r="D354" s="199" t="str">
        <f>B351</f>
        <v>Agent31</v>
      </c>
      <c r="E354" s="200" t="s">
        <v>388</v>
      </c>
      <c r="F354" s="200" t="s">
        <v>433</v>
      </c>
      <c r="G354" s="201" t="str">
        <f>VLOOKUP(E354,'2.ポータル'!$A:$F,6,FALSE)</f>
        <v>P304:犬の像</v>
      </c>
      <c r="H354" s="201" t="str">
        <f>VLOOKUP(F354,'2.ポータル'!$A:$F,6,FALSE)</f>
        <v>ポータルをキャプチャします</v>
      </c>
      <c r="I354" s="193"/>
      <c r="J354" s="202" t="str">
        <f t="shared" ref="J354:J366" si="40">IF(F354="X99"," ", IF(D354=K354,"","★"))</f>
        <v xml:space="preserve"> </v>
      </c>
      <c r="K354" s="203">
        <f>VLOOKUP(F354,'2.ポータル'!$A:$G,7,FALSE)</f>
        <v>0</v>
      </c>
      <c r="N354" s="184"/>
      <c r="O354" s="185"/>
      <c r="P354" s="185"/>
      <c r="Q354" s="193"/>
    </row>
    <row r="355" spans="1:17" ht="17.5">
      <c r="A355" s="198">
        <f t="shared" si="39"/>
        <v>2</v>
      </c>
      <c r="B355" s="192" t="s">
        <v>491</v>
      </c>
      <c r="C355" s="188" t="s">
        <v>100</v>
      </c>
      <c r="D355" s="199" t="str">
        <f t="shared" ref="D355:D366" si="41">D354</f>
        <v>Agent31</v>
      </c>
      <c r="E355" s="200" t="s">
        <v>390</v>
      </c>
      <c r="F355" s="200" t="s">
        <v>388</v>
      </c>
      <c r="G355" s="201" t="str">
        <f>VLOOKUP(E355,'2.ポータル'!$A:$F,6,FALSE)</f>
        <v>P305:イルカ</v>
      </c>
      <c r="H355" s="201" t="str">
        <f>VLOOKUP(F355,'2.ポータル'!$A:$F,6,FALSE)</f>
        <v>P304:犬の像</v>
      </c>
      <c r="I355" s="193"/>
      <c r="J355" s="202" t="e">
        <f t="shared" ca="1" si="40"/>
        <v>#NAME?</v>
      </c>
      <c r="K355" s="203" t="e">
        <f ca="1">VLOOKUP(F355,'2.ポータル'!$A:$G,7,FALSE)</f>
        <v>#NAME?</v>
      </c>
      <c r="N355" s="184"/>
      <c r="O355" s="185"/>
      <c r="P355" s="185"/>
      <c r="Q355" s="193"/>
    </row>
    <row r="356" spans="1:17" ht="17.5">
      <c r="A356" s="198">
        <f t="shared" si="39"/>
        <v>3</v>
      </c>
      <c r="B356" s="192" t="s">
        <v>491</v>
      </c>
      <c r="C356" s="188" t="s">
        <v>100</v>
      </c>
      <c r="D356" s="199" t="str">
        <f t="shared" si="41"/>
        <v>Agent31</v>
      </c>
      <c r="E356" s="200" t="s">
        <v>396</v>
      </c>
      <c r="F356" s="200" t="s">
        <v>408</v>
      </c>
      <c r="G356" s="201" t="str">
        <f>VLOOKUP(E356,'2.ポータル'!$A:$F,6,FALSE)</f>
        <v>P308:どらドラパーク米子案内図</v>
      </c>
      <c r="H356" s="201" t="str">
        <f>VLOOKUP(F356,'2.ポータル'!$A:$F,6,FALSE)</f>
        <v>P314:勝田東会館</v>
      </c>
      <c r="I356" s="193"/>
      <c r="J356" s="202" t="e">
        <f t="shared" ca="1" si="40"/>
        <v>#NAME?</v>
      </c>
      <c r="K356" s="203" t="e">
        <f ca="1">VLOOKUP(F356,'2.ポータル'!$A:$G,7,FALSE)</f>
        <v>#NAME?</v>
      </c>
      <c r="N356" s="184"/>
      <c r="O356" s="185"/>
      <c r="P356" s="185"/>
      <c r="Q356" s="193"/>
    </row>
    <row r="357" spans="1:17" ht="17.5">
      <c r="A357" s="198">
        <f t="shared" si="39"/>
        <v>4</v>
      </c>
      <c r="B357" s="192" t="s">
        <v>491</v>
      </c>
      <c r="C357" s="188" t="s">
        <v>100</v>
      </c>
      <c r="D357" s="199" t="str">
        <f t="shared" si="41"/>
        <v>Agent31</v>
      </c>
      <c r="E357" s="200" t="s">
        <v>400</v>
      </c>
      <c r="F357" s="200" t="s">
        <v>396</v>
      </c>
      <c r="G357" s="201" t="str">
        <f>VLOOKUP(E357,'2.ポータル'!$A:$F,6,FALSE)</f>
        <v>P310:風</v>
      </c>
      <c r="H357" s="201" t="str">
        <f>VLOOKUP(F357,'2.ポータル'!$A:$F,6,FALSE)</f>
        <v>P308:どらドラパーク米子案内図</v>
      </c>
      <c r="I357" s="193"/>
      <c r="J357" s="202" t="e">
        <f t="shared" ca="1" si="40"/>
        <v>#NAME?</v>
      </c>
      <c r="K357" s="203" t="e">
        <f ca="1">VLOOKUP(F357,'2.ポータル'!$A:$G,7,FALSE)</f>
        <v>#NAME?</v>
      </c>
      <c r="N357" s="184"/>
      <c r="O357" s="185"/>
      <c r="P357" s="185"/>
      <c r="Q357" s="193"/>
    </row>
    <row r="358" spans="1:17" ht="17.5">
      <c r="A358" s="198">
        <f t="shared" si="39"/>
        <v>5</v>
      </c>
      <c r="B358" s="192" t="s">
        <v>491</v>
      </c>
      <c r="C358" s="188" t="s">
        <v>100</v>
      </c>
      <c r="D358" s="199" t="str">
        <f t="shared" si="41"/>
        <v>Agent31</v>
      </c>
      <c r="E358" s="200" t="s">
        <v>400</v>
      </c>
      <c r="F358" s="200" t="s">
        <v>408</v>
      </c>
      <c r="G358" s="201" t="str">
        <f>VLOOKUP(E358,'2.ポータル'!$A:$F,6,FALSE)</f>
        <v>P310:風</v>
      </c>
      <c r="H358" s="201" t="str">
        <f>VLOOKUP(F358,'2.ポータル'!$A:$F,6,FALSE)</f>
        <v>P314:勝田東会館</v>
      </c>
      <c r="I358" s="193"/>
      <c r="J358" s="202" t="e">
        <f t="shared" ca="1" si="40"/>
        <v>#NAME?</v>
      </c>
      <c r="K358" s="203" t="e">
        <f ca="1">VLOOKUP(F358,'2.ポータル'!$A:$G,7,FALSE)</f>
        <v>#NAME?</v>
      </c>
      <c r="M358" s="184"/>
      <c r="N358" s="184"/>
      <c r="O358" s="185"/>
      <c r="P358" s="185"/>
      <c r="Q358" s="193"/>
    </row>
    <row r="359" spans="1:17" ht="17.5">
      <c r="A359" s="198">
        <f t="shared" si="39"/>
        <v>6</v>
      </c>
      <c r="B359" s="192" t="s">
        <v>491</v>
      </c>
      <c r="C359" s="188" t="s">
        <v>100</v>
      </c>
      <c r="D359" s="199" t="str">
        <f t="shared" si="41"/>
        <v>Agent31</v>
      </c>
      <c r="E359" s="200" t="s">
        <v>402</v>
      </c>
      <c r="F359" s="200" t="s">
        <v>400</v>
      </c>
      <c r="G359" s="201" t="str">
        <f>VLOOKUP(E359,'2.ポータル'!$A:$F,6,FALSE)</f>
        <v>P311:彫刻作品「つまみぐい」</v>
      </c>
      <c r="H359" s="201" t="str">
        <f>VLOOKUP(F359,'2.ポータル'!$A:$F,6,FALSE)</f>
        <v>P310:風</v>
      </c>
      <c r="I359" s="193"/>
      <c r="J359" s="202" t="e">
        <f t="shared" ca="1" si="40"/>
        <v>#NAME?</v>
      </c>
      <c r="K359" s="203" t="e">
        <f ca="1">VLOOKUP(F359,'2.ポータル'!$A:$G,7,FALSE)</f>
        <v>#NAME?</v>
      </c>
      <c r="M359" s="184"/>
      <c r="N359" s="184"/>
      <c r="O359" s="185"/>
      <c r="P359" s="185"/>
      <c r="Q359" s="193"/>
    </row>
    <row r="360" spans="1:17" ht="17.5">
      <c r="A360" s="198">
        <f t="shared" si="39"/>
        <v>7</v>
      </c>
      <c r="B360" s="192" t="s">
        <v>491</v>
      </c>
      <c r="C360" s="188" t="s">
        <v>100</v>
      </c>
      <c r="D360" s="199" t="str">
        <f t="shared" si="41"/>
        <v>Agent31</v>
      </c>
      <c r="E360" s="200" t="s">
        <v>394</v>
      </c>
      <c r="F360" s="200" t="s">
        <v>396</v>
      </c>
      <c r="G360" s="201" t="str">
        <f>VLOOKUP(E360,'2.ポータル'!$A:$F,6,FALSE)</f>
        <v>P307:NPB 未来の侍プロジェクト</v>
      </c>
      <c r="H360" s="201" t="str">
        <f>VLOOKUP(F360,'2.ポータル'!$A:$F,6,FALSE)</f>
        <v>P308:どらドラパーク米子案内図</v>
      </c>
      <c r="I360" s="193"/>
      <c r="J360" s="202" t="e">
        <f t="shared" ca="1" si="40"/>
        <v>#NAME?</v>
      </c>
      <c r="K360" s="203" t="e">
        <f ca="1">VLOOKUP(F360,'2.ポータル'!$A:$G,7,FALSE)</f>
        <v>#NAME?</v>
      </c>
      <c r="M360" s="184"/>
      <c r="N360" s="185"/>
      <c r="O360" s="185"/>
      <c r="P360" s="185"/>
      <c r="Q360" s="193"/>
    </row>
    <row r="361" spans="1:17" ht="17.5">
      <c r="A361" s="198">
        <f t="shared" si="39"/>
        <v>8</v>
      </c>
      <c r="B361" s="192" t="s">
        <v>491</v>
      </c>
      <c r="C361" s="188" t="s">
        <v>100</v>
      </c>
      <c r="D361" s="199" t="str">
        <f t="shared" si="41"/>
        <v>Agent31</v>
      </c>
      <c r="E361" s="200" t="s">
        <v>394</v>
      </c>
      <c r="F361" s="200" t="s">
        <v>400</v>
      </c>
      <c r="G361" s="201" t="str">
        <f>VLOOKUP(E361,'2.ポータル'!$A:$F,6,FALSE)</f>
        <v>P307:NPB 未来の侍プロジェクト</v>
      </c>
      <c r="H361" s="201" t="str">
        <f>VLOOKUP(F361,'2.ポータル'!$A:$F,6,FALSE)</f>
        <v>P310:風</v>
      </c>
      <c r="I361" s="193"/>
      <c r="J361" s="202" t="e">
        <f t="shared" ca="1" si="40"/>
        <v>#NAME?</v>
      </c>
      <c r="K361" s="203" t="e">
        <f ca="1">VLOOKUP(F361,'2.ポータル'!$A:$G,7,FALSE)</f>
        <v>#NAME?</v>
      </c>
      <c r="M361" s="184"/>
      <c r="N361" s="185"/>
      <c r="O361" s="185"/>
      <c r="P361" s="185"/>
      <c r="Q361" s="193"/>
    </row>
    <row r="362" spans="1:17" ht="17.5">
      <c r="A362" s="198">
        <f t="shared" si="39"/>
        <v>9</v>
      </c>
      <c r="B362" s="192" t="s">
        <v>491</v>
      </c>
      <c r="C362" s="188" t="s">
        <v>100</v>
      </c>
      <c r="D362" s="199" t="str">
        <f t="shared" si="41"/>
        <v>Agent31</v>
      </c>
      <c r="E362" s="200" t="s">
        <v>394</v>
      </c>
      <c r="F362" s="200" t="s">
        <v>402</v>
      </c>
      <c r="G362" s="201" t="str">
        <f>VLOOKUP(E362,'2.ポータル'!$A:$F,6,FALSE)</f>
        <v>P307:NPB 未来の侍プロジェクト</v>
      </c>
      <c r="H362" s="201" t="str">
        <f>VLOOKUP(F362,'2.ポータル'!$A:$F,6,FALSE)</f>
        <v>P311:彫刻作品「つまみぐい」</v>
      </c>
      <c r="I362" s="193"/>
      <c r="J362" s="202" t="e">
        <f t="shared" ca="1" si="40"/>
        <v>#NAME?</v>
      </c>
      <c r="K362" s="203" t="e">
        <f ca="1">VLOOKUP(F362,'2.ポータル'!$A:$G,7,FALSE)</f>
        <v>#NAME?</v>
      </c>
      <c r="M362" s="184"/>
      <c r="N362" s="185"/>
      <c r="O362" s="185"/>
      <c r="P362" s="185"/>
      <c r="Q362" s="193"/>
    </row>
    <row r="363" spans="1:17" ht="17.5">
      <c r="A363" s="198">
        <f t="shared" si="39"/>
        <v>10</v>
      </c>
      <c r="B363" s="192" t="s">
        <v>491</v>
      </c>
      <c r="C363" s="188" t="s">
        <v>100</v>
      </c>
      <c r="D363" s="199" t="str">
        <f t="shared" si="41"/>
        <v>Agent31</v>
      </c>
      <c r="E363" s="200" t="s">
        <v>394</v>
      </c>
      <c r="F363" s="200" t="s">
        <v>384</v>
      </c>
      <c r="G363" s="201" t="str">
        <f>VLOOKUP(E363,'2.ポータル'!$A:$F,6,FALSE)</f>
        <v>P307:NPB 未来の侍プロジェクト</v>
      </c>
      <c r="H363" s="201" t="str">
        <f>VLOOKUP(F363,'2.ポータル'!$A:$F,6,FALSE)</f>
        <v>P302:陽田山 経王寺</v>
      </c>
      <c r="I363" s="193"/>
      <c r="J363" s="202" t="e">
        <f t="shared" ca="1" si="40"/>
        <v>#NAME?</v>
      </c>
      <c r="K363" s="203" t="e">
        <f ca="1">VLOOKUP(F363,'2.ポータル'!$A:$G,7,FALSE)</f>
        <v>#NAME?</v>
      </c>
      <c r="M363" s="184"/>
      <c r="N363" s="185"/>
      <c r="O363" s="185"/>
      <c r="P363" s="185"/>
      <c r="Q363" s="193"/>
    </row>
    <row r="364" spans="1:17" ht="17.5">
      <c r="A364" s="198">
        <f t="shared" si="39"/>
        <v>11</v>
      </c>
      <c r="B364" s="192" t="s">
        <v>491</v>
      </c>
      <c r="C364" s="188" t="s">
        <v>100</v>
      </c>
      <c r="D364" s="199" t="str">
        <f t="shared" si="41"/>
        <v>Agent31</v>
      </c>
      <c r="E364" s="200" t="s">
        <v>392</v>
      </c>
      <c r="F364" s="200" t="s">
        <v>394</v>
      </c>
      <c r="G364" s="201" t="str">
        <f>VLOOKUP(E364,'2.ポータル'!$A:$F,6,FALSE)</f>
        <v>P306:どらドラパーク米子庭球場</v>
      </c>
      <c r="H364" s="201" t="str">
        <f>VLOOKUP(F364,'2.ポータル'!$A:$F,6,FALSE)</f>
        <v>P307:NPB 未来の侍プロジェクト</v>
      </c>
      <c r="I364" s="193"/>
      <c r="J364" s="202" t="e">
        <f t="shared" ca="1" si="40"/>
        <v>#NAME?</v>
      </c>
      <c r="K364" s="203" t="e">
        <f ca="1">VLOOKUP(F364,'2.ポータル'!$A:$G,7,FALSE)</f>
        <v>#NAME?</v>
      </c>
      <c r="M364" s="184"/>
      <c r="N364" s="185"/>
      <c r="O364" s="185"/>
      <c r="P364" s="185"/>
      <c r="Q364" s="193"/>
    </row>
    <row r="365" spans="1:17" ht="17.5">
      <c r="A365" s="198">
        <f t="shared" si="39"/>
        <v>12</v>
      </c>
      <c r="B365" s="192" t="s">
        <v>491</v>
      </c>
      <c r="C365" s="188" t="s">
        <v>100</v>
      </c>
      <c r="D365" s="199" t="str">
        <f t="shared" si="41"/>
        <v>Agent31</v>
      </c>
      <c r="E365" s="200" t="s">
        <v>392</v>
      </c>
      <c r="F365" s="200" t="s">
        <v>384</v>
      </c>
      <c r="G365" s="201" t="str">
        <f>VLOOKUP(E365,'2.ポータル'!$A:$F,6,FALSE)</f>
        <v>P306:どらドラパーク米子庭球場</v>
      </c>
      <c r="H365" s="201" t="str">
        <f>VLOOKUP(F365,'2.ポータル'!$A:$F,6,FALSE)</f>
        <v>P302:陽田山 経王寺</v>
      </c>
      <c r="I365" s="193"/>
      <c r="J365" s="202" t="e">
        <f t="shared" ca="1" si="40"/>
        <v>#NAME?</v>
      </c>
      <c r="K365" s="203" t="e">
        <f ca="1">VLOOKUP(F365,'2.ポータル'!$A:$G,7,FALSE)</f>
        <v>#NAME?</v>
      </c>
      <c r="M365" s="184"/>
      <c r="N365" s="185"/>
      <c r="O365" s="185"/>
      <c r="P365" s="185"/>
      <c r="Q365" s="193"/>
    </row>
    <row r="366" spans="1:17" ht="17.5">
      <c r="A366" s="198">
        <f t="shared" si="39"/>
        <v>13</v>
      </c>
      <c r="B366" s="192" t="s">
        <v>491</v>
      </c>
      <c r="C366" s="188" t="s">
        <v>100</v>
      </c>
      <c r="D366" s="199" t="str">
        <f t="shared" si="41"/>
        <v>Agent31</v>
      </c>
      <c r="E366" s="200" t="s">
        <v>392</v>
      </c>
      <c r="F366" s="200" t="s">
        <v>402</v>
      </c>
      <c r="G366" s="201" t="str">
        <f>VLOOKUP(E366,'2.ポータル'!$A:$F,6,FALSE)</f>
        <v>P306:どらドラパーク米子庭球場</v>
      </c>
      <c r="H366" s="201" t="str">
        <f>VLOOKUP(F366,'2.ポータル'!$A:$F,6,FALSE)</f>
        <v>P311:彫刻作品「つまみぐい」</v>
      </c>
      <c r="I366" s="193"/>
      <c r="J366" s="202" t="e">
        <f t="shared" ca="1" si="40"/>
        <v>#NAME?</v>
      </c>
      <c r="K366" s="203" t="e">
        <f ca="1">VLOOKUP(F366,'2.ポータル'!$A:$G,7,FALSE)</f>
        <v>#NAME?</v>
      </c>
      <c r="M366" s="184"/>
      <c r="N366" s="185"/>
      <c r="O366" s="185"/>
      <c r="P366" s="185"/>
      <c r="Q366" s="193"/>
    </row>
    <row r="367" spans="1:17" ht="17.5">
      <c r="A367" s="205"/>
      <c r="B367" s="206" t="s">
        <v>451</v>
      </c>
      <c r="C367" s="207"/>
      <c r="D367" s="208"/>
      <c r="E367" s="209"/>
      <c r="F367" s="209"/>
      <c r="G367" s="210"/>
      <c r="H367" s="210"/>
      <c r="I367" s="209"/>
      <c r="J367" s="211"/>
      <c r="K367" s="210"/>
      <c r="L367" s="193"/>
      <c r="N367" s="193"/>
      <c r="O367" s="193"/>
      <c r="P367" s="193"/>
      <c r="Q367" s="193"/>
    </row>
    <row r="368" spans="1:17" ht="17.5">
      <c r="A368" s="198"/>
      <c r="B368" s="192"/>
      <c r="C368" s="188"/>
      <c r="D368" s="214"/>
      <c r="E368" s="193"/>
      <c r="F368" s="193"/>
      <c r="G368" s="214"/>
      <c r="H368" s="214"/>
      <c r="I368" s="193"/>
      <c r="J368" s="220"/>
      <c r="K368" s="214"/>
      <c r="L368" s="193"/>
      <c r="M368" s="193"/>
      <c r="N368" s="193"/>
      <c r="O368" s="193"/>
      <c r="P368" s="193"/>
      <c r="Q368" s="193"/>
    </row>
    <row r="369" spans="1:17" ht="28.5">
      <c r="A369" s="188"/>
      <c r="B369" s="189" t="s">
        <v>492</v>
      </c>
      <c r="C369" s="188"/>
      <c r="D369" s="190"/>
      <c r="E369" s="185"/>
      <c r="F369" s="185"/>
      <c r="G369" s="191" t="s">
        <v>480</v>
      </c>
      <c r="H369" s="192" t="s">
        <v>481</v>
      </c>
      <c r="I369" s="193"/>
      <c r="J369" s="194"/>
      <c r="K369" s="192"/>
      <c r="L369" s="183"/>
      <c r="N369" s="185"/>
      <c r="O369" s="185"/>
      <c r="P369" s="185"/>
      <c r="Q369" s="185"/>
    </row>
    <row r="370" spans="1:17" ht="17.5">
      <c r="A370" s="177"/>
      <c r="B370" s="178" t="s">
        <v>437</v>
      </c>
      <c r="C370" s="177" t="s">
        <v>91</v>
      </c>
      <c r="D370" s="178" t="s">
        <v>438</v>
      </c>
      <c r="E370" s="179" t="s">
        <v>439</v>
      </c>
      <c r="F370" s="179" t="s">
        <v>440</v>
      </c>
      <c r="G370" s="178" t="s">
        <v>441</v>
      </c>
      <c r="H370" s="180" t="s">
        <v>442</v>
      </c>
      <c r="I370" s="181" t="s">
        <v>443</v>
      </c>
      <c r="J370" s="182"/>
      <c r="K370" s="178" t="s">
        <v>444</v>
      </c>
      <c r="L370" s="183"/>
      <c r="N370" s="184"/>
      <c r="O370" s="185"/>
      <c r="P370" s="185"/>
      <c r="Q370" s="185"/>
    </row>
    <row r="371" spans="1:17" ht="17.5">
      <c r="A371" s="195"/>
      <c r="B371" s="195" t="s">
        <v>449</v>
      </c>
      <c r="C371" s="195"/>
      <c r="D371" s="195"/>
      <c r="E371" s="195"/>
      <c r="F371" s="195"/>
      <c r="G371" s="195"/>
      <c r="H371" s="196"/>
      <c r="I371" s="196"/>
      <c r="J371" s="197"/>
      <c r="K371" s="195"/>
      <c r="N371" s="184"/>
      <c r="O371" s="185"/>
      <c r="P371" s="185"/>
      <c r="Q371" s="193"/>
    </row>
    <row r="372" spans="1:17" ht="17.5">
      <c r="A372" s="198">
        <f t="shared" ref="A372:A392" si="42">A371+1</f>
        <v>1</v>
      </c>
      <c r="B372" s="192" t="s">
        <v>491</v>
      </c>
      <c r="C372" s="188" t="s">
        <v>100</v>
      </c>
      <c r="D372" s="199" t="str">
        <f>B369</f>
        <v>Agent32</v>
      </c>
      <c r="E372" s="200" t="s">
        <v>418</v>
      </c>
      <c r="F372" s="200" t="s">
        <v>433</v>
      </c>
      <c r="G372" s="201" t="str">
        <f>VLOOKUP(E372,'2.ポータル'!$A:$F,6,FALSE)</f>
        <v>P319:米子中島簡易郵便局</v>
      </c>
      <c r="H372" s="201" t="str">
        <f>VLOOKUP(F372,'2.ポータル'!$A:$F,6,FALSE)</f>
        <v>ポータルをキャプチャします</v>
      </c>
      <c r="I372" s="193"/>
      <c r="J372" s="202" t="str">
        <f t="shared" ref="J372:J392" si="43">IF(F372="X99"," ", IF(D372=K372,"","★"))</f>
        <v xml:space="preserve"> </v>
      </c>
      <c r="K372" s="203">
        <f>VLOOKUP(F372,'2.ポータル'!$A:$G,7,FALSE)</f>
        <v>0</v>
      </c>
      <c r="N372" s="184"/>
      <c r="O372" s="185"/>
      <c r="P372" s="185"/>
      <c r="Q372" s="193"/>
    </row>
    <row r="373" spans="1:17" ht="17.5">
      <c r="A373" s="198">
        <f t="shared" si="42"/>
        <v>2</v>
      </c>
      <c r="B373" s="192" t="s">
        <v>491</v>
      </c>
      <c r="C373" s="188" t="s">
        <v>100</v>
      </c>
      <c r="D373" s="199" t="str">
        <f t="shared" ref="D373:D377" si="44">D372</f>
        <v>Agent32</v>
      </c>
      <c r="E373" s="200" t="s">
        <v>416</v>
      </c>
      <c r="F373" s="200" t="s">
        <v>418</v>
      </c>
      <c r="G373" s="201" t="str">
        <f>VLOOKUP(E373,'2.ポータル'!$A:$F,6,FALSE)</f>
        <v>P318:米川案内板</v>
      </c>
      <c r="H373" s="201" t="str">
        <f>VLOOKUP(F373,'2.ポータル'!$A:$F,6,FALSE)</f>
        <v>P319:米子中島簡易郵便局</v>
      </c>
      <c r="I373" s="193"/>
      <c r="J373" s="202" t="e">
        <f t="shared" ca="1" si="43"/>
        <v>#NAME?</v>
      </c>
      <c r="K373" s="203" t="e">
        <f ca="1">VLOOKUP(F373,'2.ポータル'!$A:$G,7,FALSE)</f>
        <v>#NAME?</v>
      </c>
      <c r="N373" s="184"/>
      <c r="O373" s="185"/>
      <c r="P373" s="185"/>
      <c r="Q373" s="193"/>
    </row>
    <row r="374" spans="1:17" ht="17.5">
      <c r="A374" s="198">
        <f t="shared" si="42"/>
        <v>3</v>
      </c>
      <c r="B374" s="192" t="s">
        <v>491</v>
      </c>
      <c r="C374" s="188" t="s">
        <v>100</v>
      </c>
      <c r="D374" s="199" t="str">
        <f t="shared" si="44"/>
        <v>Agent32</v>
      </c>
      <c r="E374" s="200" t="s">
        <v>414</v>
      </c>
      <c r="F374" s="200" t="s">
        <v>416</v>
      </c>
      <c r="G374" s="201" t="str">
        <f>VLOOKUP(E374,'2.ポータル'!$A:$F,6,FALSE)</f>
        <v>P317:桜27本の碑</v>
      </c>
      <c r="H374" s="201" t="str">
        <f>VLOOKUP(F374,'2.ポータル'!$A:$F,6,FALSE)</f>
        <v>P318:米川案内板</v>
      </c>
      <c r="I374" s="193"/>
      <c r="J374" s="202" t="e">
        <f t="shared" ca="1" si="43"/>
        <v>#NAME?</v>
      </c>
      <c r="K374" s="203" t="e">
        <f ca="1">VLOOKUP(F374,'2.ポータル'!$A:$G,7,FALSE)</f>
        <v>#NAME?</v>
      </c>
      <c r="N374" s="184"/>
      <c r="O374" s="185"/>
      <c r="P374" s="185"/>
      <c r="Q374" s="193"/>
    </row>
    <row r="375" spans="1:17" ht="17.5">
      <c r="A375" s="198">
        <f t="shared" si="42"/>
        <v>4</v>
      </c>
      <c r="B375" s="192" t="s">
        <v>491</v>
      </c>
      <c r="C375" s="188" t="s">
        <v>100</v>
      </c>
      <c r="D375" s="199" t="str">
        <f t="shared" si="44"/>
        <v>Agent32</v>
      </c>
      <c r="E375" s="200" t="s">
        <v>414</v>
      </c>
      <c r="F375" s="200" t="s">
        <v>418</v>
      </c>
      <c r="G375" s="201" t="str">
        <f>VLOOKUP(E375,'2.ポータル'!$A:$F,6,FALSE)</f>
        <v>P317:桜27本の碑</v>
      </c>
      <c r="H375" s="201" t="str">
        <f>VLOOKUP(F375,'2.ポータル'!$A:$F,6,FALSE)</f>
        <v>P319:米子中島簡易郵便局</v>
      </c>
      <c r="I375" s="193"/>
      <c r="J375" s="202" t="e">
        <f t="shared" ca="1" si="43"/>
        <v>#NAME?</v>
      </c>
      <c r="K375" s="203" t="e">
        <f ca="1">VLOOKUP(F375,'2.ポータル'!$A:$G,7,FALSE)</f>
        <v>#NAME?</v>
      </c>
      <c r="N375" s="184"/>
      <c r="O375" s="185"/>
      <c r="P375" s="185"/>
      <c r="Q375" s="193"/>
    </row>
    <row r="376" spans="1:17" ht="17.5">
      <c r="A376" s="198">
        <f t="shared" si="42"/>
        <v>5</v>
      </c>
      <c r="B376" s="192" t="s">
        <v>491</v>
      </c>
      <c r="C376" s="188" t="s">
        <v>100</v>
      </c>
      <c r="D376" s="199" t="str">
        <f t="shared" si="44"/>
        <v>Agent32</v>
      </c>
      <c r="E376" s="200" t="s">
        <v>414</v>
      </c>
      <c r="F376" s="200" t="s">
        <v>388</v>
      </c>
      <c r="G376" s="201" t="str">
        <f>VLOOKUP(E376,'2.ポータル'!$A:$F,6,FALSE)</f>
        <v>P317:桜27本の碑</v>
      </c>
      <c r="H376" s="201" t="str">
        <f>VLOOKUP(F376,'2.ポータル'!$A:$F,6,FALSE)</f>
        <v>P304:犬の像</v>
      </c>
      <c r="I376" s="193"/>
      <c r="J376" s="202" t="e">
        <f t="shared" ca="1" si="43"/>
        <v>#NAME?</v>
      </c>
      <c r="K376" s="203" t="e">
        <f ca="1">VLOOKUP(F376,'2.ポータル'!$A:$G,7,FALSE)</f>
        <v>#NAME?</v>
      </c>
      <c r="M376" s="184"/>
      <c r="N376" s="184"/>
      <c r="O376" s="185"/>
      <c r="P376" s="185"/>
      <c r="Q376" s="193"/>
    </row>
    <row r="377" spans="1:17" ht="17.5">
      <c r="A377" s="198">
        <f t="shared" si="42"/>
        <v>6</v>
      </c>
      <c r="B377" s="192" t="s">
        <v>491</v>
      </c>
      <c r="C377" s="188" t="s">
        <v>100</v>
      </c>
      <c r="D377" s="199" t="str">
        <f t="shared" si="44"/>
        <v>Agent32</v>
      </c>
      <c r="E377" s="200" t="s">
        <v>414</v>
      </c>
      <c r="F377" s="200" t="s">
        <v>390</v>
      </c>
      <c r="G377" s="201" t="str">
        <f>VLOOKUP(E377,'2.ポータル'!$A:$F,6,FALSE)</f>
        <v>P317:桜27本の碑</v>
      </c>
      <c r="H377" s="201" t="str">
        <f>VLOOKUP(F377,'2.ポータル'!$A:$F,6,FALSE)</f>
        <v>P305:イルカ</v>
      </c>
      <c r="I377" s="193"/>
      <c r="J377" s="202" t="e">
        <f t="shared" ca="1" si="43"/>
        <v>#NAME?</v>
      </c>
      <c r="K377" s="203" t="e">
        <f ca="1">VLOOKUP(F377,'2.ポータル'!$A:$G,7,FALSE)</f>
        <v>#NAME?</v>
      </c>
      <c r="M377" s="184"/>
      <c r="N377" s="184"/>
      <c r="O377" s="185"/>
      <c r="P377" s="185"/>
      <c r="Q377" s="193"/>
    </row>
    <row r="378" spans="1:17" ht="17.5">
      <c r="A378" s="198">
        <f t="shared" si="42"/>
        <v>7</v>
      </c>
      <c r="B378" s="192" t="s">
        <v>491</v>
      </c>
      <c r="C378" s="188" t="s">
        <v>100</v>
      </c>
      <c r="D378" s="199" t="str">
        <f>D375</f>
        <v>Agent32</v>
      </c>
      <c r="E378" s="200" t="s">
        <v>410</v>
      </c>
      <c r="F378" s="200" t="s">
        <v>433</v>
      </c>
      <c r="G378" s="201" t="str">
        <f>VLOOKUP(E378,'2.ポータル'!$A:$F,6,FALSE)</f>
        <v>P315:コンクリートすべり台</v>
      </c>
      <c r="H378" s="201" t="str">
        <f>VLOOKUP(F378,'2.ポータル'!$A:$F,6,FALSE)</f>
        <v>ポータルをキャプチャします</v>
      </c>
      <c r="I378" s="193"/>
      <c r="J378" s="202" t="str">
        <f t="shared" si="43"/>
        <v xml:space="preserve"> </v>
      </c>
      <c r="K378" s="203">
        <f>VLOOKUP(F378,'2.ポータル'!$A:$G,7,FALSE)</f>
        <v>0</v>
      </c>
      <c r="M378" s="184"/>
      <c r="N378" s="184"/>
      <c r="O378" s="185"/>
      <c r="P378" s="185"/>
      <c r="Q378" s="193"/>
    </row>
    <row r="379" spans="1:17" ht="17.5">
      <c r="A379" s="198">
        <f t="shared" si="42"/>
        <v>8</v>
      </c>
      <c r="B379" s="192" t="s">
        <v>491</v>
      </c>
      <c r="C379" s="188" t="s">
        <v>100</v>
      </c>
      <c r="D379" s="199" t="str">
        <f t="shared" ref="D379:D391" si="45">D378</f>
        <v>Agent32</v>
      </c>
      <c r="E379" s="200" t="s">
        <v>408</v>
      </c>
      <c r="F379" s="200" t="s">
        <v>433</v>
      </c>
      <c r="G379" s="201" t="str">
        <f>VLOOKUP(E379,'2.ポータル'!$A:$F,6,FALSE)</f>
        <v>P314:勝田東会館</v>
      </c>
      <c r="H379" s="201" t="str">
        <f>VLOOKUP(F379,'2.ポータル'!$A:$F,6,FALSE)</f>
        <v>ポータルをキャプチャします</v>
      </c>
      <c r="I379" s="193"/>
      <c r="J379" s="202" t="str">
        <f t="shared" si="43"/>
        <v xml:space="preserve"> </v>
      </c>
      <c r="K379" s="203">
        <f>VLOOKUP(F379,'2.ポータル'!$A:$G,7,FALSE)</f>
        <v>0</v>
      </c>
      <c r="M379" s="184"/>
      <c r="N379" s="184"/>
      <c r="O379" s="185"/>
      <c r="P379" s="185"/>
      <c r="Q379" s="193"/>
    </row>
    <row r="380" spans="1:17" ht="17.5">
      <c r="A380" s="198">
        <f t="shared" si="42"/>
        <v>9</v>
      </c>
      <c r="B380" s="192" t="s">
        <v>491</v>
      </c>
      <c r="C380" s="188" t="s">
        <v>100</v>
      </c>
      <c r="D380" s="199" t="str">
        <f t="shared" si="45"/>
        <v>Agent32</v>
      </c>
      <c r="E380" s="200" t="s">
        <v>412</v>
      </c>
      <c r="F380" s="200" t="s">
        <v>410</v>
      </c>
      <c r="G380" s="201" t="str">
        <f>VLOOKUP(E380,'2.ポータル'!$A:$F,6,FALSE)</f>
        <v>P316:住之江公園</v>
      </c>
      <c r="H380" s="201" t="str">
        <f>VLOOKUP(F380,'2.ポータル'!$A:$F,6,FALSE)</f>
        <v>P315:コンクリートすべり台</v>
      </c>
      <c r="I380" s="193"/>
      <c r="J380" s="202" t="e">
        <f t="shared" ca="1" si="43"/>
        <v>#NAME?</v>
      </c>
      <c r="K380" s="203" t="e">
        <f ca="1">VLOOKUP(F380,'2.ポータル'!$A:$G,7,FALSE)</f>
        <v>#NAME?</v>
      </c>
      <c r="M380" s="184"/>
      <c r="N380" s="185"/>
      <c r="O380" s="185"/>
      <c r="P380" s="185"/>
      <c r="Q380" s="193"/>
    </row>
    <row r="381" spans="1:17" ht="17.5">
      <c r="A381" s="198">
        <f t="shared" si="42"/>
        <v>10</v>
      </c>
      <c r="B381" s="192" t="s">
        <v>491</v>
      </c>
      <c r="C381" s="188" t="s">
        <v>100</v>
      </c>
      <c r="D381" s="199" t="str">
        <f t="shared" si="45"/>
        <v>Agent32</v>
      </c>
      <c r="E381" s="200" t="s">
        <v>406</v>
      </c>
      <c r="F381" s="200" t="s">
        <v>410</v>
      </c>
      <c r="G381" s="201" t="str">
        <f>VLOOKUP(E381,'2.ポータル'!$A:$F,6,FALSE)</f>
        <v>P313:車尾の題目塔</v>
      </c>
      <c r="H381" s="201" t="str">
        <f>VLOOKUP(F381,'2.ポータル'!$A:$F,6,FALSE)</f>
        <v>P315:コンクリートすべり台</v>
      </c>
      <c r="I381" s="193"/>
      <c r="J381" s="202" t="e">
        <f t="shared" ca="1" si="43"/>
        <v>#NAME?</v>
      </c>
      <c r="K381" s="203" t="e">
        <f ca="1">VLOOKUP(F381,'2.ポータル'!$A:$G,7,FALSE)</f>
        <v>#NAME?</v>
      </c>
      <c r="M381" s="184"/>
      <c r="N381" s="185"/>
      <c r="O381" s="185"/>
      <c r="P381" s="185"/>
      <c r="Q381" s="193"/>
    </row>
    <row r="382" spans="1:17" ht="17.5">
      <c r="A382" s="198">
        <f t="shared" si="42"/>
        <v>11</v>
      </c>
      <c r="B382" s="192" t="s">
        <v>491</v>
      </c>
      <c r="C382" s="188" t="s">
        <v>100</v>
      </c>
      <c r="D382" s="199" t="str">
        <f t="shared" si="45"/>
        <v>Agent32</v>
      </c>
      <c r="E382" s="200" t="s">
        <v>406</v>
      </c>
      <c r="F382" s="200" t="s">
        <v>412</v>
      </c>
      <c r="G382" s="201" t="str">
        <f>VLOOKUP(E382,'2.ポータル'!$A:$F,6,FALSE)</f>
        <v>P313:車尾の題目塔</v>
      </c>
      <c r="H382" s="201" t="str">
        <f>VLOOKUP(F382,'2.ポータル'!$A:$F,6,FALSE)</f>
        <v>P316:住之江公園</v>
      </c>
      <c r="I382" s="193"/>
      <c r="J382" s="202" t="e">
        <f t="shared" ca="1" si="43"/>
        <v>#NAME?</v>
      </c>
      <c r="K382" s="203" t="e">
        <f ca="1">VLOOKUP(F382,'2.ポータル'!$A:$G,7,FALSE)</f>
        <v>#NAME?</v>
      </c>
      <c r="M382" s="184"/>
      <c r="N382" s="185"/>
      <c r="O382" s="185"/>
      <c r="P382" s="185"/>
      <c r="Q382" s="193"/>
    </row>
    <row r="383" spans="1:17" ht="17.5">
      <c r="A383" s="198">
        <f t="shared" si="42"/>
        <v>12</v>
      </c>
      <c r="B383" s="192" t="s">
        <v>491</v>
      </c>
      <c r="C383" s="188" t="s">
        <v>100</v>
      </c>
      <c r="D383" s="199" t="str">
        <f t="shared" si="45"/>
        <v>Agent32</v>
      </c>
      <c r="E383" s="200" t="s">
        <v>404</v>
      </c>
      <c r="F383" s="200" t="s">
        <v>418</v>
      </c>
      <c r="G383" s="201" t="str">
        <f>VLOOKUP(E383,'2.ポータル'!$A:$F,6,FALSE)</f>
        <v>P312:ＪＲ 東山公園駅</v>
      </c>
      <c r="H383" s="201" t="str">
        <f>VLOOKUP(F383,'2.ポータル'!$A:$F,6,FALSE)</f>
        <v>P319:米子中島簡易郵便局</v>
      </c>
      <c r="I383" s="193"/>
      <c r="J383" s="202" t="e">
        <f t="shared" ca="1" si="43"/>
        <v>#NAME?</v>
      </c>
      <c r="K383" s="203" t="e">
        <f ca="1">VLOOKUP(F383,'2.ポータル'!$A:$G,7,FALSE)</f>
        <v>#NAME?</v>
      </c>
      <c r="M383" s="184"/>
      <c r="N383" s="185"/>
      <c r="O383" s="185"/>
      <c r="P383" s="185"/>
      <c r="Q383" s="193"/>
    </row>
    <row r="384" spans="1:17" ht="17.5">
      <c r="A384" s="198">
        <f t="shared" si="42"/>
        <v>13</v>
      </c>
      <c r="B384" s="192" t="s">
        <v>491</v>
      </c>
      <c r="C384" s="188" t="s">
        <v>100</v>
      </c>
      <c r="D384" s="199" t="str">
        <f t="shared" si="45"/>
        <v>Agent32</v>
      </c>
      <c r="E384" s="200" t="s">
        <v>398</v>
      </c>
      <c r="F384" s="200" t="s">
        <v>404</v>
      </c>
      <c r="G384" s="201" t="str">
        <f>VLOOKUP(E384,'2.ポータル'!$A:$F,6,FALSE)</f>
        <v>P309:どらドラパーク米子 案内図</v>
      </c>
      <c r="H384" s="201" t="str">
        <f>VLOOKUP(F384,'2.ポータル'!$A:$F,6,FALSE)</f>
        <v>P312:ＪＲ 東山公園駅</v>
      </c>
      <c r="I384" s="193"/>
      <c r="J384" s="202" t="e">
        <f t="shared" ca="1" si="43"/>
        <v>#NAME?</v>
      </c>
      <c r="K384" s="203" t="e">
        <f ca="1">VLOOKUP(F384,'2.ポータル'!$A:$G,7,FALSE)</f>
        <v>#NAME?</v>
      </c>
      <c r="M384" s="184"/>
      <c r="N384" s="185"/>
      <c r="O384" s="185"/>
      <c r="P384" s="185"/>
      <c r="Q384" s="193"/>
    </row>
    <row r="385" spans="1:17" ht="17.5">
      <c r="A385" s="198">
        <f t="shared" si="42"/>
        <v>14</v>
      </c>
      <c r="B385" s="192" t="s">
        <v>491</v>
      </c>
      <c r="C385" s="188" t="s">
        <v>100</v>
      </c>
      <c r="D385" s="199" t="str">
        <f t="shared" si="45"/>
        <v>Agent32</v>
      </c>
      <c r="E385" s="200" t="s">
        <v>398</v>
      </c>
      <c r="F385" s="200" t="s">
        <v>418</v>
      </c>
      <c r="G385" s="201" t="str">
        <f>VLOOKUP(E385,'2.ポータル'!$A:$F,6,FALSE)</f>
        <v>P309:どらドラパーク米子 案内図</v>
      </c>
      <c r="H385" s="201" t="str">
        <f>VLOOKUP(F385,'2.ポータル'!$A:$F,6,FALSE)</f>
        <v>P319:米子中島簡易郵便局</v>
      </c>
      <c r="I385" s="193"/>
      <c r="J385" s="202" t="e">
        <f t="shared" ca="1" si="43"/>
        <v>#NAME?</v>
      </c>
      <c r="K385" s="203" t="e">
        <f ca="1">VLOOKUP(F385,'2.ポータル'!$A:$G,7,FALSE)</f>
        <v>#NAME?</v>
      </c>
      <c r="M385" s="184"/>
      <c r="N385" s="185"/>
      <c r="O385" s="185"/>
      <c r="P385" s="185"/>
      <c r="Q385" s="193"/>
    </row>
    <row r="386" spans="1:17" ht="17.5">
      <c r="A386" s="198">
        <f t="shared" si="42"/>
        <v>15</v>
      </c>
      <c r="B386" s="192" t="s">
        <v>491</v>
      </c>
      <c r="C386" s="188" t="s">
        <v>100</v>
      </c>
      <c r="D386" s="199" t="str">
        <f t="shared" si="45"/>
        <v>Agent32</v>
      </c>
      <c r="E386" s="200" t="s">
        <v>382</v>
      </c>
      <c r="F386" s="200" t="s">
        <v>398</v>
      </c>
      <c r="G386" s="201" t="str">
        <f>VLOOKUP(E386,'2.ポータル'!$A:$F,6,FALSE)</f>
        <v>P301:天理教京伯分教会</v>
      </c>
      <c r="H386" s="201" t="str">
        <f>VLOOKUP(F386,'2.ポータル'!$A:$F,6,FALSE)</f>
        <v>P309:どらドラパーク米子 案内図</v>
      </c>
      <c r="I386" s="193"/>
      <c r="J386" s="202" t="e">
        <f t="shared" ca="1" si="43"/>
        <v>#NAME?</v>
      </c>
      <c r="K386" s="203" t="e">
        <f ca="1">VLOOKUP(F386,'2.ポータル'!$A:$G,7,FALSE)</f>
        <v>#NAME?</v>
      </c>
      <c r="M386" s="184"/>
      <c r="N386" s="185"/>
      <c r="O386" s="185"/>
      <c r="P386" s="185"/>
      <c r="Q386" s="193"/>
    </row>
    <row r="387" spans="1:17" ht="17.5">
      <c r="A387" s="198">
        <f t="shared" si="42"/>
        <v>16</v>
      </c>
      <c r="B387" s="192" t="s">
        <v>491</v>
      </c>
      <c r="C387" s="188" t="s">
        <v>100</v>
      </c>
      <c r="D387" s="199" t="str">
        <f t="shared" si="45"/>
        <v>Agent32</v>
      </c>
      <c r="E387" s="200" t="s">
        <v>382</v>
      </c>
      <c r="F387" s="200" t="s">
        <v>404</v>
      </c>
      <c r="G387" s="201" t="str">
        <f>VLOOKUP(E387,'2.ポータル'!$A:$F,6,FALSE)</f>
        <v>P301:天理教京伯分教会</v>
      </c>
      <c r="H387" s="201" t="str">
        <f>VLOOKUP(F387,'2.ポータル'!$A:$F,6,FALSE)</f>
        <v>P312:ＪＲ 東山公園駅</v>
      </c>
      <c r="I387" s="193"/>
      <c r="J387" s="202" t="e">
        <f t="shared" ca="1" si="43"/>
        <v>#NAME?</v>
      </c>
      <c r="K387" s="203" t="e">
        <f ca="1">VLOOKUP(F387,'2.ポータル'!$A:$G,7,FALSE)</f>
        <v>#NAME?</v>
      </c>
      <c r="M387" s="184"/>
      <c r="N387" s="185"/>
      <c r="O387" s="185"/>
      <c r="P387" s="185"/>
      <c r="Q387" s="193"/>
    </row>
    <row r="388" spans="1:17" ht="17.5">
      <c r="A388" s="198">
        <f t="shared" si="42"/>
        <v>17</v>
      </c>
      <c r="B388" s="192" t="s">
        <v>491</v>
      </c>
      <c r="C388" s="188" t="s">
        <v>100</v>
      </c>
      <c r="D388" s="199" t="str">
        <f t="shared" si="45"/>
        <v>Agent32</v>
      </c>
      <c r="E388" s="200" t="s">
        <v>384</v>
      </c>
      <c r="F388" s="200" t="s">
        <v>382</v>
      </c>
      <c r="G388" s="201" t="str">
        <f>VLOOKUP(E388,'2.ポータル'!$A:$F,6,FALSE)</f>
        <v>P302:陽田山 経王寺</v>
      </c>
      <c r="H388" s="201" t="str">
        <f>VLOOKUP(F388,'2.ポータル'!$A:$F,6,FALSE)</f>
        <v>P301:天理教京伯分教会</v>
      </c>
      <c r="I388" s="193"/>
      <c r="J388" s="202" t="e">
        <f t="shared" ca="1" si="43"/>
        <v>#NAME?</v>
      </c>
      <c r="K388" s="203" t="e">
        <f ca="1">VLOOKUP(F388,'2.ポータル'!$A:$G,7,FALSE)</f>
        <v>#NAME?</v>
      </c>
      <c r="M388" s="184"/>
      <c r="N388" s="185"/>
      <c r="O388" s="185"/>
      <c r="P388" s="185"/>
      <c r="Q388" s="193"/>
    </row>
    <row r="389" spans="1:17" ht="17.5">
      <c r="A389" s="198">
        <f t="shared" si="42"/>
        <v>18</v>
      </c>
      <c r="B389" s="192" t="s">
        <v>491</v>
      </c>
      <c r="C389" s="188" t="s">
        <v>100</v>
      </c>
      <c r="D389" s="199" t="str">
        <f t="shared" si="45"/>
        <v>Agent32</v>
      </c>
      <c r="E389" s="200" t="s">
        <v>386</v>
      </c>
      <c r="F389" s="200" t="s">
        <v>384</v>
      </c>
      <c r="G389" s="201" t="str">
        <f>VLOOKUP(E389,'2.ポータル'!$A:$F,6,FALSE)</f>
        <v>P303:留魂碑</v>
      </c>
      <c r="H389" s="201" t="str">
        <f>VLOOKUP(F389,'2.ポータル'!$A:$F,6,FALSE)</f>
        <v>P302:陽田山 経王寺</v>
      </c>
      <c r="I389" s="193"/>
      <c r="J389" s="202" t="e">
        <f t="shared" ca="1" si="43"/>
        <v>#NAME?</v>
      </c>
      <c r="K389" s="203" t="e">
        <f ca="1">VLOOKUP(F389,'2.ポータル'!$A:$G,7,FALSE)</f>
        <v>#NAME?</v>
      </c>
      <c r="M389" s="184"/>
      <c r="N389" s="185"/>
      <c r="O389" s="185"/>
      <c r="P389" s="185"/>
      <c r="Q389" s="193"/>
    </row>
    <row r="390" spans="1:17" ht="17.5">
      <c r="A390" s="198">
        <f t="shared" si="42"/>
        <v>19</v>
      </c>
      <c r="B390" s="192" t="s">
        <v>491</v>
      </c>
      <c r="C390" s="188" t="s">
        <v>100</v>
      </c>
      <c r="D390" s="199" t="str">
        <f t="shared" si="45"/>
        <v>Agent32</v>
      </c>
      <c r="E390" s="200" t="s">
        <v>386</v>
      </c>
      <c r="F390" s="200" t="s">
        <v>382</v>
      </c>
      <c r="G390" s="201" t="str">
        <f>VLOOKUP(E390,'2.ポータル'!$A:$F,6,FALSE)</f>
        <v>P303:留魂碑</v>
      </c>
      <c r="H390" s="201" t="str">
        <f>VLOOKUP(F390,'2.ポータル'!$A:$F,6,FALSE)</f>
        <v>P301:天理教京伯分教会</v>
      </c>
      <c r="I390" s="193"/>
      <c r="J390" s="202" t="e">
        <f t="shared" ca="1" si="43"/>
        <v>#NAME?</v>
      </c>
      <c r="K390" s="203" t="e">
        <f ca="1">VLOOKUP(F390,'2.ポータル'!$A:$G,7,FALSE)</f>
        <v>#NAME?</v>
      </c>
      <c r="M390" s="184"/>
      <c r="N390" s="185"/>
      <c r="O390" s="185"/>
      <c r="P390" s="185"/>
      <c r="Q390" s="193"/>
    </row>
    <row r="391" spans="1:17" ht="17.5">
      <c r="A391" s="198">
        <f t="shared" si="42"/>
        <v>20</v>
      </c>
      <c r="B391" s="192" t="s">
        <v>491</v>
      </c>
      <c r="C391" s="188" t="s">
        <v>100</v>
      </c>
      <c r="D391" s="199" t="str">
        <f t="shared" si="45"/>
        <v>Agent32</v>
      </c>
      <c r="E391" s="200" t="s">
        <v>386</v>
      </c>
      <c r="F391" s="200" t="s">
        <v>388</v>
      </c>
      <c r="G391" s="201" t="str">
        <f>VLOOKUP(E391,'2.ポータル'!$A:$F,6,FALSE)</f>
        <v>P303:留魂碑</v>
      </c>
      <c r="H391" s="201" t="str">
        <f>VLOOKUP(F391,'2.ポータル'!$A:$F,6,FALSE)</f>
        <v>P304:犬の像</v>
      </c>
      <c r="I391" s="193"/>
      <c r="J391" s="202" t="e">
        <f t="shared" ca="1" si="43"/>
        <v>#NAME?</v>
      </c>
      <c r="K391" s="203" t="e">
        <f ca="1">VLOOKUP(F391,'2.ポータル'!$A:$G,7,FALSE)</f>
        <v>#NAME?</v>
      </c>
      <c r="M391" s="184"/>
      <c r="N391" s="185"/>
      <c r="O391" s="185"/>
      <c r="P391" s="185"/>
      <c r="Q391" s="193"/>
    </row>
    <row r="392" spans="1:17" ht="17.5">
      <c r="A392" s="198">
        <f t="shared" si="42"/>
        <v>21</v>
      </c>
      <c r="B392" s="192" t="s">
        <v>491</v>
      </c>
      <c r="C392" s="188" t="s">
        <v>100</v>
      </c>
      <c r="D392" s="199" t="str">
        <f>D381</f>
        <v>Agent32</v>
      </c>
      <c r="E392" s="200" t="s">
        <v>386</v>
      </c>
      <c r="F392" s="200" t="s">
        <v>390</v>
      </c>
      <c r="G392" s="201" t="str">
        <f>VLOOKUP(E392,'2.ポータル'!$A:$F,6,FALSE)</f>
        <v>P303:留魂碑</v>
      </c>
      <c r="H392" s="201" t="str">
        <f>VLOOKUP(F392,'2.ポータル'!$A:$F,6,FALSE)</f>
        <v>P305:イルカ</v>
      </c>
      <c r="I392" s="193"/>
      <c r="J392" s="202" t="e">
        <f t="shared" ca="1" si="43"/>
        <v>#NAME?</v>
      </c>
      <c r="K392" s="203" t="e">
        <f ca="1">VLOOKUP(F392,'2.ポータル'!$A:$G,7,FALSE)</f>
        <v>#NAME?</v>
      </c>
      <c r="M392" s="184"/>
      <c r="N392" s="185"/>
      <c r="O392" s="185"/>
      <c r="P392" s="185"/>
      <c r="Q392" s="193"/>
    </row>
    <row r="393" spans="1:17" ht="17.5">
      <c r="A393" s="205"/>
      <c r="B393" s="206" t="s">
        <v>451</v>
      </c>
      <c r="C393" s="207"/>
      <c r="D393" s="208"/>
      <c r="E393" s="209"/>
      <c r="F393" s="209"/>
      <c r="G393" s="210"/>
      <c r="H393" s="210"/>
      <c r="I393" s="209"/>
      <c r="J393" s="211"/>
      <c r="K393" s="210"/>
      <c r="L393" s="193"/>
      <c r="N393" s="193"/>
      <c r="O393" s="193"/>
      <c r="P393" s="193"/>
      <c r="Q393" s="193"/>
    </row>
    <row r="394" spans="1:17" ht="17.5">
      <c r="A394" s="198"/>
      <c r="B394" s="192"/>
      <c r="C394" s="188"/>
      <c r="D394" s="214"/>
      <c r="E394" s="193"/>
      <c r="F394" s="193"/>
      <c r="G394" s="214"/>
      <c r="H394" s="214"/>
      <c r="I394" s="193"/>
      <c r="J394" s="220"/>
      <c r="K394" s="214"/>
      <c r="L394" s="193"/>
      <c r="M394" s="193"/>
      <c r="N394" s="193"/>
      <c r="O394" s="193"/>
      <c r="P394" s="193"/>
      <c r="Q394" s="193"/>
    </row>
    <row r="395" spans="1:17" ht="17.5">
      <c r="A395" s="198"/>
      <c r="B395" s="192"/>
      <c r="C395" s="188"/>
      <c r="D395" s="214"/>
      <c r="E395" s="193"/>
      <c r="F395" s="193"/>
      <c r="G395" s="214"/>
      <c r="H395" s="214"/>
      <c r="I395" s="193"/>
      <c r="J395" s="220"/>
      <c r="K395" s="214"/>
      <c r="L395" s="193"/>
      <c r="M395" s="193"/>
      <c r="N395" s="193"/>
      <c r="O395" s="193"/>
      <c r="P395" s="193"/>
      <c r="Q395" s="193"/>
    </row>
    <row r="396" spans="1:17" ht="17.5">
      <c r="A396" s="198"/>
      <c r="B396" s="192"/>
      <c r="C396" s="188"/>
      <c r="D396" s="214"/>
      <c r="E396" s="193"/>
      <c r="F396" s="193"/>
      <c r="G396" s="214"/>
      <c r="H396" s="214"/>
      <c r="I396" s="193"/>
      <c r="J396" s="220"/>
      <c r="K396" s="214"/>
      <c r="L396" s="193"/>
      <c r="M396" s="193"/>
      <c r="N396" s="193"/>
      <c r="O396" s="193"/>
      <c r="P396" s="193"/>
      <c r="Q396" s="193"/>
    </row>
    <row r="397" spans="1:17" ht="17.5">
      <c r="A397" s="198"/>
      <c r="B397" s="192"/>
      <c r="C397" s="188"/>
      <c r="D397" s="214"/>
      <c r="E397" s="193"/>
      <c r="F397" s="193"/>
      <c r="G397" s="214"/>
      <c r="H397" s="214"/>
      <c r="I397" s="193"/>
      <c r="J397" s="220"/>
      <c r="K397" s="214"/>
      <c r="L397" s="193"/>
      <c r="M397" s="193"/>
      <c r="N397" s="193"/>
      <c r="O397" s="193"/>
      <c r="P397" s="193"/>
      <c r="Q397" s="193"/>
    </row>
    <row r="398" spans="1:17" ht="17.5">
      <c r="A398" s="198"/>
      <c r="B398" s="192"/>
      <c r="C398" s="188"/>
      <c r="D398" s="214"/>
      <c r="E398" s="193"/>
      <c r="F398" s="193"/>
      <c r="G398" s="214"/>
      <c r="H398" s="214"/>
      <c r="I398" s="193"/>
      <c r="J398" s="220"/>
      <c r="K398" s="214"/>
      <c r="L398" s="193"/>
      <c r="M398" s="193"/>
      <c r="N398" s="193"/>
      <c r="O398" s="193"/>
      <c r="P398" s="193"/>
      <c r="Q398" s="193"/>
    </row>
    <row r="399" spans="1:17" ht="17.5">
      <c r="A399" s="198"/>
      <c r="B399" s="192"/>
      <c r="C399" s="188"/>
      <c r="D399" s="214"/>
      <c r="E399" s="193"/>
      <c r="F399" s="193"/>
      <c r="G399" s="214"/>
      <c r="H399" s="214"/>
      <c r="I399" s="193"/>
      <c r="J399" s="220"/>
      <c r="K399" s="214"/>
      <c r="L399" s="193"/>
      <c r="M399" s="193"/>
      <c r="N399" s="193"/>
      <c r="O399" s="193"/>
      <c r="P399" s="193"/>
      <c r="Q399" s="193"/>
    </row>
    <row r="400" spans="1:17" ht="17.5">
      <c r="A400" s="198"/>
      <c r="B400" s="192"/>
      <c r="C400" s="188"/>
      <c r="D400" s="214"/>
      <c r="E400" s="193"/>
      <c r="F400" s="193"/>
      <c r="G400" s="214"/>
      <c r="H400" s="214"/>
      <c r="I400" s="193"/>
      <c r="J400" s="220"/>
      <c r="K400" s="214"/>
      <c r="L400" s="193"/>
      <c r="M400" s="193"/>
      <c r="N400" s="193"/>
      <c r="O400" s="193"/>
      <c r="P400" s="193"/>
      <c r="Q400" s="193"/>
    </row>
    <row r="401" spans="1:17" ht="17.5">
      <c r="A401" s="198"/>
      <c r="B401" s="192"/>
      <c r="C401" s="188"/>
      <c r="D401" s="214"/>
      <c r="E401" s="193"/>
      <c r="F401" s="193"/>
      <c r="G401" s="214"/>
      <c r="H401" s="214"/>
      <c r="I401" s="193"/>
      <c r="J401" s="220"/>
      <c r="K401" s="214"/>
      <c r="L401" s="193"/>
      <c r="M401" s="193"/>
      <c r="N401" s="193"/>
      <c r="O401" s="193"/>
      <c r="P401" s="193"/>
      <c r="Q401" s="193"/>
    </row>
    <row r="402" spans="1:17" ht="17.5">
      <c r="A402" s="198"/>
      <c r="B402" s="192"/>
      <c r="C402" s="188"/>
      <c r="D402" s="214"/>
      <c r="E402" s="193"/>
      <c r="F402" s="193"/>
      <c r="G402" s="214"/>
      <c r="H402" s="214"/>
      <c r="I402" s="193"/>
      <c r="J402" s="220"/>
      <c r="K402" s="214"/>
      <c r="L402" s="193"/>
      <c r="M402" s="193"/>
      <c r="N402" s="193"/>
      <c r="O402" s="193"/>
      <c r="P402" s="193"/>
      <c r="Q402" s="193"/>
    </row>
    <row r="403" spans="1:17" ht="17.5">
      <c r="A403" s="198"/>
      <c r="B403" s="192"/>
      <c r="C403" s="188"/>
      <c r="D403" s="214"/>
      <c r="E403" s="193"/>
      <c r="F403" s="193"/>
      <c r="G403" s="214"/>
      <c r="H403" s="214"/>
      <c r="I403" s="193"/>
      <c r="J403" s="220"/>
      <c r="K403" s="214"/>
      <c r="L403" s="193"/>
      <c r="M403" s="193"/>
      <c r="N403" s="193"/>
      <c r="O403" s="193"/>
      <c r="P403" s="193"/>
      <c r="Q403" s="193"/>
    </row>
    <row r="404" spans="1:17" ht="17.5">
      <c r="A404" s="198"/>
      <c r="B404" s="192"/>
      <c r="C404" s="188"/>
      <c r="D404" s="214"/>
      <c r="E404" s="193"/>
      <c r="F404" s="193"/>
      <c r="G404" s="214"/>
      <c r="H404" s="214"/>
      <c r="I404" s="193"/>
      <c r="J404" s="220"/>
      <c r="K404" s="214"/>
      <c r="L404" s="193"/>
      <c r="M404" s="193"/>
      <c r="N404" s="193"/>
      <c r="O404" s="193"/>
      <c r="P404" s="193"/>
      <c r="Q404" s="193"/>
    </row>
    <row r="405" spans="1:17" ht="17.5">
      <c r="A405" s="198"/>
      <c r="B405" s="192"/>
      <c r="C405" s="188"/>
      <c r="D405" s="214"/>
      <c r="E405" s="193"/>
      <c r="F405" s="193"/>
      <c r="G405" s="214"/>
      <c r="H405" s="214"/>
      <c r="I405" s="193"/>
      <c r="J405" s="220"/>
      <c r="K405" s="214"/>
      <c r="L405" s="193"/>
      <c r="M405" s="193"/>
      <c r="N405" s="193"/>
      <c r="O405" s="193"/>
      <c r="P405" s="193"/>
      <c r="Q405" s="193"/>
    </row>
    <row r="406" spans="1:17" ht="17.5">
      <c r="A406" s="198"/>
      <c r="B406" s="192"/>
      <c r="C406" s="188"/>
      <c r="D406" s="214"/>
      <c r="E406" s="193"/>
      <c r="F406" s="193"/>
      <c r="G406" s="214"/>
      <c r="H406" s="214"/>
      <c r="I406" s="193"/>
      <c r="J406" s="220"/>
      <c r="K406" s="214"/>
      <c r="L406" s="193"/>
      <c r="M406" s="193"/>
      <c r="N406" s="193"/>
      <c r="O406" s="193"/>
      <c r="P406" s="193"/>
      <c r="Q406" s="193"/>
    </row>
    <row r="407" spans="1:17" ht="17.5">
      <c r="A407" s="198"/>
      <c r="B407" s="192"/>
      <c r="C407" s="188"/>
      <c r="D407" s="214"/>
      <c r="E407" s="193"/>
      <c r="F407" s="193"/>
      <c r="G407" s="214"/>
      <c r="H407" s="214"/>
      <c r="I407" s="193"/>
      <c r="J407" s="220"/>
      <c r="K407" s="214"/>
      <c r="L407" s="193"/>
      <c r="M407" s="193"/>
      <c r="N407" s="193"/>
      <c r="O407" s="193"/>
      <c r="P407" s="193"/>
      <c r="Q407" s="193"/>
    </row>
    <row r="408" spans="1:17" ht="17.5">
      <c r="A408" s="198"/>
      <c r="B408" s="192"/>
      <c r="C408" s="188"/>
      <c r="D408" s="214"/>
      <c r="E408" s="193"/>
      <c r="F408" s="193"/>
      <c r="G408" s="214"/>
      <c r="H408" s="214"/>
      <c r="I408" s="193"/>
      <c r="J408" s="220"/>
      <c r="K408" s="214"/>
      <c r="L408" s="193"/>
      <c r="M408" s="193"/>
      <c r="N408" s="193"/>
      <c r="O408" s="193"/>
      <c r="P408" s="193"/>
      <c r="Q408" s="193"/>
    </row>
    <row r="409" spans="1:17" ht="17.5">
      <c r="A409" s="198"/>
      <c r="B409" s="192"/>
      <c r="C409" s="188"/>
      <c r="D409" s="214"/>
      <c r="E409" s="193"/>
      <c r="F409" s="193"/>
      <c r="G409" s="214"/>
      <c r="H409" s="214"/>
      <c r="I409" s="193"/>
      <c r="J409" s="220"/>
      <c r="K409" s="214"/>
      <c r="L409" s="193"/>
      <c r="M409" s="193"/>
      <c r="N409" s="193"/>
      <c r="O409" s="193"/>
      <c r="P409" s="193"/>
      <c r="Q409" s="193"/>
    </row>
    <row r="410" spans="1:17" ht="17.5">
      <c r="A410" s="198"/>
      <c r="B410" s="192"/>
      <c r="C410" s="188"/>
      <c r="D410" s="214"/>
      <c r="E410" s="193"/>
      <c r="F410" s="193"/>
      <c r="G410" s="214"/>
      <c r="H410" s="214"/>
      <c r="I410" s="193"/>
      <c r="J410" s="220"/>
      <c r="K410" s="214"/>
      <c r="L410" s="193"/>
      <c r="M410" s="193"/>
      <c r="N410" s="193"/>
      <c r="O410" s="193"/>
      <c r="P410" s="193"/>
      <c r="Q410" s="193"/>
    </row>
    <row r="411" spans="1:17" ht="17.5">
      <c r="A411" s="198"/>
      <c r="B411" s="192"/>
      <c r="C411" s="188"/>
      <c r="D411" s="214"/>
      <c r="E411" s="193"/>
      <c r="F411" s="193"/>
      <c r="G411" s="214"/>
      <c r="H411" s="214"/>
      <c r="I411" s="193"/>
      <c r="J411" s="220"/>
      <c r="K411" s="214"/>
      <c r="L411" s="193"/>
      <c r="M411" s="193"/>
      <c r="N411" s="193"/>
      <c r="O411" s="193"/>
      <c r="P411" s="193"/>
      <c r="Q411" s="193"/>
    </row>
    <row r="412" spans="1:17" ht="17.5">
      <c r="A412" s="198"/>
      <c r="B412" s="192"/>
      <c r="C412" s="188"/>
      <c r="D412" s="214"/>
      <c r="E412" s="193"/>
      <c r="F412" s="193"/>
      <c r="G412" s="214"/>
      <c r="H412" s="214"/>
      <c r="I412" s="193"/>
      <c r="J412" s="220"/>
      <c r="K412" s="214"/>
      <c r="L412" s="193"/>
      <c r="M412" s="193"/>
      <c r="N412" s="193"/>
      <c r="O412" s="193"/>
      <c r="P412" s="193"/>
      <c r="Q412" s="193"/>
    </row>
    <row r="413" spans="1:17" ht="17.5">
      <c r="A413" s="198"/>
      <c r="B413" s="192"/>
      <c r="C413" s="188"/>
      <c r="D413" s="214"/>
      <c r="E413" s="193"/>
      <c r="F413" s="193"/>
      <c r="G413" s="214"/>
      <c r="H413" s="214"/>
      <c r="I413" s="193"/>
      <c r="J413" s="220"/>
      <c r="K413" s="214"/>
      <c r="L413" s="193"/>
      <c r="M413" s="193"/>
      <c r="N413" s="193"/>
      <c r="O413" s="193"/>
      <c r="P413" s="193"/>
      <c r="Q413" s="193"/>
    </row>
    <row r="414" spans="1:17" ht="17.5">
      <c r="A414" s="198"/>
      <c r="B414" s="192"/>
      <c r="C414" s="188"/>
      <c r="D414" s="214"/>
      <c r="E414" s="193"/>
      <c r="F414" s="193"/>
      <c r="G414" s="214"/>
      <c r="H414" s="214"/>
      <c r="I414" s="193"/>
      <c r="J414" s="220"/>
      <c r="K414" s="214"/>
      <c r="L414" s="193"/>
      <c r="M414" s="193"/>
      <c r="N414" s="193"/>
      <c r="O414" s="193"/>
      <c r="P414" s="193"/>
      <c r="Q414" s="193"/>
    </row>
    <row r="415" spans="1:17" ht="17.5">
      <c r="A415" s="198"/>
      <c r="B415" s="192"/>
      <c r="C415" s="188"/>
      <c r="D415" s="214"/>
      <c r="E415" s="193"/>
      <c r="F415" s="193"/>
      <c r="G415" s="214"/>
      <c r="H415" s="214"/>
      <c r="I415" s="193"/>
      <c r="J415" s="220"/>
      <c r="K415" s="214"/>
      <c r="L415" s="193"/>
      <c r="M415" s="193"/>
      <c r="N415" s="193"/>
      <c r="O415" s="193"/>
      <c r="P415" s="193"/>
      <c r="Q415" s="193"/>
    </row>
    <row r="416" spans="1:17" ht="17.5">
      <c r="A416" s="198"/>
      <c r="B416" s="192"/>
      <c r="C416" s="188"/>
      <c r="D416" s="214"/>
      <c r="E416" s="193"/>
      <c r="F416" s="193"/>
      <c r="G416" s="214"/>
      <c r="H416" s="214"/>
      <c r="I416" s="193"/>
      <c r="J416" s="220"/>
      <c r="K416" s="214"/>
      <c r="L416" s="193"/>
      <c r="M416" s="193"/>
      <c r="N416" s="193"/>
      <c r="O416" s="193"/>
      <c r="P416" s="193"/>
      <c r="Q416" s="193"/>
    </row>
    <row r="417" spans="1:17" ht="17.5">
      <c r="A417" s="198"/>
      <c r="B417" s="192"/>
      <c r="C417" s="188"/>
      <c r="D417" s="214"/>
      <c r="E417" s="193"/>
      <c r="F417" s="193"/>
      <c r="G417" s="214"/>
      <c r="H417" s="214"/>
      <c r="I417" s="193"/>
      <c r="J417" s="220"/>
      <c r="K417" s="214"/>
      <c r="L417" s="193"/>
      <c r="M417" s="193"/>
      <c r="N417" s="193"/>
      <c r="O417" s="193"/>
      <c r="P417" s="193"/>
      <c r="Q417" s="193"/>
    </row>
    <row r="418" spans="1:17" ht="17.5">
      <c r="A418" s="198"/>
      <c r="B418" s="192"/>
      <c r="C418" s="188"/>
      <c r="D418" s="214"/>
      <c r="E418" s="193"/>
      <c r="F418" s="193"/>
      <c r="G418" s="214"/>
      <c r="H418" s="214"/>
      <c r="I418" s="193"/>
      <c r="J418" s="220"/>
      <c r="K418" s="214"/>
      <c r="L418" s="193"/>
      <c r="M418" s="193"/>
      <c r="N418" s="193"/>
      <c r="O418" s="193"/>
      <c r="P418" s="193"/>
      <c r="Q418" s="193"/>
    </row>
    <row r="419" spans="1:17" ht="17.5">
      <c r="A419" s="198"/>
      <c r="B419" s="192"/>
      <c r="C419" s="188"/>
      <c r="D419" s="214"/>
      <c r="E419" s="193"/>
      <c r="F419" s="193"/>
      <c r="G419" s="214"/>
      <c r="H419" s="214"/>
      <c r="I419" s="193"/>
      <c r="J419" s="220"/>
      <c r="K419" s="214"/>
      <c r="L419" s="193"/>
      <c r="M419" s="193"/>
      <c r="N419" s="193"/>
      <c r="O419" s="193"/>
      <c r="P419" s="193"/>
      <c r="Q419" s="193"/>
    </row>
    <row r="420" spans="1:17" ht="17.5">
      <c r="A420" s="198"/>
      <c r="B420" s="192"/>
      <c r="C420" s="188"/>
      <c r="D420" s="214"/>
      <c r="E420" s="193"/>
      <c r="F420" s="193"/>
      <c r="G420" s="214"/>
      <c r="H420" s="214"/>
      <c r="I420" s="193"/>
      <c r="J420" s="220"/>
      <c r="K420" s="214"/>
      <c r="L420" s="193"/>
      <c r="M420" s="193"/>
      <c r="N420" s="193"/>
      <c r="O420" s="193"/>
      <c r="P420" s="193"/>
      <c r="Q420" s="193"/>
    </row>
    <row r="421" spans="1:17" ht="17.5">
      <c r="A421" s="198"/>
      <c r="B421" s="192"/>
      <c r="C421" s="188"/>
      <c r="D421" s="214"/>
      <c r="E421" s="193"/>
      <c r="F421" s="193"/>
      <c r="G421" s="214"/>
      <c r="H421" s="214"/>
      <c r="I421" s="193"/>
      <c r="J421" s="220"/>
      <c r="K421" s="214"/>
      <c r="L421" s="193"/>
      <c r="M421" s="193"/>
      <c r="N421" s="193"/>
      <c r="O421" s="193"/>
      <c r="P421" s="193"/>
      <c r="Q421" s="193"/>
    </row>
    <row r="422" spans="1:17" ht="17.5">
      <c r="A422" s="198"/>
      <c r="B422" s="192"/>
      <c r="C422" s="188"/>
      <c r="D422" s="214"/>
      <c r="E422" s="193"/>
      <c r="F422" s="193"/>
      <c r="G422" s="214"/>
      <c r="H422" s="214"/>
      <c r="I422" s="193"/>
      <c r="J422" s="220"/>
      <c r="K422" s="214"/>
      <c r="L422" s="193"/>
      <c r="M422" s="193"/>
      <c r="N422" s="193"/>
      <c r="O422" s="193"/>
      <c r="P422" s="193"/>
      <c r="Q422" s="193"/>
    </row>
    <row r="423" spans="1:17" ht="17.5">
      <c r="A423" s="198"/>
      <c r="B423" s="192"/>
      <c r="C423" s="188"/>
      <c r="D423" s="214"/>
      <c r="E423" s="193"/>
      <c r="F423" s="193"/>
      <c r="G423" s="214"/>
      <c r="H423" s="214"/>
      <c r="I423" s="193"/>
      <c r="J423" s="220"/>
      <c r="K423" s="214"/>
      <c r="L423" s="193"/>
      <c r="M423" s="193"/>
      <c r="N423" s="193"/>
      <c r="O423" s="193"/>
      <c r="P423" s="193"/>
      <c r="Q423" s="193"/>
    </row>
    <row r="424" spans="1:17" ht="17.5">
      <c r="A424" s="198"/>
      <c r="B424" s="192"/>
      <c r="C424" s="188"/>
      <c r="D424" s="214"/>
      <c r="E424" s="193"/>
      <c r="F424" s="193"/>
      <c r="G424" s="214"/>
      <c r="H424" s="214"/>
      <c r="I424" s="193"/>
      <c r="J424" s="220"/>
      <c r="K424" s="214"/>
      <c r="L424" s="193"/>
      <c r="M424" s="193"/>
      <c r="N424" s="193"/>
      <c r="O424" s="193"/>
      <c r="P424" s="193"/>
      <c r="Q424" s="193"/>
    </row>
    <row r="425" spans="1:17" ht="17.5">
      <c r="A425" s="198"/>
      <c r="B425" s="192"/>
      <c r="C425" s="188"/>
      <c r="D425" s="214"/>
      <c r="E425" s="193"/>
      <c r="F425" s="193"/>
      <c r="G425" s="214"/>
      <c r="H425" s="214"/>
      <c r="I425" s="193"/>
      <c r="J425" s="220"/>
      <c r="K425" s="214"/>
      <c r="L425" s="193"/>
      <c r="M425" s="193"/>
      <c r="N425" s="193"/>
      <c r="O425" s="193"/>
      <c r="P425" s="193"/>
      <c r="Q425" s="193"/>
    </row>
    <row r="426" spans="1:17" ht="17.5">
      <c r="A426" s="198"/>
      <c r="B426" s="192"/>
      <c r="C426" s="188"/>
      <c r="D426" s="214"/>
      <c r="E426" s="193"/>
      <c r="F426" s="193"/>
      <c r="G426" s="214"/>
      <c r="H426" s="214"/>
      <c r="I426" s="193"/>
      <c r="J426" s="220"/>
      <c r="K426" s="214"/>
      <c r="L426" s="193"/>
      <c r="M426" s="193"/>
      <c r="N426" s="193"/>
      <c r="O426" s="193"/>
      <c r="P426" s="193"/>
      <c r="Q426" s="193"/>
    </row>
    <row r="427" spans="1:17" ht="17.5">
      <c r="A427" s="198"/>
      <c r="B427" s="192"/>
      <c r="C427" s="188"/>
      <c r="D427" s="214"/>
      <c r="E427" s="193"/>
      <c r="F427" s="193"/>
      <c r="G427" s="214"/>
      <c r="H427" s="214"/>
      <c r="I427" s="193"/>
      <c r="J427" s="220"/>
      <c r="K427" s="214"/>
      <c r="L427" s="193"/>
      <c r="M427" s="193"/>
      <c r="N427" s="193"/>
      <c r="O427" s="193"/>
      <c r="P427" s="193"/>
      <c r="Q427" s="193"/>
    </row>
    <row r="428" spans="1:17" ht="17.5">
      <c r="A428" s="198"/>
      <c r="B428" s="192"/>
      <c r="C428" s="188"/>
      <c r="D428" s="214"/>
      <c r="E428" s="193"/>
      <c r="F428" s="193"/>
      <c r="G428" s="214"/>
      <c r="H428" s="214"/>
      <c r="I428" s="193"/>
      <c r="J428" s="220"/>
      <c r="K428" s="214"/>
      <c r="L428" s="193"/>
      <c r="M428" s="193"/>
      <c r="N428" s="193"/>
      <c r="O428" s="193"/>
      <c r="P428" s="193"/>
      <c r="Q428" s="193"/>
    </row>
    <row r="429" spans="1:17" ht="17.5">
      <c r="A429" s="198"/>
      <c r="B429" s="192"/>
      <c r="C429" s="188"/>
      <c r="D429" s="214"/>
      <c r="E429" s="193"/>
      <c r="F429" s="193"/>
      <c r="G429" s="214"/>
      <c r="H429" s="214"/>
      <c r="I429" s="193"/>
      <c r="J429" s="220"/>
      <c r="K429" s="214"/>
      <c r="L429" s="193"/>
      <c r="M429" s="193"/>
      <c r="N429" s="193"/>
      <c r="O429" s="193"/>
      <c r="P429" s="193"/>
      <c r="Q429" s="193"/>
    </row>
    <row r="430" spans="1:17" ht="17.5">
      <c r="A430" s="198"/>
      <c r="B430" s="192"/>
      <c r="C430" s="188"/>
      <c r="D430" s="214"/>
      <c r="E430" s="193"/>
      <c r="F430" s="193"/>
      <c r="G430" s="214"/>
      <c r="H430" s="214"/>
      <c r="I430" s="193"/>
      <c r="J430" s="220"/>
      <c r="K430" s="214"/>
      <c r="L430" s="193"/>
      <c r="M430" s="193"/>
      <c r="N430" s="193"/>
      <c r="O430" s="193"/>
      <c r="P430" s="193"/>
      <c r="Q430" s="193"/>
    </row>
    <row r="431" spans="1:17" ht="17.5">
      <c r="A431" s="198"/>
      <c r="B431" s="192"/>
      <c r="C431" s="188"/>
      <c r="D431" s="214"/>
      <c r="E431" s="193"/>
      <c r="F431" s="193"/>
      <c r="G431" s="214"/>
      <c r="H431" s="214"/>
      <c r="I431" s="193"/>
      <c r="J431" s="220"/>
      <c r="K431" s="214"/>
      <c r="L431" s="193"/>
      <c r="M431" s="193"/>
      <c r="N431" s="193"/>
      <c r="O431" s="193"/>
      <c r="P431" s="193"/>
      <c r="Q431" s="193"/>
    </row>
    <row r="432" spans="1:17" ht="17.5">
      <c r="A432" s="198"/>
      <c r="B432" s="192"/>
      <c r="C432" s="188"/>
      <c r="D432" s="214"/>
      <c r="E432" s="193"/>
      <c r="F432" s="193"/>
      <c r="G432" s="214"/>
      <c r="H432" s="214"/>
      <c r="I432" s="193"/>
      <c r="J432" s="220"/>
      <c r="K432" s="214"/>
      <c r="L432" s="193"/>
      <c r="M432" s="193"/>
      <c r="N432" s="193"/>
      <c r="O432" s="193"/>
      <c r="P432" s="193"/>
      <c r="Q432" s="193"/>
    </row>
    <row r="433" spans="1:17" ht="17.5">
      <c r="A433" s="198"/>
      <c r="B433" s="192"/>
      <c r="C433" s="188"/>
      <c r="D433" s="214"/>
      <c r="E433" s="193"/>
      <c r="F433" s="193"/>
      <c r="G433" s="214"/>
      <c r="H433" s="214"/>
      <c r="I433" s="193"/>
      <c r="J433" s="220"/>
      <c r="K433" s="214"/>
      <c r="L433" s="193"/>
      <c r="M433" s="193"/>
      <c r="N433" s="193"/>
      <c r="O433" s="193"/>
      <c r="P433" s="193"/>
      <c r="Q433" s="193"/>
    </row>
    <row r="434" spans="1:17" ht="17.5">
      <c r="A434" s="198"/>
      <c r="B434" s="192"/>
      <c r="C434" s="188"/>
      <c r="D434" s="214"/>
      <c r="E434" s="193"/>
      <c r="F434" s="193"/>
      <c r="G434" s="214"/>
      <c r="H434" s="214"/>
      <c r="I434" s="193"/>
      <c r="J434" s="220"/>
      <c r="K434" s="214"/>
      <c r="L434" s="193"/>
      <c r="M434" s="193"/>
      <c r="N434" s="193"/>
      <c r="O434" s="193"/>
      <c r="P434" s="193"/>
      <c r="Q434" s="193"/>
    </row>
    <row r="435" spans="1:17" ht="17.5">
      <c r="A435" s="198"/>
      <c r="B435" s="192"/>
      <c r="C435" s="188"/>
      <c r="D435" s="214"/>
      <c r="E435" s="193"/>
      <c r="F435" s="193"/>
      <c r="G435" s="214"/>
      <c r="H435" s="214"/>
      <c r="I435" s="193"/>
      <c r="J435" s="220"/>
      <c r="K435" s="214"/>
      <c r="L435" s="193"/>
      <c r="M435" s="193"/>
      <c r="N435" s="193"/>
      <c r="O435" s="193"/>
      <c r="P435" s="193"/>
      <c r="Q435" s="193"/>
    </row>
    <row r="436" spans="1:17" ht="17.5">
      <c r="A436" s="198"/>
      <c r="B436" s="192"/>
      <c r="C436" s="188"/>
      <c r="D436" s="214"/>
      <c r="E436" s="193"/>
      <c r="F436" s="193"/>
      <c r="G436" s="214"/>
      <c r="H436" s="214"/>
      <c r="I436" s="193"/>
      <c r="J436" s="220"/>
      <c r="K436" s="214"/>
      <c r="L436" s="193"/>
      <c r="M436" s="193"/>
      <c r="N436" s="193"/>
      <c r="O436" s="193"/>
      <c r="P436" s="193"/>
      <c r="Q436" s="193"/>
    </row>
    <row r="437" spans="1:17" ht="17.5">
      <c r="A437" s="198"/>
      <c r="B437" s="192"/>
      <c r="C437" s="188"/>
      <c r="D437" s="214"/>
      <c r="E437" s="193"/>
      <c r="F437" s="193"/>
      <c r="G437" s="214"/>
      <c r="H437" s="214"/>
      <c r="I437" s="193"/>
      <c r="J437" s="220"/>
      <c r="K437" s="214"/>
      <c r="L437" s="193"/>
      <c r="M437" s="193"/>
      <c r="N437" s="193"/>
      <c r="O437" s="193"/>
      <c r="P437" s="193"/>
      <c r="Q437" s="193"/>
    </row>
    <row r="438" spans="1:17" ht="17.5">
      <c r="A438" s="198"/>
      <c r="B438" s="192"/>
      <c r="C438" s="188"/>
      <c r="D438" s="214"/>
      <c r="E438" s="193"/>
      <c r="F438" s="193"/>
      <c r="G438" s="214"/>
      <c r="H438" s="214"/>
      <c r="I438" s="193"/>
      <c r="J438" s="220"/>
      <c r="K438" s="214"/>
      <c r="L438" s="193"/>
      <c r="M438" s="193"/>
      <c r="N438" s="193"/>
      <c r="O438" s="193"/>
      <c r="P438" s="193"/>
      <c r="Q438" s="193"/>
    </row>
    <row r="439" spans="1:17" ht="17.5">
      <c r="A439" s="198"/>
      <c r="B439" s="192"/>
      <c r="C439" s="188"/>
      <c r="D439" s="214"/>
      <c r="E439" s="193"/>
      <c r="F439" s="193"/>
      <c r="G439" s="214"/>
      <c r="H439" s="214"/>
      <c r="I439" s="193"/>
      <c r="J439" s="220"/>
      <c r="K439" s="214"/>
      <c r="L439" s="193"/>
      <c r="M439" s="193"/>
      <c r="N439" s="193"/>
      <c r="O439" s="193"/>
      <c r="P439" s="193"/>
      <c r="Q439" s="193"/>
    </row>
    <row r="440" spans="1:17" ht="17.5">
      <c r="A440" s="198"/>
      <c r="B440" s="192"/>
      <c r="C440" s="188"/>
      <c r="D440" s="214"/>
      <c r="E440" s="193"/>
      <c r="F440" s="193"/>
      <c r="G440" s="214"/>
      <c r="H440" s="214"/>
      <c r="I440" s="193"/>
      <c r="J440" s="220"/>
      <c r="K440" s="214"/>
      <c r="L440" s="193"/>
      <c r="M440" s="193"/>
      <c r="N440" s="193"/>
      <c r="O440" s="193"/>
      <c r="P440" s="193"/>
      <c r="Q440" s="193"/>
    </row>
    <row r="441" spans="1:17" ht="17.5">
      <c r="A441" s="198"/>
      <c r="B441" s="192"/>
      <c r="C441" s="188"/>
      <c r="D441" s="214"/>
      <c r="E441" s="193"/>
      <c r="F441" s="193"/>
      <c r="G441" s="214"/>
      <c r="H441" s="214"/>
      <c r="I441" s="193"/>
      <c r="J441" s="220"/>
      <c r="K441" s="214"/>
      <c r="L441" s="193"/>
      <c r="M441" s="193"/>
      <c r="N441" s="193"/>
      <c r="O441" s="193"/>
      <c r="P441" s="193"/>
      <c r="Q441" s="193"/>
    </row>
    <row r="442" spans="1:17" ht="17.5">
      <c r="A442" s="198"/>
      <c r="B442" s="192"/>
      <c r="C442" s="188"/>
      <c r="D442" s="214"/>
      <c r="E442" s="193"/>
      <c r="F442" s="193"/>
      <c r="G442" s="214"/>
      <c r="H442" s="214"/>
      <c r="I442" s="193"/>
      <c r="J442" s="220"/>
      <c r="K442" s="214"/>
      <c r="L442" s="193"/>
      <c r="M442" s="193"/>
      <c r="N442" s="193"/>
      <c r="O442" s="193"/>
      <c r="P442" s="193"/>
      <c r="Q442" s="193"/>
    </row>
    <row r="443" spans="1:17" ht="17.5">
      <c r="A443" s="198"/>
      <c r="B443" s="192"/>
      <c r="C443" s="188"/>
      <c r="D443" s="214"/>
      <c r="E443" s="193"/>
      <c r="F443" s="193"/>
      <c r="G443" s="214"/>
      <c r="H443" s="214"/>
      <c r="I443" s="193"/>
      <c r="J443" s="220"/>
      <c r="K443" s="214"/>
      <c r="L443" s="193"/>
      <c r="M443" s="193"/>
      <c r="N443" s="193"/>
      <c r="O443" s="193"/>
      <c r="P443" s="193"/>
      <c r="Q443" s="193"/>
    </row>
    <row r="444" spans="1:17" ht="17.5">
      <c r="A444" s="198"/>
      <c r="B444" s="192"/>
      <c r="C444" s="188"/>
      <c r="D444" s="214"/>
      <c r="E444" s="193"/>
      <c r="F444" s="193"/>
      <c r="G444" s="214"/>
      <c r="H444" s="214"/>
      <c r="I444" s="193"/>
      <c r="J444" s="220"/>
      <c r="K444" s="214"/>
      <c r="L444" s="193"/>
      <c r="M444" s="193"/>
      <c r="N444" s="193"/>
      <c r="O444" s="193"/>
      <c r="P444" s="193"/>
      <c r="Q444" s="193"/>
    </row>
    <row r="445" spans="1:17" ht="17.5">
      <c r="A445" s="198"/>
      <c r="B445" s="192"/>
      <c r="C445" s="188"/>
      <c r="D445" s="214"/>
      <c r="E445" s="193"/>
      <c r="F445" s="193"/>
      <c r="G445" s="214"/>
      <c r="H445" s="214"/>
      <c r="I445" s="193"/>
      <c r="J445" s="220"/>
      <c r="K445" s="214"/>
      <c r="L445" s="193"/>
      <c r="M445" s="193"/>
      <c r="N445" s="193"/>
      <c r="O445" s="193"/>
      <c r="P445" s="193"/>
      <c r="Q445" s="193"/>
    </row>
    <row r="446" spans="1:17" ht="17.5">
      <c r="A446" s="198"/>
      <c r="B446" s="192"/>
      <c r="C446" s="188"/>
      <c r="D446" s="214"/>
      <c r="E446" s="193"/>
      <c r="F446" s="193"/>
      <c r="G446" s="214"/>
      <c r="H446" s="214"/>
      <c r="I446" s="193"/>
      <c r="J446" s="220"/>
      <c r="K446" s="214"/>
      <c r="L446" s="193"/>
      <c r="M446" s="193"/>
      <c r="N446" s="193"/>
      <c r="O446" s="193"/>
      <c r="P446" s="193"/>
      <c r="Q446" s="193"/>
    </row>
    <row r="447" spans="1:17" ht="17.5">
      <c r="A447" s="198"/>
      <c r="B447" s="192"/>
      <c r="C447" s="188"/>
      <c r="D447" s="214"/>
      <c r="E447" s="193"/>
      <c r="F447" s="193"/>
      <c r="G447" s="214"/>
      <c r="H447" s="214"/>
      <c r="I447" s="193"/>
      <c r="J447" s="220"/>
      <c r="K447" s="214"/>
      <c r="L447" s="193"/>
      <c r="M447" s="193"/>
      <c r="N447" s="193"/>
      <c r="O447" s="193"/>
      <c r="P447" s="193"/>
      <c r="Q447" s="193"/>
    </row>
    <row r="448" spans="1:17" ht="17.5">
      <c r="A448" s="198"/>
      <c r="B448" s="192"/>
      <c r="C448" s="188"/>
      <c r="D448" s="214"/>
      <c r="E448" s="193"/>
      <c r="F448" s="193"/>
      <c r="G448" s="214"/>
      <c r="H448" s="214"/>
      <c r="I448" s="193"/>
      <c r="J448" s="220"/>
      <c r="K448" s="214"/>
      <c r="L448" s="193"/>
      <c r="M448" s="193"/>
      <c r="N448" s="193"/>
      <c r="O448" s="193"/>
      <c r="P448" s="193"/>
      <c r="Q448" s="193"/>
    </row>
    <row r="449" spans="1:17" ht="17.5">
      <c r="A449" s="198"/>
      <c r="B449" s="192"/>
      <c r="C449" s="188"/>
      <c r="D449" s="214"/>
      <c r="E449" s="193"/>
      <c r="F449" s="193"/>
      <c r="G449" s="214"/>
      <c r="H449" s="214"/>
      <c r="I449" s="193"/>
      <c r="J449" s="220"/>
      <c r="K449" s="214"/>
      <c r="L449" s="193"/>
      <c r="M449" s="193"/>
      <c r="N449" s="193"/>
      <c r="O449" s="193"/>
      <c r="P449" s="193"/>
      <c r="Q449" s="193"/>
    </row>
    <row r="450" spans="1:17" ht="17.5">
      <c r="A450" s="198"/>
      <c r="B450" s="192"/>
      <c r="C450" s="188"/>
      <c r="D450" s="214"/>
      <c r="E450" s="193"/>
      <c r="F450" s="193"/>
      <c r="G450" s="214"/>
      <c r="H450" s="214"/>
      <c r="I450" s="193"/>
      <c r="J450" s="220"/>
      <c r="K450" s="214"/>
      <c r="L450" s="193"/>
      <c r="M450" s="193"/>
      <c r="N450" s="193"/>
      <c r="O450" s="193"/>
      <c r="P450" s="193"/>
      <c r="Q450" s="193"/>
    </row>
    <row r="451" spans="1:17" ht="17.5">
      <c r="A451" s="198"/>
      <c r="B451" s="192"/>
      <c r="C451" s="188"/>
      <c r="D451" s="214"/>
      <c r="E451" s="193"/>
      <c r="F451" s="193"/>
      <c r="G451" s="214"/>
      <c r="H451" s="214"/>
      <c r="I451" s="193"/>
      <c r="J451" s="220"/>
      <c r="K451" s="214"/>
      <c r="L451" s="193"/>
      <c r="M451" s="193"/>
      <c r="N451" s="193"/>
      <c r="O451" s="193"/>
      <c r="P451" s="193"/>
      <c r="Q451" s="193"/>
    </row>
    <row r="452" spans="1:17" ht="17.5">
      <c r="A452" s="198"/>
      <c r="B452" s="192"/>
      <c r="C452" s="188"/>
      <c r="D452" s="214"/>
      <c r="E452" s="193"/>
      <c r="F452" s="193"/>
      <c r="G452" s="214"/>
      <c r="H452" s="214"/>
      <c r="I452" s="193"/>
      <c r="J452" s="220"/>
      <c r="K452" s="214"/>
      <c r="L452" s="193"/>
      <c r="M452" s="193"/>
      <c r="N452" s="193"/>
      <c r="O452" s="193"/>
      <c r="P452" s="193"/>
      <c r="Q452" s="193"/>
    </row>
    <row r="453" spans="1:17" ht="17.5">
      <c r="A453" s="198"/>
      <c r="B453" s="192"/>
      <c r="C453" s="188"/>
      <c r="D453" s="214"/>
      <c r="E453" s="193"/>
      <c r="F453" s="193"/>
      <c r="G453" s="214"/>
      <c r="H453" s="214"/>
      <c r="I453" s="193"/>
      <c r="J453" s="220"/>
      <c r="K453" s="214"/>
      <c r="L453" s="193"/>
      <c r="M453" s="193"/>
      <c r="N453" s="193"/>
      <c r="O453" s="193"/>
      <c r="P453" s="193"/>
      <c r="Q453" s="193"/>
    </row>
    <row r="454" spans="1:17" ht="17.5">
      <c r="A454" s="198"/>
      <c r="B454" s="192"/>
      <c r="C454" s="188"/>
      <c r="D454" s="214"/>
      <c r="E454" s="193"/>
      <c r="F454" s="193"/>
      <c r="G454" s="214"/>
      <c r="H454" s="214"/>
      <c r="I454" s="193"/>
      <c r="J454" s="220"/>
      <c r="K454" s="214"/>
      <c r="L454" s="193"/>
      <c r="M454" s="193"/>
      <c r="N454" s="193"/>
      <c r="O454" s="193"/>
      <c r="P454" s="193"/>
      <c r="Q454" s="193"/>
    </row>
    <row r="455" spans="1:17" ht="17.5">
      <c r="A455" s="198"/>
      <c r="B455" s="192"/>
      <c r="C455" s="188"/>
      <c r="D455" s="214"/>
      <c r="E455" s="193"/>
      <c r="F455" s="193"/>
      <c r="G455" s="214"/>
      <c r="H455" s="214"/>
      <c r="I455" s="193"/>
      <c r="J455" s="220"/>
      <c r="K455" s="214"/>
      <c r="L455" s="193"/>
      <c r="M455" s="193"/>
      <c r="N455" s="193"/>
      <c r="O455" s="193"/>
      <c r="P455" s="193"/>
      <c r="Q455" s="193"/>
    </row>
    <row r="456" spans="1:17" ht="17.5">
      <c r="A456" s="198"/>
      <c r="B456" s="192"/>
      <c r="C456" s="188"/>
      <c r="D456" s="214"/>
      <c r="E456" s="193"/>
      <c r="F456" s="193"/>
      <c r="G456" s="214"/>
      <c r="H456" s="214"/>
      <c r="I456" s="193"/>
      <c r="J456" s="220"/>
      <c r="K456" s="214"/>
      <c r="L456" s="193"/>
      <c r="M456" s="193"/>
      <c r="N456" s="193"/>
      <c r="O456" s="193"/>
      <c r="P456" s="193"/>
      <c r="Q456" s="193"/>
    </row>
    <row r="457" spans="1:17" ht="17.5">
      <c r="A457" s="198"/>
      <c r="B457" s="192"/>
      <c r="C457" s="188"/>
      <c r="D457" s="214"/>
      <c r="E457" s="193"/>
      <c r="F457" s="193"/>
      <c r="G457" s="214"/>
      <c r="H457" s="214"/>
      <c r="I457" s="193"/>
      <c r="J457" s="220"/>
      <c r="K457" s="214"/>
      <c r="L457" s="193"/>
      <c r="M457" s="193"/>
      <c r="N457" s="193"/>
      <c r="O457" s="193"/>
      <c r="P457" s="193"/>
      <c r="Q457" s="193"/>
    </row>
    <row r="458" spans="1:17" ht="17.5">
      <c r="A458" s="198"/>
      <c r="B458" s="192"/>
      <c r="C458" s="188"/>
      <c r="D458" s="214"/>
      <c r="E458" s="193"/>
      <c r="F458" s="193"/>
      <c r="G458" s="214"/>
      <c r="H458" s="214"/>
      <c r="I458" s="193"/>
      <c r="J458" s="220"/>
      <c r="K458" s="214"/>
      <c r="L458" s="193"/>
      <c r="M458" s="193"/>
      <c r="N458" s="193"/>
      <c r="O458" s="193"/>
      <c r="P458" s="193"/>
      <c r="Q458" s="193"/>
    </row>
    <row r="459" spans="1:17" ht="17.5">
      <c r="A459" s="198"/>
      <c r="B459" s="192"/>
      <c r="C459" s="188"/>
      <c r="D459" s="214"/>
      <c r="E459" s="193"/>
      <c r="F459" s="193"/>
      <c r="G459" s="214"/>
      <c r="H459" s="214"/>
      <c r="I459" s="193"/>
      <c r="J459" s="220"/>
      <c r="K459" s="214"/>
      <c r="L459" s="193"/>
      <c r="M459" s="193"/>
      <c r="N459" s="193"/>
      <c r="O459" s="193"/>
      <c r="P459" s="193"/>
      <c r="Q459" s="193"/>
    </row>
    <row r="460" spans="1:17" ht="17.5">
      <c r="A460" s="198"/>
      <c r="B460" s="192"/>
      <c r="C460" s="188"/>
      <c r="D460" s="214"/>
      <c r="E460" s="193"/>
      <c r="F460" s="193"/>
      <c r="G460" s="214"/>
      <c r="H460" s="214"/>
      <c r="I460" s="193"/>
      <c r="J460" s="220"/>
      <c r="K460" s="214"/>
      <c r="L460" s="193"/>
      <c r="M460" s="193"/>
      <c r="N460" s="193"/>
      <c r="O460" s="193"/>
      <c r="P460" s="193"/>
      <c r="Q460" s="193"/>
    </row>
    <row r="461" spans="1:17" ht="17.5">
      <c r="A461" s="198"/>
      <c r="B461" s="192"/>
      <c r="C461" s="188"/>
      <c r="D461" s="214"/>
      <c r="E461" s="193"/>
      <c r="F461" s="193"/>
      <c r="G461" s="214"/>
      <c r="H461" s="214"/>
      <c r="I461" s="193"/>
      <c r="J461" s="220"/>
      <c r="K461" s="214"/>
      <c r="L461" s="193"/>
      <c r="M461" s="193"/>
      <c r="N461" s="193"/>
      <c r="O461" s="193"/>
      <c r="P461" s="193"/>
      <c r="Q461" s="193"/>
    </row>
    <row r="462" spans="1:17" ht="17.5">
      <c r="A462" s="198"/>
      <c r="B462" s="192"/>
      <c r="C462" s="188"/>
      <c r="D462" s="214"/>
      <c r="E462" s="193"/>
      <c r="F462" s="193"/>
      <c r="G462" s="214"/>
      <c r="H462" s="214"/>
      <c r="I462" s="193"/>
      <c r="J462" s="220"/>
      <c r="K462" s="214"/>
      <c r="L462" s="193"/>
      <c r="M462" s="193"/>
      <c r="N462" s="193"/>
      <c r="O462" s="193"/>
      <c r="P462" s="193"/>
      <c r="Q462" s="193"/>
    </row>
    <row r="463" spans="1:17" ht="17.5">
      <c r="A463" s="198"/>
      <c r="B463" s="192"/>
      <c r="C463" s="188"/>
      <c r="D463" s="214"/>
      <c r="E463" s="193"/>
      <c r="F463" s="193"/>
      <c r="G463" s="214"/>
      <c r="H463" s="214"/>
      <c r="I463" s="193"/>
      <c r="J463" s="220"/>
      <c r="K463" s="214"/>
      <c r="L463" s="193"/>
      <c r="M463" s="193"/>
      <c r="N463" s="193"/>
      <c r="O463" s="193"/>
      <c r="P463" s="193"/>
      <c r="Q463" s="193"/>
    </row>
    <row r="464" spans="1:17" ht="17.5">
      <c r="A464" s="198"/>
      <c r="B464" s="192"/>
      <c r="C464" s="188"/>
      <c r="D464" s="214"/>
      <c r="E464" s="193"/>
      <c r="F464" s="193"/>
      <c r="G464" s="214"/>
      <c r="H464" s="214"/>
      <c r="I464" s="193"/>
      <c r="J464" s="220"/>
      <c r="K464" s="214"/>
      <c r="L464" s="193"/>
      <c r="M464" s="193"/>
      <c r="N464" s="193"/>
      <c r="O464" s="193"/>
      <c r="P464" s="193"/>
      <c r="Q464" s="193"/>
    </row>
    <row r="465" spans="1:17" ht="17.5">
      <c r="A465" s="198"/>
      <c r="B465" s="192"/>
      <c r="C465" s="188"/>
      <c r="D465" s="214"/>
      <c r="E465" s="193"/>
      <c r="F465" s="193"/>
      <c r="G465" s="214"/>
      <c r="H465" s="214"/>
      <c r="I465" s="193"/>
      <c r="J465" s="220"/>
      <c r="K465" s="214"/>
      <c r="L465" s="193"/>
      <c r="M465" s="193"/>
      <c r="N465" s="193"/>
      <c r="O465" s="193"/>
      <c r="P465" s="193"/>
      <c r="Q465" s="193"/>
    </row>
    <row r="466" spans="1:17" ht="17.5">
      <c r="A466" s="198"/>
      <c r="B466" s="192"/>
      <c r="C466" s="188"/>
      <c r="D466" s="214"/>
      <c r="E466" s="193"/>
      <c r="F466" s="193"/>
      <c r="G466" s="214"/>
      <c r="H466" s="214"/>
      <c r="I466" s="193"/>
      <c r="J466" s="220"/>
      <c r="K466" s="214"/>
      <c r="L466" s="193"/>
      <c r="M466" s="193"/>
      <c r="N466" s="193"/>
      <c r="O466" s="193"/>
      <c r="P466" s="193"/>
      <c r="Q466" s="193"/>
    </row>
    <row r="467" spans="1:17" ht="17.5">
      <c r="A467" s="198"/>
      <c r="B467" s="192"/>
      <c r="C467" s="188"/>
      <c r="D467" s="214"/>
      <c r="E467" s="193"/>
      <c r="F467" s="193"/>
      <c r="G467" s="214"/>
      <c r="H467" s="214"/>
      <c r="I467" s="193"/>
      <c r="J467" s="220"/>
      <c r="K467" s="214"/>
      <c r="L467" s="193"/>
      <c r="M467" s="193"/>
      <c r="N467" s="193"/>
      <c r="O467" s="193"/>
      <c r="P467" s="193"/>
      <c r="Q467" s="193"/>
    </row>
    <row r="468" spans="1:17" ht="17.5">
      <c r="A468" s="198"/>
      <c r="B468" s="192"/>
      <c r="C468" s="188"/>
      <c r="D468" s="214"/>
      <c r="E468" s="193"/>
      <c r="F468" s="193"/>
      <c r="G468" s="214"/>
      <c r="H468" s="214"/>
      <c r="I468" s="193"/>
      <c r="J468" s="220"/>
      <c r="K468" s="214"/>
      <c r="L468" s="193"/>
      <c r="M468" s="193"/>
      <c r="N468" s="193"/>
      <c r="O468" s="193"/>
      <c r="P468" s="193"/>
      <c r="Q468" s="193"/>
    </row>
    <row r="469" spans="1:17" ht="17.5">
      <c r="A469" s="198"/>
      <c r="B469" s="192"/>
      <c r="C469" s="188"/>
      <c r="D469" s="214"/>
      <c r="E469" s="193"/>
      <c r="F469" s="193"/>
      <c r="G469" s="214"/>
      <c r="H469" s="214"/>
      <c r="I469" s="193"/>
      <c r="J469" s="220"/>
      <c r="K469" s="214"/>
      <c r="L469" s="193"/>
      <c r="M469" s="193"/>
      <c r="N469" s="193"/>
      <c r="O469" s="193"/>
      <c r="P469" s="193"/>
      <c r="Q469" s="193"/>
    </row>
    <row r="470" spans="1:17" ht="17.5">
      <c r="A470" s="198"/>
      <c r="B470" s="192"/>
      <c r="C470" s="188"/>
      <c r="D470" s="214"/>
      <c r="E470" s="193"/>
      <c r="F470" s="193"/>
      <c r="G470" s="214"/>
      <c r="H470" s="214"/>
      <c r="I470" s="193"/>
      <c r="J470" s="220"/>
      <c r="K470" s="214"/>
      <c r="L470" s="193"/>
      <c r="M470" s="193"/>
      <c r="N470" s="193"/>
      <c r="O470" s="193"/>
      <c r="P470" s="193"/>
      <c r="Q470" s="193"/>
    </row>
    <row r="471" spans="1:17" ht="17.5">
      <c r="A471" s="198"/>
      <c r="B471" s="192"/>
      <c r="C471" s="188"/>
      <c r="D471" s="214"/>
      <c r="E471" s="193"/>
      <c r="F471" s="193"/>
      <c r="G471" s="214"/>
      <c r="H471" s="214"/>
      <c r="I471" s="193"/>
      <c r="J471" s="220"/>
      <c r="K471" s="214"/>
      <c r="L471" s="193"/>
      <c r="M471" s="193"/>
      <c r="N471" s="193"/>
      <c r="O471" s="193"/>
      <c r="P471" s="193"/>
      <c r="Q471" s="193"/>
    </row>
    <row r="472" spans="1:17" ht="17.5">
      <c r="A472" s="198"/>
      <c r="B472" s="192"/>
      <c r="C472" s="188"/>
      <c r="D472" s="214"/>
      <c r="E472" s="193"/>
      <c r="F472" s="193"/>
      <c r="G472" s="214"/>
      <c r="H472" s="214"/>
      <c r="I472" s="193"/>
      <c r="J472" s="220"/>
      <c r="K472" s="214"/>
      <c r="L472" s="193"/>
      <c r="M472" s="193"/>
      <c r="N472" s="193"/>
      <c r="O472" s="193"/>
      <c r="P472" s="193"/>
      <c r="Q472" s="193"/>
    </row>
    <row r="473" spans="1:17" ht="17.5">
      <c r="A473" s="198"/>
      <c r="B473" s="192"/>
      <c r="C473" s="188"/>
      <c r="D473" s="214"/>
      <c r="E473" s="193"/>
      <c r="F473" s="193"/>
      <c r="G473" s="214"/>
      <c r="H473" s="214"/>
      <c r="I473" s="193"/>
      <c r="J473" s="220"/>
      <c r="K473" s="214"/>
      <c r="L473" s="193"/>
      <c r="M473" s="193"/>
      <c r="N473" s="193"/>
      <c r="O473" s="193"/>
      <c r="P473" s="193"/>
      <c r="Q473" s="193"/>
    </row>
    <row r="474" spans="1:17" ht="17.5">
      <c r="A474" s="198"/>
      <c r="B474" s="192"/>
      <c r="C474" s="188"/>
      <c r="D474" s="214"/>
      <c r="E474" s="193"/>
      <c r="F474" s="193"/>
      <c r="G474" s="214"/>
      <c r="H474" s="214"/>
      <c r="I474" s="193"/>
      <c r="J474" s="220"/>
      <c r="K474" s="214"/>
      <c r="L474" s="193"/>
      <c r="M474" s="193"/>
      <c r="N474" s="193"/>
      <c r="O474" s="193"/>
      <c r="P474" s="193"/>
      <c r="Q474" s="193"/>
    </row>
    <row r="475" spans="1:17" ht="17.5">
      <c r="A475" s="198"/>
      <c r="B475" s="192"/>
      <c r="C475" s="188"/>
      <c r="D475" s="214"/>
      <c r="E475" s="193"/>
      <c r="F475" s="193"/>
      <c r="G475" s="214"/>
      <c r="H475" s="214"/>
      <c r="I475" s="193"/>
      <c r="J475" s="220"/>
      <c r="K475" s="214"/>
      <c r="L475" s="193"/>
      <c r="M475" s="193"/>
      <c r="N475" s="193"/>
      <c r="O475" s="193"/>
      <c r="P475" s="193"/>
      <c r="Q475" s="193"/>
    </row>
    <row r="476" spans="1:17" ht="17.5">
      <c r="A476" s="198"/>
      <c r="B476" s="192"/>
      <c r="C476" s="188"/>
      <c r="D476" s="214"/>
      <c r="E476" s="193"/>
      <c r="F476" s="193"/>
      <c r="G476" s="214"/>
      <c r="H476" s="214"/>
      <c r="I476" s="193"/>
      <c r="J476" s="220"/>
      <c r="K476" s="214"/>
      <c r="L476" s="193"/>
      <c r="M476" s="193"/>
      <c r="N476" s="193"/>
      <c r="O476" s="193"/>
      <c r="P476" s="193"/>
      <c r="Q476" s="193"/>
    </row>
    <row r="477" spans="1:17" ht="17.5">
      <c r="A477" s="198"/>
      <c r="B477" s="192"/>
      <c r="C477" s="188"/>
      <c r="D477" s="214"/>
      <c r="E477" s="193"/>
      <c r="F477" s="193"/>
      <c r="G477" s="214"/>
      <c r="H477" s="214"/>
      <c r="I477" s="193"/>
      <c r="J477" s="220"/>
      <c r="K477" s="214"/>
      <c r="L477" s="193"/>
      <c r="M477" s="193"/>
      <c r="N477" s="193"/>
      <c r="O477" s="193"/>
      <c r="P477" s="193"/>
      <c r="Q477" s="193"/>
    </row>
    <row r="478" spans="1:17" ht="17.5">
      <c r="A478" s="198"/>
      <c r="B478" s="192"/>
      <c r="C478" s="188"/>
      <c r="D478" s="214"/>
      <c r="E478" s="193"/>
      <c r="F478" s="193"/>
      <c r="G478" s="214"/>
      <c r="H478" s="214"/>
      <c r="I478" s="193"/>
      <c r="J478" s="220"/>
      <c r="K478" s="214"/>
      <c r="L478" s="193"/>
      <c r="M478" s="193"/>
      <c r="N478" s="193"/>
      <c r="O478" s="193"/>
      <c r="P478" s="193"/>
      <c r="Q478" s="193"/>
    </row>
    <row r="479" spans="1:17" ht="17.5">
      <c r="A479" s="198"/>
      <c r="B479" s="192"/>
      <c r="C479" s="188"/>
      <c r="D479" s="214"/>
      <c r="E479" s="193"/>
      <c r="F479" s="193"/>
      <c r="G479" s="214"/>
      <c r="H479" s="214"/>
      <c r="I479" s="193"/>
      <c r="J479" s="220"/>
      <c r="K479" s="214"/>
      <c r="L479" s="193"/>
      <c r="M479" s="193"/>
      <c r="N479" s="193"/>
      <c r="O479" s="193"/>
      <c r="P479" s="193"/>
      <c r="Q479" s="193"/>
    </row>
    <row r="480" spans="1:17" ht="17.5">
      <c r="A480" s="198"/>
      <c r="B480" s="192"/>
      <c r="C480" s="188"/>
      <c r="D480" s="214"/>
      <c r="E480" s="193"/>
      <c r="F480" s="193"/>
      <c r="G480" s="214"/>
      <c r="H480" s="214"/>
      <c r="I480" s="193"/>
      <c r="J480" s="220"/>
      <c r="K480" s="214"/>
      <c r="L480" s="193"/>
      <c r="M480" s="193"/>
      <c r="N480" s="193"/>
      <c r="O480" s="193"/>
      <c r="P480" s="193"/>
      <c r="Q480" s="193"/>
    </row>
    <row r="481" spans="1:17" ht="17.5">
      <c r="A481" s="198"/>
      <c r="B481" s="192"/>
      <c r="C481" s="188"/>
      <c r="D481" s="214"/>
      <c r="E481" s="193"/>
      <c r="F481" s="193"/>
      <c r="G481" s="214"/>
      <c r="H481" s="214"/>
      <c r="I481" s="193"/>
      <c r="J481" s="220"/>
      <c r="K481" s="214"/>
      <c r="L481" s="193"/>
      <c r="M481" s="193"/>
      <c r="N481" s="193"/>
      <c r="O481" s="193"/>
      <c r="P481" s="193"/>
      <c r="Q481" s="193"/>
    </row>
    <row r="482" spans="1:17" ht="17.5">
      <c r="A482" s="198"/>
      <c r="B482" s="192"/>
      <c r="C482" s="188"/>
      <c r="D482" s="214"/>
      <c r="E482" s="193"/>
      <c r="F482" s="193"/>
      <c r="G482" s="214"/>
      <c r="H482" s="214"/>
      <c r="I482" s="193"/>
      <c r="J482" s="220"/>
      <c r="K482" s="214"/>
      <c r="L482" s="193"/>
      <c r="M482" s="193"/>
      <c r="N482" s="193"/>
      <c r="O482" s="193"/>
      <c r="P482" s="193"/>
      <c r="Q482" s="193"/>
    </row>
    <row r="483" spans="1:17" ht="17.5">
      <c r="A483" s="198"/>
      <c r="B483" s="192"/>
      <c r="C483" s="188"/>
      <c r="D483" s="214"/>
      <c r="E483" s="193"/>
      <c r="F483" s="193"/>
      <c r="G483" s="214"/>
      <c r="H483" s="214"/>
      <c r="I483" s="193"/>
      <c r="J483" s="220"/>
      <c r="K483" s="214"/>
      <c r="L483" s="193"/>
      <c r="M483" s="193"/>
      <c r="N483" s="193"/>
      <c r="O483" s="193"/>
      <c r="P483" s="193"/>
      <c r="Q483" s="193"/>
    </row>
    <row r="484" spans="1:17" ht="17.5">
      <c r="A484" s="198"/>
      <c r="B484" s="192"/>
      <c r="C484" s="188"/>
      <c r="D484" s="214"/>
      <c r="E484" s="193"/>
      <c r="F484" s="193"/>
      <c r="G484" s="214"/>
      <c r="H484" s="214"/>
      <c r="I484" s="193"/>
      <c r="J484" s="220"/>
      <c r="K484" s="214"/>
      <c r="L484" s="193"/>
      <c r="M484" s="193"/>
      <c r="N484" s="193"/>
      <c r="O484" s="193"/>
      <c r="P484" s="193"/>
      <c r="Q484" s="193"/>
    </row>
    <row r="485" spans="1:17" ht="17.5">
      <c r="A485" s="198"/>
      <c r="B485" s="192"/>
      <c r="C485" s="188"/>
      <c r="D485" s="214"/>
      <c r="E485" s="193"/>
      <c r="F485" s="193"/>
      <c r="G485" s="214"/>
      <c r="H485" s="214"/>
      <c r="I485" s="193"/>
      <c r="J485" s="220"/>
      <c r="K485" s="214"/>
      <c r="L485" s="193"/>
      <c r="M485" s="193"/>
      <c r="N485" s="193"/>
      <c r="O485" s="193"/>
      <c r="P485" s="193"/>
      <c r="Q485" s="193"/>
    </row>
    <row r="486" spans="1:17" ht="17.5">
      <c r="A486" s="198"/>
      <c r="B486" s="192"/>
      <c r="C486" s="188"/>
      <c r="D486" s="214"/>
      <c r="E486" s="193"/>
      <c r="F486" s="193"/>
      <c r="G486" s="214"/>
      <c r="H486" s="214"/>
      <c r="I486" s="193"/>
      <c r="J486" s="220"/>
      <c r="K486" s="214"/>
      <c r="L486" s="193"/>
      <c r="M486" s="193"/>
      <c r="N486" s="193"/>
      <c r="O486" s="193"/>
      <c r="P486" s="193"/>
      <c r="Q486" s="193"/>
    </row>
    <row r="487" spans="1:17" ht="17.5">
      <c r="A487" s="198"/>
      <c r="B487" s="192"/>
      <c r="C487" s="188"/>
      <c r="D487" s="214"/>
      <c r="E487" s="193"/>
      <c r="F487" s="193"/>
      <c r="G487" s="214"/>
      <c r="H487" s="214"/>
      <c r="I487" s="193"/>
      <c r="J487" s="220"/>
      <c r="K487" s="214"/>
      <c r="L487" s="193"/>
      <c r="M487" s="193"/>
      <c r="N487" s="193"/>
      <c r="O487" s="193"/>
      <c r="P487" s="193"/>
      <c r="Q487" s="193"/>
    </row>
    <row r="488" spans="1:17" ht="17.5">
      <c r="A488" s="198"/>
      <c r="B488" s="192"/>
      <c r="C488" s="188"/>
      <c r="D488" s="214"/>
      <c r="E488" s="193"/>
      <c r="F488" s="193"/>
      <c r="G488" s="214"/>
      <c r="H488" s="214"/>
      <c r="I488" s="193"/>
      <c r="J488" s="220"/>
      <c r="K488" s="214"/>
      <c r="L488" s="193"/>
      <c r="M488" s="193"/>
      <c r="N488" s="193"/>
      <c r="O488" s="193"/>
      <c r="P488" s="193"/>
      <c r="Q488" s="193"/>
    </row>
    <row r="489" spans="1:17" ht="17.5">
      <c r="A489" s="198"/>
      <c r="B489" s="192"/>
      <c r="C489" s="188"/>
      <c r="D489" s="214"/>
      <c r="E489" s="193"/>
      <c r="F489" s="193"/>
      <c r="G489" s="214"/>
      <c r="H489" s="214"/>
      <c r="I489" s="193"/>
      <c r="J489" s="220"/>
      <c r="K489" s="214"/>
      <c r="L489" s="193"/>
      <c r="M489" s="193"/>
      <c r="N489" s="193"/>
      <c r="O489" s="193"/>
      <c r="P489" s="193"/>
      <c r="Q489" s="193"/>
    </row>
    <row r="490" spans="1:17" ht="17.5">
      <c r="A490" s="198"/>
      <c r="B490" s="192"/>
      <c r="C490" s="188"/>
      <c r="D490" s="214"/>
      <c r="E490" s="193"/>
      <c r="F490" s="193"/>
      <c r="G490" s="214"/>
      <c r="H490" s="214"/>
      <c r="I490" s="193"/>
      <c r="J490" s="220"/>
      <c r="K490" s="214"/>
      <c r="L490" s="193"/>
      <c r="M490" s="193"/>
      <c r="N490" s="193"/>
      <c r="O490" s="193"/>
      <c r="P490" s="193"/>
      <c r="Q490" s="193"/>
    </row>
    <row r="491" spans="1:17" ht="17.5">
      <c r="A491" s="198"/>
      <c r="B491" s="192"/>
      <c r="C491" s="188"/>
      <c r="D491" s="214"/>
      <c r="E491" s="193"/>
      <c r="F491" s="193"/>
      <c r="G491" s="214"/>
      <c r="H491" s="214"/>
      <c r="I491" s="193"/>
      <c r="J491" s="220"/>
      <c r="K491" s="214"/>
      <c r="L491" s="193"/>
      <c r="M491" s="193"/>
      <c r="N491" s="193"/>
      <c r="O491" s="193"/>
      <c r="P491" s="193"/>
      <c r="Q491" s="193"/>
    </row>
    <row r="492" spans="1:17" ht="17.5">
      <c r="A492" s="198"/>
      <c r="B492" s="192"/>
      <c r="C492" s="188"/>
      <c r="D492" s="214"/>
      <c r="E492" s="193"/>
      <c r="F492" s="193"/>
      <c r="G492" s="214"/>
      <c r="H492" s="214"/>
      <c r="I492" s="193"/>
      <c r="J492" s="220"/>
      <c r="K492" s="214"/>
      <c r="L492" s="193"/>
      <c r="M492" s="193"/>
      <c r="N492" s="193"/>
      <c r="O492" s="193"/>
      <c r="P492" s="193"/>
      <c r="Q492" s="193"/>
    </row>
    <row r="493" spans="1:17" ht="17.5">
      <c r="A493" s="198"/>
      <c r="B493" s="192"/>
      <c r="C493" s="188"/>
      <c r="D493" s="214"/>
      <c r="E493" s="193"/>
      <c r="F493" s="193"/>
      <c r="G493" s="214"/>
      <c r="H493" s="214"/>
      <c r="I493" s="193"/>
      <c r="J493" s="220"/>
      <c r="K493" s="214"/>
      <c r="L493" s="193"/>
      <c r="M493" s="193"/>
      <c r="N493" s="193"/>
      <c r="O493" s="193"/>
      <c r="P493" s="193"/>
      <c r="Q493" s="193"/>
    </row>
    <row r="494" spans="1:17" ht="17.5">
      <c r="A494" s="198"/>
      <c r="B494" s="192"/>
      <c r="C494" s="188"/>
      <c r="D494" s="214"/>
      <c r="E494" s="193"/>
      <c r="F494" s="193"/>
      <c r="G494" s="214"/>
      <c r="H494" s="214"/>
      <c r="I494" s="193"/>
      <c r="J494" s="220"/>
      <c r="K494" s="214"/>
      <c r="L494" s="193"/>
      <c r="M494" s="193"/>
      <c r="N494" s="193"/>
      <c r="O494" s="193"/>
      <c r="P494" s="193"/>
      <c r="Q494" s="193"/>
    </row>
    <row r="495" spans="1:17" ht="17.5">
      <c r="A495" s="198"/>
      <c r="B495" s="192"/>
      <c r="C495" s="188"/>
      <c r="D495" s="214"/>
      <c r="E495" s="193"/>
      <c r="F495" s="193"/>
      <c r="G495" s="214"/>
      <c r="H495" s="214"/>
      <c r="I495" s="193"/>
      <c r="J495" s="220"/>
      <c r="K495" s="214"/>
      <c r="L495" s="193"/>
      <c r="M495" s="193"/>
      <c r="N495" s="193"/>
      <c r="O495" s="193"/>
      <c r="P495" s="193"/>
      <c r="Q495" s="193"/>
    </row>
    <row r="496" spans="1:17" ht="17.5">
      <c r="A496" s="198"/>
      <c r="B496" s="192"/>
      <c r="C496" s="188"/>
      <c r="D496" s="214"/>
      <c r="E496" s="193"/>
      <c r="F496" s="193"/>
      <c r="G496" s="214"/>
      <c r="H496" s="214"/>
      <c r="I496" s="193"/>
      <c r="J496" s="220"/>
      <c r="K496" s="214"/>
      <c r="L496" s="193"/>
      <c r="M496" s="193"/>
      <c r="N496" s="193"/>
      <c r="O496" s="193"/>
      <c r="P496" s="193"/>
      <c r="Q496" s="193"/>
    </row>
    <row r="497" spans="1:17" ht="17.5">
      <c r="A497" s="198"/>
      <c r="B497" s="192"/>
      <c r="C497" s="188"/>
      <c r="D497" s="214"/>
      <c r="E497" s="193"/>
      <c r="F497" s="193"/>
      <c r="G497" s="214"/>
      <c r="H497" s="214"/>
      <c r="I497" s="193"/>
      <c r="J497" s="220"/>
      <c r="K497" s="214"/>
      <c r="L497" s="193"/>
      <c r="M497" s="193"/>
      <c r="N497" s="193"/>
      <c r="O497" s="193"/>
      <c r="P497" s="193"/>
      <c r="Q497" s="193"/>
    </row>
    <row r="498" spans="1:17" ht="17.5">
      <c r="A498" s="198"/>
      <c r="B498" s="192"/>
      <c r="C498" s="188"/>
      <c r="D498" s="214"/>
      <c r="E498" s="193"/>
      <c r="F498" s="193"/>
      <c r="G498" s="214"/>
      <c r="H498" s="214"/>
      <c r="I498" s="193"/>
      <c r="J498" s="220"/>
      <c r="K498" s="214"/>
      <c r="L498" s="193"/>
      <c r="M498" s="193"/>
      <c r="N498" s="193"/>
      <c r="O498" s="193"/>
      <c r="P498" s="193"/>
      <c r="Q498" s="193"/>
    </row>
    <row r="499" spans="1:17" ht="17.5">
      <c r="A499" s="198"/>
      <c r="B499" s="192"/>
      <c r="C499" s="188"/>
      <c r="D499" s="214"/>
      <c r="E499" s="193"/>
      <c r="F499" s="193"/>
      <c r="G499" s="214"/>
      <c r="H499" s="214"/>
      <c r="I499" s="193"/>
      <c r="J499" s="220"/>
      <c r="K499" s="214"/>
      <c r="L499" s="193"/>
      <c r="M499" s="193"/>
      <c r="N499" s="193"/>
      <c r="O499" s="193"/>
      <c r="P499" s="193"/>
      <c r="Q499" s="193"/>
    </row>
    <row r="500" spans="1:17" ht="17.5">
      <c r="A500" s="198"/>
      <c r="B500" s="192"/>
      <c r="C500" s="188"/>
      <c r="D500" s="214"/>
      <c r="E500" s="193"/>
      <c r="F500" s="193"/>
      <c r="G500" s="214"/>
      <c r="H500" s="214"/>
      <c r="I500" s="193"/>
      <c r="J500" s="220"/>
      <c r="K500" s="214"/>
      <c r="L500" s="193"/>
      <c r="M500" s="193"/>
      <c r="N500" s="193"/>
      <c r="O500" s="193"/>
      <c r="P500" s="193"/>
      <c r="Q500" s="193"/>
    </row>
    <row r="501" spans="1:17" ht="17.5">
      <c r="A501" s="198"/>
      <c r="B501" s="192"/>
      <c r="C501" s="188"/>
      <c r="D501" s="214"/>
      <c r="E501" s="193"/>
      <c r="F501" s="193"/>
      <c r="G501" s="214"/>
      <c r="H501" s="214"/>
      <c r="I501" s="193"/>
      <c r="J501" s="220"/>
      <c r="K501" s="214"/>
      <c r="L501" s="193"/>
      <c r="M501" s="193"/>
      <c r="N501" s="193"/>
      <c r="O501" s="193"/>
      <c r="P501" s="193"/>
      <c r="Q501" s="193"/>
    </row>
    <row r="502" spans="1:17" ht="17.5">
      <c r="A502" s="198"/>
      <c r="B502" s="192"/>
      <c r="C502" s="188"/>
      <c r="D502" s="214"/>
      <c r="E502" s="193"/>
      <c r="F502" s="193"/>
      <c r="G502" s="214"/>
      <c r="H502" s="214"/>
      <c r="I502" s="193"/>
      <c r="J502" s="220"/>
      <c r="K502" s="214"/>
      <c r="L502" s="193"/>
      <c r="M502" s="193"/>
      <c r="N502" s="193"/>
      <c r="O502" s="193"/>
      <c r="P502" s="193"/>
      <c r="Q502" s="193"/>
    </row>
    <row r="503" spans="1:17" ht="17.5">
      <c r="A503" s="198"/>
      <c r="B503" s="192"/>
      <c r="C503" s="188"/>
      <c r="D503" s="214"/>
      <c r="E503" s="193"/>
      <c r="F503" s="193"/>
      <c r="G503" s="214"/>
      <c r="H503" s="214"/>
      <c r="I503" s="193"/>
      <c r="J503" s="220"/>
      <c r="K503" s="214"/>
      <c r="L503" s="193"/>
      <c r="M503" s="193"/>
      <c r="N503" s="193"/>
      <c r="O503" s="193"/>
      <c r="P503" s="193"/>
      <c r="Q503" s="193"/>
    </row>
    <row r="504" spans="1:17" ht="17.5">
      <c r="A504" s="198"/>
      <c r="B504" s="192"/>
      <c r="C504" s="188"/>
      <c r="D504" s="214"/>
      <c r="E504" s="193"/>
      <c r="F504" s="193"/>
      <c r="G504" s="214"/>
      <c r="H504" s="214"/>
      <c r="I504" s="193"/>
      <c r="J504" s="220"/>
      <c r="K504" s="214"/>
      <c r="L504" s="193"/>
      <c r="M504" s="193"/>
      <c r="N504" s="193"/>
      <c r="O504" s="193"/>
      <c r="P504" s="193"/>
      <c r="Q504" s="193"/>
    </row>
    <row r="505" spans="1:17" ht="17.5">
      <c r="A505" s="198"/>
      <c r="B505" s="192"/>
      <c r="C505" s="188"/>
      <c r="D505" s="214"/>
      <c r="E505" s="193"/>
      <c r="F505" s="193"/>
      <c r="G505" s="214"/>
      <c r="H505" s="214"/>
      <c r="I505" s="193"/>
      <c r="J505" s="220"/>
      <c r="K505" s="214"/>
      <c r="L505" s="193"/>
      <c r="M505" s="193"/>
      <c r="N505" s="193"/>
      <c r="O505" s="193"/>
      <c r="P505" s="193"/>
      <c r="Q505" s="193"/>
    </row>
    <row r="506" spans="1:17" ht="17.5">
      <c r="A506" s="198"/>
      <c r="B506" s="192"/>
      <c r="C506" s="188"/>
      <c r="D506" s="214"/>
      <c r="E506" s="193"/>
      <c r="F506" s="193"/>
      <c r="G506" s="214"/>
      <c r="H506" s="214"/>
      <c r="I506" s="193"/>
      <c r="J506" s="220"/>
      <c r="K506" s="214"/>
      <c r="L506" s="193"/>
      <c r="M506" s="193"/>
      <c r="N506" s="193"/>
      <c r="O506" s="193"/>
      <c r="P506" s="193"/>
      <c r="Q506" s="193"/>
    </row>
    <row r="507" spans="1:17" ht="17.5">
      <c r="A507" s="198"/>
      <c r="B507" s="192"/>
      <c r="C507" s="188"/>
      <c r="D507" s="214"/>
      <c r="E507" s="193"/>
      <c r="F507" s="193"/>
      <c r="G507" s="214"/>
      <c r="H507" s="214"/>
      <c r="I507" s="193"/>
      <c r="J507" s="220"/>
      <c r="K507" s="214"/>
      <c r="L507" s="193"/>
      <c r="M507" s="193"/>
      <c r="N507" s="193"/>
      <c r="O507" s="193"/>
      <c r="P507" s="193"/>
      <c r="Q507" s="193"/>
    </row>
    <row r="508" spans="1:17" ht="17.5">
      <c r="A508" s="198"/>
      <c r="B508" s="192"/>
      <c r="C508" s="188"/>
      <c r="D508" s="214"/>
      <c r="E508" s="193"/>
      <c r="F508" s="193"/>
      <c r="G508" s="214"/>
      <c r="H508" s="214"/>
      <c r="I508" s="193"/>
      <c r="J508" s="220"/>
      <c r="K508" s="214"/>
      <c r="L508" s="193"/>
      <c r="M508" s="193"/>
      <c r="N508" s="193"/>
      <c r="O508" s="193"/>
      <c r="P508" s="193"/>
      <c r="Q508" s="193"/>
    </row>
    <row r="509" spans="1:17" ht="17.5">
      <c r="A509" s="198"/>
      <c r="B509" s="192"/>
      <c r="C509" s="188"/>
      <c r="D509" s="214"/>
      <c r="E509" s="193"/>
      <c r="F509" s="193"/>
      <c r="G509" s="214"/>
      <c r="H509" s="214"/>
      <c r="I509" s="193"/>
      <c r="J509" s="220"/>
      <c r="K509" s="214"/>
      <c r="L509" s="193"/>
      <c r="M509" s="193"/>
      <c r="N509" s="193"/>
      <c r="O509" s="193"/>
      <c r="P509" s="193"/>
      <c r="Q509" s="193"/>
    </row>
    <row r="510" spans="1:17" ht="17.5">
      <c r="A510" s="198"/>
      <c r="B510" s="192"/>
      <c r="C510" s="188"/>
      <c r="D510" s="214"/>
      <c r="E510" s="193"/>
      <c r="F510" s="193"/>
      <c r="G510" s="214"/>
      <c r="H510" s="214"/>
      <c r="I510" s="193"/>
      <c r="J510" s="220"/>
      <c r="K510" s="214"/>
      <c r="L510" s="193"/>
      <c r="M510" s="193"/>
      <c r="N510" s="193"/>
      <c r="O510" s="193"/>
      <c r="P510" s="193"/>
      <c r="Q510" s="193"/>
    </row>
    <row r="511" spans="1:17" ht="17.5">
      <c r="A511" s="198"/>
      <c r="B511" s="192"/>
      <c r="C511" s="188"/>
      <c r="D511" s="214"/>
      <c r="E511" s="193"/>
      <c r="F511" s="193"/>
      <c r="G511" s="214"/>
      <c r="H511" s="214"/>
      <c r="I511" s="193"/>
      <c r="J511" s="220"/>
      <c r="K511" s="214"/>
      <c r="L511" s="193"/>
      <c r="M511" s="193"/>
      <c r="N511" s="193"/>
      <c r="O511" s="193"/>
      <c r="P511" s="193"/>
      <c r="Q511" s="193"/>
    </row>
    <row r="512" spans="1:17" ht="17.5">
      <c r="A512" s="198"/>
      <c r="B512" s="192"/>
      <c r="C512" s="188"/>
      <c r="D512" s="214"/>
      <c r="E512" s="193"/>
      <c r="F512" s="193"/>
      <c r="G512" s="214"/>
      <c r="H512" s="214"/>
      <c r="I512" s="193"/>
      <c r="J512" s="220"/>
      <c r="K512" s="214"/>
      <c r="L512" s="193"/>
      <c r="M512" s="193"/>
      <c r="N512" s="193"/>
      <c r="O512" s="193"/>
      <c r="P512" s="193"/>
      <c r="Q512" s="193"/>
    </row>
    <row r="513" spans="1:17" ht="17.5">
      <c r="A513" s="198"/>
      <c r="B513" s="192"/>
      <c r="C513" s="188"/>
      <c r="D513" s="214"/>
      <c r="E513" s="193"/>
      <c r="F513" s="193"/>
      <c r="G513" s="214"/>
      <c r="H513" s="214"/>
      <c r="I513" s="193"/>
      <c r="J513" s="220"/>
      <c r="K513" s="214"/>
      <c r="L513" s="193"/>
      <c r="M513" s="193"/>
      <c r="N513" s="193"/>
      <c r="O513" s="193"/>
      <c r="P513" s="193"/>
      <c r="Q513" s="193"/>
    </row>
    <row r="514" spans="1:17" ht="17.5">
      <c r="A514" s="198"/>
      <c r="B514" s="192"/>
      <c r="C514" s="188"/>
      <c r="D514" s="214"/>
      <c r="E514" s="193"/>
      <c r="F514" s="193"/>
      <c r="G514" s="214"/>
      <c r="H514" s="214"/>
      <c r="I514" s="193"/>
      <c r="J514" s="220"/>
      <c r="K514" s="214"/>
      <c r="L514" s="193"/>
      <c r="M514" s="193"/>
      <c r="N514" s="193"/>
      <c r="O514" s="193"/>
      <c r="P514" s="193"/>
      <c r="Q514" s="193"/>
    </row>
    <row r="515" spans="1:17" ht="17.5">
      <c r="A515" s="198"/>
      <c r="B515" s="192"/>
      <c r="C515" s="188"/>
      <c r="D515" s="214"/>
      <c r="E515" s="193"/>
      <c r="F515" s="193"/>
      <c r="G515" s="214"/>
      <c r="H515" s="214"/>
      <c r="I515" s="193"/>
      <c r="J515" s="220"/>
      <c r="K515" s="214"/>
      <c r="L515" s="193"/>
      <c r="M515" s="193"/>
      <c r="N515" s="193"/>
      <c r="O515" s="193"/>
      <c r="P515" s="193"/>
      <c r="Q515" s="193"/>
    </row>
    <row r="516" spans="1:17" ht="17.5">
      <c r="A516" s="198"/>
      <c r="B516" s="192"/>
      <c r="C516" s="188"/>
      <c r="D516" s="214"/>
      <c r="E516" s="193"/>
      <c r="F516" s="193"/>
      <c r="G516" s="214"/>
      <c r="H516" s="214"/>
      <c r="I516" s="193"/>
      <c r="J516" s="220"/>
      <c r="K516" s="214"/>
      <c r="L516" s="193"/>
      <c r="M516" s="193"/>
      <c r="N516" s="193"/>
      <c r="O516" s="193"/>
      <c r="P516" s="193"/>
      <c r="Q516" s="193"/>
    </row>
    <row r="517" spans="1:17" ht="17.5">
      <c r="A517" s="198"/>
      <c r="B517" s="192"/>
      <c r="C517" s="188"/>
      <c r="D517" s="214"/>
      <c r="E517" s="193"/>
      <c r="F517" s="193"/>
      <c r="G517" s="214"/>
      <c r="H517" s="214"/>
      <c r="I517" s="193"/>
      <c r="J517" s="220"/>
      <c r="K517" s="214"/>
      <c r="L517" s="193"/>
      <c r="M517" s="193"/>
      <c r="N517" s="193"/>
      <c r="O517" s="193"/>
      <c r="P517" s="193"/>
      <c r="Q517" s="193"/>
    </row>
    <row r="518" spans="1:17" ht="17.5">
      <c r="A518" s="198"/>
      <c r="B518" s="192"/>
      <c r="C518" s="188"/>
      <c r="D518" s="214"/>
      <c r="E518" s="193"/>
      <c r="F518" s="193"/>
      <c r="G518" s="214"/>
      <c r="H518" s="214"/>
      <c r="I518" s="193"/>
      <c r="J518" s="220"/>
      <c r="K518" s="214"/>
      <c r="L518" s="193"/>
      <c r="M518" s="193"/>
      <c r="N518" s="193"/>
      <c r="O518" s="193"/>
      <c r="P518" s="193"/>
      <c r="Q518" s="193"/>
    </row>
    <row r="519" spans="1:17" ht="17.5">
      <c r="A519" s="198"/>
      <c r="B519" s="192"/>
      <c r="C519" s="188"/>
      <c r="D519" s="214"/>
      <c r="E519" s="193"/>
      <c r="F519" s="193"/>
      <c r="G519" s="214"/>
      <c r="H519" s="214"/>
      <c r="I519" s="193"/>
      <c r="J519" s="220"/>
      <c r="K519" s="214"/>
      <c r="L519" s="193"/>
      <c r="M519" s="193"/>
      <c r="N519" s="193"/>
      <c r="O519" s="193"/>
      <c r="P519" s="193"/>
      <c r="Q519" s="193"/>
    </row>
    <row r="520" spans="1:17" ht="17.5">
      <c r="A520" s="198"/>
      <c r="B520" s="192"/>
      <c r="C520" s="188"/>
      <c r="D520" s="214"/>
      <c r="E520" s="193"/>
      <c r="F520" s="193"/>
      <c r="G520" s="214"/>
      <c r="H520" s="214"/>
      <c r="I520" s="193"/>
      <c r="J520" s="220"/>
      <c r="K520" s="214"/>
      <c r="L520" s="193"/>
      <c r="M520" s="193"/>
      <c r="N520" s="193"/>
      <c r="O520" s="193"/>
      <c r="P520" s="193"/>
      <c r="Q520" s="193"/>
    </row>
    <row r="521" spans="1:17" ht="17.5">
      <c r="A521" s="198"/>
      <c r="B521" s="192"/>
      <c r="C521" s="188"/>
      <c r="D521" s="214"/>
      <c r="E521" s="193"/>
      <c r="F521" s="193"/>
      <c r="G521" s="214"/>
      <c r="H521" s="214"/>
      <c r="I521" s="193"/>
      <c r="J521" s="220"/>
      <c r="K521" s="214"/>
      <c r="L521" s="193"/>
      <c r="M521" s="193"/>
      <c r="N521" s="193"/>
      <c r="O521" s="193"/>
      <c r="P521" s="193"/>
      <c r="Q521" s="193"/>
    </row>
    <row r="522" spans="1:17" ht="17.5">
      <c r="A522" s="198"/>
      <c r="B522" s="192"/>
      <c r="C522" s="188"/>
      <c r="D522" s="214"/>
      <c r="E522" s="193"/>
      <c r="F522" s="193"/>
      <c r="G522" s="214"/>
      <c r="H522" s="214"/>
      <c r="I522" s="193"/>
      <c r="J522" s="220"/>
      <c r="K522" s="214"/>
      <c r="L522" s="193"/>
      <c r="M522" s="193"/>
      <c r="N522" s="193"/>
      <c r="O522" s="193"/>
      <c r="P522" s="193"/>
      <c r="Q522" s="193"/>
    </row>
    <row r="523" spans="1:17" ht="17.5">
      <c r="A523" s="198"/>
      <c r="B523" s="192"/>
      <c r="C523" s="188"/>
      <c r="D523" s="214"/>
      <c r="E523" s="193"/>
      <c r="F523" s="193"/>
      <c r="G523" s="214"/>
      <c r="H523" s="214"/>
      <c r="I523" s="193"/>
      <c r="J523" s="220"/>
      <c r="K523" s="214"/>
      <c r="L523" s="193"/>
      <c r="M523" s="193"/>
      <c r="N523" s="193"/>
      <c r="O523" s="193"/>
      <c r="P523" s="193"/>
      <c r="Q523" s="193"/>
    </row>
    <row r="524" spans="1:17" ht="17.5">
      <c r="A524" s="198"/>
      <c r="B524" s="192"/>
      <c r="C524" s="188"/>
      <c r="D524" s="214"/>
      <c r="E524" s="193"/>
      <c r="F524" s="193"/>
      <c r="G524" s="214"/>
      <c r="H524" s="214"/>
      <c r="I524" s="193"/>
      <c r="J524" s="220"/>
      <c r="K524" s="214"/>
      <c r="L524" s="193"/>
      <c r="M524" s="193"/>
      <c r="N524" s="193"/>
      <c r="O524" s="193"/>
      <c r="P524" s="193"/>
      <c r="Q524" s="193"/>
    </row>
    <row r="525" spans="1:17" ht="17.5">
      <c r="A525" s="198"/>
      <c r="B525" s="192"/>
      <c r="C525" s="188"/>
      <c r="D525" s="214"/>
      <c r="E525" s="193"/>
      <c r="F525" s="193"/>
      <c r="G525" s="214"/>
      <c r="H525" s="214"/>
      <c r="I525" s="193"/>
      <c r="J525" s="220"/>
      <c r="K525" s="214"/>
      <c r="L525" s="193"/>
      <c r="M525" s="193"/>
      <c r="N525" s="193"/>
      <c r="O525" s="193"/>
      <c r="P525" s="193"/>
      <c r="Q525" s="193"/>
    </row>
    <row r="526" spans="1:17" ht="17.5">
      <c r="A526" s="198"/>
      <c r="B526" s="192"/>
      <c r="C526" s="188"/>
      <c r="D526" s="214"/>
      <c r="E526" s="193"/>
      <c r="F526" s="193"/>
      <c r="G526" s="214"/>
      <c r="H526" s="214"/>
      <c r="I526" s="193"/>
      <c r="J526" s="220"/>
      <c r="K526" s="214"/>
      <c r="L526" s="193"/>
      <c r="M526" s="193"/>
      <c r="N526" s="193"/>
      <c r="O526" s="193"/>
      <c r="P526" s="193"/>
      <c r="Q526" s="193"/>
    </row>
    <row r="527" spans="1:17" ht="17.5">
      <c r="A527" s="198"/>
      <c r="B527" s="192"/>
      <c r="C527" s="188"/>
      <c r="D527" s="214"/>
      <c r="E527" s="193"/>
      <c r="F527" s="193"/>
      <c r="G527" s="214"/>
      <c r="H527" s="214"/>
      <c r="I527" s="193"/>
      <c r="J527" s="220"/>
      <c r="K527" s="214"/>
      <c r="L527" s="193"/>
      <c r="M527" s="193"/>
      <c r="N527" s="193"/>
      <c r="O527" s="193"/>
      <c r="P527" s="193"/>
      <c r="Q527" s="193"/>
    </row>
    <row r="528" spans="1:17" ht="17.5">
      <c r="A528" s="198"/>
      <c r="B528" s="192"/>
      <c r="C528" s="188"/>
      <c r="D528" s="214"/>
      <c r="E528" s="193"/>
      <c r="F528" s="193"/>
      <c r="G528" s="214"/>
      <c r="H528" s="214"/>
      <c r="I528" s="193"/>
      <c r="J528" s="220"/>
      <c r="K528" s="214"/>
      <c r="L528" s="193"/>
      <c r="M528" s="193"/>
      <c r="N528" s="193"/>
      <c r="O528" s="193"/>
      <c r="P528" s="193"/>
      <c r="Q528" s="193"/>
    </row>
    <row r="529" spans="1:17" ht="17.5">
      <c r="A529" s="198"/>
      <c r="B529" s="192"/>
      <c r="C529" s="188"/>
      <c r="D529" s="214"/>
      <c r="E529" s="193"/>
      <c r="F529" s="193"/>
      <c r="G529" s="214"/>
      <c r="H529" s="214"/>
      <c r="I529" s="193"/>
      <c r="J529" s="220"/>
      <c r="K529" s="214"/>
      <c r="L529" s="193"/>
      <c r="M529" s="193"/>
      <c r="N529" s="193"/>
      <c r="O529" s="193"/>
      <c r="P529" s="193"/>
      <c r="Q529" s="193"/>
    </row>
    <row r="530" spans="1:17" ht="17.5">
      <c r="A530" s="198"/>
      <c r="B530" s="192"/>
      <c r="C530" s="188"/>
      <c r="D530" s="214"/>
      <c r="E530" s="193"/>
      <c r="F530" s="193"/>
      <c r="G530" s="214"/>
      <c r="H530" s="214"/>
      <c r="I530" s="193"/>
      <c r="J530" s="220"/>
      <c r="K530" s="214"/>
      <c r="L530" s="193"/>
      <c r="M530" s="193"/>
      <c r="N530" s="193"/>
      <c r="O530" s="193"/>
      <c r="P530" s="193"/>
      <c r="Q530" s="193"/>
    </row>
    <row r="531" spans="1:17" ht="17.5">
      <c r="A531" s="198"/>
      <c r="B531" s="192"/>
      <c r="C531" s="188"/>
      <c r="D531" s="214"/>
      <c r="E531" s="193"/>
      <c r="F531" s="193"/>
      <c r="G531" s="214"/>
      <c r="H531" s="214"/>
      <c r="I531" s="193"/>
      <c r="J531" s="220"/>
      <c r="K531" s="214"/>
      <c r="L531" s="193"/>
      <c r="M531" s="193"/>
      <c r="N531" s="193"/>
      <c r="O531" s="193"/>
      <c r="P531" s="193"/>
      <c r="Q531" s="193"/>
    </row>
    <row r="532" spans="1:17" ht="17.5">
      <c r="A532" s="198"/>
      <c r="B532" s="192"/>
      <c r="C532" s="188"/>
      <c r="D532" s="214"/>
      <c r="E532" s="193"/>
      <c r="F532" s="193"/>
      <c r="G532" s="214"/>
      <c r="H532" s="214"/>
      <c r="I532" s="193"/>
      <c r="J532" s="220"/>
      <c r="K532" s="214"/>
      <c r="L532" s="193"/>
      <c r="M532" s="193"/>
      <c r="N532" s="193"/>
      <c r="O532" s="193"/>
      <c r="P532" s="193"/>
      <c r="Q532" s="193"/>
    </row>
    <row r="533" spans="1:17" ht="17.5">
      <c r="A533" s="198"/>
      <c r="B533" s="192"/>
      <c r="C533" s="188"/>
      <c r="D533" s="214"/>
      <c r="E533" s="193"/>
      <c r="F533" s="193"/>
      <c r="G533" s="214"/>
      <c r="H533" s="214"/>
      <c r="I533" s="193"/>
      <c r="J533" s="220"/>
      <c r="K533" s="214"/>
      <c r="L533" s="193"/>
      <c r="M533" s="193"/>
      <c r="N533" s="193"/>
      <c r="O533" s="193"/>
      <c r="P533" s="193"/>
      <c r="Q533" s="193"/>
    </row>
    <row r="534" spans="1:17" ht="17.5">
      <c r="A534" s="198"/>
      <c r="B534" s="192"/>
      <c r="C534" s="188"/>
      <c r="D534" s="214"/>
      <c r="E534" s="193"/>
      <c r="F534" s="193"/>
      <c r="G534" s="214"/>
      <c r="H534" s="214"/>
      <c r="I534" s="193"/>
      <c r="J534" s="220"/>
      <c r="K534" s="214"/>
      <c r="L534" s="193"/>
      <c r="M534" s="193"/>
      <c r="N534" s="193"/>
      <c r="O534" s="193"/>
      <c r="P534" s="193"/>
      <c r="Q534" s="193"/>
    </row>
    <row r="535" spans="1:17" ht="17.5">
      <c r="A535" s="198"/>
      <c r="B535" s="192"/>
      <c r="C535" s="188"/>
      <c r="D535" s="214"/>
      <c r="E535" s="193"/>
      <c r="F535" s="193"/>
      <c r="G535" s="214"/>
      <c r="H535" s="214"/>
      <c r="I535" s="193"/>
      <c r="J535" s="220"/>
      <c r="K535" s="214"/>
      <c r="L535" s="193"/>
      <c r="M535" s="193"/>
      <c r="N535" s="193"/>
      <c r="O535" s="193"/>
      <c r="P535" s="193"/>
      <c r="Q535" s="193"/>
    </row>
    <row r="536" spans="1:17" ht="17.5">
      <c r="A536" s="198"/>
      <c r="B536" s="192"/>
      <c r="C536" s="188"/>
      <c r="D536" s="214"/>
      <c r="E536" s="193"/>
      <c r="F536" s="193"/>
      <c r="G536" s="214"/>
      <c r="H536" s="214"/>
      <c r="I536" s="193"/>
      <c r="J536" s="220"/>
      <c r="K536" s="214"/>
      <c r="L536" s="193"/>
      <c r="M536" s="193"/>
      <c r="N536" s="193"/>
      <c r="O536" s="193"/>
      <c r="P536" s="193"/>
      <c r="Q536" s="193"/>
    </row>
    <row r="537" spans="1:17" ht="17.5">
      <c r="A537" s="198"/>
      <c r="B537" s="192"/>
      <c r="C537" s="188"/>
      <c r="D537" s="214"/>
      <c r="E537" s="193"/>
      <c r="F537" s="193"/>
      <c r="G537" s="214"/>
      <c r="H537" s="214"/>
      <c r="I537" s="193"/>
      <c r="J537" s="220"/>
      <c r="K537" s="214"/>
      <c r="L537" s="193"/>
      <c r="M537" s="193"/>
      <c r="N537" s="193"/>
      <c r="O537" s="193"/>
      <c r="P537" s="193"/>
      <c r="Q537" s="193"/>
    </row>
    <row r="538" spans="1:17" ht="17.5">
      <c r="A538" s="198"/>
      <c r="B538" s="192"/>
      <c r="C538" s="188"/>
      <c r="D538" s="214"/>
      <c r="E538" s="193"/>
      <c r="F538" s="193"/>
      <c r="G538" s="214"/>
      <c r="H538" s="214"/>
      <c r="I538" s="193"/>
      <c r="J538" s="220"/>
      <c r="K538" s="214"/>
      <c r="L538" s="193"/>
      <c r="M538" s="193"/>
      <c r="N538" s="193"/>
      <c r="O538" s="193"/>
      <c r="P538" s="193"/>
      <c r="Q538" s="193"/>
    </row>
    <row r="539" spans="1:17" ht="17.5">
      <c r="A539" s="198"/>
      <c r="B539" s="192"/>
      <c r="C539" s="188"/>
      <c r="D539" s="214"/>
      <c r="E539" s="193"/>
      <c r="F539" s="193"/>
      <c r="G539" s="214"/>
      <c r="H539" s="214"/>
      <c r="I539" s="193"/>
      <c r="J539" s="220"/>
      <c r="K539" s="214"/>
      <c r="L539" s="193"/>
      <c r="M539" s="193"/>
      <c r="N539" s="193"/>
      <c r="O539" s="193"/>
      <c r="P539" s="193"/>
      <c r="Q539" s="193"/>
    </row>
    <row r="540" spans="1:17" ht="17.5">
      <c r="A540" s="198"/>
      <c r="B540" s="192"/>
      <c r="C540" s="188"/>
      <c r="D540" s="214"/>
      <c r="E540" s="193"/>
      <c r="F540" s="193"/>
      <c r="G540" s="214"/>
      <c r="H540" s="214"/>
      <c r="I540" s="193"/>
      <c r="J540" s="220"/>
      <c r="K540" s="214"/>
      <c r="L540" s="193"/>
      <c r="M540" s="193"/>
      <c r="N540" s="193"/>
      <c r="O540" s="193"/>
      <c r="P540" s="193"/>
      <c r="Q540" s="193"/>
    </row>
    <row r="541" spans="1:17" ht="17.5">
      <c r="A541" s="198"/>
      <c r="B541" s="192"/>
      <c r="C541" s="188"/>
      <c r="D541" s="214"/>
      <c r="E541" s="193"/>
      <c r="F541" s="193"/>
      <c r="G541" s="214"/>
      <c r="H541" s="214"/>
      <c r="I541" s="193"/>
      <c r="J541" s="220"/>
      <c r="K541" s="214"/>
      <c r="L541" s="193"/>
      <c r="M541" s="193"/>
      <c r="N541" s="193"/>
      <c r="O541" s="193"/>
      <c r="P541" s="193"/>
      <c r="Q541" s="193"/>
    </row>
    <row r="542" spans="1:17" ht="17.5">
      <c r="A542" s="198"/>
      <c r="B542" s="192"/>
      <c r="C542" s="188"/>
      <c r="D542" s="214"/>
      <c r="E542" s="193"/>
      <c r="F542" s="193"/>
      <c r="G542" s="214"/>
      <c r="H542" s="214"/>
      <c r="I542" s="193"/>
      <c r="J542" s="220"/>
      <c r="K542" s="214"/>
      <c r="L542" s="193"/>
      <c r="M542" s="193"/>
      <c r="N542" s="193"/>
      <c r="O542" s="193"/>
      <c r="P542" s="193"/>
      <c r="Q542" s="193"/>
    </row>
    <row r="543" spans="1:17" ht="17.5">
      <c r="A543" s="198"/>
      <c r="B543" s="192"/>
      <c r="C543" s="188"/>
      <c r="D543" s="214"/>
      <c r="E543" s="193"/>
      <c r="F543" s="193"/>
      <c r="G543" s="214"/>
      <c r="H543" s="214"/>
      <c r="I543" s="193"/>
      <c r="J543" s="220"/>
      <c r="K543" s="214"/>
      <c r="L543" s="193"/>
      <c r="M543" s="193"/>
      <c r="N543" s="193"/>
      <c r="O543" s="193"/>
      <c r="P543" s="193"/>
      <c r="Q543" s="193"/>
    </row>
    <row r="544" spans="1:17" ht="17.5">
      <c r="A544" s="198"/>
      <c r="B544" s="192"/>
      <c r="C544" s="188"/>
      <c r="D544" s="214"/>
      <c r="E544" s="193"/>
      <c r="F544" s="193"/>
      <c r="G544" s="214"/>
      <c r="H544" s="214"/>
      <c r="I544" s="193"/>
      <c r="J544" s="220"/>
      <c r="K544" s="214"/>
      <c r="L544" s="193"/>
      <c r="M544" s="193"/>
      <c r="N544" s="193"/>
      <c r="O544" s="193"/>
      <c r="P544" s="193"/>
      <c r="Q544" s="193"/>
    </row>
    <row r="545" spans="1:17" ht="17.5">
      <c r="A545" s="198"/>
      <c r="B545" s="192"/>
      <c r="C545" s="188"/>
      <c r="D545" s="214"/>
      <c r="E545" s="193"/>
      <c r="F545" s="193"/>
      <c r="G545" s="214"/>
      <c r="H545" s="214"/>
      <c r="I545" s="193"/>
      <c r="J545" s="220"/>
      <c r="K545" s="214"/>
      <c r="L545" s="193"/>
      <c r="M545" s="193"/>
      <c r="N545" s="193"/>
      <c r="O545" s="193"/>
      <c r="P545" s="193"/>
      <c r="Q545" s="193"/>
    </row>
    <row r="546" spans="1:17" ht="17.5">
      <c r="A546" s="198"/>
      <c r="B546" s="192"/>
      <c r="C546" s="188"/>
      <c r="D546" s="214"/>
      <c r="E546" s="193"/>
      <c r="F546" s="193"/>
      <c r="G546" s="214"/>
      <c r="H546" s="214"/>
      <c r="I546" s="193"/>
      <c r="J546" s="220"/>
      <c r="K546" s="214"/>
      <c r="L546" s="193"/>
      <c r="M546" s="193"/>
      <c r="N546" s="193"/>
      <c r="O546" s="193"/>
      <c r="P546" s="193"/>
      <c r="Q546" s="193"/>
    </row>
    <row r="547" spans="1:17" ht="17.5">
      <c r="A547" s="198"/>
      <c r="B547" s="192"/>
      <c r="C547" s="188"/>
      <c r="D547" s="214"/>
      <c r="E547" s="193"/>
      <c r="F547" s="193"/>
      <c r="G547" s="214"/>
      <c r="H547" s="214"/>
      <c r="I547" s="193"/>
      <c r="J547" s="220"/>
      <c r="K547" s="214"/>
      <c r="L547" s="193"/>
      <c r="M547" s="193"/>
      <c r="N547" s="193"/>
      <c r="O547" s="193"/>
      <c r="P547" s="193"/>
      <c r="Q547" s="193"/>
    </row>
    <row r="548" spans="1:17" ht="17.5">
      <c r="A548" s="198"/>
      <c r="B548" s="192"/>
      <c r="C548" s="188"/>
      <c r="D548" s="214"/>
      <c r="E548" s="193"/>
      <c r="F548" s="193"/>
      <c r="G548" s="214"/>
      <c r="H548" s="214"/>
      <c r="I548" s="193"/>
      <c r="J548" s="220"/>
      <c r="K548" s="214"/>
      <c r="L548" s="193"/>
      <c r="M548" s="193"/>
      <c r="N548" s="193"/>
      <c r="O548" s="193"/>
      <c r="P548" s="193"/>
      <c r="Q548" s="193"/>
    </row>
    <row r="549" spans="1:17" ht="17.5">
      <c r="A549" s="198"/>
      <c r="B549" s="192"/>
      <c r="C549" s="188"/>
      <c r="D549" s="214"/>
      <c r="E549" s="193"/>
      <c r="F549" s="193"/>
      <c r="G549" s="214"/>
      <c r="H549" s="214"/>
      <c r="I549" s="193"/>
      <c r="J549" s="220"/>
      <c r="K549" s="214"/>
      <c r="L549" s="193"/>
      <c r="M549" s="193"/>
      <c r="N549" s="193"/>
      <c r="O549" s="193"/>
      <c r="P549" s="193"/>
      <c r="Q549" s="193"/>
    </row>
    <row r="550" spans="1:17" ht="17.5">
      <c r="A550" s="198"/>
      <c r="B550" s="192"/>
      <c r="C550" s="188"/>
      <c r="D550" s="214"/>
      <c r="E550" s="193"/>
      <c r="F550" s="193"/>
      <c r="G550" s="214"/>
      <c r="H550" s="214"/>
      <c r="I550" s="193"/>
      <c r="J550" s="220"/>
      <c r="K550" s="214"/>
      <c r="L550" s="193"/>
      <c r="M550" s="193"/>
      <c r="N550" s="193"/>
      <c r="O550" s="193"/>
      <c r="P550" s="193"/>
      <c r="Q550" s="193"/>
    </row>
    <row r="551" spans="1:17" ht="17.5">
      <c r="A551" s="198"/>
      <c r="B551" s="192"/>
      <c r="C551" s="188"/>
      <c r="D551" s="214"/>
      <c r="E551" s="193"/>
      <c r="F551" s="193"/>
      <c r="G551" s="214"/>
      <c r="H551" s="214"/>
      <c r="I551" s="193"/>
      <c r="J551" s="220"/>
      <c r="K551" s="214"/>
      <c r="L551" s="193"/>
      <c r="M551" s="193"/>
      <c r="N551" s="193"/>
      <c r="O551" s="193"/>
      <c r="P551" s="193"/>
      <c r="Q551" s="193"/>
    </row>
    <row r="552" spans="1:17" ht="17.5">
      <c r="A552" s="198"/>
      <c r="B552" s="192"/>
      <c r="C552" s="188"/>
      <c r="D552" s="214"/>
      <c r="E552" s="193"/>
      <c r="F552" s="193"/>
      <c r="G552" s="214"/>
      <c r="H552" s="214"/>
      <c r="I552" s="193"/>
      <c r="J552" s="220"/>
      <c r="K552" s="214"/>
      <c r="L552" s="193"/>
      <c r="M552" s="193"/>
      <c r="N552" s="193"/>
      <c r="O552" s="193"/>
      <c r="P552" s="193"/>
      <c r="Q552" s="193"/>
    </row>
    <row r="553" spans="1:17" ht="17.5">
      <c r="A553" s="198"/>
      <c r="B553" s="192"/>
      <c r="C553" s="188"/>
      <c r="D553" s="214"/>
      <c r="E553" s="193"/>
      <c r="F553" s="193"/>
      <c r="G553" s="214"/>
      <c r="H553" s="214"/>
      <c r="I553" s="193"/>
      <c r="J553" s="220"/>
      <c r="K553" s="214"/>
      <c r="L553" s="193"/>
      <c r="M553" s="193"/>
      <c r="N553" s="193"/>
      <c r="O553" s="193"/>
      <c r="P553" s="193"/>
      <c r="Q553" s="193"/>
    </row>
    <row r="554" spans="1:17" ht="17.5">
      <c r="A554" s="198"/>
      <c r="B554" s="192"/>
      <c r="C554" s="188"/>
      <c r="D554" s="214"/>
      <c r="E554" s="193"/>
      <c r="F554" s="193"/>
      <c r="G554" s="214"/>
      <c r="H554" s="214"/>
      <c r="I554" s="193"/>
      <c r="J554" s="220"/>
      <c r="K554" s="214"/>
      <c r="L554" s="193"/>
      <c r="M554" s="193"/>
      <c r="N554" s="193"/>
      <c r="O554" s="193"/>
      <c r="P554" s="193"/>
      <c r="Q554" s="193"/>
    </row>
    <row r="555" spans="1:17" ht="17.5">
      <c r="A555" s="198"/>
      <c r="B555" s="192"/>
      <c r="C555" s="188"/>
      <c r="D555" s="214"/>
      <c r="E555" s="193"/>
      <c r="F555" s="193"/>
      <c r="G555" s="214"/>
      <c r="H555" s="214"/>
      <c r="I555" s="193"/>
      <c r="J555" s="220"/>
      <c r="K555" s="214"/>
      <c r="L555" s="193"/>
      <c r="M555" s="193"/>
      <c r="N555" s="193"/>
      <c r="O555" s="193"/>
      <c r="P555" s="193"/>
      <c r="Q555" s="193"/>
    </row>
    <row r="556" spans="1:17" ht="17.5">
      <c r="A556" s="198"/>
      <c r="B556" s="192"/>
      <c r="C556" s="188"/>
      <c r="D556" s="214"/>
      <c r="E556" s="193"/>
      <c r="F556" s="193"/>
      <c r="G556" s="214"/>
      <c r="H556" s="214"/>
      <c r="I556" s="193"/>
      <c r="J556" s="220"/>
      <c r="K556" s="214"/>
      <c r="L556" s="193"/>
      <c r="M556" s="193"/>
      <c r="N556" s="193"/>
      <c r="O556" s="193"/>
      <c r="P556" s="193"/>
      <c r="Q556" s="193"/>
    </row>
    <row r="557" spans="1:17" ht="17.5">
      <c r="A557" s="198"/>
      <c r="B557" s="192"/>
      <c r="C557" s="188"/>
      <c r="D557" s="214"/>
      <c r="E557" s="193"/>
      <c r="F557" s="193"/>
      <c r="G557" s="214"/>
      <c r="H557" s="214"/>
      <c r="I557" s="193"/>
      <c r="J557" s="220"/>
      <c r="K557" s="214"/>
      <c r="L557" s="193"/>
      <c r="M557" s="193"/>
      <c r="N557" s="193"/>
      <c r="O557" s="193"/>
      <c r="P557" s="193"/>
      <c r="Q557" s="193"/>
    </row>
    <row r="558" spans="1:17" ht="17.5">
      <c r="A558" s="198"/>
      <c r="B558" s="192"/>
      <c r="C558" s="188"/>
      <c r="D558" s="214"/>
      <c r="E558" s="193"/>
      <c r="F558" s="193"/>
      <c r="G558" s="214"/>
      <c r="H558" s="214"/>
      <c r="I558" s="193"/>
      <c r="J558" s="220"/>
      <c r="K558" s="214"/>
      <c r="L558" s="193"/>
      <c r="M558" s="193"/>
      <c r="N558" s="193"/>
      <c r="O558" s="193"/>
      <c r="P558" s="193"/>
      <c r="Q558" s="193"/>
    </row>
    <row r="559" spans="1:17" ht="17.5">
      <c r="A559" s="198"/>
      <c r="B559" s="192"/>
      <c r="C559" s="188"/>
      <c r="D559" s="214"/>
      <c r="E559" s="193"/>
      <c r="F559" s="193"/>
      <c r="G559" s="214"/>
      <c r="H559" s="214"/>
      <c r="I559" s="193"/>
      <c r="J559" s="220"/>
      <c r="K559" s="214"/>
      <c r="L559" s="193"/>
      <c r="M559" s="193"/>
      <c r="N559" s="193"/>
      <c r="O559" s="193"/>
      <c r="P559" s="193"/>
      <c r="Q559" s="193"/>
    </row>
    <row r="560" spans="1:17" ht="17.5">
      <c r="A560" s="198"/>
      <c r="B560" s="192"/>
      <c r="C560" s="188"/>
      <c r="D560" s="214"/>
      <c r="E560" s="193"/>
      <c r="F560" s="193"/>
      <c r="G560" s="214"/>
      <c r="H560" s="214"/>
      <c r="I560" s="193"/>
      <c r="J560" s="220"/>
      <c r="K560" s="214"/>
      <c r="L560" s="193"/>
      <c r="M560" s="193"/>
      <c r="N560" s="193"/>
      <c r="O560" s="193"/>
      <c r="P560" s="193"/>
      <c r="Q560" s="193"/>
    </row>
    <row r="561" spans="1:17" ht="17.5">
      <c r="A561" s="198"/>
      <c r="B561" s="192"/>
      <c r="C561" s="188"/>
      <c r="D561" s="214"/>
      <c r="E561" s="193"/>
      <c r="F561" s="193"/>
      <c r="G561" s="214"/>
      <c r="H561" s="214"/>
      <c r="I561" s="193"/>
      <c r="J561" s="220"/>
      <c r="K561" s="214"/>
      <c r="L561" s="193"/>
      <c r="M561" s="193"/>
      <c r="N561" s="193"/>
      <c r="O561" s="193"/>
      <c r="P561" s="193"/>
      <c r="Q561" s="193"/>
    </row>
    <row r="562" spans="1:17" ht="17.5">
      <c r="A562" s="198"/>
      <c r="B562" s="192"/>
      <c r="C562" s="188"/>
      <c r="D562" s="214"/>
      <c r="E562" s="193"/>
      <c r="F562" s="193"/>
      <c r="G562" s="214"/>
      <c r="H562" s="214"/>
      <c r="I562" s="193"/>
      <c r="J562" s="220"/>
      <c r="K562" s="214"/>
      <c r="L562" s="193"/>
      <c r="M562" s="193"/>
      <c r="N562" s="193"/>
      <c r="O562" s="193"/>
      <c r="P562" s="193"/>
      <c r="Q562" s="193"/>
    </row>
    <row r="563" spans="1:17" ht="17.5">
      <c r="A563" s="198"/>
      <c r="B563" s="192"/>
      <c r="C563" s="188"/>
      <c r="D563" s="214"/>
      <c r="E563" s="193"/>
      <c r="F563" s="193"/>
      <c r="G563" s="214"/>
      <c r="H563" s="214"/>
      <c r="I563" s="193"/>
      <c r="J563" s="220"/>
      <c r="K563" s="214"/>
      <c r="L563" s="193"/>
      <c r="M563" s="193"/>
      <c r="N563" s="193"/>
      <c r="O563" s="193"/>
      <c r="P563" s="193"/>
      <c r="Q563" s="193"/>
    </row>
    <row r="564" spans="1:17" ht="17.5">
      <c r="A564" s="198"/>
      <c r="B564" s="192"/>
      <c r="C564" s="188"/>
      <c r="D564" s="214"/>
      <c r="E564" s="193"/>
      <c r="F564" s="193"/>
      <c r="G564" s="214"/>
      <c r="H564" s="214"/>
      <c r="I564" s="193"/>
      <c r="J564" s="220"/>
      <c r="K564" s="214"/>
      <c r="L564" s="193"/>
      <c r="M564" s="193"/>
      <c r="N564" s="193"/>
      <c r="O564" s="193"/>
      <c r="P564" s="193"/>
      <c r="Q564" s="193"/>
    </row>
    <row r="565" spans="1:17" ht="17.5">
      <c r="A565" s="198"/>
      <c r="B565" s="192"/>
      <c r="C565" s="188"/>
      <c r="D565" s="214"/>
      <c r="E565" s="193"/>
      <c r="F565" s="193"/>
      <c r="G565" s="214"/>
      <c r="H565" s="214"/>
      <c r="I565" s="193"/>
      <c r="J565" s="220"/>
      <c r="K565" s="214"/>
      <c r="L565" s="193"/>
      <c r="M565" s="193"/>
      <c r="N565" s="193"/>
      <c r="O565" s="193"/>
      <c r="P565" s="193"/>
      <c r="Q565" s="193"/>
    </row>
    <row r="566" spans="1:17" ht="17.5">
      <c r="A566" s="198"/>
      <c r="B566" s="192"/>
      <c r="C566" s="188"/>
      <c r="D566" s="214"/>
      <c r="E566" s="193"/>
      <c r="F566" s="193"/>
      <c r="G566" s="214"/>
      <c r="H566" s="214"/>
      <c r="I566" s="193"/>
      <c r="J566" s="220"/>
      <c r="K566" s="214"/>
      <c r="L566" s="193"/>
      <c r="M566" s="193"/>
      <c r="N566" s="193"/>
      <c r="O566" s="193"/>
      <c r="P566" s="193"/>
      <c r="Q566" s="193"/>
    </row>
    <row r="567" spans="1:17" ht="17.5">
      <c r="A567" s="198"/>
      <c r="B567" s="192"/>
      <c r="C567" s="188"/>
      <c r="D567" s="214"/>
      <c r="E567" s="193"/>
      <c r="F567" s="193"/>
      <c r="G567" s="214"/>
      <c r="H567" s="214"/>
      <c r="I567" s="193"/>
      <c r="J567" s="220"/>
      <c r="K567" s="214"/>
      <c r="L567" s="193"/>
      <c r="M567" s="193"/>
      <c r="N567" s="193"/>
      <c r="O567" s="193"/>
      <c r="P567" s="193"/>
      <c r="Q567" s="193"/>
    </row>
    <row r="568" spans="1:17" ht="17.5">
      <c r="A568" s="198"/>
      <c r="B568" s="192"/>
      <c r="C568" s="188"/>
      <c r="D568" s="214"/>
      <c r="E568" s="193"/>
      <c r="F568" s="193"/>
      <c r="G568" s="214"/>
      <c r="H568" s="214"/>
      <c r="I568" s="193"/>
      <c r="J568" s="220"/>
      <c r="K568" s="214"/>
      <c r="L568" s="193"/>
      <c r="M568" s="193"/>
      <c r="N568" s="193"/>
      <c r="O568" s="193"/>
      <c r="P568" s="193"/>
      <c r="Q568" s="193"/>
    </row>
    <row r="569" spans="1:17" ht="17.5">
      <c r="A569" s="198"/>
      <c r="B569" s="192"/>
      <c r="C569" s="188"/>
      <c r="D569" s="214"/>
      <c r="E569" s="193"/>
      <c r="F569" s="193"/>
      <c r="G569" s="214"/>
      <c r="H569" s="214"/>
      <c r="I569" s="193"/>
      <c r="J569" s="220"/>
      <c r="K569" s="214"/>
      <c r="L569" s="193"/>
      <c r="M569" s="193"/>
      <c r="N569" s="193"/>
      <c r="O569" s="193"/>
      <c r="P569" s="193"/>
      <c r="Q569" s="193"/>
    </row>
    <row r="570" spans="1:17" ht="17.5">
      <c r="A570" s="198"/>
      <c r="B570" s="192"/>
      <c r="C570" s="188"/>
      <c r="D570" s="214"/>
      <c r="E570" s="193"/>
      <c r="F570" s="193"/>
      <c r="G570" s="214"/>
      <c r="H570" s="214"/>
      <c r="I570" s="193"/>
      <c r="J570" s="220"/>
      <c r="K570" s="214"/>
      <c r="L570" s="193"/>
      <c r="M570" s="193"/>
      <c r="N570" s="193"/>
      <c r="O570" s="193"/>
      <c r="P570" s="193"/>
      <c r="Q570" s="193"/>
    </row>
    <row r="571" spans="1:17" ht="17.5">
      <c r="A571" s="198"/>
      <c r="B571" s="192"/>
      <c r="C571" s="188"/>
      <c r="D571" s="214"/>
      <c r="E571" s="193"/>
      <c r="F571" s="193"/>
      <c r="G571" s="214"/>
      <c r="H571" s="214"/>
      <c r="I571" s="193"/>
      <c r="J571" s="220"/>
      <c r="K571" s="214"/>
      <c r="L571" s="193"/>
      <c r="M571" s="193"/>
      <c r="N571" s="193"/>
      <c r="O571" s="193"/>
      <c r="P571" s="193"/>
      <c r="Q571" s="193"/>
    </row>
    <row r="572" spans="1:17" ht="17.5">
      <c r="A572" s="198"/>
      <c r="B572" s="192"/>
      <c r="C572" s="188"/>
      <c r="D572" s="214"/>
      <c r="E572" s="193"/>
      <c r="F572" s="193"/>
      <c r="G572" s="214"/>
      <c r="H572" s="214"/>
      <c r="I572" s="193"/>
      <c r="J572" s="220"/>
      <c r="K572" s="214"/>
      <c r="L572" s="193"/>
      <c r="M572" s="193"/>
      <c r="N572" s="193"/>
      <c r="O572" s="193"/>
      <c r="P572" s="193"/>
      <c r="Q572" s="193"/>
    </row>
    <row r="573" spans="1:17" ht="17.5">
      <c r="A573" s="198"/>
      <c r="B573" s="192"/>
      <c r="C573" s="188"/>
      <c r="D573" s="214"/>
      <c r="E573" s="193"/>
      <c r="F573" s="193"/>
      <c r="G573" s="214"/>
      <c r="H573" s="214"/>
      <c r="I573" s="193"/>
      <c r="J573" s="220"/>
      <c r="K573" s="214"/>
      <c r="L573" s="193"/>
      <c r="M573" s="193"/>
      <c r="N573" s="193"/>
      <c r="O573" s="193"/>
      <c r="P573" s="193"/>
      <c r="Q573" s="193"/>
    </row>
    <row r="574" spans="1:17" ht="17.5">
      <c r="A574" s="198"/>
      <c r="B574" s="192"/>
      <c r="C574" s="188"/>
      <c r="D574" s="214"/>
      <c r="E574" s="193"/>
      <c r="F574" s="193"/>
      <c r="G574" s="214"/>
      <c r="H574" s="214"/>
      <c r="I574" s="193"/>
      <c r="J574" s="220"/>
      <c r="K574" s="214"/>
      <c r="L574" s="193"/>
      <c r="M574" s="193"/>
      <c r="N574" s="193"/>
      <c r="O574" s="193"/>
      <c r="P574" s="193"/>
      <c r="Q574" s="193"/>
    </row>
    <row r="575" spans="1:17" ht="17.5">
      <c r="A575" s="198"/>
      <c r="B575" s="192"/>
      <c r="C575" s="188"/>
      <c r="D575" s="214"/>
      <c r="E575" s="193"/>
      <c r="F575" s="193"/>
      <c r="G575" s="214"/>
      <c r="H575" s="214"/>
      <c r="I575" s="193"/>
      <c r="J575" s="220"/>
      <c r="K575" s="214"/>
      <c r="L575" s="193"/>
      <c r="M575" s="193"/>
      <c r="N575" s="193"/>
      <c r="O575" s="193"/>
      <c r="P575" s="193"/>
      <c r="Q575" s="193"/>
    </row>
    <row r="576" spans="1:17" ht="17.5">
      <c r="A576" s="198"/>
      <c r="B576" s="192"/>
      <c r="C576" s="188"/>
      <c r="D576" s="214"/>
      <c r="E576" s="193"/>
      <c r="F576" s="193"/>
      <c r="G576" s="214"/>
      <c r="H576" s="214"/>
      <c r="I576" s="193"/>
      <c r="J576" s="220"/>
      <c r="K576" s="214"/>
      <c r="L576" s="193"/>
      <c r="M576" s="193"/>
      <c r="N576" s="193"/>
      <c r="O576" s="193"/>
      <c r="P576" s="193"/>
      <c r="Q576" s="193"/>
    </row>
    <row r="577" spans="1:17" ht="17.5">
      <c r="A577" s="198"/>
      <c r="B577" s="192"/>
      <c r="C577" s="188"/>
      <c r="D577" s="214"/>
      <c r="E577" s="193"/>
      <c r="F577" s="193"/>
      <c r="G577" s="214"/>
      <c r="H577" s="214"/>
      <c r="I577" s="193"/>
      <c r="J577" s="220"/>
      <c r="K577" s="214"/>
      <c r="L577" s="193"/>
      <c r="M577" s="193"/>
      <c r="N577" s="193"/>
      <c r="O577" s="193"/>
      <c r="P577" s="193"/>
      <c r="Q577" s="193"/>
    </row>
    <row r="578" spans="1:17" ht="17.5">
      <c r="A578" s="198"/>
      <c r="B578" s="192"/>
      <c r="C578" s="188"/>
      <c r="D578" s="214"/>
      <c r="E578" s="193"/>
      <c r="F578" s="193"/>
      <c r="G578" s="214"/>
      <c r="H578" s="214"/>
      <c r="I578" s="193"/>
      <c r="J578" s="220"/>
      <c r="K578" s="214"/>
      <c r="L578" s="193"/>
      <c r="M578" s="193"/>
      <c r="N578" s="193"/>
      <c r="O578" s="193"/>
      <c r="P578" s="193"/>
      <c r="Q578" s="193"/>
    </row>
    <row r="579" spans="1:17" ht="17.5">
      <c r="A579" s="198"/>
      <c r="B579" s="192"/>
      <c r="C579" s="188"/>
      <c r="D579" s="214"/>
      <c r="E579" s="193"/>
      <c r="F579" s="193"/>
      <c r="G579" s="214"/>
      <c r="H579" s="214"/>
      <c r="I579" s="193"/>
      <c r="J579" s="220"/>
      <c r="K579" s="214"/>
      <c r="L579" s="193"/>
      <c r="M579" s="193"/>
      <c r="N579" s="193"/>
      <c r="O579" s="193"/>
      <c r="P579" s="193"/>
      <c r="Q579" s="193"/>
    </row>
    <row r="580" spans="1:17" ht="17.5">
      <c r="A580" s="198"/>
      <c r="B580" s="192"/>
      <c r="C580" s="188"/>
      <c r="D580" s="214"/>
      <c r="E580" s="193"/>
      <c r="F580" s="193"/>
      <c r="G580" s="214"/>
      <c r="H580" s="214"/>
      <c r="I580" s="193"/>
      <c r="J580" s="220"/>
      <c r="K580" s="214"/>
      <c r="L580" s="193"/>
      <c r="M580" s="193"/>
      <c r="N580" s="193"/>
      <c r="O580" s="193"/>
      <c r="P580" s="193"/>
      <c r="Q580" s="193"/>
    </row>
    <row r="581" spans="1:17" ht="17.5">
      <c r="A581" s="198"/>
      <c r="B581" s="192"/>
      <c r="C581" s="188"/>
      <c r="D581" s="214"/>
      <c r="E581" s="193"/>
      <c r="F581" s="193"/>
      <c r="G581" s="214"/>
      <c r="H581" s="214"/>
      <c r="I581" s="193"/>
      <c r="J581" s="220"/>
      <c r="K581" s="214"/>
      <c r="L581" s="193"/>
      <c r="M581" s="193"/>
      <c r="N581" s="193"/>
      <c r="O581" s="193"/>
      <c r="P581" s="193"/>
      <c r="Q581" s="193"/>
    </row>
    <row r="582" spans="1:17" ht="17.5">
      <c r="A582" s="198"/>
      <c r="B582" s="192"/>
      <c r="C582" s="188"/>
      <c r="D582" s="214"/>
      <c r="E582" s="193"/>
      <c r="F582" s="193"/>
      <c r="G582" s="214"/>
      <c r="H582" s="214"/>
      <c r="I582" s="193"/>
      <c r="J582" s="220"/>
      <c r="K582" s="214"/>
      <c r="L582" s="193"/>
      <c r="M582" s="193"/>
      <c r="N582" s="193"/>
      <c r="O582" s="193"/>
      <c r="P582" s="193"/>
      <c r="Q582" s="193"/>
    </row>
    <row r="583" spans="1:17" ht="17.5">
      <c r="A583" s="198"/>
      <c r="B583" s="192"/>
      <c r="C583" s="188"/>
      <c r="D583" s="214"/>
      <c r="E583" s="193"/>
      <c r="F583" s="193"/>
      <c r="G583" s="214"/>
      <c r="H583" s="214"/>
      <c r="I583" s="193"/>
      <c r="J583" s="220"/>
      <c r="K583" s="214"/>
      <c r="L583" s="193"/>
      <c r="M583" s="193"/>
      <c r="N583" s="193"/>
      <c r="O583" s="193"/>
      <c r="P583" s="193"/>
      <c r="Q583" s="193"/>
    </row>
    <row r="584" spans="1:17" ht="17.5">
      <c r="A584" s="198"/>
      <c r="B584" s="192"/>
      <c r="C584" s="188"/>
      <c r="D584" s="214"/>
      <c r="E584" s="193"/>
      <c r="F584" s="193"/>
      <c r="G584" s="214"/>
      <c r="H584" s="214"/>
      <c r="I584" s="193"/>
      <c r="J584" s="220"/>
      <c r="K584" s="214"/>
      <c r="L584" s="193"/>
      <c r="M584" s="193"/>
      <c r="N584" s="193"/>
      <c r="O584" s="193"/>
      <c r="P584" s="193"/>
      <c r="Q584" s="193"/>
    </row>
    <row r="585" spans="1:17" ht="17.5">
      <c r="A585" s="198"/>
      <c r="B585" s="192"/>
      <c r="C585" s="188"/>
      <c r="D585" s="214"/>
      <c r="E585" s="193"/>
      <c r="F585" s="193"/>
      <c r="G585" s="214"/>
      <c r="H585" s="214"/>
      <c r="I585" s="193"/>
      <c r="J585" s="220"/>
      <c r="K585" s="214"/>
      <c r="L585" s="193"/>
      <c r="M585" s="193"/>
      <c r="N585" s="193"/>
      <c r="O585" s="193"/>
      <c r="P585" s="193"/>
      <c r="Q585" s="193"/>
    </row>
    <row r="586" spans="1:17" ht="17.5">
      <c r="A586" s="198"/>
      <c r="B586" s="192"/>
      <c r="C586" s="188"/>
      <c r="D586" s="214"/>
      <c r="E586" s="193"/>
      <c r="F586" s="193"/>
      <c r="G586" s="214"/>
      <c r="H586" s="214"/>
      <c r="I586" s="193"/>
      <c r="J586" s="220"/>
      <c r="K586" s="214"/>
      <c r="L586" s="193"/>
      <c r="M586" s="193"/>
      <c r="N586" s="193"/>
      <c r="O586" s="193"/>
      <c r="P586" s="193"/>
      <c r="Q586" s="193"/>
    </row>
    <row r="587" spans="1:17" ht="17.5">
      <c r="A587" s="198"/>
      <c r="B587" s="192"/>
      <c r="C587" s="188"/>
      <c r="D587" s="214"/>
      <c r="E587" s="193"/>
      <c r="F587" s="193"/>
      <c r="G587" s="214"/>
      <c r="H587" s="214"/>
      <c r="I587" s="193"/>
      <c r="J587" s="220"/>
      <c r="K587" s="214"/>
      <c r="L587" s="193"/>
      <c r="M587" s="193"/>
      <c r="N587" s="193"/>
      <c r="O587" s="193"/>
      <c r="P587" s="193"/>
      <c r="Q587" s="193"/>
    </row>
    <row r="588" spans="1:17" ht="17.5">
      <c r="A588" s="198"/>
      <c r="B588" s="192"/>
      <c r="C588" s="188"/>
      <c r="D588" s="214"/>
      <c r="E588" s="193"/>
      <c r="F588" s="193"/>
      <c r="G588" s="214"/>
      <c r="H588" s="214"/>
      <c r="I588" s="193"/>
      <c r="J588" s="220"/>
      <c r="K588" s="214"/>
      <c r="L588" s="193"/>
      <c r="M588" s="193"/>
      <c r="N588" s="193"/>
      <c r="O588" s="193"/>
      <c r="P588" s="193"/>
      <c r="Q588" s="193"/>
    </row>
    <row r="589" spans="1:17" ht="17.5">
      <c r="A589" s="198"/>
      <c r="B589" s="192"/>
      <c r="C589" s="188"/>
      <c r="D589" s="214"/>
      <c r="E589" s="193"/>
      <c r="F589" s="193"/>
      <c r="G589" s="214"/>
      <c r="H589" s="214"/>
      <c r="I589" s="193"/>
      <c r="J589" s="220"/>
      <c r="K589" s="214"/>
      <c r="L589" s="193"/>
      <c r="M589" s="193"/>
      <c r="N589" s="193"/>
      <c r="O589" s="193"/>
      <c r="P589" s="193"/>
      <c r="Q589" s="193"/>
    </row>
    <row r="590" spans="1:17" ht="17.5">
      <c r="A590" s="198"/>
      <c r="B590" s="192"/>
      <c r="C590" s="188"/>
      <c r="D590" s="214"/>
      <c r="E590" s="193"/>
      <c r="F590" s="193"/>
      <c r="G590" s="214"/>
      <c r="H590" s="214"/>
      <c r="I590" s="193"/>
      <c r="J590" s="220"/>
      <c r="K590" s="214"/>
      <c r="L590" s="193"/>
      <c r="M590" s="193"/>
      <c r="N590" s="193"/>
      <c r="O590" s="193"/>
      <c r="P590" s="193"/>
      <c r="Q590" s="193"/>
    </row>
    <row r="591" spans="1:17" ht="17.5">
      <c r="A591" s="198"/>
      <c r="B591" s="192"/>
      <c r="C591" s="188"/>
      <c r="D591" s="214"/>
      <c r="E591" s="193"/>
      <c r="F591" s="193"/>
      <c r="G591" s="214"/>
      <c r="H591" s="214"/>
      <c r="I591" s="193"/>
      <c r="J591" s="220"/>
      <c r="K591" s="214"/>
      <c r="L591" s="193"/>
      <c r="M591" s="193"/>
      <c r="N591" s="193"/>
      <c r="O591" s="193"/>
      <c r="P591" s="193"/>
      <c r="Q591" s="193"/>
    </row>
    <row r="592" spans="1:17" ht="17.5">
      <c r="A592" s="198"/>
      <c r="B592" s="192"/>
      <c r="C592" s="188"/>
      <c r="D592" s="214"/>
      <c r="E592" s="193"/>
      <c r="F592" s="193"/>
      <c r="G592" s="214"/>
      <c r="H592" s="214"/>
      <c r="I592" s="193"/>
      <c r="J592" s="220"/>
      <c r="K592" s="214"/>
      <c r="L592" s="193"/>
      <c r="M592" s="193"/>
      <c r="N592" s="193"/>
      <c r="O592" s="193"/>
      <c r="P592" s="193"/>
      <c r="Q592" s="193"/>
    </row>
    <row r="593" spans="1:17" ht="17.5">
      <c r="A593" s="198"/>
      <c r="B593" s="192"/>
      <c r="C593" s="188"/>
      <c r="D593" s="214"/>
      <c r="E593" s="193"/>
      <c r="F593" s="193"/>
      <c r="G593" s="214"/>
      <c r="H593" s="214"/>
      <c r="I593" s="193"/>
      <c r="J593" s="220"/>
      <c r="K593" s="214"/>
      <c r="L593" s="193"/>
      <c r="M593" s="193"/>
      <c r="N593" s="193"/>
      <c r="O593" s="193"/>
      <c r="P593" s="193"/>
      <c r="Q593" s="193"/>
    </row>
    <row r="594" spans="1:17" ht="17.5">
      <c r="A594" s="198"/>
      <c r="B594" s="192"/>
      <c r="C594" s="188"/>
      <c r="D594" s="214"/>
      <c r="E594" s="193"/>
      <c r="F594" s="193"/>
      <c r="G594" s="214"/>
      <c r="H594" s="214"/>
      <c r="I594" s="193"/>
      <c r="J594" s="220"/>
      <c r="K594" s="214"/>
      <c r="L594" s="193"/>
      <c r="M594" s="193"/>
      <c r="N594" s="193"/>
      <c r="O594" s="193"/>
      <c r="P594" s="193"/>
      <c r="Q594" s="193"/>
    </row>
    <row r="595" spans="1:17" ht="17.5">
      <c r="A595" s="198"/>
      <c r="B595" s="192"/>
      <c r="C595" s="188"/>
      <c r="D595" s="214"/>
      <c r="E595" s="193"/>
      <c r="F595" s="193"/>
      <c r="G595" s="214"/>
      <c r="H595" s="214"/>
      <c r="I595" s="193"/>
      <c r="J595" s="220"/>
      <c r="K595" s="214"/>
      <c r="L595" s="193"/>
      <c r="M595" s="193"/>
      <c r="N595" s="193"/>
      <c r="O595" s="193"/>
      <c r="P595" s="193"/>
      <c r="Q595" s="193"/>
    </row>
    <row r="596" spans="1:17" ht="17.5">
      <c r="A596" s="198"/>
      <c r="B596" s="192"/>
      <c r="C596" s="188"/>
      <c r="D596" s="214"/>
      <c r="E596" s="193"/>
      <c r="F596" s="193"/>
      <c r="G596" s="214"/>
      <c r="H596" s="214"/>
      <c r="I596" s="193"/>
      <c r="J596" s="220"/>
      <c r="K596" s="214"/>
      <c r="L596" s="193"/>
      <c r="M596" s="193"/>
      <c r="N596" s="193"/>
      <c r="O596" s="193"/>
      <c r="P596" s="193"/>
      <c r="Q596" s="193"/>
    </row>
    <row r="597" spans="1:17" ht="17.5">
      <c r="A597" s="198"/>
      <c r="B597" s="192"/>
      <c r="C597" s="188"/>
      <c r="D597" s="214"/>
      <c r="E597" s="193"/>
      <c r="F597" s="193"/>
      <c r="G597" s="214"/>
      <c r="H597" s="214"/>
      <c r="I597" s="193"/>
      <c r="J597" s="220"/>
      <c r="K597" s="214"/>
      <c r="L597" s="193"/>
      <c r="M597" s="193"/>
      <c r="N597" s="193"/>
      <c r="O597" s="193"/>
      <c r="P597" s="193"/>
      <c r="Q597" s="193"/>
    </row>
    <row r="598" spans="1:17" ht="17.5">
      <c r="A598" s="198"/>
      <c r="B598" s="192"/>
      <c r="C598" s="188"/>
      <c r="D598" s="214"/>
      <c r="E598" s="193"/>
      <c r="F598" s="193"/>
      <c r="G598" s="214"/>
      <c r="H598" s="214"/>
      <c r="I598" s="193"/>
      <c r="J598" s="220"/>
      <c r="K598" s="214"/>
      <c r="L598" s="193"/>
      <c r="M598" s="193"/>
      <c r="N598" s="193"/>
      <c r="O598" s="193"/>
      <c r="P598" s="193"/>
      <c r="Q598" s="193"/>
    </row>
    <row r="599" spans="1:17" ht="17.5">
      <c r="A599" s="198"/>
      <c r="B599" s="192"/>
      <c r="C599" s="188"/>
      <c r="D599" s="214"/>
      <c r="E599" s="193"/>
      <c r="F599" s="193"/>
      <c r="G599" s="214"/>
      <c r="H599" s="214"/>
      <c r="I599" s="193"/>
      <c r="J599" s="220"/>
      <c r="K599" s="214"/>
      <c r="L599" s="193"/>
      <c r="M599" s="193"/>
      <c r="N599" s="193"/>
      <c r="O599" s="193"/>
      <c r="P599" s="193"/>
      <c r="Q599" s="193"/>
    </row>
    <row r="600" spans="1:17" ht="17.5">
      <c r="A600" s="198"/>
      <c r="B600" s="192"/>
      <c r="C600" s="188"/>
      <c r="D600" s="214"/>
      <c r="E600" s="193"/>
      <c r="F600" s="193"/>
      <c r="G600" s="214"/>
      <c r="H600" s="214"/>
      <c r="I600" s="193"/>
      <c r="J600" s="220"/>
      <c r="K600" s="214"/>
      <c r="L600" s="193"/>
      <c r="M600" s="193"/>
      <c r="N600" s="193"/>
      <c r="O600" s="193"/>
      <c r="P600" s="193"/>
      <c r="Q600" s="193"/>
    </row>
    <row r="601" spans="1:17" ht="17.5">
      <c r="A601" s="198"/>
      <c r="B601" s="192"/>
      <c r="C601" s="188"/>
      <c r="D601" s="214"/>
      <c r="E601" s="193"/>
      <c r="F601" s="193"/>
      <c r="G601" s="214"/>
      <c r="H601" s="214"/>
      <c r="I601" s="193"/>
      <c r="J601" s="220"/>
      <c r="K601" s="214"/>
      <c r="L601" s="193"/>
      <c r="M601" s="193"/>
      <c r="N601" s="193"/>
      <c r="O601" s="193"/>
      <c r="P601" s="193"/>
      <c r="Q601" s="193"/>
    </row>
    <row r="602" spans="1:17" ht="17.5">
      <c r="A602" s="198"/>
      <c r="B602" s="192"/>
      <c r="C602" s="188"/>
      <c r="D602" s="214"/>
      <c r="E602" s="193"/>
      <c r="F602" s="193"/>
      <c r="G602" s="214"/>
      <c r="H602" s="214"/>
      <c r="I602" s="193"/>
      <c r="J602" s="220"/>
      <c r="K602" s="214"/>
      <c r="L602" s="193"/>
      <c r="M602" s="193"/>
      <c r="N602" s="193"/>
      <c r="O602" s="193"/>
      <c r="P602" s="193"/>
      <c r="Q602" s="193"/>
    </row>
    <row r="603" spans="1:17" ht="17.5">
      <c r="A603" s="198"/>
      <c r="B603" s="192"/>
      <c r="C603" s="188"/>
      <c r="D603" s="214"/>
      <c r="E603" s="193"/>
      <c r="F603" s="193"/>
      <c r="G603" s="214"/>
      <c r="H603" s="214"/>
      <c r="I603" s="193"/>
      <c r="J603" s="220"/>
      <c r="K603" s="214"/>
      <c r="L603" s="193"/>
      <c r="M603" s="193"/>
      <c r="N603" s="193"/>
      <c r="O603" s="193"/>
      <c r="P603" s="193"/>
      <c r="Q603" s="193"/>
    </row>
    <row r="604" spans="1:17" ht="17.5">
      <c r="A604" s="198"/>
      <c r="B604" s="192"/>
      <c r="C604" s="188"/>
      <c r="D604" s="214"/>
      <c r="E604" s="193"/>
      <c r="F604" s="193"/>
      <c r="G604" s="214"/>
      <c r="H604" s="214"/>
      <c r="I604" s="193"/>
      <c r="J604" s="220"/>
      <c r="K604" s="214"/>
      <c r="L604" s="193"/>
      <c r="M604" s="193"/>
      <c r="N604" s="193"/>
      <c r="O604" s="193"/>
      <c r="P604" s="193"/>
      <c r="Q604" s="193"/>
    </row>
    <row r="605" spans="1:17" ht="17.5">
      <c r="A605" s="198"/>
      <c r="B605" s="192"/>
      <c r="C605" s="188"/>
      <c r="D605" s="214"/>
      <c r="E605" s="193"/>
      <c r="F605" s="193"/>
      <c r="G605" s="214"/>
      <c r="H605" s="214"/>
      <c r="I605" s="193"/>
      <c r="J605" s="220"/>
      <c r="K605" s="214"/>
      <c r="L605" s="193"/>
      <c r="M605" s="193"/>
      <c r="N605" s="193"/>
      <c r="O605" s="193"/>
      <c r="P605" s="193"/>
      <c r="Q605" s="193"/>
    </row>
    <row r="606" spans="1:17" ht="17.5">
      <c r="A606" s="198"/>
      <c r="B606" s="192"/>
      <c r="C606" s="188"/>
      <c r="D606" s="214"/>
      <c r="E606" s="193"/>
      <c r="F606" s="193"/>
      <c r="G606" s="214"/>
      <c r="H606" s="214"/>
      <c r="I606" s="193"/>
      <c r="J606" s="220"/>
      <c r="K606" s="214"/>
      <c r="L606" s="193"/>
      <c r="M606" s="193"/>
      <c r="N606" s="193"/>
      <c r="O606" s="193"/>
      <c r="P606" s="193"/>
      <c r="Q606" s="193"/>
    </row>
    <row r="607" spans="1:17" ht="17.5">
      <c r="A607" s="198"/>
      <c r="B607" s="192"/>
      <c r="C607" s="188"/>
      <c r="D607" s="214"/>
      <c r="E607" s="193"/>
      <c r="F607" s="193"/>
      <c r="G607" s="214"/>
      <c r="H607" s="214"/>
      <c r="I607" s="193"/>
      <c r="J607" s="220"/>
      <c r="K607" s="214"/>
      <c r="L607" s="193"/>
      <c r="M607" s="193"/>
      <c r="N607" s="193"/>
      <c r="O607" s="193"/>
      <c r="P607" s="193"/>
      <c r="Q607" s="193"/>
    </row>
    <row r="608" spans="1:17" ht="17.5">
      <c r="A608" s="198"/>
      <c r="B608" s="192"/>
      <c r="C608" s="188"/>
      <c r="D608" s="214"/>
      <c r="E608" s="193"/>
      <c r="F608" s="193"/>
      <c r="G608" s="214"/>
      <c r="H608" s="214"/>
      <c r="I608" s="193"/>
      <c r="J608" s="220"/>
      <c r="K608" s="214"/>
      <c r="L608" s="193"/>
      <c r="M608" s="193"/>
      <c r="N608" s="193"/>
      <c r="O608" s="193"/>
      <c r="P608" s="193"/>
      <c r="Q608" s="193"/>
    </row>
    <row r="609" spans="1:17" ht="17.5">
      <c r="A609" s="198"/>
      <c r="B609" s="192"/>
      <c r="C609" s="188"/>
      <c r="D609" s="214"/>
      <c r="E609" s="193"/>
      <c r="F609" s="193"/>
      <c r="G609" s="214"/>
      <c r="H609" s="214"/>
      <c r="I609" s="193"/>
      <c r="J609" s="220"/>
      <c r="K609" s="214"/>
      <c r="L609" s="193"/>
      <c r="M609" s="193"/>
      <c r="N609" s="193"/>
      <c r="O609" s="193"/>
      <c r="P609" s="193"/>
      <c r="Q609" s="193"/>
    </row>
    <row r="610" spans="1:17" ht="17.5">
      <c r="A610" s="198"/>
      <c r="B610" s="192"/>
      <c r="C610" s="188"/>
      <c r="D610" s="214"/>
      <c r="E610" s="193"/>
      <c r="F610" s="193"/>
      <c r="G610" s="214"/>
      <c r="H610" s="214"/>
      <c r="I610" s="193"/>
      <c r="J610" s="220"/>
      <c r="K610" s="214"/>
      <c r="L610" s="193"/>
      <c r="M610" s="193"/>
      <c r="N610" s="193"/>
      <c r="O610" s="193"/>
      <c r="P610" s="193"/>
      <c r="Q610" s="193"/>
    </row>
    <row r="611" spans="1:17" ht="17.5">
      <c r="A611" s="198"/>
      <c r="B611" s="192"/>
      <c r="C611" s="188"/>
      <c r="D611" s="214"/>
      <c r="E611" s="193"/>
      <c r="F611" s="193"/>
      <c r="G611" s="214"/>
      <c r="H611" s="214"/>
      <c r="I611" s="193"/>
      <c r="J611" s="220"/>
      <c r="K611" s="214"/>
      <c r="L611" s="193"/>
      <c r="M611" s="193"/>
      <c r="N611" s="193"/>
      <c r="O611" s="193"/>
      <c r="P611" s="193"/>
      <c r="Q611" s="193"/>
    </row>
    <row r="612" spans="1:17" ht="17.5">
      <c r="A612" s="198"/>
      <c r="B612" s="192"/>
      <c r="C612" s="188"/>
      <c r="D612" s="214"/>
      <c r="E612" s="193"/>
      <c r="F612" s="193"/>
      <c r="G612" s="214"/>
      <c r="H612" s="214"/>
      <c r="I612" s="193"/>
      <c r="J612" s="220"/>
      <c r="K612" s="214"/>
      <c r="L612" s="193"/>
      <c r="M612" s="193"/>
      <c r="N612" s="193"/>
      <c r="O612" s="193"/>
      <c r="P612" s="193"/>
      <c r="Q612" s="193"/>
    </row>
    <row r="613" spans="1:17" ht="17.5">
      <c r="A613" s="198"/>
      <c r="B613" s="192"/>
      <c r="C613" s="188"/>
      <c r="D613" s="214"/>
      <c r="E613" s="193"/>
      <c r="F613" s="193"/>
      <c r="G613" s="214"/>
      <c r="H613" s="214"/>
      <c r="I613" s="193"/>
      <c r="J613" s="220"/>
      <c r="K613" s="214"/>
      <c r="L613" s="193"/>
      <c r="M613" s="193"/>
      <c r="N613" s="193"/>
      <c r="O613" s="193"/>
      <c r="P613" s="193"/>
      <c r="Q613" s="193"/>
    </row>
    <row r="614" spans="1:17" ht="17.5">
      <c r="A614" s="198"/>
      <c r="B614" s="192"/>
      <c r="C614" s="188"/>
      <c r="D614" s="214"/>
      <c r="E614" s="193"/>
      <c r="F614" s="193"/>
      <c r="G614" s="214"/>
      <c r="H614" s="214"/>
      <c r="I614" s="193"/>
      <c r="J614" s="220"/>
      <c r="K614" s="214"/>
      <c r="L614" s="193"/>
      <c r="M614" s="193"/>
      <c r="N614" s="193"/>
      <c r="O614" s="193"/>
      <c r="P614" s="193"/>
      <c r="Q614" s="193"/>
    </row>
    <row r="615" spans="1:17" ht="17.5">
      <c r="A615" s="198"/>
      <c r="B615" s="192"/>
      <c r="C615" s="188"/>
      <c r="D615" s="214"/>
      <c r="E615" s="193"/>
      <c r="F615" s="193"/>
      <c r="G615" s="214"/>
      <c r="H615" s="214"/>
      <c r="I615" s="193"/>
      <c r="J615" s="220"/>
      <c r="K615" s="214"/>
      <c r="L615" s="193"/>
      <c r="M615" s="193"/>
      <c r="N615" s="193"/>
      <c r="O615" s="193"/>
      <c r="P615" s="193"/>
      <c r="Q615" s="193"/>
    </row>
    <row r="616" spans="1:17" ht="17.5">
      <c r="A616" s="198"/>
      <c r="B616" s="192"/>
      <c r="C616" s="188"/>
      <c r="D616" s="214"/>
      <c r="E616" s="193"/>
      <c r="F616" s="193"/>
      <c r="G616" s="214"/>
      <c r="H616" s="214"/>
      <c r="I616" s="193"/>
      <c r="J616" s="220"/>
      <c r="K616" s="214"/>
      <c r="L616" s="193"/>
      <c r="M616" s="193"/>
      <c r="N616" s="193"/>
      <c r="O616" s="193"/>
      <c r="P616" s="193"/>
      <c r="Q616" s="193"/>
    </row>
    <row r="617" spans="1:17" ht="17.5">
      <c r="A617" s="198"/>
      <c r="B617" s="192"/>
      <c r="C617" s="188"/>
      <c r="D617" s="214"/>
      <c r="E617" s="193"/>
      <c r="F617" s="193"/>
      <c r="G617" s="214"/>
      <c r="H617" s="214"/>
      <c r="I617" s="193"/>
      <c r="J617" s="220"/>
      <c r="K617" s="214"/>
      <c r="L617" s="193"/>
      <c r="M617" s="193"/>
      <c r="N617" s="193"/>
      <c r="O617" s="193"/>
      <c r="P617" s="193"/>
      <c r="Q617" s="193"/>
    </row>
    <row r="618" spans="1:17" ht="17.5">
      <c r="A618" s="198"/>
      <c r="B618" s="192"/>
      <c r="C618" s="188"/>
      <c r="D618" s="214"/>
      <c r="E618" s="193"/>
      <c r="F618" s="193"/>
      <c r="G618" s="214"/>
      <c r="H618" s="214"/>
      <c r="I618" s="193"/>
      <c r="J618" s="220"/>
      <c r="K618" s="214"/>
      <c r="L618" s="193"/>
      <c r="M618" s="193"/>
      <c r="N618" s="193"/>
      <c r="O618" s="193"/>
      <c r="P618" s="193"/>
      <c r="Q618" s="193"/>
    </row>
    <row r="619" spans="1:17" ht="17.5">
      <c r="A619" s="198"/>
      <c r="B619" s="192"/>
      <c r="C619" s="188"/>
      <c r="D619" s="214"/>
      <c r="E619" s="193"/>
      <c r="F619" s="193"/>
      <c r="G619" s="214"/>
      <c r="H619" s="214"/>
      <c r="I619" s="193"/>
      <c r="J619" s="220"/>
      <c r="K619" s="214"/>
      <c r="L619" s="193"/>
      <c r="M619" s="193"/>
      <c r="N619" s="193"/>
      <c r="O619" s="193"/>
      <c r="P619" s="193"/>
      <c r="Q619" s="193"/>
    </row>
    <row r="620" spans="1:17" ht="17.5">
      <c r="A620" s="198"/>
      <c r="B620" s="192"/>
      <c r="C620" s="188"/>
      <c r="D620" s="214"/>
      <c r="E620" s="193"/>
      <c r="F620" s="193"/>
      <c r="G620" s="214"/>
      <c r="H620" s="214"/>
      <c r="I620" s="193"/>
      <c r="J620" s="220"/>
      <c r="K620" s="214"/>
      <c r="L620" s="193"/>
      <c r="M620" s="193"/>
      <c r="N620" s="193"/>
      <c r="O620" s="193"/>
      <c r="P620" s="193"/>
      <c r="Q620" s="193"/>
    </row>
    <row r="621" spans="1:17" ht="17.5">
      <c r="A621" s="198"/>
      <c r="B621" s="192"/>
      <c r="C621" s="188"/>
      <c r="D621" s="214"/>
      <c r="E621" s="193"/>
      <c r="F621" s="193"/>
      <c r="G621" s="214"/>
      <c r="H621" s="214"/>
      <c r="I621" s="193"/>
      <c r="J621" s="220"/>
      <c r="K621" s="214"/>
      <c r="L621" s="193"/>
      <c r="M621" s="193"/>
      <c r="N621" s="193"/>
      <c r="O621" s="193"/>
      <c r="P621" s="193"/>
      <c r="Q621" s="193"/>
    </row>
    <row r="622" spans="1:17" ht="17.5">
      <c r="A622" s="198"/>
      <c r="B622" s="192"/>
      <c r="C622" s="188"/>
      <c r="D622" s="214"/>
      <c r="E622" s="193"/>
      <c r="F622" s="193"/>
      <c r="G622" s="214"/>
      <c r="H622" s="214"/>
      <c r="I622" s="193"/>
      <c r="J622" s="220"/>
      <c r="K622" s="214"/>
      <c r="L622" s="193"/>
      <c r="M622" s="193"/>
      <c r="N622" s="193"/>
      <c r="O622" s="193"/>
      <c r="P622" s="193"/>
      <c r="Q622" s="193"/>
    </row>
    <row r="623" spans="1:17" ht="17.5">
      <c r="A623" s="198"/>
      <c r="B623" s="192"/>
      <c r="C623" s="188"/>
      <c r="D623" s="214"/>
      <c r="E623" s="193"/>
      <c r="F623" s="193"/>
      <c r="G623" s="214"/>
      <c r="H623" s="214"/>
      <c r="I623" s="193"/>
      <c r="J623" s="220"/>
      <c r="K623" s="214"/>
      <c r="L623" s="193"/>
      <c r="M623" s="193"/>
      <c r="N623" s="193"/>
      <c r="O623" s="193"/>
      <c r="P623" s="193"/>
      <c r="Q623" s="193"/>
    </row>
    <row r="624" spans="1:17" ht="17.5">
      <c r="A624" s="198"/>
      <c r="B624" s="192"/>
      <c r="C624" s="188"/>
      <c r="D624" s="214"/>
      <c r="E624" s="193"/>
      <c r="F624" s="193"/>
      <c r="G624" s="214"/>
      <c r="H624" s="214"/>
      <c r="I624" s="193"/>
      <c r="J624" s="220"/>
      <c r="K624" s="214"/>
      <c r="L624" s="193"/>
      <c r="M624" s="193"/>
      <c r="N624" s="193"/>
      <c r="O624" s="193"/>
      <c r="P624" s="193"/>
      <c r="Q624" s="193"/>
    </row>
    <row r="625" spans="1:17" ht="17.5">
      <c r="A625" s="198"/>
      <c r="B625" s="192"/>
      <c r="C625" s="188"/>
      <c r="D625" s="214"/>
      <c r="E625" s="193"/>
      <c r="F625" s="193"/>
      <c r="G625" s="214"/>
      <c r="H625" s="214"/>
      <c r="I625" s="193"/>
      <c r="J625" s="220"/>
      <c r="K625" s="214"/>
      <c r="L625" s="193"/>
      <c r="M625" s="193"/>
      <c r="N625" s="193"/>
      <c r="O625" s="193"/>
      <c r="P625" s="193"/>
      <c r="Q625" s="193"/>
    </row>
    <row r="626" spans="1:17" ht="17.5">
      <c r="A626" s="198"/>
      <c r="B626" s="192"/>
      <c r="C626" s="188"/>
      <c r="D626" s="214"/>
      <c r="E626" s="193"/>
      <c r="F626" s="193"/>
      <c r="G626" s="214"/>
      <c r="H626" s="214"/>
      <c r="I626" s="193"/>
      <c r="J626" s="220"/>
      <c r="K626" s="214"/>
      <c r="L626" s="193"/>
      <c r="M626" s="193"/>
      <c r="N626" s="193"/>
      <c r="O626" s="193"/>
      <c r="P626" s="193"/>
      <c r="Q626" s="193"/>
    </row>
    <row r="627" spans="1:17" ht="17.5">
      <c r="A627" s="198"/>
      <c r="B627" s="192"/>
      <c r="C627" s="188"/>
      <c r="D627" s="214"/>
      <c r="E627" s="193"/>
      <c r="F627" s="193"/>
      <c r="G627" s="214"/>
      <c r="H627" s="214"/>
      <c r="I627" s="193"/>
      <c r="J627" s="220"/>
      <c r="K627" s="214"/>
      <c r="L627" s="193"/>
      <c r="M627" s="193"/>
      <c r="N627" s="193"/>
      <c r="O627" s="193"/>
      <c r="P627" s="193"/>
      <c r="Q627" s="193"/>
    </row>
    <row r="628" spans="1:17" ht="17.5">
      <c r="A628" s="198"/>
      <c r="B628" s="192"/>
      <c r="C628" s="188"/>
      <c r="D628" s="214"/>
      <c r="E628" s="193"/>
      <c r="F628" s="193"/>
      <c r="G628" s="214"/>
      <c r="H628" s="214"/>
      <c r="I628" s="193"/>
      <c r="J628" s="220"/>
      <c r="K628" s="214"/>
      <c r="L628" s="193"/>
      <c r="M628" s="193"/>
      <c r="N628" s="193"/>
      <c r="O628" s="193"/>
      <c r="P628" s="193"/>
      <c r="Q628" s="193"/>
    </row>
    <row r="629" spans="1:17" ht="17.5">
      <c r="A629" s="198"/>
      <c r="B629" s="192"/>
      <c r="C629" s="188"/>
      <c r="D629" s="214"/>
      <c r="E629" s="193"/>
      <c r="F629" s="193"/>
      <c r="G629" s="214"/>
      <c r="H629" s="214"/>
      <c r="I629" s="193"/>
      <c r="J629" s="220"/>
      <c r="K629" s="214"/>
      <c r="L629" s="193"/>
      <c r="M629" s="193"/>
      <c r="N629" s="193"/>
      <c r="O629" s="193"/>
      <c r="P629" s="193"/>
      <c r="Q629" s="193"/>
    </row>
    <row r="630" spans="1:17" ht="17.5">
      <c r="A630" s="198"/>
      <c r="B630" s="192"/>
      <c r="C630" s="188"/>
      <c r="D630" s="214"/>
      <c r="E630" s="193"/>
      <c r="F630" s="193"/>
      <c r="G630" s="214"/>
      <c r="H630" s="214"/>
      <c r="I630" s="193"/>
      <c r="J630" s="220"/>
      <c r="K630" s="214"/>
      <c r="L630" s="193"/>
      <c r="M630" s="193"/>
      <c r="N630" s="193"/>
      <c r="O630" s="193"/>
      <c r="P630" s="193"/>
      <c r="Q630" s="193"/>
    </row>
  </sheetData>
  <phoneticPr fontId="70"/>
  <conditionalFormatting sqref="C1:C5 C7:C630 A171 A173 A175:A218">
    <cfRule type="beginsWith" dxfId="8" priority="3" operator="beginsWith" text="ENL">
      <formula>LEFT((C1),LEN("ENL"))=("ENL")</formula>
    </cfRule>
    <cfRule type="beginsWith" dxfId="7" priority="4" operator="beginsWith" text="RES">
      <formula>LEFT((C1),LEN("RES"))=("RES")</formula>
    </cfRule>
  </conditionalFormatting>
  <conditionalFormatting sqref="G1:H1 G5:H5 H7:H28 I25:I28 H31:H60 P39:P42 P47:P58 I59:I60 H63:H630 P70:P74 P76 P78:P94 I81:I97 P104:P137 I114:I129 I137 P140:P143 P146:P171 I162:I165 I171 P177:P183 P188:P218 I191:I219 P223:P228 I228 P231:P234 P239:P246 I247 P258:P261 P266:P277 I278 P291:P294 I295 P306:P309 I331 P343:P346 I347 P359:P366 I367 P379:P392 I393 G7:G630">
    <cfRule type="containsText" dxfId="6" priority="6" operator="containsText" text="指示待ち">
      <formula>NOT(ISERROR(SEARCH(("指示待ち"),(G1))))</formula>
    </cfRule>
  </conditionalFormatting>
  <conditionalFormatting sqref="G1:H5 G7:H630 P39:P42 P47:P58 P70:P74 P76 P78:P94 P104:P137 P140:P143 P146:P171 P177:P183 P188:P218 P223:P228 P231:P234 P239:P246 P258:P261 P266:P277 P291:P294 P306:P309 P343:P346 P359:P366 P379:P392">
    <cfRule type="containsText" dxfId="5" priority="8" operator="containsText" text="オペレータ">
      <formula>NOT(ISERROR(SEARCH(("オペレータ"),(G1))))</formula>
    </cfRule>
  </conditionalFormatting>
  <conditionalFormatting sqref="H1 H5 H7:H28 I25:I28 H31:H60 P39:P42 P47:P58 I59:I60 H63:H630 P70:P74 P76 P78:P94 I81:I97 P104:P137 I114:I129 I137 P140:P143 P146:P171 I162:I165 I171 P177:P183 P188:P218 I191:I219 P223:P228 I228 P231:P234 P239:P246 I247 P258:P261 P266:P277 I278 P291:P294 I295 P306:P309 I331 P343:P346 I347 P359:P366 I367 P379:P392 I393">
    <cfRule type="containsText" dxfId="4" priority="1" operator="containsText" text="キャプチャ">
      <formula>NOT(ISERROR(SEARCH(("キャプチャ"),(H1))))</formula>
    </cfRule>
    <cfRule type="containsText" dxfId="3" priority="2" operator="containsText" text="破壊">
      <formula>NOT(ISERROR(SEARCH(("破壊"),(H1))))</formula>
    </cfRule>
    <cfRule type="containsText" dxfId="2" priority="5" operator="containsText" text="SBUL">
      <formula>NOT(ISERROR(SEARCH(("SBUL"),(H1))))</formula>
    </cfRule>
  </conditionalFormatting>
  <conditionalFormatting sqref="H1:H5 H7:H630 I25:I28 P39:P42 P47:P58 I59:I60 P70:P74 P76 P78:P94 I81:I97 P104:P137 I114:I129 I137 P140:P143 P146:P171 I162:I165 I171 P177:P183 P188:P218 I191:I219 P223:P228 I228 P231:P234 P239:P246 I247 P258:P261 P266:P277 I278 P291:P294 I295 P306:P309 I331 P343:P346 I347 P359:P366 I367 P379:P392 I393">
    <cfRule type="containsText" dxfId="1" priority="7" operator="containsText" text="反転">
      <formula>NOT(ISERROR(SEARCH(("反転"),(H1))))</formula>
    </cfRule>
  </conditionalFormatting>
  <conditionalFormatting sqref="J1:K630">
    <cfRule type="cellIs" dxfId="0" priority="9" operator="equal">
      <formula>"D:D"</formula>
    </cfRule>
  </conditionalFormatting>
  <printOptions horizontalCentered="1" gridLines="1"/>
  <pageMargins left="0.25" right="0.25" top="0.75" bottom="0.75" header="0" footer="0"/>
  <pageSetup paperSize="9" fitToHeight="0" pageOrder="overThenDown" orientation="portrait" cellComments="atEnd"/>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B1:Q134"/>
  <sheetViews>
    <sheetView showGridLines="0" workbookViewId="0"/>
  </sheetViews>
  <sheetFormatPr defaultColWidth="12.6328125" defaultRowHeight="15.75" customHeight="1"/>
  <cols>
    <col min="1" max="1" width="4.08984375" customWidth="1"/>
    <col min="2" max="2" width="10.90625" customWidth="1"/>
    <col min="3" max="3" width="34.08984375" customWidth="1"/>
    <col min="4" max="18" width="8.6328125" customWidth="1"/>
  </cols>
  <sheetData>
    <row r="1" spans="2:17" ht="12.5">
      <c r="B1" s="32" t="s">
        <v>493</v>
      </c>
    </row>
    <row r="2" spans="2:17" ht="12.5">
      <c r="B2" s="32" t="s">
        <v>494</v>
      </c>
    </row>
    <row r="3" spans="2:17" ht="58.5" customHeight="1">
      <c r="C3" s="229" t="s">
        <v>495</v>
      </c>
      <c r="D3" s="230"/>
      <c r="E3" s="230"/>
      <c r="F3" s="230"/>
      <c r="G3" s="230"/>
      <c r="H3" s="230"/>
      <c r="I3" s="230"/>
      <c r="J3" s="230"/>
      <c r="K3" s="230"/>
      <c r="L3" s="230"/>
      <c r="M3" s="230"/>
      <c r="N3" s="230"/>
      <c r="O3" s="230"/>
      <c r="P3" s="230"/>
      <c r="Q3" s="230"/>
    </row>
    <row r="4" spans="2:17" ht="12.5">
      <c r="B4" s="231" t="s">
        <v>496</v>
      </c>
      <c r="C4" s="231"/>
      <c r="D4" s="232" t="s">
        <v>438</v>
      </c>
      <c r="E4" s="232"/>
      <c r="F4" s="232"/>
      <c r="G4" s="232"/>
      <c r="H4" s="232"/>
      <c r="I4" s="232"/>
      <c r="J4" s="232"/>
      <c r="K4" s="232"/>
      <c r="L4" s="232"/>
      <c r="M4" s="232"/>
      <c r="N4" s="232"/>
      <c r="O4" s="232"/>
      <c r="P4" s="232"/>
      <c r="Q4" s="232"/>
    </row>
    <row r="5" spans="2:17" ht="12.5">
      <c r="B5" s="232" t="s">
        <v>437</v>
      </c>
      <c r="C5" s="232" t="s">
        <v>442</v>
      </c>
      <c r="D5" s="232" t="s">
        <v>446</v>
      </c>
      <c r="E5" s="232" t="s">
        <v>452</v>
      </c>
      <c r="F5" s="232" t="s">
        <v>456</v>
      </c>
      <c r="G5" s="232" t="s">
        <v>459</v>
      </c>
      <c r="H5" s="232" t="s">
        <v>462</v>
      </c>
      <c r="I5" s="232" t="s">
        <v>467</v>
      </c>
      <c r="J5" s="232" t="s">
        <v>471</v>
      </c>
      <c r="K5" s="232" t="s">
        <v>475</v>
      </c>
      <c r="L5" s="232" t="s">
        <v>479</v>
      </c>
      <c r="M5" s="232" t="s">
        <v>483</v>
      </c>
      <c r="N5" s="232" t="s">
        <v>486</v>
      </c>
      <c r="O5" s="232" t="s">
        <v>490</v>
      </c>
      <c r="P5" s="232" t="s">
        <v>492</v>
      </c>
      <c r="Q5" s="232" t="s">
        <v>497</v>
      </c>
    </row>
    <row r="6" spans="2:17" ht="12.5">
      <c r="B6" s="232" t="s">
        <v>450</v>
      </c>
      <c r="C6" s="233" t="s">
        <v>498</v>
      </c>
      <c r="D6" s="233">
        <v>2</v>
      </c>
      <c r="E6" s="233"/>
      <c r="F6" s="233"/>
      <c r="G6" s="233"/>
      <c r="H6" s="233"/>
      <c r="I6" s="233"/>
      <c r="J6" s="233"/>
      <c r="K6" s="233"/>
      <c r="L6" s="233"/>
      <c r="M6" s="233"/>
      <c r="N6" s="233"/>
      <c r="O6" s="233"/>
      <c r="P6" s="233"/>
      <c r="Q6" s="233">
        <v>2</v>
      </c>
    </row>
    <row r="7" spans="2:17" ht="12.5">
      <c r="B7" s="232"/>
      <c r="C7" s="234" t="s">
        <v>499</v>
      </c>
      <c r="D7" s="234">
        <v>2</v>
      </c>
      <c r="E7" s="234">
        <v>2</v>
      </c>
      <c r="F7" s="234"/>
      <c r="G7" s="234"/>
      <c r="H7" s="234"/>
      <c r="I7" s="234"/>
      <c r="J7" s="234"/>
      <c r="K7" s="234"/>
      <c r="L7" s="234"/>
      <c r="M7" s="234"/>
      <c r="N7" s="234"/>
      <c r="O7" s="234"/>
      <c r="P7" s="234"/>
      <c r="Q7" s="234">
        <v>4</v>
      </c>
    </row>
    <row r="8" spans="2:17" ht="12.5">
      <c r="B8" s="32"/>
      <c r="C8" s="234" t="s">
        <v>500</v>
      </c>
      <c r="D8" s="234">
        <v>1</v>
      </c>
      <c r="E8" s="234"/>
      <c r="F8" s="234"/>
      <c r="G8" s="234"/>
      <c r="H8" s="234"/>
      <c r="I8" s="234"/>
      <c r="J8" s="234"/>
      <c r="K8" s="234"/>
      <c r="L8" s="234"/>
      <c r="M8" s="234"/>
      <c r="N8" s="234"/>
      <c r="O8" s="234"/>
      <c r="P8" s="234"/>
      <c r="Q8" s="234">
        <v>1</v>
      </c>
    </row>
    <row r="9" spans="2:17" ht="12.5">
      <c r="B9" s="232"/>
      <c r="C9" s="234" t="s">
        <v>501</v>
      </c>
      <c r="D9" s="234"/>
      <c r="E9" s="234">
        <v>1</v>
      </c>
      <c r="F9" s="234"/>
      <c r="G9" s="234"/>
      <c r="H9" s="234"/>
      <c r="I9" s="234"/>
      <c r="J9" s="234"/>
      <c r="K9" s="234"/>
      <c r="L9" s="234"/>
      <c r="M9" s="234"/>
      <c r="N9" s="234"/>
      <c r="O9" s="234"/>
      <c r="P9" s="234"/>
      <c r="Q9" s="234">
        <v>1</v>
      </c>
    </row>
    <row r="10" spans="2:17" ht="12.5">
      <c r="B10" s="232"/>
      <c r="C10" s="234" t="s">
        <v>502</v>
      </c>
      <c r="D10" s="234"/>
      <c r="E10" s="234">
        <v>2</v>
      </c>
      <c r="F10" s="234"/>
      <c r="G10" s="234"/>
      <c r="H10" s="234"/>
      <c r="I10" s="234"/>
      <c r="J10" s="234"/>
      <c r="K10" s="234"/>
      <c r="L10" s="234"/>
      <c r="M10" s="234"/>
      <c r="N10" s="234"/>
      <c r="O10" s="234"/>
      <c r="P10" s="234"/>
      <c r="Q10" s="234">
        <v>2</v>
      </c>
    </row>
    <row r="11" spans="2:17" ht="12.5">
      <c r="B11" s="232"/>
      <c r="C11" s="234" t="s">
        <v>503</v>
      </c>
      <c r="D11" s="234">
        <v>2</v>
      </c>
      <c r="E11" s="234"/>
      <c r="F11" s="234"/>
      <c r="G11" s="234"/>
      <c r="H11" s="234"/>
      <c r="I11" s="234"/>
      <c r="J11" s="234"/>
      <c r="K11" s="234"/>
      <c r="L11" s="234"/>
      <c r="M11" s="234"/>
      <c r="N11" s="234"/>
      <c r="O11" s="234"/>
      <c r="P11" s="234"/>
      <c r="Q11" s="234">
        <v>2</v>
      </c>
    </row>
    <row r="12" spans="2:17" ht="12.5">
      <c r="B12" s="232"/>
      <c r="C12" s="234" t="s">
        <v>504</v>
      </c>
      <c r="D12" s="234"/>
      <c r="E12" s="234">
        <v>2</v>
      </c>
      <c r="F12" s="234"/>
      <c r="G12" s="234"/>
      <c r="H12" s="234"/>
      <c r="I12" s="234"/>
      <c r="J12" s="234"/>
      <c r="K12" s="234"/>
      <c r="L12" s="234"/>
      <c r="M12" s="234"/>
      <c r="N12" s="234"/>
      <c r="O12" s="234"/>
      <c r="P12" s="234"/>
      <c r="Q12" s="234">
        <v>2</v>
      </c>
    </row>
    <row r="13" spans="2:17" ht="12.5">
      <c r="B13" s="232"/>
      <c r="C13" s="234" t="s">
        <v>505</v>
      </c>
      <c r="D13" s="234"/>
      <c r="E13" s="234"/>
      <c r="F13" s="234"/>
      <c r="G13" s="234"/>
      <c r="H13" s="234">
        <v>2</v>
      </c>
      <c r="I13" s="234">
        <v>1</v>
      </c>
      <c r="J13" s="234"/>
      <c r="K13" s="234"/>
      <c r="L13" s="234"/>
      <c r="M13" s="234"/>
      <c r="N13" s="234"/>
      <c r="O13" s="234"/>
      <c r="P13" s="234"/>
      <c r="Q13" s="234">
        <v>3</v>
      </c>
    </row>
    <row r="14" spans="2:17" ht="12.5">
      <c r="B14" s="232"/>
      <c r="C14" s="234" t="s">
        <v>466</v>
      </c>
      <c r="D14" s="234"/>
      <c r="E14" s="234"/>
      <c r="F14" s="234"/>
      <c r="G14" s="234"/>
      <c r="H14" s="234">
        <v>2</v>
      </c>
      <c r="I14" s="234">
        <v>2</v>
      </c>
      <c r="J14" s="234"/>
      <c r="K14" s="234"/>
      <c r="L14" s="234"/>
      <c r="M14" s="234"/>
      <c r="N14" s="234"/>
      <c r="O14" s="234"/>
      <c r="P14" s="234"/>
      <c r="Q14" s="234">
        <v>4</v>
      </c>
    </row>
    <row r="15" spans="2:17" ht="12.5">
      <c r="B15" s="232"/>
      <c r="C15" s="234" t="s">
        <v>506</v>
      </c>
      <c r="D15" s="234"/>
      <c r="E15" s="234"/>
      <c r="F15" s="234"/>
      <c r="G15" s="234"/>
      <c r="H15" s="234"/>
      <c r="I15" s="234">
        <v>1</v>
      </c>
      <c r="J15" s="234"/>
      <c r="K15" s="234"/>
      <c r="L15" s="234"/>
      <c r="M15" s="234"/>
      <c r="N15" s="234"/>
      <c r="O15" s="234"/>
      <c r="P15" s="234"/>
      <c r="Q15" s="234">
        <v>1</v>
      </c>
    </row>
    <row r="16" spans="2:17" ht="12.5">
      <c r="B16" s="232"/>
      <c r="C16" s="234" t="s">
        <v>507</v>
      </c>
      <c r="D16" s="234"/>
      <c r="E16" s="234"/>
      <c r="F16" s="234"/>
      <c r="G16" s="234"/>
      <c r="H16" s="234"/>
      <c r="I16" s="234">
        <v>2</v>
      </c>
      <c r="J16" s="234"/>
      <c r="K16" s="234"/>
      <c r="L16" s="234"/>
      <c r="M16" s="234"/>
      <c r="N16" s="234"/>
      <c r="O16" s="234"/>
      <c r="P16" s="234"/>
      <c r="Q16" s="234">
        <v>2</v>
      </c>
    </row>
    <row r="17" spans="2:17" ht="12.5">
      <c r="B17" s="232"/>
      <c r="C17" s="234" t="s">
        <v>508</v>
      </c>
      <c r="D17" s="234"/>
      <c r="E17" s="234"/>
      <c r="F17" s="234"/>
      <c r="G17" s="234"/>
      <c r="H17" s="234"/>
      <c r="I17" s="234">
        <v>3</v>
      </c>
      <c r="J17" s="234"/>
      <c r="K17" s="234"/>
      <c r="L17" s="234"/>
      <c r="M17" s="234"/>
      <c r="N17" s="234"/>
      <c r="O17" s="234"/>
      <c r="P17" s="234"/>
      <c r="Q17" s="234">
        <v>3</v>
      </c>
    </row>
    <row r="18" spans="2:17" ht="12.5">
      <c r="B18" s="232"/>
      <c r="C18" s="234" t="s">
        <v>509</v>
      </c>
      <c r="D18" s="234">
        <v>1</v>
      </c>
      <c r="E18" s="234"/>
      <c r="F18" s="234"/>
      <c r="G18" s="234"/>
      <c r="H18" s="234"/>
      <c r="I18" s="234"/>
      <c r="J18" s="234"/>
      <c r="K18" s="234"/>
      <c r="L18" s="234"/>
      <c r="M18" s="234"/>
      <c r="N18" s="234"/>
      <c r="O18" s="234"/>
      <c r="P18" s="234"/>
      <c r="Q18" s="234">
        <v>1</v>
      </c>
    </row>
    <row r="19" spans="2:17" ht="12.5">
      <c r="B19" s="232"/>
      <c r="C19" s="234" t="s">
        <v>510</v>
      </c>
      <c r="D19" s="234"/>
      <c r="E19" s="234"/>
      <c r="F19" s="234"/>
      <c r="G19" s="234"/>
      <c r="H19" s="234"/>
      <c r="I19" s="234"/>
      <c r="J19" s="234"/>
      <c r="K19" s="234">
        <v>1</v>
      </c>
      <c r="L19" s="234"/>
      <c r="M19" s="234"/>
      <c r="N19" s="234"/>
      <c r="O19" s="234"/>
      <c r="P19" s="234"/>
      <c r="Q19" s="234">
        <v>1</v>
      </c>
    </row>
    <row r="20" spans="2:17" ht="12.5">
      <c r="B20" s="232"/>
      <c r="C20" s="234" t="s">
        <v>511</v>
      </c>
      <c r="D20" s="234"/>
      <c r="E20" s="234">
        <v>2</v>
      </c>
      <c r="F20" s="234"/>
      <c r="G20" s="234"/>
      <c r="H20" s="234"/>
      <c r="I20" s="234"/>
      <c r="J20" s="234"/>
      <c r="K20" s="234"/>
      <c r="L20" s="234"/>
      <c r="M20" s="234"/>
      <c r="N20" s="234"/>
      <c r="O20" s="234"/>
      <c r="P20" s="234"/>
      <c r="Q20" s="234">
        <v>2</v>
      </c>
    </row>
    <row r="21" spans="2:17" ht="12.5">
      <c r="B21" s="232"/>
      <c r="C21" s="234" t="s">
        <v>512</v>
      </c>
      <c r="D21" s="234">
        <v>3</v>
      </c>
      <c r="E21" s="234"/>
      <c r="F21" s="234"/>
      <c r="G21" s="234"/>
      <c r="H21" s="234"/>
      <c r="I21" s="234"/>
      <c r="J21" s="234"/>
      <c r="K21" s="234"/>
      <c r="L21" s="234"/>
      <c r="M21" s="234"/>
      <c r="N21" s="234"/>
      <c r="O21" s="234"/>
      <c r="P21" s="234"/>
      <c r="Q21" s="234">
        <v>3</v>
      </c>
    </row>
    <row r="22" spans="2:17" ht="12.5">
      <c r="B22" s="232"/>
      <c r="C22" s="234" t="s">
        <v>513</v>
      </c>
      <c r="D22" s="234"/>
      <c r="E22" s="234">
        <v>2</v>
      </c>
      <c r="F22" s="234"/>
      <c r="G22" s="234"/>
      <c r="H22" s="234"/>
      <c r="I22" s="234"/>
      <c r="J22" s="234"/>
      <c r="K22" s="234"/>
      <c r="L22" s="234"/>
      <c r="M22" s="234"/>
      <c r="N22" s="234"/>
      <c r="O22" s="234"/>
      <c r="P22" s="234"/>
      <c r="Q22" s="234">
        <v>2</v>
      </c>
    </row>
    <row r="23" spans="2:17" ht="12.5">
      <c r="B23" s="232"/>
      <c r="C23" s="234" t="s">
        <v>514</v>
      </c>
      <c r="D23" s="234"/>
      <c r="E23" s="234">
        <v>2</v>
      </c>
      <c r="F23" s="234"/>
      <c r="G23" s="234"/>
      <c r="H23" s="234"/>
      <c r="I23" s="234"/>
      <c r="J23" s="234"/>
      <c r="K23" s="234"/>
      <c r="L23" s="234"/>
      <c r="M23" s="234"/>
      <c r="N23" s="234"/>
      <c r="O23" s="234"/>
      <c r="P23" s="234"/>
      <c r="Q23" s="234">
        <v>2</v>
      </c>
    </row>
    <row r="24" spans="2:17" ht="12.5">
      <c r="B24" s="232"/>
      <c r="C24" s="234" t="s">
        <v>515</v>
      </c>
      <c r="D24" s="234"/>
      <c r="E24" s="234">
        <v>2</v>
      </c>
      <c r="F24" s="234"/>
      <c r="G24" s="234"/>
      <c r="H24" s="234"/>
      <c r="I24" s="234"/>
      <c r="J24" s="234"/>
      <c r="K24" s="234"/>
      <c r="L24" s="234"/>
      <c r="M24" s="234"/>
      <c r="N24" s="234"/>
      <c r="O24" s="234"/>
      <c r="P24" s="234"/>
      <c r="Q24" s="234">
        <v>2</v>
      </c>
    </row>
    <row r="25" spans="2:17" ht="12.5">
      <c r="B25" s="232"/>
      <c r="C25" s="234" t="s">
        <v>516</v>
      </c>
      <c r="D25" s="234"/>
      <c r="E25" s="234">
        <v>1</v>
      </c>
      <c r="F25" s="234"/>
      <c r="G25" s="234"/>
      <c r="H25" s="234"/>
      <c r="I25" s="234"/>
      <c r="J25" s="234"/>
      <c r="K25" s="234"/>
      <c r="L25" s="234"/>
      <c r="M25" s="234"/>
      <c r="N25" s="234"/>
      <c r="O25" s="234"/>
      <c r="P25" s="234"/>
      <c r="Q25" s="234">
        <v>1</v>
      </c>
    </row>
    <row r="26" spans="2:17" ht="12.5">
      <c r="B26" s="232"/>
      <c r="C26" s="234" t="s">
        <v>517</v>
      </c>
      <c r="D26" s="234"/>
      <c r="E26" s="234">
        <v>2</v>
      </c>
      <c r="F26" s="234"/>
      <c r="G26" s="234"/>
      <c r="H26" s="234"/>
      <c r="I26" s="234"/>
      <c r="J26" s="234"/>
      <c r="K26" s="234"/>
      <c r="L26" s="234"/>
      <c r="M26" s="234"/>
      <c r="N26" s="234"/>
      <c r="O26" s="234"/>
      <c r="P26" s="234"/>
      <c r="Q26" s="234">
        <v>2</v>
      </c>
    </row>
    <row r="27" spans="2:17" ht="12.5">
      <c r="B27" s="232"/>
      <c r="C27" s="234" t="s">
        <v>518</v>
      </c>
      <c r="D27" s="234"/>
      <c r="E27" s="234">
        <v>2</v>
      </c>
      <c r="F27" s="234"/>
      <c r="G27" s="234"/>
      <c r="H27" s="234"/>
      <c r="I27" s="234"/>
      <c r="J27" s="234"/>
      <c r="K27" s="234"/>
      <c r="L27" s="234"/>
      <c r="M27" s="234"/>
      <c r="N27" s="234"/>
      <c r="O27" s="234"/>
      <c r="P27" s="234"/>
      <c r="Q27" s="234">
        <v>2</v>
      </c>
    </row>
    <row r="28" spans="2:17" ht="12.5">
      <c r="B28" s="232"/>
      <c r="C28" s="234" t="s">
        <v>519</v>
      </c>
      <c r="D28" s="234"/>
      <c r="E28" s="234">
        <v>2</v>
      </c>
      <c r="F28" s="234"/>
      <c r="G28" s="234"/>
      <c r="H28" s="234"/>
      <c r="I28" s="234"/>
      <c r="J28" s="234"/>
      <c r="K28" s="234"/>
      <c r="L28" s="234"/>
      <c r="M28" s="234"/>
      <c r="N28" s="234"/>
      <c r="O28" s="234"/>
      <c r="P28" s="234"/>
      <c r="Q28" s="234">
        <v>2</v>
      </c>
    </row>
    <row r="29" spans="2:17" ht="12.5">
      <c r="B29" s="232"/>
      <c r="C29" s="234" t="s">
        <v>520</v>
      </c>
      <c r="D29" s="234"/>
      <c r="E29" s="234">
        <v>1</v>
      </c>
      <c r="F29" s="234"/>
      <c r="G29" s="234"/>
      <c r="H29" s="234"/>
      <c r="I29" s="234"/>
      <c r="J29" s="234"/>
      <c r="K29" s="234"/>
      <c r="L29" s="234"/>
      <c r="M29" s="234"/>
      <c r="N29" s="234"/>
      <c r="O29" s="234"/>
      <c r="P29" s="234"/>
      <c r="Q29" s="234">
        <v>1</v>
      </c>
    </row>
    <row r="30" spans="2:17" ht="12.5">
      <c r="B30" s="232"/>
      <c r="C30" s="234" t="s">
        <v>521</v>
      </c>
      <c r="D30" s="234"/>
      <c r="E30" s="234"/>
      <c r="F30" s="234">
        <v>3</v>
      </c>
      <c r="G30" s="234"/>
      <c r="H30" s="234"/>
      <c r="I30" s="234"/>
      <c r="J30" s="234"/>
      <c r="K30" s="234"/>
      <c r="L30" s="234"/>
      <c r="M30" s="234"/>
      <c r="N30" s="234"/>
      <c r="O30" s="234"/>
      <c r="P30" s="234"/>
      <c r="Q30" s="234">
        <v>3</v>
      </c>
    </row>
    <row r="31" spans="2:17" ht="12.5">
      <c r="B31" s="232"/>
      <c r="C31" s="234" t="s">
        <v>522</v>
      </c>
      <c r="D31" s="234">
        <v>2</v>
      </c>
      <c r="E31" s="234"/>
      <c r="F31" s="234"/>
      <c r="G31" s="234"/>
      <c r="H31" s="234"/>
      <c r="I31" s="234"/>
      <c r="J31" s="234"/>
      <c r="K31" s="234"/>
      <c r="L31" s="234"/>
      <c r="M31" s="234"/>
      <c r="N31" s="234"/>
      <c r="O31" s="234"/>
      <c r="P31" s="234"/>
      <c r="Q31" s="234">
        <v>2</v>
      </c>
    </row>
    <row r="32" spans="2:17" ht="12.5">
      <c r="B32" s="232"/>
      <c r="C32" s="234" t="s">
        <v>523</v>
      </c>
      <c r="D32" s="234"/>
      <c r="E32" s="234"/>
      <c r="F32" s="234">
        <v>2</v>
      </c>
      <c r="G32" s="234"/>
      <c r="H32" s="234"/>
      <c r="I32" s="234"/>
      <c r="J32" s="234"/>
      <c r="K32" s="234"/>
      <c r="L32" s="234"/>
      <c r="M32" s="234"/>
      <c r="N32" s="234"/>
      <c r="O32" s="234"/>
      <c r="P32" s="234"/>
      <c r="Q32" s="234">
        <v>2</v>
      </c>
    </row>
    <row r="33" spans="2:17" ht="12.5">
      <c r="B33" s="232"/>
      <c r="C33" s="234" t="s">
        <v>524</v>
      </c>
      <c r="D33" s="234"/>
      <c r="E33" s="234"/>
      <c r="F33" s="234"/>
      <c r="G33" s="234"/>
      <c r="H33" s="234"/>
      <c r="I33" s="234"/>
      <c r="J33" s="234"/>
      <c r="K33" s="234">
        <v>2</v>
      </c>
      <c r="L33" s="234"/>
      <c r="M33" s="234"/>
      <c r="N33" s="234"/>
      <c r="O33" s="234"/>
      <c r="P33" s="234"/>
      <c r="Q33" s="234">
        <v>2</v>
      </c>
    </row>
    <row r="34" spans="2:17" ht="12.5">
      <c r="B34" s="232"/>
      <c r="C34" s="234" t="s">
        <v>525</v>
      </c>
      <c r="D34" s="234"/>
      <c r="E34" s="234"/>
      <c r="F34" s="234">
        <v>1</v>
      </c>
      <c r="G34" s="234"/>
      <c r="H34" s="234"/>
      <c r="I34" s="234"/>
      <c r="J34" s="234"/>
      <c r="K34" s="234"/>
      <c r="L34" s="234"/>
      <c r="M34" s="234"/>
      <c r="N34" s="234"/>
      <c r="O34" s="234"/>
      <c r="P34" s="234"/>
      <c r="Q34" s="234">
        <v>1</v>
      </c>
    </row>
    <row r="35" spans="2:17" ht="12.5">
      <c r="B35" s="232"/>
      <c r="C35" s="234" t="s">
        <v>526</v>
      </c>
      <c r="D35" s="234"/>
      <c r="E35" s="234"/>
      <c r="F35" s="234">
        <v>2</v>
      </c>
      <c r="G35" s="234"/>
      <c r="H35" s="234"/>
      <c r="I35" s="234"/>
      <c r="J35" s="234"/>
      <c r="K35" s="234"/>
      <c r="L35" s="234"/>
      <c r="M35" s="234"/>
      <c r="N35" s="234"/>
      <c r="O35" s="234"/>
      <c r="P35" s="234"/>
      <c r="Q35" s="234">
        <v>2</v>
      </c>
    </row>
    <row r="36" spans="2:17" ht="12.5">
      <c r="B36" s="232"/>
      <c r="C36" s="234" t="s">
        <v>527</v>
      </c>
      <c r="D36" s="234"/>
      <c r="E36" s="234"/>
      <c r="F36" s="234"/>
      <c r="G36" s="234"/>
      <c r="H36" s="234"/>
      <c r="I36" s="234"/>
      <c r="J36" s="234"/>
      <c r="K36" s="234">
        <v>1</v>
      </c>
      <c r="L36" s="234"/>
      <c r="M36" s="234"/>
      <c r="N36" s="234"/>
      <c r="O36" s="234"/>
      <c r="P36" s="234"/>
      <c r="Q36" s="234">
        <v>1</v>
      </c>
    </row>
    <row r="37" spans="2:17" ht="12.5">
      <c r="B37" s="232"/>
      <c r="C37" s="234" t="s">
        <v>528</v>
      </c>
      <c r="D37" s="234"/>
      <c r="E37" s="234"/>
      <c r="F37" s="234"/>
      <c r="G37" s="234"/>
      <c r="H37" s="234"/>
      <c r="I37" s="234"/>
      <c r="J37" s="234">
        <v>1</v>
      </c>
      <c r="K37" s="234"/>
      <c r="L37" s="234"/>
      <c r="M37" s="234"/>
      <c r="N37" s="234"/>
      <c r="O37" s="234"/>
      <c r="P37" s="234"/>
      <c r="Q37" s="234">
        <v>1</v>
      </c>
    </row>
    <row r="38" spans="2:17" ht="12.5">
      <c r="B38" s="232"/>
      <c r="C38" s="234" t="s">
        <v>529</v>
      </c>
      <c r="D38" s="234"/>
      <c r="E38" s="234"/>
      <c r="F38" s="234"/>
      <c r="G38" s="234"/>
      <c r="H38" s="234"/>
      <c r="I38" s="234"/>
      <c r="J38" s="234">
        <v>2</v>
      </c>
      <c r="K38" s="234">
        <v>1</v>
      </c>
      <c r="L38" s="234"/>
      <c r="M38" s="234"/>
      <c r="N38" s="234"/>
      <c r="O38" s="234"/>
      <c r="P38" s="234"/>
      <c r="Q38" s="234">
        <v>3</v>
      </c>
    </row>
    <row r="39" spans="2:17" ht="12.5">
      <c r="B39" s="232"/>
      <c r="C39" s="234" t="s">
        <v>530</v>
      </c>
      <c r="D39" s="234">
        <v>1</v>
      </c>
      <c r="E39" s="234"/>
      <c r="F39" s="234">
        <v>2</v>
      </c>
      <c r="G39" s="234">
        <v>1</v>
      </c>
      <c r="H39" s="234"/>
      <c r="I39" s="234"/>
      <c r="J39" s="234"/>
      <c r="K39" s="234"/>
      <c r="L39" s="234"/>
      <c r="M39" s="234"/>
      <c r="N39" s="234"/>
      <c r="O39" s="234"/>
      <c r="P39" s="234"/>
      <c r="Q39" s="234">
        <v>4</v>
      </c>
    </row>
    <row r="40" spans="2:17" ht="12.5">
      <c r="B40" s="232"/>
      <c r="C40" s="234" t="s">
        <v>531</v>
      </c>
      <c r="D40" s="234"/>
      <c r="E40" s="234"/>
      <c r="F40" s="234"/>
      <c r="G40" s="234"/>
      <c r="H40" s="234"/>
      <c r="I40" s="234"/>
      <c r="J40" s="234"/>
      <c r="K40" s="234">
        <v>1</v>
      </c>
      <c r="L40" s="234"/>
      <c r="M40" s="234"/>
      <c r="N40" s="234"/>
      <c r="O40" s="234"/>
      <c r="P40" s="234"/>
      <c r="Q40" s="234">
        <v>1</v>
      </c>
    </row>
    <row r="41" spans="2:17" ht="12.5">
      <c r="B41" s="232"/>
      <c r="C41" s="234" t="s">
        <v>532</v>
      </c>
      <c r="D41" s="234"/>
      <c r="E41" s="234"/>
      <c r="F41" s="234">
        <v>2</v>
      </c>
      <c r="G41" s="234"/>
      <c r="H41" s="234"/>
      <c r="I41" s="234"/>
      <c r="J41" s="234"/>
      <c r="K41" s="234"/>
      <c r="L41" s="234"/>
      <c r="M41" s="234"/>
      <c r="N41" s="234"/>
      <c r="O41" s="234"/>
      <c r="P41" s="234"/>
      <c r="Q41" s="234">
        <v>2</v>
      </c>
    </row>
    <row r="42" spans="2:17" ht="12.5">
      <c r="B42" s="232"/>
      <c r="C42" s="234" t="s">
        <v>533</v>
      </c>
      <c r="D42" s="234"/>
      <c r="E42" s="234"/>
      <c r="F42" s="234">
        <v>1</v>
      </c>
      <c r="G42" s="234"/>
      <c r="H42" s="234"/>
      <c r="I42" s="234"/>
      <c r="J42" s="234"/>
      <c r="K42" s="234"/>
      <c r="L42" s="234"/>
      <c r="M42" s="234"/>
      <c r="N42" s="234"/>
      <c r="O42" s="234"/>
      <c r="P42" s="234"/>
      <c r="Q42" s="234">
        <v>1</v>
      </c>
    </row>
    <row r="43" spans="2:17" ht="12.5">
      <c r="B43" s="232"/>
      <c r="C43" s="234" t="s">
        <v>534</v>
      </c>
      <c r="D43" s="234"/>
      <c r="E43" s="234"/>
      <c r="F43" s="234"/>
      <c r="G43" s="234"/>
      <c r="H43" s="234"/>
      <c r="I43" s="234"/>
      <c r="J43" s="234"/>
      <c r="K43" s="234">
        <v>1</v>
      </c>
      <c r="L43" s="234"/>
      <c r="M43" s="234"/>
      <c r="N43" s="234"/>
      <c r="O43" s="234"/>
      <c r="P43" s="234"/>
      <c r="Q43" s="234">
        <v>1</v>
      </c>
    </row>
    <row r="44" spans="2:17" ht="12.5">
      <c r="B44" s="232"/>
      <c r="C44" s="234" t="s">
        <v>535</v>
      </c>
      <c r="D44" s="234">
        <v>1</v>
      </c>
      <c r="E44" s="234"/>
      <c r="F44" s="234"/>
      <c r="G44" s="234"/>
      <c r="H44" s="234"/>
      <c r="I44" s="234"/>
      <c r="J44" s="234"/>
      <c r="K44" s="234"/>
      <c r="L44" s="234"/>
      <c r="M44" s="234"/>
      <c r="N44" s="234"/>
      <c r="O44" s="234"/>
      <c r="P44" s="234"/>
      <c r="Q44" s="234">
        <v>1</v>
      </c>
    </row>
    <row r="45" spans="2:17" ht="12.5">
      <c r="B45" s="232"/>
      <c r="C45" s="234" t="s">
        <v>536</v>
      </c>
      <c r="D45" s="234"/>
      <c r="E45" s="234"/>
      <c r="F45" s="234"/>
      <c r="G45" s="234"/>
      <c r="H45" s="234"/>
      <c r="I45" s="234"/>
      <c r="J45" s="234"/>
      <c r="K45" s="234">
        <v>2</v>
      </c>
      <c r="L45" s="234"/>
      <c r="M45" s="234"/>
      <c r="N45" s="234"/>
      <c r="O45" s="234"/>
      <c r="P45" s="234"/>
      <c r="Q45" s="234">
        <v>2</v>
      </c>
    </row>
    <row r="46" spans="2:17" ht="12.5">
      <c r="B46" s="232"/>
      <c r="C46" s="234" t="s">
        <v>537</v>
      </c>
      <c r="D46" s="234"/>
      <c r="E46" s="234"/>
      <c r="F46" s="234"/>
      <c r="G46" s="234"/>
      <c r="H46" s="234"/>
      <c r="I46" s="234"/>
      <c r="J46" s="234"/>
      <c r="K46" s="234">
        <v>1</v>
      </c>
      <c r="L46" s="234"/>
      <c r="M46" s="234"/>
      <c r="N46" s="234"/>
      <c r="O46" s="234"/>
      <c r="P46" s="234"/>
      <c r="Q46" s="234">
        <v>1</v>
      </c>
    </row>
    <row r="47" spans="2:17" ht="12.5">
      <c r="B47" s="232"/>
      <c r="C47" s="234" t="s">
        <v>538</v>
      </c>
      <c r="D47" s="234"/>
      <c r="E47" s="234"/>
      <c r="F47" s="234">
        <v>2</v>
      </c>
      <c r="G47" s="234"/>
      <c r="H47" s="234"/>
      <c r="I47" s="234"/>
      <c r="J47" s="234"/>
      <c r="K47" s="234"/>
      <c r="L47" s="234"/>
      <c r="M47" s="234"/>
      <c r="N47" s="234"/>
      <c r="O47" s="234"/>
      <c r="P47" s="234"/>
      <c r="Q47" s="234">
        <v>2</v>
      </c>
    </row>
    <row r="48" spans="2:17" ht="12.5">
      <c r="B48" s="232"/>
      <c r="C48" s="234" t="s">
        <v>539</v>
      </c>
      <c r="D48" s="234"/>
      <c r="E48" s="234"/>
      <c r="F48" s="234"/>
      <c r="G48" s="234"/>
      <c r="H48" s="234"/>
      <c r="I48" s="234"/>
      <c r="J48" s="234"/>
      <c r="K48" s="234">
        <v>3</v>
      </c>
      <c r="L48" s="234"/>
      <c r="M48" s="234"/>
      <c r="N48" s="234"/>
      <c r="O48" s="234"/>
      <c r="P48" s="234"/>
      <c r="Q48" s="234">
        <v>3</v>
      </c>
    </row>
    <row r="49" spans="2:17" ht="12.5">
      <c r="B49" s="232"/>
      <c r="C49" s="234" t="s">
        <v>540</v>
      </c>
      <c r="D49" s="234"/>
      <c r="E49" s="234"/>
      <c r="F49" s="234"/>
      <c r="G49" s="234"/>
      <c r="H49" s="234"/>
      <c r="I49" s="234"/>
      <c r="J49" s="234"/>
      <c r="K49" s="234">
        <v>5</v>
      </c>
      <c r="L49" s="234"/>
      <c r="M49" s="234"/>
      <c r="N49" s="234"/>
      <c r="O49" s="234"/>
      <c r="P49" s="234"/>
      <c r="Q49" s="234">
        <v>5</v>
      </c>
    </row>
    <row r="50" spans="2:17" ht="12.5">
      <c r="B50" s="232"/>
      <c r="C50" s="234" t="s">
        <v>541</v>
      </c>
      <c r="D50" s="234"/>
      <c r="E50" s="234"/>
      <c r="F50" s="234">
        <v>2</v>
      </c>
      <c r="G50" s="234"/>
      <c r="H50" s="234"/>
      <c r="I50" s="234"/>
      <c r="J50" s="234"/>
      <c r="K50" s="234"/>
      <c r="L50" s="234"/>
      <c r="M50" s="234"/>
      <c r="N50" s="234"/>
      <c r="O50" s="234"/>
      <c r="P50" s="234"/>
      <c r="Q50" s="234">
        <v>2</v>
      </c>
    </row>
    <row r="51" spans="2:17" ht="12.5">
      <c r="B51" s="232"/>
      <c r="C51" s="234" t="s">
        <v>542</v>
      </c>
      <c r="D51" s="234"/>
      <c r="E51" s="234"/>
      <c r="F51" s="234"/>
      <c r="G51" s="234"/>
      <c r="H51" s="234"/>
      <c r="I51" s="234"/>
      <c r="J51" s="234"/>
      <c r="K51" s="234">
        <v>2</v>
      </c>
      <c r="L51" s="234"/>
      <c r="M51" s="234"/>
      <c r="N51" s="234"/>
      <c r="O51" s="234"/>
      <c r="P51" s="234"/>
      <c r="Q51" s="234">
        <v>2</v>
      </c>
    </row>
    <row r="52" spans="2:17" ht="12.5">
      <c r="B52" s="232"/>
      <c r="C52" s="234" t="s">
        <v>543</v>
      </c>
      <c r="D52" s="234"/>
      <c r="E52" s="234"/>
      <c r="F52" s="234">
        <v>2</v>
      </c>
      <c r="G52" s="234">
        <v>1</v>
      </c>
      <c r="H52" s="234"/>
      <c r="I52" s="234"/>
      <c r="J52" s="234"/>
      <c r="K52" s="234"/>
      <c r="L52" s="234"/>
      <c r="M52" s="234"/>
      <c r="N52" s="234"/>
      <c r="O52" s="234"/>
      <c r="P52" s="234"/>
      <c r="Q52" s="234">
        <v>3</v>
      </c>
    </row>
    <row r="53" spans="2:17" ht="12.5">
      <c r="B53" s="232"/>
      <c r="C53" s="234" t="s">
        <v>544</v>
      </c>
      <c r="D53" s="234">
        <v>2</v>
      </c>
      <c r="E53" s="234"/>
      <c r="F53" s="234"/>
      <c r="G53" s="234">
        <v>2</v>
      </c>
      <c r="H53" s="234"/>
      <c r="I53" s="234"/>
      <c r="J53" s="234"/>
      <c r="K53" s="234"/>
      <c r="L53" s="234"/>
      <c r="M53" s="234"/>
      <c r="N53" s="234"/>
      <c r="O53" s="234"/>
      <c r="P53" s="234"/>
      <c r="Q53" s="234">
        <v>4</v>
      </c>
    </row>
    <row r="54" spans="2:17" ht="12.5">
      <c r="B54" s="232"/>
      <c r="C54" s="234" t="s">
        <v>545</v>
      </c>
      <c r="D54" s="234"/>
      <c r="E54" s="234"/>
      <c r="F54" s="234"/>
      <c r="G54" s="234"/>
      <c r="H54" s="234"/>
      <c r="I54" s="234"/>
      <c r="J54" s="234"/>
      <c r="K54" s="234">
        <v>2</v>
      </c>
      <c r="L54" s="234"/>
      <c r="M54" s="234"/>
      <c r="N54" s="234"/>
      <c r="O54" s="234"/>
      <c r="P54" s="234"/>
      <c r="Q54" s="234">
        <v>2</v>
      </c>
    </row>
    <row r="55" spans="2:17" ht="12.5">
      <c r="B55" s="232"/>
      <c r="C55" s="234" t="s">
        <v>474</v>
      </c>
      <c r="D55" s="234"/>
      <c r="E55" s="234"/>
      <c r="F55" s="234"/>
      <c r="G55" s="234"/>
      <c r="H55" s="234"/>
      <c r="I55" s="234"/>
      <c r="J55" s="234">
        <v>2</v>
      </c>
      <c r="K55" s="234"/>
      <c r="L55" s="234"/>
      <c r="M55" s="234"/>
      <c r="N55" s="234"/>
      <c r="O55" s="234"/>
      <c r="P55" s="234"/>
      <c r="Q55" s="234">
        <v>2</v>
      </c>
    </row>
    <row r="56" spans="2:17" ht="12.5">
      <c r="B56" s="232"/>
      <c r="C56" s="234" t="s">
        <v>546</v>
      </c>
      <c r="D56" s="234"/>
      <c r="E56" s="234"/>
      <c r="F56" s="234"/>
      <c r="G56" s="234"/>
      <c r="H56" s="234"/>
      <c r="I56" s="234"/>
      <c r="J56" s="234"/>
      <c r="K56" s="234">
        <v>1</v>
      </c>
      <c r="L56" s="234"/>
      <c r="M56" s="234"/>
      <c r="N56" s="234"/>
      <c r="O56" s="234"/>
      <c r="P56" s="234"/>
      <c r="Q56" s="234">
        <v>1</v>
      </c>
    </row>
    <row r="57" spans="2:17" ht="12.5">
      <c r="B57" s="232"/>
      <c r="C57" s="234" t="s">
        <v>547</v>
      </c>
      <c r="D57" s="234"/>
      <c r="E57" s="234"/>
      <c r="F57" s="234"/>
      <c r="G57" s="234"/>
      <c r="H57" s="234"/>
      <c r="I57" s="234"/>
      <c r="J57" s="234"/>
      <c r="K57" s="234">
        <v>1</v>
      </c>
      <c r="L57" s="234"/>
      <c r="M57" s="234"/>
      <c r="N57" s="234"/>
      <c r="O57" s="234"/>
      <c r="P57" s="234"/>
      <c r="Q57" s="234">
        <v>1</v>
      </c>
    </row>
    <row r="58" spans="2:17" ht="12.5">
      <c r="B58" s="232"/>
      <c r="C58" s="234" t="s">
        <v>548</v>
      </c>
      <c r="D58" s="234"/>
      <c r="E58" s="234"/>
      <c r="F58" s="234"/>
      <c r="G58" s="234"/>
      <c r="H58" s="234"/>
      <c r="I58" s="234"/>
      <c r="J58" s="234">
        <v>2</v>
      </c>
      <c r="K58" s="234"/>
      <c r="L58" s="234"/>
      <c r="M58" s="234"/>
      <c r="N58" s="234"/>
      <c r="O58" s="234"/>
      <c r="P58" s="234"/>
      <c r="Q58" s="234">
        <v>2</v>
      </c>
    </row>
    <row r="59" spans="2:17" ht="12.5">
      <c r="B59" s="232"/>
      <c r="C59" s="234" t="s">
        <v>549</v>
      </c>
      <c r="D59" s="234"/>
      <c r="E59" s="234"/>
      <c r="F59" s="234">
        <v>1</v>
      </c>
      <c r="G59" s="234"/>
      <c r="H59" s="234"/>
      <c r="I59" s="234"/>
      <c r="J59" s="234"/>
      <c r="K59" s="234"/>
      <c r="L59" s="234"/>
      <c r="M59" s="234"/>
      <c r="N59" s="234"/>
      <c r="O59" s="234"/>
      <c r="P59" s="234"/>
      <c r="Q59" s="234">
        <v>1</v>
      </c>
    </row>
    <row r="60" spans="2:17" ht="12.5">
      <c r="B60" s="232"/>
      <c r="C60" s="234" t="s">
        <v>550</v>
      </c>
      <c r="D60" s="234">
        <v>1</v>
      </c>
      <c r="E60" s="234"/>
      <c r="F60" s="234"/>
      <c r="G60" s="234">
        <v>1</v>
      </c>
      <c r="H60" s="234"/>
      <c r="I60" s="234"/>
      <c r="J60" s="234"/>
      <c r="K60" s="234"/>
      <c r="L60" s="234"/>
      <c r="M60" s="234"/>
      <c r="N60" s="234"/>
      <c r="O60" s="234"/>
      <c r="P60" s="234"/>
      <c r="Q60" s="234">
        <v>2</v>
      </c>
    </row>
    <row r="61" spans="2:17" ht="12.5">
      <c r="B61" s="232"/>
      <c r="C61" s="234" t="s">
        <v>551</v>
      </c>
      <c r="D61" s="234"/>
      <c r="E61" s="234"/>
      <c r="F61" s="234"/>
      <c r="G61" s="234"/>
      <c r="H61" s="234"/>
      <c r="I61" s="234">
        <v>1</v>
      </c>
      <c r="J61" s="234"/>
      <c r="K61" s="234"/>
      <c r="L61" s="234"/>
      <c r="M61" s="234"/>
      <c r="N61" s="234"/>
      <c r="O61" s="234"/>
      <c r="P61" s="234"/>
      <c r="Q61" s="234">
        <v>1</v>
      </c>
    </row>
    <row r="62" spans="2:17" ht="12.5">
      <c r="B62" s="232"/>
      <c r="C62" s="234" t="s">
        <v>552</v>
      </c>
      <c r="D62" s="234">
        <v>1</v>
      </c>
      <c r="E62" s="234"/>
      <c r="F62" s="234"/>
      <c r="G62" s="234">
        <v>7</v>
      </c>
      <c r="H62" s="234"/>
      <c r="I62" s="234"/>
      <c r="J62" s="234"/>
      <c r="K62" s="234"/>
      <c r="L62" s="234"/>
      <c r="M62" s="234"/>
      <c r="N62" s="234"/>
      <c r="O62" s="234"/>
      <c r="P62" s="234"/>
      <c r="Q62" s="234">
        <v>8</v>
      </c>
    </row>
    <row r="63" spans="2:17" ht="12.5">
      <c r="B63" s="232"/>
      <c r="C63" s="234" t="s">
        <v>553</v>
      </c>
      <c r="D63" s="234"/>
      <c r="E63" s="234"/>
      <c r="F63" s="234"/>
      <c r="G63" s="234"/>
      <c r="H63" s="234"/>
      <c r="I63" s="234">
        <v>1</v>
      </c>
      <c r="J63" s="234">
        <v>1</v>
      </c>
      <c r="K63" s="234"/>
      <c r="L63" s="234"/>
      <c r="M63" s="234"/>
      <c r="N63" s="234"/>
      <c r="O63" s="234"/>
      <c r="P63" s="234"/>
      <c r="Q63" s="234">
        <v>2</v>
      </c>
    </row>
    <row r="64" spans="2:17" ht="12.5">
      <c r="B64" s="232"/>
      <c r="C64" s="234" t="s">
        <v>554</v>
      </c>
      <c r="D64" s="234"/>
      <c r="E64" s="234"/>
      <c r="F64" s="234"/>
      <c r="G64" s="234">
        <v>1</v>
      </c>
      <c r="H64" s="234"/>
      <c r="I64" s="234"/>
      <c r="J64" s="234"/>
      <c r="K64" s="234"/>
      <c r="L64" s="234"/>
      <c r="M64" s="234"/>
      <c r="N64" s="234"/>
      <c r="O64" s="234"/>
      <c r="P64" s="234"/>
      <c r="Q64" s="234">
        <v>1</v>
      </c>
    </row>
    <row r="65" spans="2:17" ht="12.5">
      <c r="B65" s="232"/>
      <c r="C65" s="234" t="s">
        <v>555</v>
      </c>
      <c r="D65" s="234"/>
      <c r="E65" s="234"/>
      <c r="F65" s="234"/>
      <c r="G65" s="234"/>
      <c r="H65" s="234"/>
      <c r="I65" s="234">
        <v>2</v>
      </c>
      <c r="J65" s="234">
        <v>3</v>
      </c>
      <c r="K65" s="234"/>
      <c r="L65" s="234"/>
      <c r="M65" s="234"/>
      <c r="N65" s="234"/>
      <c r="O65" s="234"/>
      <c r="P65" s="234"/>
      <c r="Q65" s="234">
        <v>5</v>
      </c>
    </row>
    <row r="66" spans="2:17" ht="12.5">
      <c r="B66" s="232"/>
      <c r="C66" s="234" t="s">
        <v>556</v>
      </c>
      <c r="D66" s="234">
        <v>1</v>
      </c>
      <c r="E66" s="234"/>
      <c r="F66" s="234"/>
      <c r="G66" s="234">
        <v>2</v>
      </c>
      <c r="H66" s="234"/>
      <c r="I66" s="234"/>
      <c r="J66" s="234"/>
      <c r="K66" s="234"/>
      <c r="L66" s="234"/>
      <c r="M66" s="234"/>
      <c r="N66" s="234"/>
      <c r="O66" s="234"/>
      <c r="P66" s="234"/>
      <c r="Q66" s="234">
        <v>3</v>
      </c>
    </row>
    <row r="67" spans="2:17" ht="12.5">
      <c r="B67" s="232"/>
      <c r="C67" s="234" t="s">
        <v>557</v>
      </c>
      <c r="D67" s="234"/>
      <c r="E67" s="234"/>
      <c r="F67" s="234"/>
      <c r="G67" s="234"/>
      <c r="H67" s="234"/>
      <c r="I67" s="234">
        <v>1</v>
      </c>
      <c r="J67" s="234">
        <v>1</v>
      </c>
      <c r="K67" s="234"/>
      <c r="L67" s="234"/>
      <c r="M67" s="234"/>
      <c r="N67" s="234"/>
      <c r="O67" s="234"/>
      <c r="P67" s="234"/>
      <c r="Q67" s="234">
        <v>2</v>
      </c>
    </row>
    <row r="68" spans="2:17" ht="12.5">
      <c r="B68" s="232"/>
      <c r="C68" s="234" t="s">
        <v>558</v>
      </c>
      <c r="D68" s="234"/>
      <c r="E68" s="234"/>
      <c r="F68" s="234"/>
      <c r="G68" s="234"/>
      <c r="H68" s="234"/>
      <c r="I68" s="234">
        <v>3</v>
      </c>
      <c r="J68" s="234">
        <v>7</v>
      </c>
      <c r="K68" s="234"/>
      <c r="L68" s="234"/>
      <c r="M68" s="234"/>
      <c r="N68" s="234"/>
      <c r="O68" s="234"/>
      <c r="P68" s="234"/>
      <c r="Q68" s="234">
        <v>10</v>
      </c>
    </row>
    <row r="69" spans="2:17" ht="12.5">
      <c r="B69" s="232"/>
      <c r="C69" s="234" t="s">
        <v>559</v>
      </c>
      <c r="D69" s="234"/>
      <c r="E69" s="234"/>
      <c r="F69" s="234"/>
      <c r="G69" s="234">
        <v>1</v>
      </c>
      <c r="H69" s="234"/>
      <c r="I69" s="234"/>
      <c r="J69" s="234"/>
      <c r="K69" s="234"/>
      <c r="L69" s="234"/>
      <c r="M69" s="234"/>
      <c r="N69" s="234"/>
      <c r="O69" s="234"/>
      <c r="P69" s="234"/>
      <c r="Q69" s="234">
        <v>1</v>
      </c>
    </row>
    <row r="70" spans="2:17" ht="12.5">
      <c r="B70" s="232"/>
      <c r="C70" s="234" t="s">
        <v>560</v>
      </c>
      <c r="D70" s="234"/>
      <c r="E70" s="234"/>
      <c r="F70" s="234"/>
      <c r="G70" s="234">
        <v>1</v>
      </c>
      <c r="H70" s="234"/>
      <c r="I70" s="234"/>
      <c r="J70" s="234"/>
      <c r="K70" s="234"/>
      <c r="L70" s="234"/>
      <c r="M70" s="234"/>
      <c r="N70" s="234"/>
      <c r="O70" s="234"/>
      <c r="P70" s="234"/>
      <c r="Q70" s="234">
        <v>1</v>
      </c>
    </row>
    <row r="71" spans="2:17" ht="12.5">
      <c r="B71" s="232"/>
      <c r="C71" s="234" t="s">
        <v>561</v>
      </c>
      <c r="D71" s="234"/>
      <c r="E71" s="234"/>
      <c r="F71" s="234"/>
      <c r="G71" s="234">
        <v>2</v>
      </c>
      <c r="H71" s="234"/>
      <c r="I71" s="234"/>
      <c r="J71" s="234"/>
      <c r="K71" s="234"/>
      <c r="L71" s="234"/>
      <c r="M71" s="234"/>
      <c r="N71" s="234"/>
      <c r="O71" s="234"/>
      <c r="P71" s="234"/>
      <c r="Q71" s="234">
        <v>2</v>
      </c>
    </row>
    <row r="72" spans="2:17" ht="12.5">
      <c r="B72" s="232"/>
      <c r="C72" s="234" t="s">
        <v>562</v>
      </c>
      <c r="D72" s="234"/>
      <c r="E72" s="234"/>
      <c r="F72" s="234"/>
      <c r="G72" s="234"/>
      <c r="H72" s="234"/>
      <c r="I72" s="234">
        <v>1</v>
      </c>
      <c r="J72" s="234">
        <v>1</v>
      </c>
      <c r="K72" s="234"/>
      <c r="L72" s="234"/>
      <c r="M72" s="234"/>
      <c r="N72" s="234"/>
      <c r="O72" s="234"/>
      <c r="P72" s="234"/>
      <c r="Q72" s="234">
        <v>2</v>
      </c>
    </row>
    <row r="73" spans="2:17" ht="12.5">
      <c r="B73" s="232"/>
      <c r="C73" s="234" t="s">
        <v>563</v>
      </c>
      <c r="D73" s="234"/>
      <c r="E73" s="234"/>
      <c r="F73" s="234"/>
      <c r="G73" s="234">
        <v>1</v>
      </c>
      <c r="H73" s="234">
        <v>1</v>
      </c>
      <c r="I73" s="234"/>
      <c r="J73" s="234"/>
      <c r="K73" s="234"/>
      <c r="L73" s="234"/>
      <c r="M73" s="234"/>
      <c r="N73" s="234"/>
      <c r="O73" s="234"/>
      <c r="P73" s="234"/>
      <c r="Q73" s="234">
        <v>2</v>
      </c>
    </row>
    <row r="74" spans="2:17" ht="12.5">
      <c r="B74" s="232"/>
      <c r="C74" s="234" t="s">
        <v>564</v>
      </c>
      <c r="D74" s="234"/>
      <c r="E74" s="234"/>
      <c r="F74" s="234"/>
      <c r="G74" s="234">
        <v>2</v>
      </c>
      <c r="H74" s="234">
        <v>1</v>
      </c>
      <c r="I74" s="234"/>
      <c r="J74" s="234"/>
      <c r="K74" s="234"/>
      <c r="L74" s="234"/>
      <c r="M74" s="234"/>
      <c r="N74" s="234"/>
      <c r="O74" s="234"/>
      <c r="P74" s="234"/>
      <c r="Q74" s="234">
        <v>3</v>
      </c>
    </row>
    <row r="75" spans="2:17" ht="12.5">
      <c r="B75" s="232"/>
      <c r="C75" s="234" t="s">
        <v>565</v>
      </c>
      <c r="D75" s="234"/>
      <c r="E75" s="234"/>
      <c r="F75" s="234">
        <v>1</v>
      </c>
      <c r="G75" s="234">
        <v>1</v>
      </c>
      <c r="H75" s="234">
        <v>3</v>
      </c>
      <c r="I75" s="234">
        <v>2</v>
      </c>
      <c r="J75" s="234"/>
      <c r="K75" s="234"/>
      <c r="L75" s="234"/>
      <c r="M75" s="234"/>
      <c r="N75" s="234"/>
      <c r="O75" s="234"/>
      <c r="P75" s="234"/>
      <c r="Q75" s="234">
        <v>7</v>
      </c>
    </row>
    <row r="76" spans="2:17" ht="12.5">
      <c r="B76" s="232"/>
      <c r="C76" s="234" t="s">
        <v>566</v>
      </c>
      <c r="D76" s="234"/>
      <c r="E76" s="234"/>
      <c r="F76" s="234"/>
      <c r="G76" s="234"/>
      <c r="H76" s="234"/>
      <c r="I76" s="234">
        <v>2</v>
      </c>
      <c r="J76" s="234"/>
      <c r="K76" s="234"/>
      <c r="L76" s="234"/>
      <c r="M76" s="234"/>
      <c r="N76" s="234"/>
      <c r="O76" s="234"/>
      <c r="P76" s="234"/>
      <c r="Q76" s="234">
        <v>2</v>
      </c>
    </row>
    <row r="77" spans="2:17" ht="12.5">
      <c r="B77" s="232"/>
      <c r="C77" s="234" t="s">
        <v>567</v>
      </c>
      <c r="D77" s="234"/>
      <c r="E77" s="234"/>
      <c r="F77" s="234"/>
      <c r="G77" s="234"/>
      <c r="H77" s="234">
        <v>1</v>
      </c>
      <c r="I77" s="234">
        <v>2</v>
      </c>
      <c r="J77" s="234"/>
      <c r="K77" s="234"/>
      <c r="L77" s="234"/>
      <c r="M77" s="234"/>
      <c r="N77" s="234"/>
      <c r="O77" s="234"/>
      <c r="P77" s="234"/>
      <c r="Q77" s="234">
        <v>3</v>
      </c>
    </row>
    <row r="78" spans="2:17" ht="12.5">
      <c r="B78" s="232"/>
      <c r="C78" s="234" t="s">
        <v>568</v>
      </c>
      <c r="D78" s="234"/>
      <c r="E78" s="234"/>
      <c r="F78" s="234">
        <v>2</v>
      </c>
      <c r="G78" s="234"/>
      <c r="H78" s="234"/>
      <c r="I78" s="234">
        <v>2</v>
      </c>
      <c r="J78" s="234"/>
      <c r="K78" s="234"/>
      <c r="L78" s="234"/>
      <c r="M78" s="234"/>
      <c r="N78" s="234"/>
      <c r="O78" s="234"/>
      <c r="P78" s="234"/>
      <c r="Q78" s="234">
        <v>4</v>
      </c>
    </row>
    <row r="79" spans="2:17" ht="12.5">
      <c r="B79" s="232"/>
      <c r="C79" s="234" t="s">
        <v>569</v>
      </c>
      <c r="D79" s="234"/>
      <c r="E79" s="234"/>
      <c r="F79" s="234"/>
      <c r="G79" s="234"/>
      <c r="H79" s="234"/>
      <c r="I79" s="234">
        <v>1</v>
      </c>
      <c r="J79" s="234"/>
      <c r="K79" s="234"/>
      <c r="L79" s="234"/>
      <c r="M79" s="234"/>
      <c r="N79" s="234"/>
      <c r="O79" s="234"/>
      <c r="P79" s="234"/>
      <c r="Q79" s="234">
        <v>1</v>
      </c>
    </row>
    <row r="80" spans="2:17" ht="12.5">
      <c r="B80" s="232"/>
      <c r="C80" s="234" t="s">
        <v>570</v>
      </c>
      <c r="D80" s="234"/>
      <c r="E80" s="234"/>
      <c r="F80" s="234"/>
      <c r="G80" s="234">
        <v>2</v>
      </c>
      <c r="H80" s="234"/>
      <c r="I80" s="234"/>
      <c r="J80" s="234"/>
      <c r="K80" s="234"/>
      <c r="L80" s="234"/>
      <c r="M80" s="234"/>
      <c r="N80" s="234"/>
      <c r="O80" s="234"/>
      <c r="P80" s="234"/>
      <c r="Q80" s="234">
        <v>2</v>
      </c>
    </row>
    <row r="81" spans="2:17" ht="12.5">
      <c r="B81" s="232"/>
      <c r="C81" s="234" t="s">
        <v>571</v>
      </c>
      <c r="D81" s="234"/>
      <c r="E81" s="234"/>
      <c r="F81" s="234"/>
      <c r="G81" s="234">
        <v>2</v>
      </c>
      <c r="H81" s="234">
        <v>1</v>
      </c>
      <c r="I81" s="234"/>
      <c r="J81" s="234"/>
      <c r="K81" s="234"/>
      <c r="L81" s="234"/>
      <c r="M81" s="234"/>
      <c r="N81" s="234"/>
      <c r="O81" s="234"/>
      <c r="P81" s="234"/>
      <c r="Q81" s="234">
        <v>3</v>
      </c>
    </row>
    <row r="82" spans="2:17" ht="12.5">
      <c r="B82" s="232"/>
      <c r="C82" s="234" t="s">
        <v>572</v>
      </c>
      <c r="D82" s="234"/>
      <c r="E82" s="234"/>
      <c r="F82" s="234"/>
      <c r="G82" s="234">
        <v>1</v>
      </c>
      <c r="H82" s="234">
        <v>2</v>
      </c>
      <c r="I82" s="234"/>
      <c r="J82" s="234"/>
      <c r="K82" s="234"/>
      <c r="L82" s="234"/>
      <c r="M82" s="234"/>
      <c r="N82" s="234"/>
      <c r="O82" s="234"/>
      <c r="P82" s="234"/>
      <c r="Q82" s="234">
        <v>3</v>
      </c>
    </row>
    <row r="83" spans="2:17" ht="12.5">
      <c r="B83" s="232"/>
      <c r="C83" s="234" t="s">
        <v>573</v>
      </c>
      <c r="D83" s="234"/>
      <c r="E83" s="234"/>
      <c r="F83" s="234"/>
      <c r="G83" s="234"/>
      <c r="H83" s="234">
        <v>2</v>
      </c>
      <c r="I83" s="234"/>
      <c r="J83" s="234"/>
      <c r="K83" s="234"/>
      <c r="L83" s="234"/>
      <c r="M83" s="234"/>
      <c r="N83" s="234"/>
      <c r="O83" s="234"/>
      <c r="P83" s="234"/>
      <c r="Q83" s="234">
        <v>2</v>
      </c>
    </row>
    <row r="84" spans="2:17" ht="12.5">
      <c r="B84" s="232"/>
      <c r="C84" s="234" t="s">
        <v>574</v>
      </c>
      <c r="D84" s="234"/>
      <c r="E84" s="234"/>
      <c r="F84" s="234"/>
      <c r="G84" s="234"/>
      <c r="H84" s="234">
        <v>3</v>
      </c>
      <c r="I84" s="234">
        <v>1</v>
      </c>
      <c r="J84" s="234"/>
      <c r="K84" s="234"/>
      <c r="L84" s="234"/>
      <c r="M84" s="234"/>
      <c r="N84" s="234"/>
      <c r="O84" s="234"/>
      <c r="P84" s="234"/>
      <c r="Q84" s="234">
        <v>4</v>
      </c>
    </row>
    <row r="85" spans="2:17" ht="12.5">
      <c r="B85" s="232"/>
      <c r="C85" s="234" t="s">
        <v>575</v>
      </c>
      <c r="D85" s="234"/>
      <c r="E85" s="234"/>
      <c r="F85" s="234"/>
      <c r="G85" s="234"/>
      <c r="H85" s="234"/>
      <c r="I85" s="234">
        <v>1</v>
      </c>
      <c r="J85" s="234"/>
      <c r="K85" s="234"/>
      <c r="L85" s="234"/>
      <c r="M85" s="234"/>
      <c r="N85" s="234"/>
      <c r="O85" s="234"/>
      <c r="P85" s="234"/>
      <c r="Q85" s="234">
        <v>1</v>
      </c>
    </row>
    <row r="86" spans="2:17" ht="12.5">
      <c r="B86" s="232"/>
      <c r="C86" s="234" t="s">
        <v>576</v>
      </c>
      <c r="D86" s="234"/>
      <c r="E86" s="234"/>
      <c r="F86" s="234"/>
      <c r="G86" s="234"/>
      <c r="H86" s="234"/>
      <c r="I86" s="234">
        <v>2</v>
      </c>
      <c r="J86" s="234"/>
      <c r="K86" s="234"/>
      <c r="L86" s="234"/>
      <c r="M86" s="234"/>
      <c r="N86" s="234"/>
      <c r="O86" s="234"/>
      <c r="P86" s="234"/>
      <c r="Q86" s="234">
        <v>2</v>
      </c>
    </row>
    <row r="87" spans="2:17" ht="12.5">
      <c r="B87" s="232"/>
      <c r="C87" s="234" t="s">
        <v>577</v>
      </c>
      <c r="D87" s="234"/>
      <c r="E87" s="234"/>
      <c r="F87" s="234"/>
      <c r="G87" s="234"/>
      <c r="H87" s="234"/>
      <c r="I87" s="234">
        <v>2</v>
      </c>
      <c r="J87" s="234"/>
      <c r="K87" s="234"/>
      <c r="L87" s="234"/>
      <c r="M87" s="234"/>
      <c r="N87" s="234"/>
      <c r="O87" s="234"/>
      <c r="P87" s="234"/>
      <c r="Q87" s="234">
        <v>2</v>
      </c>
    </row>
    <row r="88" spans="2:17" ht="12.5">
      <c r="B88" s="232"/>
      <c r="C88" s="234" t="s">
        <v>578</v>
      </c>
      <c r="D88" s="234"/>
      <c r="E88" s="234"/>
      <c r="F88" s="234"/>
      <c r="G88" s="234">
        <v>2</v>
      </c>
      <c r="H88" s="234">
        <v>1</v>
      </c>
      <c r="I88" s="234"/>
      <c r="J88" s="234"/>
      <c r="K88" s="234"/>
      <c r="L88" s="234"/>
      <c r="M88" s="234"/>
      <c r="N88" s="234"/>
      <c r="O88" s="234"/>
      <c r="P88" s="234"/>
      <c r="Q88" s="234">
        <v>3</v>
      </c>
    </row>
    <row r="89" spans="2:17" ht="12.5">
      <c r="B89" s="232"/>
      <c r="C89" s="234" t="s">
        <v>579</v>
      </c>
      <c r="D89" s="234"/>
      <c r="E89" s="234"/>
      <c r="F89" s="234"/>
      <c r="G89" s="234"/>
      <c r="H89" s="234"/>
      <c r="I89" s="234">
        <v>3</v>
      </c>
      <c r="J89" s="234"/>
      <c r="K89" s="234"/>
      <c r="L89" s="234"/>
      <c r="M89" s="234"/>
      <c r="N89" s="234"/>
      <c r="O89" s="234"/>
      <c r="P89" s="234"/>
      <c r="Q89" s="234">
        <v>3</v>
      </c>
    </row>
    <row r="90" spans="2:17" ht="12.5">
      <c r="B90" s="232"/>
      <c r="C90" s="234" t="s">
        <v>580</v>
      </c>
      <c r="D90" s="234"/>
      <c r="E90" s="234"/>
      <c r="F90" s="234">
        <v>1</v>
      </c>
      <c r="G90" s="234"/>
      <c r="H90" s="234"/>
      <c r="I90" s="234">
        <v>3</v>
      </c>
      <c r="J90" s="234"/>
      <c r="K90" s="234"/>
      <c r="L90" s="234"/>
      <c r="M90" s="234"/>
      <c r="N90" s="234"/>
      <c r="O90" s="234"/>
      <c r="P90" s="234"/>
      <c r="Q90" s="234">
        <v>4</v>
      </c>
    </row>
    <row r="91" spans="2:17" ht="12.5">
      <c r="B91" s="232"/>
      <c r="C91" s="234" t="s">
        <v>581</v>
      </c>
      <c r="D91" s="234"/>
      <c r="E91" s="234"/>
      <c r="F91" s="234"/>
      <c r="G91" s="234"/>
      <c r="H91" s="234">
        <v>4</v>
      </c>
      <c r="I91" s="234"/>
      <c r="J91" s="234"/>
      <c r="K91" s="234"/>
      <c r="L91" s="234"/>
      <c r="M91" s="234"/>
      <c r="N91" s="234"/>
      <c r="O91" s="234"/>
      <c r="P91" s="234"/>
      <c r="Q91" s="234">
        <v>4</v>
      </c>
    </row>
    <row r="92" spans="2:17" ht="12.5">
      <c r="B92" s="232"/>
      <c r="C92" s="234" t="s">
        <v>465</v>
      </c>
      <c r="D92" s="234"/>
      <c r="E92" s="234"/>
      <c r="F92" s="234"/>
      <c r="G92" s="234"/>
      <c r="H92" s="234">
        <v>1</v>
      </c>
      <c r="I92" s="234"/>
      <c r="J92" s="234"/>
      <c r="K92" s="234"/>
      <c r="L92" s="234"/>
      <c r="M92" s="234"/>
      <c r="N92" s="234"/>
      <c r="O92" s="234"/>
      <c r="P92" s="234"/>
      <c r="Q92" s="234">
        <v>1</v>
      </c>
    </row>
    <row r="93" spans="2:17" ht="12.5">
      <c r="B93" s="232"/>
      <c r="C93" s="234" t="s">
        <v>582</v>
      </c>
      <c r="D93" s="234"/>
      <c r="E93" s="234"/>
      <c r="F93" s="234"/>
      <c r="G93" s="234"/>
      <c r="H93" s="234"/>
      <c r="I93" s="234">
        <v>7</v>
      </c>
      <c r="J93" s="234"/>
      <c r="K93" s="234"/>
      <c r="L93" s="234"/>
      <c r="M93" s="234"/>
      <c r="N93" s="234"/>
      <c r="O93" s="234"/>
      <c r="P93" s="234"/>
      <c r="Q93" s="234">
        <v>7</v>
      </c>
    </row>
    <row r="94" spans="2:17" ht="12.5">
      <c r="B94" s="232"/>
      <c r="C94" s="234" t="s">
        <v>583</v>
      </c>
      <c r="D94" s="234"/>
      <c r="E94" s="234"/>
      <c r="F94" s="234"/>
      <c r="G94" s="234"/>
      <c r="H94" s="234">
        <v>2</v>
      </c>
      <c r="I94" s="234"/>
      <c r="J94" s="234"/>
      <c r="K94" s="234"/>
      <c r="L94" s="234"/>
      <c r="M94" s="234"/>
      <c r="N94" s="234"/>
      <c r="O94" s="234"/>
      <c r="P94" s="234"/>
      <c r="Q94" s="234">
        <v>2</v>
      </c>
    </row>
    <row r="95" spans="2:17" ht="12.5">
      <c r="B95" s="232"/>
      <c r="C95" s="234" t="s">
        <v>584</v>
      </c>
      <c r="D95" s="234"/>
      <c r="E95" s="234"/>
      <c r="F95" s="234"/>
      <c r="G95" s="234"/>
      <c r="H95" s="234"/>
      <c r="I95" s="234">
        <v>2</v>
      </c>
      <c r="J95" s="234"/>
      <c r="K95" s="234"/>
      <c r="L95" s="234"/>
      <c r="M95" s="234"/>
      <c r="N95" s="234"/>
      <c r="O95" s="234"/>
      <c r="P95" s="234"/>
      <c r="Q95" s="234">
        <v>2</v>
      </c>
    </row>
    <row r="96" spans="2:17" ht="12.5">
      <c r="B96" s="232" t="s">
        <v>585</v>
      </c>
      <c r="C96" s="234"/>
      <c r="D96" s="234">
        <v>20</v>
      </c>
      <c r="E96" s="234">
        <v>23</v>
      </c>
      <c r="F96" s="234">
        <v>24</v>
      </c>
      <c r="G96" s="234">
        <v>30</v>
      </c>
      <c r="H96" s="234">
        <v>26</v>
      </c>
      <c r="I96" s="234">
        <v>48</v>
      </c>
      <c r="J96" s="234">
        <v>20</v>
      </c>
      <c r="K96" s="234">
        <v>24</v>
      </c>
      <c r="L96" s="234"/>
      <c r="M96" s="234"/>
      <c r="N96" s="234"/>
      <c r="O96" s="234"/>
      <c r="P96" s="234"/>
      <c r="Q96" s="234">
        <v>215</v>
      </c>
    </row>
    <row r="97" spans="2:17" ht="12.5">
      <c r="B97" s="232" t="s">
        <v>482</v>
      </c>
      <c r="C97" s="234" t="s">
        <v>586</v>
      </c>
      <c r="D97" s="234"/>
      <c r="E97" s="234"/>
      <c r="F97" s="234"/>
      <c r="G97" s="234"/>
      <c r="H97" s="234"/>
      <c r="I97" s="234"/>
      <c r="J97" s="234"/>
      <c r="K97" s="234"/>
      <c r="L97" s="234">
        <v>1</v>
      </c>
      <c r="M97" s="234">
        <v>3</v>
      </c>
      <c r="N97" s="234"/>
      <c r="O97" s="234"/>
      <c r="P97" s="234"/>
      <c r="Q97" s="234">
        <v>4</v>
      </c>
    </row>
    <row r="98" spans="2:17" ht="12.5">
      <c r="B98" s="232"/>
      <c r="C98" s="234" t="s">
        <v>587</v>
      </c>
      <c r="D98" s="234"/>
      <c r="E98" s="234"/>
      <c r="F98" s="234"/>
      <c r="G98" s="234"/>
      <c r="H98" s="234"/>
      <c r="I98" s="234"/>
      <c r="J98" s="234"/>
      <c r="K98" s="234"/>
      <c r="L98" s="234">
        <v>1</v>
      </c>
      <c r="M98" s="234">
        <v>1</v>
      </c>
      <c r="N98" s="234"/>
      <c r="O98" s="234"/>
      <c r="P98" s="234"/>
      <c r="Q98" s="234">
        <v>2</v>
      </c>
    </row>
    <row r="99" spans="2:17" ht="12.5">
      <c r="B99" s="232"/>
      <c r="C99" s="234" t="s">
        <v>588</v>
      </c>
      <c r="D99" s="234"/>
      <c r="E99" s="234"/>
      <c r="F99" s="234"/>
      <c r="G99" s="234"/>
      <c r="H99" s="234"/>
      <c r="I99" s="234"/>
      <c r="J99" s="234"/>
      <c r="K99" s="234"/>
      <c r="L99" s="234">
        <v>1</v>
      </c>
      <c r="M99" s="234">
        <v>2</v>
      </c>
      <c r="N99" s="234">
        <v>1</v>
      </c>
      <c r="O99" s="234"/>
      <c r="P99" s="234"/>
      <c r="Q99" s="234">
        <v>4</v>
      </c>
    </row>
    <row r="100" spans="2:17" ht="12.5">
      <c r="B100" s="232"/>
      <c r="C100" s="234" t="s">
        <v>589</v>
      </c>
      <c r="D100" s="234"/>
      <c r="E100" s="234"/>
      <c r="F100" s="234"/>
      <c r="G100" s="234"/>
      <c r="H100" s="234"/>
      <c r="I100" s="234"/>
      <c r="J100" s="234"/>
      <c r="K100" s="234"/>
      <c r="L100" s="234"/>
      <c r="M100" s="234">
        <v>1</v>
      </c>
      <c r="N100" s="234"/>
      <c r="O100" s="234"/>
      <c r="P100" s="234"/>
      <c r="Q100" s="234">
        <v>1</v>
      </c>
    </row>
    <row r="101" spans="2:17" ht="12.5">
      <c r="B101" s="232"/>
      <c r="C101" s="234" t="s">
        <v>590</v>
      </c>
      <c r="D101" s="234"/>
      <c r="E101" s="234"/>
      <c r="F101" s="234"/>
      <c r="G101" s="234"/>
      <c r="H101" s="234"/>
      <c r="I101" s="234"/>
      <c r="J101" s="234"/>
      <c r="K101" s="234"/>
      <c r="L101" s="234"/>
      <c r="M101" s="234">
        <v>1</v>
      </c>
      <c r="N101" s="234"/>
      <c r="O101" s="234"/>
      <c r="P101" s="234"/>
      <c r="Q101" s="234">
        <v>1</v>
      </c>
    </row>
    <row r="102" spans="2:17" ht="12.5">
      <c r="B102" s="232"/>
      <c r="C102" s="234" t="s">
        <v>591</v>
      </c>
      <c r="D102" s="234"/>
      <c r="E102" s="234"/>
      <c r="F102" s="234"/>
      <c r="G102" s="234"/>
      <c r="H102" s="234"/>
      <c r="I102" s="234"/>
      <c r="J102" s="234"/>
      <c r="K102" s="234"/>
      <c r="L102" s="234"/>
      <c r="M102" s="234">
        <v>3</v>
      </c>
      <c r="N102" s="234">
        <v>1</v>
      </c>
      <c r="O102" s="234"/>
      <c r="P102" s="234"/>
      <c r="Q102" s="234">
        <v>4</v>
      </c>
    </row>
    <row r="103" spans="2:17" ht="12.5">
      <c r="B103" s="232"/>
      <c r="C103" s="234" t="s">
        <v>592</v>
      </c>
      <c r="D103" s="234"/>
      <c r="E103" s="234"/>
      <c r="F103" s="234"/>
      <c r="G103" s="234"/>
      <c r="H103" s="234"/>
      <c r="I103" s="234"/>
      <c r="J103" s="234"/>
      <c r="K103" s="234"/>
      <c r="L103" s="234"/>
      <c r="M103" s="234">
        <v>3</v>
      </c>
      <c r="N103" s="234"/>
      <c r="O103" s="234"/>
      <c r="P103" s="234"/>
      <c r="Q103" s="234">
        <v>3</v>
      </c>
    </row>
    <row r="104" spans="2:17" ht="12.5">
      <c r="B104" s="232"/>
      <c r="C104" s="234" t="s">
        <v>593</v>
      </c>
      <c r="D104" s="234"/>
      <c r="E104" s="234"/>
      <c r="F104" s="234"/>
      <c r="G104" s="234"/>
      <c r="H104" s="234"/>
      <c r="I104" s="234"/>
      <c r="J104" s="234"/>
      <c r="K104" s="234"/>
      <c r="L104" s="234"/>
      <c r="M104" s="234">
        <v>1</v>
      </c>
      <c r="N104" s="234"/>
      <c r="O104" s="234"/>
      <c r="P104" s="234"/>
      <c r="Q104" s="234">
        <v>1</v>
      </c>
    </row>
    <row r="105" spans="2:17" ht="12.5">
      <c r="B105" s="232"/>
      <c r="C105" s="234" t="s">
        <v>594</v>
      </c>
      <c r="D105" s="234"/>
      <c r="E105" s="234"/>
      <c r="F105" s="234"/>
      <c r="G105" s="234"/>
      <c r="H105" s="234"/>
      <c r="I105" s="234"/>
      <c r="J105" s="234"/>
      <c r="K105" s="234"/>
      <c r="L105" s="234"/>
      <c r="M105" s="234">
        <v>1</v>
      </c>
      <c r="N105" s="234"/>
      <c r="O105" s="234"/>
      <c r="P105" s="234"/>
      <c r="Q105" s="234">
        <v>1</v>
      </c>
    </row>
    <row r="106" spans="2:17" ht="12.5">
      <c r="B106" s="232"/>
      <c r="C106" s="234" t="s">
        <v>595</v>
      </c>
      <c r="D106" s="234"/>
      <c r="E106" s="234"/>
      <c r="F106" s="234"/>
      <c r="G106" s="234"/>
      <c r="H106" s="234"/>
      <c r="I106" s="234"/>
      <c r="J106" s="234"/>
      <c r="K106" s="234"/>
      <c r="L106" s="234"/>
      <c r="M106" s="234">
        <v>1</v>
      </c>
      <c r="N106" s="234"/>
      <c r="O106" s="234"/>
      <c r="P106" s="234"/>
      <c r="Q106" s="234">
        <v>1</v>
      </c>
    </row>
    <row r="107" spans="2:17" ht="12.5">
      <c r="B107" s="232"/>
      <c r="C107" s="234" t="s">
        <v>596</v>
      </c>
      <c r="D107" s="234"/>
      <c r="E107" s="234"/>
      <c r="F107" s="234"/>
      <c r="G107" s="234"/>
      <c r="H107" s="234"/>
      <c r="I107" s="234"/>
      <c r="J107" s="234"/>
      <c r="K107" s="234"/>
      <c r="L107" s="234">
        <v>2</v>
      </c>
      <c r="M107" s="234"/>
      <c r="N107" s="234"/>
      <c r="O107" s="234"/>
      <c r="P107" s="234"/>
      <c r="Q107" s="234">
        <v>2</v>
      </c>
    </row>
    <row r="108" spans="2:17" ht="12.5">
      <c r="B108" s="232"/>
      <c r="C108" s="234" t="s">
        <v>597</v>
      </c>
      <c r="D108" s="234"/>
      <c r="E108" s="234"/>
      <c r="F108" s="234"/>
      <c r="G108" s="234"/>
      <c r="H108" s="234"/>
      <c r="I108" s="234"/>
      <c r="J108" s="234"/>
      <c r="K108" s="234"/>
      <c r="L108" s="234"/>
      <c r="M108" s="234">
        <v>1</v>
      </c>
      <c r="N108" s="234"/>
      <c r="O108" s="234"/>
      <c r="P108" s="234"/>
      <c r="Q108" s="234">
        <v>1</v>
      </c>
    </row>
    <row r="109" spans="2:17" ht="12.5">
      <c r="B109" s="232"/>
      <c r="C109" s="234" t="s">
        <v>598</v>
      </c>
      <c r="D109" s="234"/>
      <c r="E109" s="234"/>
      <c r="F109" s="234"/>
      <c r="G109" s="234"/>
      <c r="H109" s="234"/>
      <c r="I109" s="234"/>
      <c r="J109" s="234"/>
      <c r="K109" s="234"/>
      <c r="L109" s="234"/>
      <c r="M109" s="234">
        <v>1</v>
      </c>
      <c r="N109" s="234"/>
      <c r="O109" s="234"/>
      <c r="P109" s="234"/>
      <c r="Q109" s="234">
        <v>1</v>
      </c>
    </row>
    <row r="110" spans="2:17" ht="12.5">
      <c r="B110" s="232"/>
      <c r="C110" s="234" t="s">
        <v>599</v>
      </c>
      <c r="D110" s="234"/>
      <c r="E110" s="234"/>
      <c r="F110" s="234"/>
      <c r="G110" s="234"/>
      <c r="H110" s="234"/>
      <c r="I110" s="234"/>
      <c r="J110" s="234"/>
      <c r="K110" s="234"/>
      <c r="L110" s="234">
        <v>1</v>
      </c>
      <c r="M110" s="234"/>
      <c r="N110" s="234"/>
      <c r="O110" s="234"/>
      <c r="P110" s="234"/>
      <c r="Q110" s="234">
        <v>1</v>
      </c>
    </row>
    <row r="111" spans="2:17" ht="12.5">
      <c r="B111" s="232"/>
      <c r="C111" s="234" t="s">
        <v>600</v>
      </c>
      <c r="D111" s="234"/>
      <c r="E111" s="234"/>
      <c r="F111" s="234"/>
      <c r="G111" s="234"/>
      <c r="H111" s="234"/>
      <c r="I111" s="234"/>
      <c r="J111" s="234"/>
      <c r="K111" s="234"/>
      <c r="L111" s="234">
        <v>1</v>
      </c>
      <c r="M111" s="234">
        <v>8</v>
      </c>
      <c r="N111" s="234">
        <v>4</v>
      </c>
      <c r="O111" s="234"/>
      <c r="P111" s="234"/>
      <c r="Q111" s="234">
        <v>13</v>
      </c>
    </row>
    <row r="112" spans="2:17" ht="12.5">
      <c r="B112" s="232"/>
      <c r="C112" s="234" t="s">
        <v>601</v>
      </c>
      <c r="D112" s="234"/>
      <c r="E112" s="234"/>
      <c r="F112" s="234"/>
      <c r="G112" s="234"/>
      <c r="H112" s="234"/>
      <c r="I112" s="234"/>
      <c r="J112" s="234"/>
      <c r="K112" s="234"/>
      <c r="L112" s="234"/>
      <c r="M112" s="234">
        <v>1</v>
      </c>
      <c r="N112" s="234"/>
      <c r="O112" s="234"/>
      <c r="P112" s="234"/>
      <c r="Q112" s="234">
        <v>1</v>
      </c>
    </row>
    <row r="113" spans="2:17" ht="12.5">
      <c r="B113" s="232"/>
      <c r="C113" s="234" t="s">
        <v>602</v>
      </c>
      <c r="D113" s="234"/>
      <c r="E113" s="234"/>
      <c r="F113" s="234"/>
      <c r="G113" s="234"/>
      <c r="H113" s="234"/>
      <c r="I113" s="234"/>
      <c r="J113" s="234"/>
      <c r="K113" s="234"/>
      <c r="L113" s="234"/>
      <c r="M113" s="234">
        <v>2</v>
      </c>
      <c r="N113" s="234">
        <v>2</v>
      </c>
      <c r="O113" s="234"/>
      <c r="P113" s="234"/>
      <c r="Q113" s="234">
        <v>4</v>
      </c>
    </row>
    <row r="114" spans="2:17" ht="12.5">
      <c r="B114" s="232"/>
      <c r="C114" s="234" t="s">
        <v>603</v>
      </c>
      <c r="D114" s="234"/>
      <c r="E114" s="234"/>
      <c r="F114" s="234"/>
      <c r="G114" s="234"/>
      <c r="H114" s="234"/>
      <c r="I114" s="234"/>
      <c r="J114" s="234"/>
      <c r="K114" s="234"/>
      <c r="L114" s="234"/>
      <c r="M114" s="234"/>
      <c r="N114" s="234">
        <v>1</v>
      </c>
      <c r="O114" s="234"/>
      <c r="P114" s="234"/>
      <c r="Q114" s="234">
        <v>1</v>
      </c>
    </row>
    <row r="115" spans="2:17" ht="12.5">
      <c r="B115" s="232"/>
      <c r="C115" s="234" t="s">
        <v>604</v>
      </c>
      <c r="D115" s="234"/>
      <c r="E115" s="234"/>
      <c r="F115" s="234"/>
      <c r="G115" s="234"/>
      <c r="H115" s="234"/>
      <c r="I115" s="234"/>
      <c r="J115" s="234"/>
      <c r="K115" s="234"/>
      <c r="L115" s="234"/>
      <c r="M115" s="234"/>
      <c r="N115" s="234">
        <v>1</v>
      </c>
      <c r="O115" s="234"/>
      <c r="P115" s="234"/>
      <c r="Q115" s="234">
        <v>1</v>
      </c>
    </row>
    <row r="116" spans="2:17" ht="12.5">
      <c r="B116" s="232"/>
      <c r="C116" s="234" t="s">
        <v>605</v>
      </c>
      <c r="D116" s="234"/>
      <c r="E116" s="234"/>
      <c r="F116" s="234"/>
      <c r="G116" s="234"/>
      <c r="H116" s="234"/>
      <c r="I116" s="234"/>
      <c r="J116" s="234"/>
      <c r="K116" s="234"/>
      <c r="L116" s="234">
        <v>1</v>
      </c>
      <c r="M116" s="234">
        <v>1</v>
      </c>
      <c r="N116" s="234"/>
      <c r="O116" s="234"/>
      <c r="P116" s="234"/>
      <c r="Q116" s="234">
        <v>2</v>
      </c>
    </row>
    <row r="117" spans="2:17" ht="12.5">
      <c r="B117" s="232" t="s">
        <v>606</v>
      </c>
      <c r="C117" s="234"/>
      <c r="D117" s="234"/>
      <c r="E117" s="234"/>
      <c r="F117" s="234"/>
      <c r="G117" s="234"/>
      <c r="H117" s="234"/>
      <c r="I117" s="234"/>
      <c r="J117" s="234"/>
      <c r="K117" s="234"/>
      <c r="L117" s="234">
        <v>8</v>
      </c>
      <c r="M117" s="234">
        <v>31</v>
      </c>
      <c r="N117" s="234">
        <v>10</v>
      </c>
      <c r="O117" s="234"/>
      <c r="P117" s="234"/>
      <c r="Q117" s="234">
        <v>49</v>
      </c>
    </row>
    <row r="118" spans="2:17" ht="12.5">
      <c r="B118" s="232" t="s">
        <v>491</v>
      </c>
      <c r="C118" s="234" t="s">
        <v>607</v>
      </c>
      <c r="D118" s="234"/>
      <c r="E118" s="234"/>
      <c r="F118" s="234"/>
      <c r="G118" s="234"/>
      <c r="H118" s="234"/>
      <c r="I118" s="234"/>
      <c r="J118" s="234"/>
      <c r="K118" s="234"/>
      <c r="L118" s="234"/>
      <c r="M118" s="234"/>
      <c r="N118" s="234"/>
      <c r="O118" s="234"/>
      <c r="P118" s="234">
        <v>2</v>
      </c>
      <c r="Q118" s="234">
        <v>2</v>
      </c>
    </row>
    <row r="119" spans="2:17" ht="12.5">
      <c r="B119" s="232"/>
      <c r="C119" s="234" t="s">
        <v>608</v>
      </c>
      <c r="D119" s="234"/>
      <c r="E119" s="234"/>
      <c r="F119" s="234"/>
      <c r="G119" s="234"/>
      <c r="H119" s="234"/>
      <c r="I119" s="234"/>
      <c r="J119" s="234"/>
      <c r="K119" s="234"/>
      <c r="L119" s="234"/>
      <c r="M119" s="234"/>
      <c r="N119" s="234"/>
      <c r="O119" s="234">
        <v>2</v>
      </c>
      <c r="P119" s="234">
        <v>1</v>
      </c>
      <c r="Q119" s="234">
        <v>3</v>
      </c>
    </row>
    <row r="120" spans="2:17" ht="12.5">
      <c r="B120" s="232"/>
      <c r="C120" s="234" t="s">
        <v>609</v>
      </c>
      <c r="D120" s="234"/>
      <c r="E120" s="234"/>
      <c r="F120" s="234"/>
      <c r="G120" s="234"/>
      <c r="H120" s="234"/>
      <c r="I120" s="234"/>
      <c r="J120" s="234"/>
      <c r="K120" s="234"/>
      <c r="L120" s="234"/>
      <c r="M120" s="234"/>
      <c r="N120" s="234"/>
      <c r="O120" s="234">
        <v>1</v>
      </c>
      <c r="P120" s="234">
        <v>2</v>
      </c>
      <c r="Q120" s="234">
        <v>3</v>
      </c>
    </row>
    <row r="121" spans="2:17" ht="12.5">
      <c r="B121" s="232"/>
      <c r="C121" s="234" t="s">
        <v>610</v>
      </c>
      <c r="D121" s="234"/>
      <c r="E121" s="234"/>
      <c r="F121" s="234"/>
      <c r="G121" s="234"/>
      <c r="H121" s="234"/>
      <c r="I121" s="234"/>
      <c r="J121" s="234"/>
      <c r="K121" s="234"/>
      <c r="L121" s="234"/>
      <c r="M121" s="234"/>
      <c r="N121" s="234"/>
      <c r="O121" s="234"/>
      <c r="P121" s="234">
        <v>2</v>
      </c>
      <c r="Q121" s="234">
        <v>2</v>
      </c>
    </row>
    <row r="122" spans="2:17" ht="12.5">
      <c r="B122" s="232"/>
      <c r="C122" s="234" t="s">
        <v>611</v>
      </c>
      <c r="D122" s="234"/>
      <c r="E122" s="234"/>
      <c r="F122" s="234"/>
      <c r="G122" s="234"/>
      <c r="H122" s="234"/>
      <c r="I122" s="234"/>
      <c r="J122" s="234"/>
      <c r="K122" s="234"/>
      <c r="L122" s="234"/>
      <c r="M122" s="234"/>
      <c r="N122" s="234"/>
      <c r="O122" s="234">
        <v>1</v>
      </c>
      <c r="P122" s="234"/>
      <c r="Q122" s="234">
        <v>1</v>
      </c>
    </row>
    <row r="123" spans="2:17" ht="12.5">
      <c r="B123" s="232"/>
      <c r="C123" s="234" t="s">
        <v>612</v>
      </c>
      <c r="D123" s="234"/>
      <c r="E123" s="234"/>
      <c r="F123" s="234"/>
      <c r="G123" s="234"/>
      <c r="H123" s="234"/>
      <c r="I123" s="234"/>
      <c r="J123" s="234"/>
      <c r="K123" s="234"/>
      <c r="L123" s="234"/>
      <c r="M123" s="234"/>
      <c r="N123" s="234"/>
      <c r="O123" s="234">
        <v>2</v>
      </c>
      <c r="P123" s="234"/>
      <c r="Q123" s="234">
        <v>2</v>
      </c>
    </row>
    <row r="124" spans="2:17" ht="12.5">
      <c r="B124" s="232"/>
      <c r="C124" s="234" t="s">
        <v>613</v>
      </c>
      <c r="D124" s="234"/>
      <c r="E124" s="234"/>
      <c r="F124" s="234"/>
      <c r="G124" s="234"/>
      <c r="H124" s="234"/>
      <c r="I124" s="234"/>
      <c r="J124" s="234"/>
      <c r="K124" s="234"/>
      <c r="L124" s="234"/>
      <c r="M124" s="234"/>
      <c r="N124" s="234"/>
      <c r="O124" s="234"/>
      <c r="P124" s="234">
        <v>1</v>
      </c>
      <c r="Q124" s="234">
        <v>1</v>
      </c>
    </row>
    <row r="125" spans="2:17" ht="12.5">
      <c r="B125" s="232"/>
      <c r="C125" s="234" t="s">
        <v>614</v>
      </c>
      <c r="D125" s="234"/>
      <c r="E125" s="234"/>
      <c r="F125" s="234"/>
      <c r="G125" s="234"/>
      <c r="H125" s="234"/>
      <c r="I125" s="234"/>
      <c r="J125" s="234"/>
      <c r="K125" s="234"/>
      <c r="L125" s="234"/>
      <c r="M125" s="234"/>
      <c r="N125" s="234"/>
      <c r="O125" s="234">
        <v>2</v>
      </c>
      <c r="P125" s="234"/>
      <c r="Q125" s="234">
        <v>2</v>
      </c>
    </row>
    <row r="126" spans="2:17" ht="12.5">
      <c r="B126" s="232"/>
      <c r="C126" s="234" t="s">
        <v>615</v>
      </c>
      <c r="D126" s="234"/>
      <c r="E126" s="234"/>
      <c r="F126" s="234"/>
      <c r="G126" s="234"/>
      <c r="H126" s="234"/>
      <c r="I126" s="234"/>
      <c r="J126" s="234"/>
      <c r="K126" s="234"/>
      <c r="L126" s="234"/>
      <c r="M126" s="234"/>
      <c r="N126" s="234"/>
      <c r="O126" s="234">
        <v>2</v>
      </c>
      <c r="P126" s="234"/>
      <c r="Q126" s="234">
        <v>2</v>
      </c>
    </row>
    <row r="127" spans="2:17" ht="12.5">
      <c r="B127" s="232"/>
      <c r="C127" s="234" t="s">
        <v>616</v>
      </c>
      <c r="D127" s="234"/>
      <c r="E127" s="234"/>
      <c r="F127" s="234"/>
      <c r="G127" s="234"/>
      <c r="H127" s="234"/>
      <c r="I127" s="234"/>
      <c r="J127" s="234"/>
      <c r="K127" s="234"/>
      <c r="L127" s="234"/>
      <c r="M127" s="234"/>
      <c r="N127" s="234"/>
      <c r="O127" s="234"/>
      <c r="P127" s="234">
        <v>2</v>
      </c>
      <c r="Q127" s="234">
        <v>2</v>
      </c>
    </row>
    <row r="128" spans="2:17" ht="12.5">
      <c r="B128" s="232"/>
      <c r="C128" s="234" t="s">
        <v>617</v>
      </c>
      <c r="D128" s="234"/>
      <c r="E128" s="234"/>
      <c r="F128" s="234"/>
      <c r="G128" s="234"/>
      <c r="H128" s="234"/>
      <c r="I128" s="234"/>
      <c r="J128" s="234"/>
      <c r="K128" s="234"/>
      <c r="L128" s="234"/>
      <c r="M128" s="234"/>
      <c r="N128" s="234"/>
      <c r="O128" s="234">
        <v>2</v>
      </c>
      <c r="P128" s="234"/>
      <c r="Q128" s="234">
        <v>2</v>
      </c>
    </row>
    <row r="129" spans="2:17" ht="12.5">
      <c r="B129" s="232"/>
      <c r="C129" s="234" t="s">
        <v>618</v>
      </c>
      <c r="D129" s="234"/>
      <c r="E129" s="234"/>
      <c r="F129" s="234"/>
      <c r="G129" s="234"/>
      <c r="H129" s="234"/>
      <c r="I129" s="234"/>
      <c r="J129" s="234"/>
      <c r="K129" s="234"/>
      <c r="L129" s="234"/>
      <c r="M129" s="234"/>
      <c r="N129" s="234"/>
      <c r="O129" s="234"/>
      <c r="P129" s="234">
        <v>2</v>
      </c>
      <c r="Q129" s="234">
        <v>2</v>
      </c>
    </row>
    <row r="130" spans="2:17" ht="12.5">
      <c r="B130" s="232"/>
      <c r="C130" s="234" t="s">
        <v>619</v>
      </c>
      <c r="D130" s="234"/>
      <c r="E130" s="234"/>
      <c r="F130" s="234"/>
      <c r="G130" s="234"/>
      <c r="H130" s="234"/>
      <c r="I130" s="234"/>
      <c r="J130" s="234"/>
      <c r="K130" s="234"/>
      <c r="L130" s="234"/>
      <c r="M130" s="234"/>
      <c r="N130" s="234"/>
      <c r="O130" s="234"/>
      <c r="P130" s="234">
        <v>1</v>
      </c>
      <c r="Q130" s="234">
        <v>1</v>
      </c>
    </row>
    <row r="131" spans="2:17" ht="12.5">
      <c r="B131" s="232"/>
      <c r="C131" s="234" t="s">
        <v>620</v>
      </c>
      <c r="D131" s="234"/>
      <c r="E131" s="234"/>
      <c r="F131" s="234"/>
      <c r="G131" s="234"/>
      <c r="H131" s="234"/>
      <c r="I131" s="234"/>
      <c r="J131" s="234"/>
      <c r="K131" s="234"/>
      <c r="L131" s="234"/>
      <c r="M131" s="234"/>
      <c r="N131" s="234"/>
      <c r="O131" s="234"/>
      <c r="P131" s="234">
        <v>1</v>
      </c>
      <c r="Q131" s="234">
        <v>1</v>
      </c>
    </row>
    <row r="132" spans="2:17" ht="12.5">
      <c r="B132" s="232"/>
      <c r="C132" s="234" t="s">
        <v>621</v>
      </c>
      <c r="D132" s="234"/>
      <c r="E132" s="234"/>
      <c r="F132" s="234"/>
      <c r="G132" s="234"/>
      <c r="H132" s="234"/>
      <c r="I132" s="234"/>
      <c r="J132" s="234"/>
      <c r="K132" s="234"/>
      <c r="L132" s="234"/>
      <c r="M132" s="234"/>
      <c r="N132" s="234"/>
      <c r="O132" s="234"/>
      <c r="P132" s="234">
        <v>4</v>
      </c>
      <c r="Q132" s="234">
        <v>4</v>
      </c>
    </row>
    <row r="133" spans="2:17" ht="12.5">
      <c r="B133" s="232" t="s">
        <v>622</v>
      </c>
      <c r="C133" s="235"/>
      <c r="D133" s="235"/>
      <c r="E133" s="235"/>
      <c r="F133" s="235"/>
      <c r="G133" s="235"/>
      <c r="H133" s="235"/>
      <c r="I133" s="235"/>
      <c r="J133" s="235"/>
      <c r="K133" s="235"/>
      <c r="L133" s="235"/>
      <c r="M133" s="235"/>
      <c r="N133" s="235"/>
      <c r="O133" s="235">
        <v>12</v>
      </c>
      <c r="P133" s="235">
        <v>18</v>
      </c>
      <c r="Q133" s="235">
        <v>30</v>
      </c>
    </row>
    <row r="134" spans="2:17" ht="12.5">
      <c r="B134" s="236" t="s">
        <v>497</v>
      </c>
      <c r="C134" s="236"/>
      <c r="D134" s="236">
        <v>20</v>
      </c>
      <c r="E134" s="236">
        <v>23</v>
      </c>
      <c r="F134" s="236">
        <v>24</v>
      </c>
      <c r="G134" s="236">
        <v>30</v>
      </c>
      <c r="H134" s="236">
        <v>26</v>
      </c>
      <c r="I134" s="236">
        <v>48</v>
      </c>
      <c r="J134" s="236">
        <v>20</v>
      </c>
      <c r="K134" s="236">
        <v>24</v>
      </c>
      <c r="L134" s="236">
        <v>8</v>
      </c>
      <c r="M134" s="236">
        <v>31</v>
      </c>
      <c r="N134" s="236">
        <v>10</v>
      </c>
      <c r="O134" s="236">
        <v>12</v>
      </c>
      <c r="P134" s="236">
        <v>18</v>
      </c>
      <c r="Q134" s="236">
        <v>294</v>
      </c>
    </row>
  </sheetData>
  <autoFilter ref="B2:Q134" xr:uid="{00000000-0009-0000-0000-000004000000}"/>
  <phoneticPr fontId="7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pageSetUpPr fitToPage="1"/>
  </sheetPr>
  <dimension ref="A2:C13"/>
  <sheetViews>
    <sheetView workbookViewId="0"/>
  </sheetViews>
  <sheetFormatPr defaultColWidth="12.6328125" defaultRowHeight="15.75" customHeight="1"/>
  <cols>
    <col min="1" max="1" width="42.36328125" customWidth="1"/>
    <col min="2" max="2" width="31.453125" customWidth="1"/>
    <col min="3" max="3" width="165.453125" customWidth="1"/>
    <col min="16" max="16" width="39" customWidth="1"/>
  </cols>
  <sheetData>
    <row r="2" spans="1:3" ht="15.75" customHeight="1">
      <c r="A2" s="237" t="s">
        <v>623</v>
      </c>
      <c r="B2" s="238" t="s">
        <v>624</v>
      </c>
      <c r="C2" s="32" t="s">
        <v>625</v>
      </c>
    </row>
    <row r="4" spans="1:3" ht="15.75" customHeight="1">
      <c r="A4" s="239" t="s">
        <v>114</v>
      </c>
      <c r="B4" s="239" t="s">
        <v>626</v>
      </c>
      <c r="C4" s="239" t="s">
        <v>96</v>
      </c>
    </row>
    <row r="5" spans="1:3" ht="15.75" customHeight="1">
      <c r="A5" s="240" t="s">
        <v>517</v>
      </c>
      <c r="C5" s="32" t="s">
        <v>627</v>
      </c>
    </row>
    <row r="6" spans="1:3" ht="15.75" customHeight="1">
      <c r="A6" s="240" t="s">
        <v>518</v>
      </c>
      <c r="B6" s="32" t="s">
        <v>628</v>
      </c>
    </row>
    <row r="7" spans="1:3" ht="15.75" customHeight="1">
      <c r="A7" s="240" t="s">
        <v>520</v>
      </c>
      <c r="B7" s="32" t="s">
        <v>629</v>
      </c>
      <c r="C7" s="32" t="s">
        <v>630</v>
      </c>
    </row>
    <row r="8" spans="1:3" ht="15.75" customHeight="1">
      <c r="A8" s="240" t="s">
        <v>522</v>
      </c>
      <c r="B8" s="32" t="s">
        <v>631</v>
      </c>
      <c r="C8" s="32" t="s">
        <v>632</v>
      </c>
    </row>
    <row r="9" spans="1:3" ht="15.75" customHeight="1">
      <c r="A9" s="240" t="s">
        <v>525</v>
      </c>
      <c r="B9" s="32" t="s">
        <v>633</v>
      </c>
      <c r="C9" s="32" t="s">
        <v>634</v>
      </c>
    </row>
    <row r="10" spans="1:3" ht="15.75" customHeight="1">
      <c r="A10" s="240" t="s">
        <v>474</v>
      </c>
      <c r="B10" s="32" t="s">
        <v>635</v>
      </c>
    </row>
    <row r="11" spans="1:3" ht="15.75" customHeight="1">
      <c r="A11" s="240" t="s">
        <v>550</v>
      </c>
      <c r="B11" s="32" t="s">
        <v>636</v>
      </c>
      <c r="C11" s="241" t="s">
        <v>637</v>
      </c>
    </row>
    <row r="12" spans="1:3" ht="15.75" customHeight="1">
      <c r="A12" s="240" t="s">
        <v>560</v>
      </c>
      <c r="B12" s="32" t="s">
        <v>638</v>
      </c>
      <c r="C12" s="32" t="s">
        <v>639</v>
      </c>
    </row>
    <row r="13" spans="1:3" ht="15.75" customHeight="1">
      <c r="A13" s="240" t="s">
        <v>576</v>
      </c>
      <c r="B13" s="32" t="s">
        <v>640</v>
      </c>
      <c r="C13" s="32" t="s">
        <v>641</v>
      </c>
    </row>
  </sheetData>
  <phoneticPr fontId="70"/>
  <hyperlinks>
    <hyperlink ref="C11" r:id="rId1" xr:uid="{00000000-0004-0000-0500-000000000000}"/>
  </hyperlinks>
  <printOptions horizontalCentered="1" gridLines="1"/>
  <pageMargins left="0.25" right="0.25" top="0.75" bottom="0.75" header="0" footer="0"/>
  <pageSetup paperSize="9" fitToHeight="0" pageOrder="overThenDown" orientation="portrait" cellComments="atEnd"/>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CH1001"/>
  <sheetViews>
    <sheetView topLeftCell="G1" workbookViewId="0"/>
  </sheetViews>
  <sheetFormatPr defaultColWidth="12.6328125" defaultRowHeight="15.75" customHeight="1"/>
  <cols>
    <col min="1" max="1" width="5.7265625" hidden="1" customWidth="1"/>
    <col min="2" max="2" width="9.90625" hidden="1" customWidth="1"/>
    <col min="3" max="3" width="29" hidden="1" customWidth="1"/>
    <col min="4" max="5" width="12.6328125" hidden="1"/>
    <col min="6" max="6" width="4.453125" hidden="1" customWidth="1"/>
    <col min="7" max="7" width="6.6328125" customWidth="1"/>
    <col min="9" max="9" width="8.453125" customWidth="1"/>
    <col min="10" max="12" width="7.90625" customWidth="1"/>
    <col min="13" max="14" width="14.90625" customWidth="1"/>
    <col min="15" max="16" width="12.6328125" hidden="1"/>
    <col min="17" max="17" width="13.6328125" customWidth="1"/>
    <col min="18" max="19" width="12.6328125" hidden="1"/>
    <col min="20" max="20" width="10.26953125" customWidth="1"/>
    <col min="21" max="62" width="12.6328125" hidden="1"/>
    <col min="63" max="63" width="110.7265625" customWidth="1"/>
  </cols>
  <sheetData>
    <row r="1" spans="1:86" ht="15.75" customHeight="1">
      <c r="A1" s="40"/>
      <c r="B1" s="40"/>
      <c r="C1" s="40"/>
      <c r="D1" s="40"/>
      <c r="E1" s="40"/>
      <c r="F1" s="40"/>
      <c r="G1" s="40"/>
      <c r="H1" s="40"/>
      <c r="I1" s="93"/>
      <c r="J1" s="93"/>
      <c r="K1" s="93"/>
      <c r="L1" s="242"/>
      <c r="M1" s="40"/>
      <c r="N1" s="40"/>
      <c r="O1" s="40"/>
      <c r="P1" s="40"/>
      <c r="Q1" s="40"/>
      <c r="R1" s="40"/>
      <c r="S1" s="40"/>
      <c r="T1" s="40"/>
      <c r="U1" s="40"/>
      <c r="V1" s="40"/>
      <c r="W1" s="40"/>
      <c r="X1" s="40"/>
      <c r="Y1" s="40"/>
      <c r="Z1" s="40"/>
      <c r="AA1" s="40"/>
      <c r="AB1" s="40"/>
      <c r="AC1" s="40"/>
      <c r="AD1" s="40"/>
      <c r="AE1" s="40"/>
      <c r="AF1" s="40"/>
      <c r="AG1" s="40"/>
      <c r="AH1" s="40"/>
      <c r="AI1" s="40"/>
      <c r="AJ1" s="40"/>
      <c r="AK1" s="40"/>
      <c r="AL1" s="40"/>
      <c r="AM1" s="40"/>
      <c r="AN1" s="40"/>
      <c r="AO1" s="40"/>
      <c r="AP1" s="40"/>
      <c r="AQ1" s="40"/>
      <c r="AR1" s="40"/>
      <c r="AS1" s="40"/>
      <c r="AT1" s="40"/>
      <c r="AU1" s="40"/>
      <c r="AV1" s="40"/>
      <c r="AW1" s="40"/>
      <c r="AX1" s="40"/>
      <c r="AY1" s="40"/>
      <c r="AZ1" s="40"/>
      <c r="BA1" s="40"/>
      <c r="BB1" s="40"/>
      <c r="BC1" s="40"/>
      <c r="BD1" s="40"/>
      <c r="BE1" s="40"/>
      <c r="BF1" s="40"/>
      <c r="BG1" s="40"/>
      <c r="BH1" s="40"/>
      <c r="BI1" s="40"/>
      <c r="BJ1" s="40"/>
      <c r="BK1" s="40"/>
      <c r="BL1" s="40"/>
      <c r="BM1" s="40"/>
      <c r="BN1" s="40"/>
      <c r="BO1" s="40"/>
      <c r="BP1" s="40"/>
      <c r="BQ1" s="40"/>
      <c r="BR1" s="40"/>
      <c r="BS1" s="40"/>
      <c r="BT1" s="40"/>
      <c r="BU1" s="40"/>
      <c r="BV1" s="40"/>
      <c r="BW1" s="40"/>
      <c r="BX1" s="40"/>
      <c r="BY1" s="40"/>
      <c r="BZ1" s="40"/>
      <c r="CA1" s="40"/>
      <c r="CB1" s="40"/>
      <c r="CC1" s="40"/>
      <c r="CD1" s="40"/>
      <c r="CE1" s="40"/>
      <c r="CF1" s="40"/>
      <c r="CG1" s="40"/>
      <c r="CH1" s="40"/>
    </row>
    <row r="2" spans="1:86" ht="15.75" customHeight="1">
      <c r="A2" s="40"/>
      <c r="C2" s="40"/>
      <c r="D2" s="40"/>
      <c r="E2" s="40"/>
      <c r="F2" s="40"/>
      <c r="G2" s="243" t="s">
        <v>642</v>
      </c>
      <c r="H2" s="40"/>
      <c r="I2" s="93"/>
      <c r="J2" s="93"/>
      <c r="K2" s="93"/>
      <c r="L2" s="93"/>
      <c r="M2" s="93"/>
      <c r="N2" s="93"/>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row>
    <row r="3" spans="1:86" ht="15.75" customHeight="1">
      <c r="A3" s="40"/>
      <c r="B3" s="16" t="s">
        <v>643</v>
      </c>
      <c r="C3" s="158"/>
      <c r="D3" s="158"/>
      <c r="E3" s="40"/>
      <c r="F3" s="40"/>
      <c r="G3" s="40" t="s">
        <v>644</v>
      </c>
      <c r="H3" s="40"/>
      <c r="J3" s="93"/>
      <c r="K3" s="93"/>
      <c r="L3" s="242"/>
      <c r="M3" s="40"/>
      <c r="N3" s="40"/>
      <c r="O3" s="40"/>
      <c r="P3" s="40"/>
      <c r="Q3" s="40"/>
      <c r="R3" s="40"/>
      <c r="S3" s="40"/>
      <c r="T3" s="244"/>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244"/>
      <c r="BL3" s="40"/>
      <c r="BM3" s="40"/>
      <c r="BN3" s="40"/>
      <c r="BO3" s="40"/>
      <c r="BP3" s="40"/>
      <c r="BQ3" s="40"/>
      <c r="BR3" s="40"/>
      <c r="BS3" s="40"/>
      <c r="BT3" s="40"/>
      <c r="BU3" s="40"/>
      <c r="BV3" s="40"/>
      <c r="BW3" s="40"/>
      <c r="BX3" s="40"/>
      <c r="BY3" s="40"/>
      <c r="BZ3" s="40"/>
      <c r="CA3" s="40"/>
      <c r="CB3" s="40"/>
      <c r="CC3" s="40"/>
      <c r="CD3" s="40"/>
      <c r="CE3" s="40"/>
      <c r="CF3" s="40"/>
      <c r="CG3" s="40"/>
      <c r="CH3" s="40"/>
    </row>
    <row r="4" spans="1:86" ht="15.75" customHeight="1">
      <c r="A4" s="40"/>
      <c r="B4" s="40"/>
      <c r="C4" s="40"/>
      <c r="D4" s="40"/>
      <c r="E4" s="40"/>
      <c r="F4" s="40"/>
      <c r="G4" s="40"/>
      <c r="H4" s="40"/>
      <c r="I4" s="245" t="s">
        <v>645</v>
      </c>
      <c r="J4" s="93"/>
      <c r="K4" s="93"/>
      <c r="L4" s="242"/>
      <c r="M4" s="40"/>
      <c r="N4" s="40"/>
      <c r="O4" s="40"/>
      <c r="P4" s="40"/>
      <c r="Q4" s="40"/>
      <c r="R4" s="40"/>
      <c r="S4" s="40"/>
      <c r="T4" s="40"/>
      <c r="U4" s="40"/>
      <c r="V4" s="40"/>
      <c r="W4" s="40"/>
      <c r="X4" s="40"/>
      <c r="Y4" s="40"/>
      <c r="Z4" s="40"/>
      <c r="AA4" s="40"/>
      <c r="AB4" s="40"/>
      <c r="AC4" s="40"/>
      <c r="AD4" s="40"/>
      <c r="AE4" s="40"/>
      <c r="AF4" s="40"/>
      <c r="AG4" s="40"/>
      <c r="AH4" s="40"/>
      <c r="AI4" s="40"/>
      <c r="AJ4" s="40"/>
      <c r="AK4" s="40"/>
      <c r="AL4" s="40"/>
      <c r="AM4" s="40"/>
      <c r="AN4" s="40"/>
      <c r="AO4" s="40"/>
      <c r="AP4" s="40"/>
      <c r="AQ4" s="40"/>
      <c r="AR4" s="40"/>
      <c r="AS4" s="40"/>
      <c r="AT4" s="40"/>
      <c r="AU4" s="40"/>
      <c r="AV4" s="40"/>
      <c r="AW4" s="40"/>
      <c r="AX4" s="40"/>
      <c r="AY4" s="40"/>
      <c r="AZ4" s="40"/>
      <c r="BA4" s="40"/>
      <c r="BB4" s="40"/>
      <c r="BC4" s="40"/>
      <c r="BD4" s="40"/>
      <c r="BE4" s="40"/>
      <c r="BF4" s="40"/>
      <c r="BG4" s="40"/>
      <c r="BH4" s="40"/>
      <c r="BI4" s="40"/>
      <c r="BJ4" s="40"/>
      <c r="BK4" s="40"/>
      <c r="BL4" s="40"/>
      <c r="BM4" s="40"/>
      <c r="BN4" s="40"/>
      <c r="BO4" s="40"/>
      <c r="BP4" s="40"/>
      <c r="BQ4" s="40"/>
      <c r="BR4" s="40"/>
      <c r="BS4" s="40"/>
      <c r="BT4" s="40"/>
      <c r="BU4" s="40"/>
      <c r="BV4" s="40"/>
      <c r="BW4" s="40"/>
      <c r="BX4" s="40"/>
      <c r="BY4" s="40"/>
      <c r="BZ4" s="40"/>
      <c r="CA4" s="40"/>
      <c r="CB4" s="40"/>
      <c r="CC4" s="40"/>
      <c r="CD4" s="40"/>
      <c r="CE4" s="40"/>
      <c r="CF4" s="40"/>
      <c r="CG4" s="40"/>
      <c r="CH4" s="40"/>
    </row>
    <row r="5" spans="1:86" ht="15.75" customHeight="1">
      <c r="A5" s="40"/>
      <c r="B5" s="246" t="s">
        <v>646</v>
      </c>
      <c r="C5" s="40"/>
      <c r="D5" s="40"/>
      <c r="E5" s="40"/>
      <c r="F5" s="40"/>
      <c r="G5" s="40"/>
      <c r="H5" s="40"/>
      <c r="I5" s="93"/>
      <c r="J5" s="93"/>
      <c r="K5" s="93"/>
      <c r="L5" s="242"/>
      <c r="M5" s="40"/>
      <c r="N5" s="40"/>
      <c r="O5" s="40"/>
      <c r="P5" s="40"/>
      <c r="Q5" s="40"/>
      <c r="R5" s="40"/>
      <c r="S5" s="40"/>
      <c r="T5" s="40"/>
      <c r="U5" s="40"/>
      <c r="V5" s="40"/>
      <c r="W5" s="40" t="s">
        <v>647</v>
      </c>
      <c r="X5" s="40"/>
      <c r="Y5" s="40"/>
      <c r="Z5" s="40"/>
      <c r="AA5" s="40"/>
      <c r="AB5" s="40"/>
      <c r="AC5" s="40"/>
      <c r="AD5" s="40"/>
      <c r="AE5" s="40"/>
      <c r="AF5" s="40"/>
      <c r="AG5" s="40"/>
      <c r="AH5" s="40"/>
      <c r="AI5" s="40"/>
      <c r="AJ5" s="40"/>
      <c r="AK5" s="40"/>
      <c r="AL5" s="40"/>
      <c r="AM5" s="40"/>
      <c r="AN5" s="40"/>
      <c r="AO5" s="40"/>
      <c r="AP5" s="40"/>
      <c r="AQ5" s="40"/>
      <c r="AR5" s="40"/>
      <c r="AS5" s="40"/>
      <c r="AT5" s="40"/>
      <c r="AU5" s="40"/>
      <c r="AV5" s="40"/>
      <c r="AW5" s="40"/>
      <c r="AX5" s="40"/>
      <c r="AY5" s="40"/>
      <c r="AZ5" s="40"/>
      <c r="BA5" s="40"/>
      <c r="BB5" s="40"/>
      <c r="BC5" s="40"/>
      <c r="BD5" s="40"/>
      <c r="BE5" s="40"/>
      <c r="BF5" s="40"/>
      <c r="BG5" s="40"/>
      <c r="BH5" s="40"/>
      <c r="BI5" s="40"/>
      <c r="BJ5" s="40" t="s">
        <v>648</v>
      </c>
      <c r="BK5" s="40" t="s">
        <v>649</v>
      </c>
      <c r="BL5" s="40"/>
      <c r="BM5" s="40"/>
      <c r="BN5" s="40" t="s">
        <v>650</v>
      </c>
      <c r="BO5" s="40"/>
      <c r="BP5" s="40"/>
      <c r="BQ5" s="40"/>
      <c r="BR5" s="40"/>
      <c r="BS5" s="40"/>
      <c r="BT5" s="40"/>
      <c r="BU5" s="40"/>
      <c r="BV5" s="40"/>
      <c r="BW5" s="40"/>
      <c r="BX5" s="40"/>
      <c r="BY5" s="40"/>
      <c r="BZ5" s="40"/>
      <c r="CA5" s="40"/>
      <c r="CB5" s="40"/>
      <c r="CC5" s="40"/>
      <c r="CD5" s="40"/>
      <c r="CE5" s="40"/>
      <c r="CF5" s="40"/>
      <c r="CG5" s="40"/>
      <c r="CH5" s="40"/>
    </row>
    <row r="6" spans="1:86" ht="15.75" customHeight="1">
      <c r="A6" s="40"/>
      <c r="B6" s="247" t="s">
        <v>651</v>
      </c>
      <c r="C6" s="247" t="s">
        <v>652</v>
      </c>
      <c r="D6" s="247" t="s">
        <v>653</v>
      </c>
      <c r="E6" s="247" t="s">
        <v>116</v>
      </c>
      <c r="F6" s="40"/>
      <c r="G6" s="248" t="s">
        <v>654</v>
      </c>
      <c r="H6" s="247" t="s">
        <v>655</v>
      </c>
      <c r="I6" s="249" t="s">
        <v>656</v>
      </c>
      <c r="J6" s="249" t="s">
        <v>657</v>
      </c>
      <c r="K6" s="249" t="s">
        <v>657</v>
      </c>
      <c r="L6" s="250" t="s">
        <v>658</v>
      </c>
      <c r="M6" s="247" t="s">
        <v>659</v>
      </c>
      <c r="N6" s="251" t="s">
        <v>660</v>
      </c>
      <c r="O6" s="251" t="s">
        <v>661</v>
      </c>
      <c r="P6" s="251" t="s">
        <v>662</v>
      </c>
      <c r="Q6" s="251" t="s">
        <v>663</v>
      </c>
      <c r="R6" s="251" t="s">
        <v>664</v>
      </c>
      <c r="S6" s="251" t="s">
        <v>665</v>
      </c>
      <c r="T6" s="251" t="s">
        <v>666</v>
      </c>
      <c r="U6" s="251" t="s">
        <v>667</v>
      </c>
      <c r="V6" s="251" t="s">
        <v>668</v>
      </c>
      <c r="W6" s="252" t="s">
        <v>669</v>
      </c>
      <c r="X6" s="253" t="s">
        <v>670</v>
      </c>
      <c r="Y6" s="254"/>
      <c r="Z6" s="254"/>
      <c r="AA6" s="254"/>
      <c r="AB6" s="254"/>
      <c r="AC6" s="254"/>
      <c r="AD6" s="254"/>
      <c r="AE6" s="254"/>
      <c r="AF6" s="254"/>
      <c r="AG6" s="254"/>
      <c r="AH6" s="254"/>
      <c r="AI6" s="254"/>
      <c r="AJ6" s="254"/>
      <c r="AK6" s="254"/>
      <c r="AL6" s="254"/>
      <c r="AM6" s="254"/>
      <c r="AN6" s="255" t="s">
        <v>671</v>
      </c>
      <c r="AO6" s="256" t="s">
        <v>672</v>
      </c>
      <c r="AP6" s="257"/>
      <c r="AQ6" s="257"/>
      <c r="AR6" s="257"/>
      <c r="AS6" s="257"/>
      <c r="AT6" s="257"/>
      <c r="AU6" s="257"/>
      <c r="AV6" s="257"/>
      <c r="AW6" s="257"/>
      <c r="AX6" s="257"/>
      <c r="AY6" s="257"/>
      <c r="AZ6" s="257" t="s">
        <v>673</v>
      </c>
      <c r="BA6" s="258" t="s">
        <v>674</v>
      </c>
      <c r="BB6" s="258" t="s">
        <v>115</v>
      </c>
      <c r="BC6" s="258"/>
      <c r="BD6" s="258"/>
      <c r="BE6" s="258" t="s">
        <v>674</v>
      </c>
      <c r="BF6" s="258"/>
      <c r="BG6" s="258"/>
      <c r="BH6" s="258" t="s">
        <v>675</v>
      </c>
      <c r="BI6" s="252" t="s">
        <v>676</v>
      </c>
      <c r="BJ6" s="252" t="s">
        <v>677</v>
      </c>
      <c r="BK6" s="259" t="s">
        <v>678</v>
      </c>
      <c r="BL6" s="40"/>
      <c r="BM6" s="40"/>
      <c r="BN6" s="247" t="s">
        <v>655</v>
      </c>
      <c r="BO6" s="247" t="s">
        <v>679</v>
      </c>
      <c r="BP6" s="40"/>
      <c r="BQ6" s="40"/>
      <c r="BR6" s="40"/>
      <c r="BS6" s="40"/>
      <c r="BT6" s="40"/>
      <c r="BU6" s="40"/>
      <c r="BV6" s="40"/>
      <c r="BW6" s="40"/>
      <c r="BX6" s="40"/>
      <c r="BY6" s="40"/>
      <c r="BZ6" s="40"/>
      <c r="CA6" s="40"/>
      <c r="CB6" s="40"/>
      <c r="CC6" s="40"/>
      <c r="CD6" s="40"/>
      <c r="CE6" s="40"/>
      <c r="CF6" s="40"/>
      <c r="CG6" s="40"/>
      <c r="CH6" s="40"/>
    </row>
    <row r="7" spans="1:86" ht="15.75" customHeight="1">
      <c r="A7" s="40"/>
      <c r="B7" s="260">
        <v>0</v>
      </c>
      <c r="C7" s="40"/>
      <c r="D7" s="40"/>
      <c r="E7" s="40"/>
      <c r="F7" s="40"/>
      <c r="G7" s="261"/>
      <c r="H7" s="262" t="s">
        <v>680</v>
      </c>
      <c r="I7" s="93" t="s">
        <v>681</v>
      </c>
      <c r="J7" s="93" t="s">
        <v>681</v>
      </c>
      <c r="K7" s="93" t="s">
        <v>681</v>
      </c>
      <c r="L7" s="242" t="s">
        <v>681</v>
      </c>
      <c r="M7" s="263" t="str">
        <f t="shared" ref="M7:M261" si="0">VLOOKUP(I7,BN:BO,2,FALSE)</f>
        <v>dodgerblue</v>
      </c>
      <c r="N7" s="264"/>
      <c r="O7" s="265"/>
      <c r="P7" s="265"/>
      <c r="Q7" s="264"/>
      <c r="R7" s="265"/>
      <c r="S7" s="265"/>
      <c r="T7" s="264"/>
      <c r="U7" s="40"/>
      <c r="V7" s="40"/>
      <c r="W7" s="40" t="str">
        <f ca="1">IF(OFFSET(H7,-1,0)="Begin","",IF(H7="Begin","",","))</f>
        <v/>
      </c>
      <c r="X7" s="40" t="s">
        <v>682</v>
      </c>
      <c r="Y7" s="40" t="s">
        <v>683</v>
      </c>
      <c r="Z7" s="264">
        <f t="shared" ref="Z7:Z261" si="1">O7</f>
        <v>0</v>
      </c>
      <c r="AA7" s="40" t="s">
        <v>684</v>
      </c>
      <c r="AB7" s="264">
        <f t="shared" ref="AB7:AB261" si="2">P7</f>
        <v>0</v>
      </c>
      <c r="AC7" s="40" t="s">
        <v>685</v>
      </c>
      <c r="AD7" s="264">
        <f t="shared" ref="AD7:AD261" si="3">R7</f>
        <v>0</v>
      </c>
      <c r="AE7" s="40" t="s">
        <v>684</v>
      </c>
      <c r="AF7" s="264">
        <f t="shared" ref="AF7:AF261" si="4">S7</f>
        <v>0</v>
      </c>
      <c r="AG7" s="40" t="s">
        <v>686</v>
      </c>
      <c r="AH7" s="264">
        <f t="shared" ref="AH7:AH261" si="5">U7</f>
        <v>0</v>
      </c>
      <c r="AI7" s="40" t="s">
        <v>684</v>
      </c>
      <c r="AJ7" s="264">
        <f t="shared" ref="AJ7:AJ261" si="6">V7</f>
        <v>0</v>
      </c>
      <c r="AK7" s="40" t="s">
        <v>687</v>
      </c>
      <c r="AL7" s="264" t="str">
        <f t="shared" ref="AL7:AL261" si="7">M7</f>
        <v>dodgerblue</v>
      </c>
      <c r="AM7" s="40" t="s">
        <v>688</v>
      </c>
      <c r="AN7" s="40" t="str">
        <f t="shared" ref="AN7:AN261" ca="1" si="8">W7&amp;X7&amp;Y7&amp;Z7&amp;AA7&amp;AB7&amp;AC7&amp;AD7&amp;AE7&amp;AF7&amp;AG7&amp;AH7&amp;AI7&amp;AJ7&amp;AK7&amp;AL7&amp;AM7</f>
        <v>{"type":"polygon","latLngs":[ {"lat":0,"lng":0}, {"lat":0,"lng":0},{"lat":0,"lng":0}], "color":"dodgerblue"}</v>
      </c>
      <c r="AO7" s="266" t="s">
        <v>689</v>
      </c>
      <c r="AP7" s="56">
        <f t="shared" ref="AP7:AP261" si="9">O7</f>
        <v>0</v>
      </c>
      <c r="AQ7" s="40" t="s">
        <v>684</v>
      </c>
      <c r="AR7" s="56">
        <f t="shared" ref="AR7:AR261" si="10">P7</f>
        <v>0</v>
      </c>
      <c r="AS7" s="40" t="s">
        <v>686</v>
      </c>
      <c r="AT7" s="56">
        <f t="shared" ref="AT7:AT261" si="11">R7</f>
        <v>0</v>
      </c>
      <c r="AU7" s="40" t="s">
        <v>684</v>
      </c>
      <c r="AV7" s="56">
        <f t="shared" ref="AV7:AV261" si="12">S7</f>
        <v>0</v>
      </c>
      <c r="AW7" s="40" t="s">
        <v>690</v>
      </c>
      <c r="AX7" s="40" t="str">
        <f t="shared" ref="AX7:AX261" si="13">M7</f>
        <v>dodgerblue</v>
      </c>
      <c r="AY7" s="40" t="s">
        <v>688</v>
      </c>
      <c r="AZ7" s="40" t="str">
        <f t="shared" ref="AZ7:AZ261" ca="1" si="14">W7&amp;AO7&amp;AP7&amp;AQ7&amp;AR7&amp;AS7&amp;AT7&amp;AU7&amp;AV7&amp;AW7&amp;AX7&amp;AY7</f>
        <v>{"type":"polyline","latLngs":[{"lat":0,"lng":0},{"lat":0,"lng":0}],"color":"dodgerblue"}</v>
      </c>
      <c r="BA7" s="40" t="s">
        <v>691</v>
      </c>
      <c r="BB7" s="56">
        <f t="shared" ref="BB7:BB261" si="15">O7</f>
        <v>0</v>
      </c>
      <c r="BC7" s="40" t="s">
        <v>684</v>
      </c>
      <c r="BD7" s="56">
        <f t="shared" ref="BD7:BD261" si="16">P7</f>
        <v>0</v>
      </c>
      <c r="BE7" s="40" t="s">
        <v>692</v>
      </c>
      <c r="BF7" s="40" t="str">
        <f t="shared" ref="BF7:BF261" si="17">M7</f>
        <v>dodgerblue</v>
      </c>
      <c r="BG7" s="40" t="s">
        <v>688</v>
      </c>
      <c r="BH7" s="40" t="str">
        <f t="shared" ref="BH7:BH261" ca="1" si="18">W7&amp;BA7&amp;BB7&amp;BC7&amp;BD7&amp;BE7&amp;BF7&amp;BG7</f>
        <v>{"type":"marker","latLng":{"lat":0,"lng":0},"color":"dodgerblue"}</v>
      </c>
      <c r="BI7" s="40" t="s">
        <v>693</v>
      </c>
      <c r="BJ7" s="40" t="s">
        <v>694</v>
      </c>
      <c r="BK7" s="267" t="str">
        <f t="shared" ref="BK7:BK261" si="19">IF(H7="CF",AN7,IF(H7="Link",AZ7,IF(H7="Marker",BH7,IF(H7="Begin",BI7,IF(H7="End",BJ7,"")))))</f>
        <v>[</v>
      </c>
      <c r="BL7" s="40"/>
      <c r="BM7" s="40"/>
      <c r="BN7" s="268" t="s">
        <v>672</v>
      </c>
      <c r="BO7" s="269"/>
      <c r="BP7" s="40"/>
      <c r="BQ7" s="40"/>
      <c r="BR7" s="40"/>
      <c r="BS7" s="40"/>
      <c r="BT7" s="40"/>
      <c r="BU7" s="40"/>
      <c r="BV7" s="40"/>
      <c r="BW7" s="40"/>
      <c r="BX7" s="40"/>
      <c r="BY7" s="40"/>
      <c r="BZ7" s="40"/>
      <c r="CA7" s="40"/>
      <c r="CB7" s="40"/>
      <c r="CC7" s="40"/>
      <c r="CD7" s="40"/>
      <c r="CE7" s="40"/>
      <c r="CF7" s="40"/>
      <c r="CG7" s="40"/>
      <c r="CH7" s="40"/>
    </row>
    <row r="8" spans="1:86" ht="15.75" customHeight="1">
      <c r="A8" s="40"/>
      <c r="B8" s="260" t="s">
        <v>681</v>
      </c>
      <c r="C8" s="270" t="s">
        <v>98</v>
      </c>
      <c r="D8" s="40" t="s">
        <v>98</v>
      </c>
      <c r="E8" s="40" t="s">
        <v>98</v>
      </c>
      <c r="F8" s="40"/>
      <c r="G8" s="261"/>
      <c r="H8" s="262" t="s">
        <v>672</v>
      </c>
      <c r="I8" s="245" t="str">
        <f ca="1">IFERROR(__xludf.DUMMYFUNCTION("FILTER('3.手順'!D:F,'3.手順'!E:E &gt; ""P00"", '3.手順'!F:F &lt; ""P999"" )"),"Agent01")</f>
        <v>Agent01</v>
      </c>
      <c r="J8" s="271" t="str">
        <f ca="1">IFERROR(__xludf.DUMMYFUNCTION("""COMPUTED_VALUE"""),"P05")</f>
        <v>P05</v>
      </c>
      <c r="K8" s="271" t="str">
        <f ca="1">IFERROR(__xludf.DUMMYFUNCTION("""COMPUTED_VALUE"""),"P04")</f>
        <v>P04</v>
      </c>
      <c r="L8" s="242" t="s">
        <v>681</v>
      </c>
      <c r="M8" s="263" t="str">
        <f t="shared" ca="1" si="0"/>
        <v>blueviolet</v>
      </c>
      <c r="N8" s="264" t="str">
        <f ca="1">IFERROR(__xludf.DUMMYFUNCTION("FILTER(C:E,B:B=J8)"),"19.からす座")</f>
        <v>19.からす座</v>
      </c>
      <c r="O8" s="265">
        <f ca="1">IFERROR(__xludf.DUMMYFUNCTION("""COMPUTED_VALUE"""),35.426671)</f>
        <v>35.426670999999999</v>
      </c>
      <c r="P8" s="265">
        <f ca="1">IFERROR(__xludf.DUMMYFUNCTION("""COMPUTED_VALUE"""),133.330277)</f>
        <v>133.330277</v>
      </c>
      <c r="Q8" s="264" t="str">
        <f ca="1">IFERROR(__xludf.DUMMYFUNCTION("FILTER(C:E,B:B=K8)"),"海鮮居酒屋 とみ家")</f>
        <v>海鮮居酒屋 とみ家</v>
      </c>
      <c r="R8" s="265">
        <f ca="1">IFERROR(__xludf.DUMMYFUNCTION("""COMPUTED_VALUE"""),35.426377)</f>
        <v>35.426377000000002</v>
      </c>
      <c r="S8" s="265">
        <f ca="1">IFERROR(__xludf.DUMMYFUNCTION("""COMPUTED_VALUE"""),133.332204)</f>
        <v>133.33220399999999</v>
      </c>
      <c r="T8" s="264" t="str">
        <f ca="1">IFERROR(__xludf.DUMMYFUNCTION("FILTER(C:E,B:B=L8)")," ")</f>
        <v xml:space="preserve"> </v>
      </c>
      <c r="U8" s="40" t="str">
        <f ca="1">IFERROR(__xludf.DUMMYFUNCTION("""COMPUTED_VALUE""")," ")</f>
        <v xml:space="preserve"> </v>
      </c>
      <c r="V8" s="40" t="str">
        <f ca="1">IFERROR(__xludf.DUMMYFUNCTION("""COMPUTED_VALUE""")," ")</f>
        <v xml:space="preserve"> </v>
      </c>
      <c r="W8" s="40" t="str">
        <f t="shared" ref="W8:W10" ca="1" si="20">IF(OFFSET(H8,-1,0)="Begin","",IF(H8="Begin"," ",","))</f>
        <v/>
      </c>
      <c r="X8" s="40" t="s">
        <v>682</v>
      </c>
      <c r="Y8" s="40" t="s">
        <v>683</v>
      </c>
      <c r="Z8" s="264">
        <f t="shared" ca="1" si="1"/>
        <v>35.426670999999999</v>
      </c>
      <c r="AA8" s="40" t="s">
        <v>684</v>
      </c>
      <c r="AB8" s="264">
        <f t="shared" ca="1" si="2"/>
        <v>133.330277</v>
      </c>
      <c r="AC8" s="40" t="s">
        <v>685</v>
      </c>
      <c r="AD8" s="264">
        <f t="shared" ca="1" si="3"/>
        <v>35.426377000000002</v>
      </c>
      <c r="AE8" s="40" t="s">
        <v>684</v>
      </c>
      <c r="AF8" s="264">
        <f t="shared" ca="1" si="4"/>
        <v>133.33220399999999</v>
      </c>
      <c r="AG8" s="40" t="s">
        <v>686</v>
      </c>
      <c r="AH8" s="264" t="str">
        <f t="shared" ca="1" si="5"/>
        <v xml:space="preserve"> </v>
      </c>
      <c r="AI8" s="40" t="s">
        <v>684</v>
      </c>
      <c r="AJ8" s="264" t="str">
        <f t="shared" ca="1" si="6"/>
        <v xml:space="preserve"> </v>
      </c>
      <c r="AK8" s="40" t="s">
        <v>687</v>
      </c>
      <c r="AL8" s="264" t="str">
        <f t="shared" ca="1" si="7"/>
        <v>blueviolet</v>
      </c>
      <c r="AM8" s="40" t="s">
        <v>688</v>
      </c>
      <c r="AN8" s="40" t="str">
        <f t="shared" ca="1" si="8"/>
        <v>{"type":"polygon","latLngs":[ {"lat":35.426671,"lng":133.330277}, {"lat":35.426377,"lng":133.332204},{"lat": ,"lng": }], "color":"blueviolet"}</v>
      </c>
      <c r="AO8" s="266" t="s">
        <v>689</v>
      </c>
      <c r="AP8" s="56">
        <f t="shared" ca="1" si="9"/>
        <v>35.426670999999999</v>
      </c>
      <c r="AQ8" s="40" t="s">
        <v>684</v>
      </c>
      <c r="AR8" s="56">
        <f t="shared" ca="1" si="10"/>
        <v>133.330277</v>
      </c>
      <c r="AS8" s="40" t="s">
        <v>686</v>
      </c>
      <c r="AT8" s="56">
        <f t="shared" ca="1" si="11"/>
        <v>35.426377000000002</v>
      </c>
      <c r="AU8" s="40" t="s">
        <v>684</v>
      </c>
      <c r="AV8" s="56">
        <f t="shared" ca="1" si="12"/>
        <v>133.33220399999999</v>
      </c>
      <c r="AW8" s="40" t="s">
        <v>690</v>
      </c>
      <c r="AX8" s="40" t="str">
        <f t="shared" ca="1" si="13"/>
        <v>blueviolet</v>
      </c>
      <c r="AY8" s="40" t="s">
        <v>688</v>
      </c>
      <c r="AZ8" s="40" t="str">
        <f t="shared" ca="1" si="14"/>
        <v>{"type":"polyline","latLngs":[{"lat":35.426671,"lng":133.330277},{"lat":35.426377,"lng":133.332204}],"color":"blueviolet"}</v>
      </c>
      <c r="BA8" s="40" t="s">
        <v>691</v>
      </c>
      <c r="BB8" s="56">
        <f t="shared" ca="1" si="15"/>
        <v>35.426670999999999</v>
      </c>
      <c r="BC8" s="40" t="s">
        <v>684</v>
      </c>
      <c r="BD8" s="56">
        <f t="shared" ca="1" si="16"/>
        <v>133.330277</v>
      </c>
      <c r="BE8" s="40" t="s">
        <v>692</v>
      </c>
      <c r="BF8" s="40" t="str">
        <f t="shared" ca="1" si="17"/>
        <v>blueviolet</v>
      </c>
      <c r="BG8" s="40" t="s">
        <v>688</v>
      </c>
      <c r="BH8" s="40" t="str">
        <f t="shared" ca="1" si="18"/>
        <v>{"type":"marker","latLng":{"lat":35.426671,"lng":133.330277},"color":"blueviolet"}</v>
      </c>
      <c r="BI8" s="40" t="s">
        <v>693</v>
      </c>
      <c r="BJ8" s="40" t="s">
        <v>694</v>
      </c>
      <c r="BK8" s="267" t="str">
        <f t="shared" ca="1" si="19"/>
        <v>{"type":"polyline","latLngs":[{"lat":35.426671,"lng":133.330277},{"lat":35.426377,"lng":133.332204}],"color":"blueviolet"}</v>
      </c>
      <c r="BL8" s="40"/>
      <c r="BM8" s="40"/>
      <c r="BN8" s="268" t="s">
        <v>674</v>
      </c>
      <c r="BO8" s="269"/>
      <c r="BP8" s="40"/>
      <c r="BQ8" s="40"/>
      <c r="BR8" s="40"/>
      <c r="BS8" s="40"/>
      <c r="BT8" s="40"/>
      <c r="BU8" s="40"/>
      <c r="BV8" s="40"/>
      <c r="BW8" s="40"/>
      <c r="BX8" s="40"/>
      <c r="BY8" s="40"/>
      <c r="BZ8" s="40"/>
      <c r="CA8" s="40"/>
      <c r="CB8" s="40"/>
      <c r="CC8" s="40"/>
      <c r="CD8" s="40"/>
      <c r="CE8" s="40"/>
      <c r="CF8" s="40"/>
      <c r="CG8" s="40"/>
      <c r="CH8" s="40"/>
    </row>
    <row r="9" spans="1:86" ht="15.75" customHeight="1">
      <c r="A9" s="172" t="s">
        <v>695</v>
      </c>
      <c r="B9" s="272" t="str">
        <f ca="1">IFERROR(__xludf.DUMMYFUNCTION("Filter('2.ポータル'!A:D,'2.ポータル'!A:A&gt;""P00"",'2.ポータル'!A:A&lt;""P999"")"),"P01")</f>
        <v>P01</v>
      </c>
      <c r="C9" s="273" t="str">
        <f ca="1">IFERROR(__xludf.DUMMYFUNCTION("""COMPUTED_VALUE"""),"たいやきとお茶の店あんあん")</f>
        <v>たいやきとお茶の店あんあん</v>
      </c>
      <c r="D9" s="273">
        <f ca="1">IFERROR(__xludf.DUMMYFUNCTION("""COMPUTED_VALUE"""),35.425063)</f>
        <v>35.425063000000002</v>
      </c>
      <c r="E9" s="273">
        <f ca="1">IFERROR(__xludf.DUMMYFUNCTION("""COMPUTED_VALUE"""),133.332011)</f>
        <v>133.33201099999999</v>
      </c>
      <c r="F9" s="40"/>
      <c r="G9" s="261" t="s">
        <v>445</v>
      </c>
      <c r="H9" s="262" t="s">
        <v>672</v>
      </c>
      <c r="I9" s="271" t="str">
        <f ca="1">IFERROR(__xludf.DUMMYFUNCTION("""COMPUTED_VALUE"""),"Agent01")</f>
        <v>Agent01</v>
      </c>
      <c r="J9" s="271" t="str">
        <f ca="1">IFERROR(__xludf.DUMMYFUNCTION("""COMPUTED_VALUE"""),"P07")</f>
        <v>P07</v>
      </c>
      <c r="K9" s="271" t="str">
        <f ca="1">IFERROR(__xludf.DUMMYFUNCTION("""COMPUTED_VALUE"""),"P04")</f>
        <v>P04</v>
      </c>
      <c r="L9" s="242" t="s">
        <v>681</v>
      </c>
      <c r="M9" s="263" t="str">
        <f t="shared" ca="1" si="0"/>
        <v>blueviolet</v>
      </c>
      <c r="N9" s="264" t="str">
        <f ca="1">IFERROR(__xludf.DUMMYFUNCTION("FILTER(C:E,B:B=J9)"),"がいな太鼓時計")</f>
        <v>がいな太鼓時計</v>
      </c>
      <c r="O9" s="265">
        <f ca="1">IFERROR(__xludf.DUMMYFUNCTION("""COMPUTED_VALUE"""),35.42733)</f>
        <v>35.427329999999998</v>
      </c>
      <c r="P9" s="265">
        <f ca="1">IFERROR(__xludf.DUMMYFUNCTION("""COMPUTED_VALUE"""),133.32892)</f>
        <v>133.32892000000001</v>
      </c>
      <c r="Q9" s="264" t="str">
        <f ca="1">IFERROR(__xludf.DUMMYFUNCTION("FILTER(C:E,B:B=K9)"),"海鮮居酒屋 とみ家")</f>
        <v>海鮮居酒屋 とみ家</v>
      </c>
      <c r="R9" s="265">
        <f ca="1">IFERROR(__xludf.DUMMYFUNCTION("""COMPUTED_VALUE"""),35.426377)</f>
        <v>35.426377000000002</v>
      </c>
      <c r="S9" s="265">
        <f ca="1">IFERROR(__xludf.DUMMYFUNCTION("""COMPUTED_VALUE"""),133.332204)</f>
        <v>133.33220399999999</v>
      </c>
      <c r="T9" s="264" t="str">
        <f ca="1">IFERROR(__xludf.DUMMYFUNCTION("FILTER(C:E,B:B=L9)")," ")</f>
        <v xml:space="preserve"> </v>
      </c>
      <c r="U9" s="40" t="str">
        <f ca="1">IFERROR(__xludf.DUMMYFUNCTION("""COMPUTED_VALUE""")," ")</f>
        <v xml:space="preserve"> </v>
      </c>
      <c r="V9" s="40" t="str">
        <f ca="1">IFERROR(__xludf.DUMMYFUNCTION("""COMPUTED_VALUE""")," ")</f>
        <v xml:space="preserve"> </v>
      </c>
      <c r="W9" s="40" t="str">
        <f t="shared" ca="1" si="20"/>
        <v>,</v>
      </c>
      <c r="X9" s="40" t="s">
        <v>682</v>
      </c>
      <c r="Y9" s="40" t="s">
        <v>683</v>
      </c>
      <c r="Z9" s="264">
        <f t="shared" ca="1" si="1"/>
        <v>35.427329999999998</v>
      </c>
      <c r="AA9" s="40" t="s">
        <v>684</v>
      </c>
      <c r="AB9" s="264">
        <f t="shared" ca="1" si="2"/>
        <v>133.32892000000001</v>
      </c>
      <c r="AC9" s="40" t="s">
        <v>685</v>
      </c>
      <c r="AD9" s="264">
        <f t="shared" ca="1" si="3"/>
        <v>35.426377000000002</v>
      </c>
      <c r="AE9" s="40" t="s">
        <v>684</v>
      </c>
      <c r="AF9" s="264">
        <f t="shared" ca="1" si="4"/>
        <v>133.33220399999999</v>
      </c>
      <c r="AG9" s="40" t="s">
        <v>686</v>
      </c>
      <c r="AH9" s="264" t="str">
        <f t="shared" ca="1" si="5"/>
        <v xml:space="preserve"> </v>
      </c>
      <c r="AI9" s="40" t="s">
        <v>684</v>
      </c>
      <c r="AJ9" s="264" t="str">
        <f t="shared" ca="1" si="6"/>
        <v xml:space="preserve"> </v>
      </c>
      <c r="AK9" s="40" t="s">
        <v>687</v>
      </c>
      <c r="AL9" s="264" t="str">
        <f t="shared" ca="1" si="7"/>
        <v>blueviolet</v>
      </c>
      <c r="AM9" s="40" t="s">
        <v>688</v>
      </c>
      <c r="AN9" s="40" t="str">
        <f t="shared" ca="1" si="8"/>
        <v>,{"type":"polygon","latLngs":[ {"lat":35.42733,"lng":133.32892}, {"lat":35.426377,"lng":133.332204},{"lat": ,"lng": }], "color":"blueviolet"}</v>
      </c>
      <c r="AO9" s="266" t="s">
        <v>689</v>
      </c>
      <c r="AP9" s="56">
        <f t="shared" ca="1" si="9"/>
        <v>35.427329999999998</v>
      </c>
      <c r="AQ9" s="40" t="s">
        <v>684</v>
      </c>
      <c r="AR9" s="56">
        <f t="shared" ca="1" si="10"/>
        <v>133.32892000000001</v>
      </c>
      <c r="AS9" s="40" t="s">
        <v>686</v>
      </c>
      <c r="AT9" s="56">
        <f t="shared" ca="1" si="11"/>
        <v>35.426377000000002</v>
      </c>
      <c r="AU9" s="40" t="s">
        <v>684</v>
      </c>
      <c r="AV9" s="56">
        <f t="shared" ca="1" si="12"/>
        <v>133.33220399999999</v>
      </c>
      <c r="AW9" s="40" t="s">
        <v>690</v>
      </c>
      <c r="AX9" s="40" t="str">
        <f t="shared" ca="1" si="13"/>
        <v>blueviolet</v>
      </c>
      <c r="AY9" s="40" t="s">
        <v>688</v>
      </c>
      <c r="AZ9" s="40" t="str">
        <f t="shared" ca="1" si="14"/>
        <v>,{"type":"polyline","latLngs":[{"lat":35.42733,"lng":133.32892},{"lat":35.426377,"lng":133.332204}],"color":"blueviolet"}</v>
      </c>
      <c r="BA9" s="40" t="s">
        <v>691</v>
      </c>
      <c r="BB9" s="56">
        <f t="shared" ca="1" si="15"/>
        <v>35.427329999999998</v>
      </c>
      <c r="BC9" s="40" t="s">
        <v>684</v>
      </c>
      <c r="BD9" s="56">
        <f t="shared" ca="1" si="16"/>
        <v>133.32892000000001</v>
      </c>
      <c r="BE9" s="40" t="s">
        <v>692</v>
      </c>
      <c r="BF9" s="40" t="str">
        <f t="shared" ca="1" si="17"/>
        <v>blueviolet</v>
      </c>
      <c r="BG9" s="40" t="s">
        <v>688</v>
      </c>
      <c r="BH9" s="40" t="str">
        <f t="shared" ca="1" si="18"/>
        <v>,{"type":"marker","latLng":{"lat":35.42733,"lng":133.32892},"color":"blueviolet"}</v>
      </c>
      <c r="BI9" s="40" t="s">
        <v>693</v>
      </c>
      <c r="BJ9" s="40" t="s">
        <v>694</v>
      </c>
      <c r="BK9" s="267" t="str">
        <f t="shared" ca="1" si="19"/>
        <v>,{"type":"polyline","latLngs":[{"lat":35.42733,"lng":133.32892},{"lat":35.426377,"lng":133.332204}],"color":"blueviolet"}</v>
      </c>
      <c r="BL9" s="40"/>
      <c r="BM9" s="40"/>
      <c r="BN9" s="268" t="s">
        <v>670</v>
      </c>
      <c r="BO9" s="269"/>
      <c r="BP9" s="40"/>
      <c r="BQ9" s="40"/>
      <c r="BR9" s="40"/>
      <c r="BS9" s="40"/>
      <c r="BT9" s="40"/>
      <c r="BU9" s="40"/>
      <c r="BV9" s="40"/>
      <c r="BW9" s="40"/>
      <c r="BX9" s="40"/>
      <c r="BY9" s="40"/>
      <c r="BZ9" s="40"/>
      <c r="CA9" s="40"/>
      <c r="CB9" s="40"/>
      <c r="CC9" s="40"/>
      <c r="CD9" s="40"/>
      <c r="CE9" s="40"/>
      <c r="CF9" s="40"/>
      <c r="CG9" s="40"/>
      <c r="CH9" s="40"/>
    </row>
    <row r="10" spans="1:86" ht="15.75" customHeight="1">
      <c r="A10" s="40"/>
      <c r="B10" s="260" t="str">
        <f ca="1">IFERROR(__xludf.DUMMYFUNCTION("""COMPUTED_VALUE"""),"P02")</f>
        <v>P02</v>
      </c>
      <c r="C10" s="273" t="str">
        <f ca="1">IFERROR(__xludf.DUMMYFUNCTION("""COMPUTED_VALUE"""),"東町公園")</f>
        <v>東町公園</v>
      </c>
      <c r="D10" s="273">
        <f ca="1">IFERROR(__xludf.DUMMYFUNCTION("""COMPUTED_VALUE"""),35.425684)</f>
        <v>35.425683999999997</v>
      </c>
      <c r="E10" s="273">
        <f ca="1">IFERROR(__xludf.DUMMYFUNCTION("""COMPUTED_VALUE"""),133.330025)</f>
        <v>133.33002500000001</v>
      </c>
      <c r="F10" s="40"/>
      <c r="G10" s="261"/>
      <c r="H10" s="262" t="s">
        <v>672</v>
      </c>
      <c r="I10" s="271" t="str">
        <f ca="1">IFERROR(__xludf.DUMMYFUNCTION("""COMPUTED_VALUE"""),"Agent01")</f>
        <v>Agent01</v>
      </c>
      <c r="J10" s="271" t="str">
        <f ca="1">IFERROR(__xludf.DUMMYFUNCTION("""COMPUTED_VALUE"""),"P07")</f>
        <v>P07</v>
      </c>
      <c r="K10" s="271" t="str">
        <f ca="1">IFERROR(__xludf.DUMMYFUNCTION("""COMPUTED_VALUE"""),"P05")</f>
        <v>P05</v>
      </c>
      <c r="L10" s="242" t="s">
        <v>681</v>
      </c>
      <c r="M10" s="263" t="str">
        <f t="shared" ca="1" si="0"/>
        <v>blueviolet</v>
      </c>
      <c r="N10" s="264" t="str">
        <f ca="1">IFERROR(__xludf.DUMMYFUNCTION("FILTER(C:E,B:B=J10)"),"がいな太鼓時計")</f>
        <v>がいな太鼓時計</v>
      </c>
      <c r="O10" s="265">
        <f ca="1">IFERROR(__xludf.DUMMYFUNCTION("""COMPUTED_VALUE"""),35.42733)</f>
        <v>35.427329999999998</v>
      </c>
      <c r="P10" s="265">
        <f ca="1">IFERROR(__xludf.DUMMYFUNCTION("""COMPUTED_VALUE"""),133.32892)</f>
        <v>133.32892000000001</v>
      </c>
      <c r="Q10" s="264" t="str">
        <f ca="1">IFERROR(__xludf.DUMMYFUNCTION("FILTER(C:E,B:B=K10)"),"19.からす座")</f>
        <v>19.からす座</v>
      </c>
      <c r="R10" s="265">
        <f ca="1">IFERROR(__xludf.DUMMYFUNCTION("""COMPUTED_VALUE"""),35.426671)</f>
        <v>35.426670999999999</v>
      </c>
      <c r="S10" s="265">
        <f ca="1">IFERROR(__xludf.DUMMYFUNCTION("""COMPUTED_VALUE"""),133.330277)</f>
        <v>133.330277</v>
      </c>
      <c r="T10" s="264" t="str">
        <f ca="1">IFERROR(__xludf.DUMMYFUNCTION("FILTER(C:E,B:B=L10)")," ")</f>
        <v xml:space="preserve"> </v>
      </c>
      <c r="U10" s="40" t="str">
        <f ca="1">IFERROR(__xludf.DUMMYFUNCTION("""COMPUTED_VALUE""")," ")</f>
        <v xml:space="preserve"> </v>
      </c>
      <c r="V10" s="40" t="str">
        <f ca="1">IFERROR(__xludf.DUMMYFUNCTION("""COMPUTED_VALUE""")," ")</f>
        <v xml:space="preserve"> </v>
      </c>
      <c r="W10" s="40" t="str">
        <f t="shared" ca="1" si="20"/>
        <v>,</v>
      </c>
      <c r="X10" s="40" t="s">
        <v>682</v>
      </c>
      <c r="Y10" s="40" t="s">
        <v>683</v>
      </c>
      <c r="Z10" s="264">
        <f t="shared" ca="1" si="1"/>
        <v>35.427329999999998</v>
      </c>
      <c r="AA10" s="40" t="s">
        <v>684</v>
      </c>
      <c r="AB10" s="264">
        <f t="shared" ca="1" si="2"/>
        <v>133.32892000000001</v>
      </c>
      <c r="AC10" s="40" t="s">
        <v>685</v>
      </c>
      <c r="AD10" s="264">
        <f t="shared" ca="1" si="3"/>
        <v>35.426670999999999</v>
      </c>
      <c r="AE10" s="40" t="s">
        <v>684</v>
      </c>
      <c r="AF10" s="264">
        <f t="shared" ca="1" si="4"/>
        <v>133.330277</v>
      </c>
      <c r="AG10" s="40" t="s">
        <v>686</v>
      </c>
      <c r="AH10" s="264" t="str">
        <f t="shared" ca="1" si="5"/>
        <v xml:space="preserve"> </v>
      </c>
      <c r="AI10" s="40" t="s">
        <v>684</v>
      </c>
      <c r="AJ10" s="264" t="str">
        <f t="shared" ca="1" si="6"/>
        <v xml:space="preserve"> </v>
      </c>
      <c r="AK10" s="40" t="s">
        <v>687</v>
      </c>
      <c r="AL10" s="264" t="str">
        <f t="shared" ca="1" si="7"/>
        <v>blueviolet</v>
      </c>
      <c r="AM10" s="40" t="s">
        <v>688</v>
      </c>
      <c r="AN10" s="40" t="str">
        <f t="shared" ca="1" si="8"/>
        <v>,{"type":"polygon","latLngs":[ {"lat":35.42733,"lng":133.32892}, {"lat":35.426671,"lng":133.330277},{"lat": ,"lng": }], "color":"blueviolet"}</v>
      </c>
      <c r="AO10" s="266" t="s">
        <v>689</v>
      </c>
      <c r="AP10" s="56">
        <f t="shared" ca="1" si="9"/>
        <v>35.427329999999998</v>
      </c>
      <c r="AQ10" s="40" t="s">
        <v>684</v>
      </c>
      <c r="AR10" s="56">
        <f t="shared" ca="1" si="10"/>
        <v>133.32892000000001</v>
      </c>
      <c r="AS10" s="40" t="s">
        <v>686</v>
      </c>
      <c r="AT10" s="56">
        <f t="shared" ca="1" si="11"/>
        <v>35.426670999999999</v>
      </c>
      <c r="AU10" s="40" t="s">
        <v>684</v>
      </c>
      <c r="AV10" s="56">
        <f t="shared" ca="1" si="12"/>
        <v>133.330277</v>
      </c>
      <c r="AW10" s="40" t="s">
        <v>690</v>
      </c>
      <c r="AX10" s="40" t="str">
        <f t="shared" ca="1" si="13"/>
        <v>blueviolet</v>
      </c>
      <c r="AY10" s="40" t="s">
        <v>688</v>
      </c>
      <c r="AZ10" s="40" t="str">
        <f t="shared" ca="1" si="14"/>
        <v>,{"type":"polyline","latLngs":[{"lat":35.42733,"lng":133.32892},{"lat":35.426671,"lng":133.330277}],"color":"blueviolet"}</v>
      </c>
      <c r="BA10" s="40" t="s">
        <v>691</v>
      </c>
      <c r="BB10" s="56">
        <f t="shared" ca="1" si="15"/>
        <v>35.427329999999998</v>
      </c>
      <c r="BC10" s="40" t="s">
        <v>684</v>
      </c>
      <c r="BD10" s="56">
        <f t="shared" ca="1" si="16"/>
        <v>133.32892000000001</v>
      </c>
      <c r="BE10" s="40" t="s">
        <v>692</v>
      </c>
      <c r="BF10" s="40" t="str">
        <f t="shared" ca="1" si="17"/>
        <v>blueviolet</v>
      </c>
      <c r="BG10" s="40" t="s">
        <v>688</v>
      </c>
      <c r="BH10" s="40" t="str">
        <f t="shared" ca="1" si="18"/>
        <v>,{"type":"marker","latLng":{"lat":35.42733,"lng":133.32892},"color":"blueviolet"}</v>
      </c>
      <c r="BI10" s="40" t="s">
        <v>693</v>
      </c>
      <c r="BJ10" s="40" t="s">
        <v>694</v>
      </c>
      <c r="BK10" s="267" t="str">
        <f t="shared" ca="1" si="19"/>
        <v>,{"type":"polyline","latLngs":[{"lat":35.42733,"lng":133.32892},{"lat":35.426671,"lng":133.330277}],"color":"blueviolet"}</v>
      </c>
      <c r="BL10" s="40"/>
      <c r="BM10" s="40"/>
      <c r="BN10" s="268" t="s">
        <v>680</v>
      </c>
      <c r="BO10" s="269"/>
      <c r="BP10" s="40"/>
      <c r="BQ10" s="40"/>
      <c r="BR10" s="40"/>
      <c r="BS10" s="40"/>
      <c r="BT10" s="40"/>
      <c r="BU10" s="40"/>
      <c r="BV10" s="40"/>
      <c r="BW10" s="40"/>
      <c r="BX10" s="40"/>
      <c r="BY10" s="40"/>
      <c r="BZ10" s="40"/>
      <c r="CA10" s="40"/>
      <c r="CB10" s="40"/>
      <c r="CC10" s="40"/>
      <c r="CD10" s="40"/>
      <c r="CE10" s="40"/>
      <c r="CF10" s="40"/>
      <c r="CG10" s="40"/>
      <c r="CH10" s="40"/>
    </row>
    <row r="11" spans="1:86" ht="15.75" customHeight="1">
      <c r="A11" s="40"/>
      <c r="B11" s="260" t="str">
        <f ca="1">IFERROR(__xludf.DUMMYFUNCTION("""COMPUTED_VALUE"""),"P03")</f>
        <v>P03</v>
      </c>
      <c r="C11" s="273" t="str">
        <f ca="1">IFERROR(__xludf.DUMMYFUNCTION("""COMPUTED_VALUE"""),"日本海情報ビジネス専門学校")</f>
        <v>日本海情報ビジネス専門学校</v>
      </c>
      <c r="D11" s="273">
        <f ca="1">IFERROR(__xludf.DUMMYFUNCTION("""COMPUTED_VALUE"""),35.425722)</f>
        <v>35.425722</v>
      </c>
      <c r="E11" s="273">
        <f ca="1">IFERROR(__xludf.DUMMYFUNCTION("""COMPUTED_VALUE"""),133.33711)</f>
        <v>133.33711</v>
      </c>
      <c r="F11" s="40"/>
      <c r="G11" s="261"/>
      <c r="H11" s="262" t="s">
        <v>672</v>
      </c>
      <c r="I11" s="271" t="str">
        <f ca="1">IFERROR(__xludf.DUMMYFUNCTION("""COMPUTED_VALUE"""),"Agent01")</f>
        <v>Agent01</v>
      </c>
      <c r="J11" s="271" t="str">
        <f ca="1">IFERROR(__xludf.DUMMYFUNCTION("""COMPUTED_VALUE"""),"P09")</f>
        <v>P09</v>
      </c>
      <c r="K11" s="271" t="str">
        <f ca="1">IFERROR(__xludf.DUMMYFUNCTION("""COMPUTED_VALUE"""),"P02")</f>
        <v>P02</v>
      </c>
      <c r="L11" s="242" t="s">
        <v>681</v>
      </c>
      <c r="M11" s="263" t="str">
        <f t="shared" ca="1" si="0"/>
        <v>blueviolet</v>
      </c>
      <c r="N11" s="264" t="str">
        <f ca="1">IFERROR(__xludf.DUMMYFUNCTION("FILTER(C:E,B:B=J11)"),"金光教米子教会")</f>
        <v>金光教米子教会</v>
      </c>
      <c r="O11" s="265">
        <f ca="1">IFERROR(__xludf.DUMMYFUNCTION("""COMPUTED_VALUE"""),35.427637)</f>
        <v>35.427636999999997</v>
      </c>
      <c r="P11" s="265">
        <f ca="1">IFERROR(__xludf.DUMMYFUNCTION("""COMPUTED_VALUE"""),133.32851)</f>
        <v>133.32850999999999</v>
      </c>
      <c r="Q11" s="264" t="str">
        <f ca="1">IFERROR(__xludf.DUMMYFUNCTION("FILTER(C:E,B:B=K11)"),"東町公園")</f>
        <v>東町公園</v>
      </c>
      <c r="R11" s="265">
        <f ca="1">IFERROR(__xludf.DUMMYFUNCTION("""COMPUTED_VALUE"""),35.425684)</f>
        <v>35.425683999999997</v>
      </c>
      <c r="S11" s="265">
        <f ca="1">IFERROR(__xludf.DUMMYFUNCTION("""COMPUTED_VALUE"""),133.330025)</f>
        <v>133.33002500000001</v>
      </c>
      <c r="T11" s="264" t="str">
        <f ca="1">IFERROR(__xludf.DUMMYFUNCTION("FILTER(C:E,B:B=L11)")," ")</f>
        <v xml:space="preserve"> </v>
      </c>
      <c r="U11" s="40" t="str">
        <f ca="1">IFERROR(__xludf.DUMMYFUNCTION("""COMPUTED_VALUE""")," ")</f>
        <v xml:space="preserve"> </v>
      </c>
      <c r="V11" s="40" t="str">
        <f ca="1">IFERROR(__xludf.DUMMYFUNCTION("""COMPUTED_VALUE""")," ")</f>
        <v xml:space="preserve"> </v>
      </c>
      <c r="W11" s="40" t="str">
        <f t="shared" ref="W11:W265" ca="1" si="21">IF(OFFSET(H11,-1,0)="Begin","",IF(H11="Begin","",","))</f>
        <v>,</v>
      </c>
      <c r="X11" s="40" t="s">
        <v>682</v>
      </c>
      <c r="Y11" s="40" t="s">
        <v>683</v>
      </c>
      <c r="Z11" s="264">
        <f t="shared" ca="1" si="1"/>
        <v>35.427636999999997</v>
      </c>
      <c r="AA11" s="40" t="s">
        <v>684</v>
      </c>
      <c r="AB11" s="264">
        <f t="shared" ca="1" si="2"/>
        <v>133.32850999999999</v>
      </c>
      <c r="AC11" s="40" t="s">
        <v>685</v>
      </c>
      <c r="AD11" s="264">
        <f t="shared" ca="1" si="3"/>
        <v>35.425683999999997</v>
      </c>
      <c r="AE11" s="40" t="s">
        <v>684</v>
      </c>
      <c r="AF11" s="264">
        <f t="shared" ca="1" si="4"/>
        <v>133.33002500000001</v>
      </c>
      <c r="AG11" s="40" t="s">
        <v>686</v>
      </c>
      <c r="AH11" s="264" t="str">
        <f t="shared" ca="1" si="5"/>
        <v xml:space="preserve"> </v>
      </c>
      <c r="AI11" s="40" t="s">
        <v>684</v>
      </c>
      <c r="AJ11" s="264" t="str">
        <f t="shared" ca="1" si="6"/>
        <v xml:space="preserve"> </v>
      </c>
      <c r="AK11" s="40" t="s">
        <v>687</v>
      </c>
      <c r="AL11" s="264" t="str">
        <f t="shared" ca="1" si="7"/>
        <v>blueviolet</v>
      </c>
      <c r="AM11" s="40" t="s">
        <v>688</v>
      </c>
      <c r="AN11" s="40" t="str">
        <f t="shared" ca="1" si="8"/>
        <v>,{"type":"polygon","latLngs":[ {"lat":35.427637,"lng":133.32851}, {"lat":35.425684,"lng":133.330025},{"lat": ,"lng": }], "color":"blueviolet"}</v>
      </c>
      <c r="AO11" s="266" t="s">
        <v>689</v>
      </c>
      <c r="AP11" s="56">
        <f t="shared" ca="1" si="9"/>
        <v>35.427636999999997</v>
      </c>
      <c r="AQ11" s="40" t="s">
        <v>684</v>
      </c>
      <c r="AR11" s="56">
        <f t="shared" ca="1" si="10"/>
        <v>133.32850999999999</v>
      </c>
      <c r="AS11" s="40" t="s">
        <v>686</v>
      </c>
      <c r="AT11" s="56">
        <f t="shared" ca="1" si="11"/>
        <v>35.425683999999997</v>
      </c>
      <c r="AU11" s="40" t="s">
        <v>684</v>
      </c>
      <c r="AV11" s="56">
        <f t="shared" ca="1" si="12"/>
        <v>133.33002500000001</v>
      </c>
      <c r="AW11" s="40" t="s">
        <v>690</v>
      </c>
      <c r="AX11" s="40" t="str">
        <f t="shared" ca="1" si="13"/>
        <v>blueviolet</v>
      </c>
      <c r="AY11" s="40" t="s">
        <v>688</v>
      </c>
      <c r="AZ11" s="40" t="str">
        <f t="shared" ca="1" si="14"/>
        <v>,{"type":"polyline","latLngs":[{"lat":35.427637,"lng":133.32851},{"lat":35.425684,"lng":133.330025}],"color":"blueviolet"}</v>
      </c>
      <c r="BA11" s="40" t="s">
        <v>691</v>
      </c>
      <c r="BB11" s="56">
        <f t="shared" ca="1" si="15"/>
        <v>35.427636999999997</v>
      </c>
      <c r="BC11" s="40" t="s">
        <v>684</v>
      </c>
      <c r="BD11" s="56">
        <f t="shared" ca="1" si="16"/>
        <v>133.32850999999999</v>
      </c>
      <c r="BE11" s="40" t="s">
        <v>692</v>
      </c>
      <c r="BF11" s="40" t="str">
        <f t="shared" ca="1" si="17"/>
        <v>blueviolet</v>
      </c>
      <c r="BG11" s="40" t="s">
        <v>688</v>
      </c>
      <c r="BH11" s="40" t="str">
        <f t="shared" ca="1" si="18"/>
        <v>,{"type":"marker","latLng":{"lat":35.427637,"lng":133.32851},"color":"blueviolet"}</v>
      </c>
      <c r="BI11" s="40" t="s">
        <v>693</v>
      </c>
      <c r="BJ11" s="40" t="s">
        <v>694</v>
      </c>
      <c r="BK11" s="267" t="str">
        <f t="shared" ca="1" si="19"/>
        <v>,{"type":"polyline","latLngs":[{"lat":35.427637,"lng":133.32851},{"lat":35.425684,"lng":133.330025}],"color":"blueviolet"}</v>
      </c>
      <c r="BL11" s="40"/>
      <c r="BM11" s="40"/>
      <c r="BN11" s="268" t="s">
        <v>696</v>
      </c>
      <c r="BO11" s="269"/>
      <c r="BP11" s="40"/>
      <c r="BQ11" s="40"/>
      <c r="BR11" s="40"/>
      <c r="BS11" s="40"/>
      <c r="BT11" s="40"/>
      <c r="BU11" s="40"/>
      <c r="BV11" s="40"/>
      <c r="BW11" s="40"/>
      <c r="BX11" s="40"/>
      <c r="BY11" s="40"/>
      <c r="BZ11" s="40"/>
      <c r="CA11" s="40"/>
      <c r="CB11" s="40"/>
      <c r="CC11" s="40"/>
      <c r="CD11" s="40"/>
      <c r="CE11" s="40"/>
      <c r="CF11" s="40"/>
      <c r="CG11" s="40"/>
      <c r="CH11" s="40"/>
    </row>
    <row r="12" spans="1:86" ht="15.75" customHeight="1">
      <c r="A12" s="40"/>
      <c r="B12" s="260" t="str">
        <f ca="1">IFERROR(__xludf.DUMMYFUNCTION("""COMPUTED_VALUE"""),"P04")</f>
        <v>P04</v>
      </c>
      <c r="C12" s="273" t="str">
        <f ca="1">IFERROR(__xludf.DUMMYFUNCTION("""COMPUTED_VALUE"""),"海鮮居酒屋 とみ家")</f>
        <v>海鮮居酒屋 とみ家</v>
      </c>
      <c r="D12" s="273">
        <f ca="1">IFERROR(__xludf.DUMMYFUNCTION("""COMPUTED_VALUE"""),35.426377)</f>
        <v>35.426377000000002</v>
      </c>
      <c r="E12" s="273">
        <f ca="1">IFERROR(__xludf.DUMMYFUNCTION("""COMPUTED_VALUE"""),133.332204)</f>
        <v>133.33220399999999</v>
      </c>
      <c r="F12" s="40"/>
      <c r="G12" s="261"/>
      <c r="H12" s="262" t="s">
        <v>672</v>
      </c>
      <c r="I12" s="271" t="str">
        <f ca="1">IFERROR(__xludf.DUMMYFUNCTION("""COMPUTED_VALUE"""),"Agent01")</f>
        <v>Agent01</v>
      </c>
      <c r="J12" s="271" t="str">
        <f ca="1">IFERROR(__xludf.DUMMYFUNCTION("""COMPUTED_VALUE"""),"P14")</f>
        <v>P14</v>
      </c>
      <c r="K12" s="271" t="str">
        <f ca="1">IFERROR(__xludf.DUMMYFUNCTION("""COMPUTED_VALUE"""),"P09")</f>
        <v>P09</v>
      </c>
      <c r="L12" s="242" t="s">
        <v>681</v>
      </c>
      <c r="M12" s="263" t="str">
        <f t="shared" ca="1" si="0"/>
        <v>blueviolet</v>
      </c>
      <c r="N12" s="264" t="str">
        <f ca="1">IFERROR(__xludf.DUMMYFUNCTION("FILTER(C:E,B:B=J12)"),"米子加茂町郵便局")</f>
        <v>米子加茂町郵便局</v>
      </c>
      <c r="O12" s="265">
        <f ca="1">IFERROR(__xludf.DUMMYFUNCTION("""COMPUTED_VALUE"""),35.428231)</f>
        <v>35.428230999999997</v>
      </c>
      <c r="P12" s="265">
        <f ca="1">IFERROR(__xludf.DUMMYFUNCTION("""COMPUTED_VALUE"""),133.328234)</f>
        <v>133.32823400000001</v>
      </c>
      <c r="Q12" s="264" t="str">
        <f ca="1">IFERROR(__xludf.DUMMYFUNCTION("FILTER(C:E,B:B=K12)"),"金光教米子教会")</f>
        <v>金光教米子教会</v>
      </c>
      <c r="R12" s="265">
        <f ca="1">IFERROR(__xludf.DUMMYFUNCTION("""COMPUTED_VALUE"""),35.427637)</f>
        <v>35.427636999999997</v>
      </c>
      <c r="S12" s="265">
        <f ca="1">IFERROR(__xludf.DUMMYFUNCTION("""COMPUTED_VALUE"""),133.32851)</f>
        <v>133.32850999999999</v>
      </c>
      <c r="T12" s="264" t="str">
        <f ca="1">IFERROR(__xludf.DUMMYFUNCTION("FILTER(C:E,B:B=L12)")," ")</f>
        <v xml:space="preserve"> </v>
      </c>
      <c r="U12" s="40" t="str">
        <f ca="1">IFERROR(__xludf.DUMMYFUNCTION("""COMPUTED_VALUE""")," ")</f>
        <v xml:space="preserve"> </v>
      </c>
      <c r="V12" s="40" t="str">
        <f ca="1">IFERROR(__xludf.DUMMYFUNCTION("""COMPUTED_VALUE""")," ")</f>
        <v xml:space="preserve"> </v>
      </c>
      <c r="W12" s="40" t="str">
        <f t="shared" ca="1" si="21"/>
        <v>,</v>
      </c>
      <c r="X12" s="40" t="s">
        <v>682</v>
      </c>
      <c r="Y12" s="40" t="s">
        <v>683</v>
      </c>
      <c r="Z12" s="264">
        <f t="shared" ca="1" si="1"/>
        <v>35.428230999999997</v>
      </c>
      <c r="AA12" s="40" t="s">
        <v>684</v>
      </c>
      <c r="AB12" s="264">
        <f t="shared" ca="1" si="2"/>
        <v>133.32823400000001</v>
      </c>
      <c r="AC12" s="40" t="s">
        <v>685</v>
      </c>
      <c r="AD12" s="264">
        <f t="shared" ca="1" si="3"/>
        <v>35.427636999999997</v>
      </c>
      <c r="AE12" s="40" t="s">
        <v>684</v>
      </c>
      <c r="AF12" s="264">
        <f t="shared" ca="1" si="4"/>
        <v>133.32850999999999</v>
      </c>
      <c r="AG12" s="40" t="s">
        <v>686</v>
      </c>
      <c r="AH12" s="264" t="str">
        <f t="shared" ca="1" si="5"/>
        <v xml:space="preserve"> </v>
      </c>
      <c r="AI12" s="40" t="s">
        <v>684</v>
      </c>
      <c r="AJ12" s="264" t="str">
        <f t="shared" ca="1" si="6"/>
        <v xml:space="preserve"> </v>
      </c>
      <c r="AK12" s="40" t="s">
        <v>687</v>
      </c>
      <c r="AL12" s="264" t="str">
        <f t="shared" ca="1" si="7"/>
        <v>blueviolet</v>
      </c>
      <c r="AM12" s="40" t="s">
        <v>688</v>
      </c>
      <c r="AN12" s="40" t="str">
        <f t="shared" ca="1" si="8"/>
        <v>,{"type":"polygon","latLngs":[ {"lat":35.428231,"lng":133.328234}, {"lat":35.427637,"lng":133.32851},{"lat": ,"lng": }], "color":"blueviolet"}</v>
      </c>
      <c r="AO12" s="266" t="s">
        <v>689</v>
      </c>
      <c r="AP12" s="56">
        <f t="shared" ca="1" si="9"/>
        <v>35.428230999999997</v>
      </c>
      <c r="AQ12" s="40" t="s">
        <v>684</v>
      </c>
      <c r="AR12" s="56">
        <f t="shared" ca="1" si="10"/>
        <v>133.32823400000001</v>
      </c>
      <c r="AS12" s="40" t="s">
        <v>686</v>
      </c>
      <c r="AT12" s="56">
        <f t="shared" ca="1" si="11"/>
        <v>35.427636999999997</v>
      </c>
      <c r="AU12" s="40" t="s">
        <v>684</v>
      </c>
      <c r="AV12" s="56">
        <f t="shared" ca="1" si="12"/>
        <v>133.32850999999999</v>
      </c>
      <c r="AW12" s="40" t="s">
        <v>690</v>
      </c>
      <c r="AX12" s="40" t="str">
        <f t="shared" ca="1" si="13"/>
        <v>blueviolet</v>
      </c>
      <c r="AY12" s="40" t="s">
        <v>688</v>
      </c>
      <c r="AZ12" s="40" t="str">
        <f t="shared" ca="1" si="14"/>
        <v>,{"type":"polyline","latLngs":[{"lat":35.428231,"lng":133.328234},{"lat":35.427637,"lng":133.32851}],"color":"blueviolet"}</v>
      </c>
      <c r="BA12" s="40" t="s">
        <v>691</v>
      </c>
      <c r="BB12" s="56">
        <f t="shared" ca="1" si="15"/>
        <v>35.428230999999997</v>
      </c>
      <c r="BC12" s="40" t="s">
        <v>684</v>
      </c>
      <c r="BD12" s="56">
        <f t="shared" ca="1" si="16"/>
        <v>133.32823400000001</v>
      </c>
      <c r="BE12" s="40" t="s">
        <v>692</v>
      </c>
      <c r="BF12" s="40" t="str">
        <f t="shared" ca="1" si="17"/>
        <v>blueviolet</v>
      </c>
      <c r="BG12" s="40" t="s">
        <v>688</v>
      </c>
      <c r="BH12" s="40" t="str">
        <f t="shared" ca="1" si="18"/>
        <v>,{"type":"marker","latLng":{"lat":35.428231,"lng":133.328234},"color":"blueviolet"}</v>
      </c>
      <c r="BI12" s="40" t="s">
        <v>693</v>
      </c>
      <c r="BJ12" s="40" t="s">
        <v>694</v>
      </c>
      <c r="BK12" s="267" t="str">
        <f t="shared" ca="1" si="19"/>
        <v>,{"type":"polyline","latLngs":[{"lat":35.428231,"lng":133.328234},{"lat":35.427637,"lng":133.32851}],"color":"blueviolet"}</v>
      </c>
      <c r="BL12" s="40"/>
      <c r="BM12" s="40"/>
      <c r="BN12" s="40"/>
      <c r="BO12" s="40"/>
      <c r="BP12" s="40"/>
      <c r="BQ12" s="40"/>
      <c r="BR12" s="40"/>
      <c r="BS12" s="40"/>
      <c r="BT12" s="40"/>
      <c r="BU12" s="40"/>
      <c r="BV12" s="40"/>
      <c r="BW12" s="40"/>
      <c r="BX12" s="40"/>
      <c r="BY12" s="40"/>
      <c r="BZ12" s="40"/>
      <c r="CA12" s="40"/>
      <c r="CB12" s="40"/>
      <c r="CC12" s="40"/>
      <c r="CD12" s="40"/>
      <c r="CE12" s="40"/>
      <c r="CF12" s="40"/>
      <c r="CG12" s="40"/>
      <c r="CH12" s="40"/>
    </row>
    <row r="13" spans="1:86" ht="15.75" customHeight="1">
      <c r="A13" s="40"/>
      <c r="B13" s="260" t="str">
        <f ca="1">IFERROR(__xludf.DUMMYFUNCTION("""COMPUTED_VALUE"""),"P05")</f>
        <v>P05</v>
      </c>
      <c r="C13" s="273" t="str">
        <f ca="1">IFERROR(__xludf.DUMMYFUNCTION("""COMPUTED_VALUE"""),"19.からす座")</f>
        <v>19.からす座</v>
      </c>
      <c r="D13" s="273">
        <f ca="1">IFERROR(__xludf.DUMMYFUNCTION("""COMPUTED_VALUE"""),35.426671)</f>
        <v>35.426670999999999</v>
      </c>
      <c r="E13" s="273">
        <f ca="1">IFERROR(__xludf.DUMMYFUNCTION("""COMPUTED_VALUE"""),133.330277)</f>
        <v>133.330277</v>
      </c>
      <c r="F13" s="40"/>
      <c r="G13" s="261"/>
      <c r="H13" s="262" t="s">
        <v>672</v>
      </c>
      <c r="I13" s="271" t="str">
        <f ca="1">IFERROR(__xludf.DUMMYFUNCTION("""COMPUTED_VALUE"""),"Agent01")</f>
        <v>Agent01</v>
      </c>
      <c r="J13" s="271" t="str">
        <f ca="1">IFERROR(__xludf.DUMMYFUNCTION("""COMPUTED_VALUE"""),"P11")</f>
        <v>P11</v>
      </c>
      <c r="K13" s="271" t="str">
        <f ca="1">IFERROR(__xludf.DUMMYFUNCTION("""COMPUTED_VALUE"""),"P02")</f>
        <v>P02</v>
      </c>
      <c r="L13" s="242" t="s">
        <v>681</v>
      </c>
      <c r="M13" s="263" t="str">
        <f t="shared" ca="1" si="0"/>
        <v>blueviolet</v>
      </c>
      <c r="N13" s="264" t="str">
        <f ca="1">IFERROR(__xludf.DUMMYFUNCTION("FILTER(C:E,B:B=J13)"),"市営湊山球場跡地")</f>
        <v>市営湊山球場跡地</v>
      </c>
      <c r="O13" s="265">
        <f ca="1">IFERROR(__xludf.DUMMYFUNCTION("""COMPUTED_VALUE"""),35.427715)</f>
        <v>35.427714999999999</v>
      </c>
      <c r="P13" s="265">
        <f ca="1">IFERROR(__xludf.DUMMYFUNCTION("""COMPUTED_VALUE"""),133.326184)</f>
        <v>133.32618400000001</v>
      </c>
      <c r="Q13" s="264" t="str">
        <f ca="1">IFERROR(__xludf.DUMMYFUNCTION("FILTER(C:E,B:B=K13)"),"東町公園")</f>
        <v>東町公園</v>
      </c>
      <c r="R13" s="265">
        <f ca="1">IFERROR(__xludf.DUMMYFUNCTION("""COMPUTED_VALUE"""),35.425684)</f>
        <v>35.425683999999997</v>
      </c>
      <c r="S13" s="265">
        <f ca="1">IFERROR(__xludf.DUMMYFUNCTION("""COMPUTED_VALUE"""),133.330025)</f>
        <v>133.33002500000001</v>
      </c>
      <c r="T13" s="264" t="str">
        <f ca="1">IFERROR(__xludf.DUMMYFUNCTION("FILTER(C:E,B:B=L13)")," ")</f>
        <v xml:space="preserve"> </v>
      </c>
      <c r="U13" s="40" t="str">
        <f ca="1">IFERROR(__xludf.DUMMYFUNCTION("""COMPUTED_VALUE""")," ")</f>
        <v xml:space="preserve"> </v>
      </c>
      <c r="V13" s="40" t="str">
        <f ca="1">IFERROR(__xludf.DUMMYFUNCTION("""COMPUTED_VALUE""")," ")</f>
        <v xml:space="preserve"> </v>
      </c>
      <c r="W13" s="40" t="str">
        <f t="shared" ca="1" si="21"/>
        <v>,</v>
      </c>
      <c r="X13" s="40" t="s">
        <v>682</v>
      </c>
      <c r="Y13" s="40" t="s">
        <v>683</v>
      </c>
      <c r="Z13" s="264">
        <f t="shared" ca="1" si="1"/>
        <v>35.427714999999999</v>
      </c>
      <c r="AA13" s="40" t="s">
        <v>684</v>
      </c>
      <c r="AB13" s="264">
        <f t="shared" ca="1" si="2"/>
        <v>133.32618400000001</v>
      </c>
      <c r="AC13" s="40" t="s">
        <v>685</v>
      </c>
      <c r="AD13" s="264">
        <f t="shared" ca="1" si="3"/>
        <v>35.425683999999997</v>
      </c>
      <c r="AE13" s="40" t="s">
        <v>684</v>
      </c>
      <c r="AF13" s="264">
        <f t="shared" ca="1" si="4"/>
        <v>133.33002500000001</v>
      </c>
      <c r="AG13" s="40" t="s">
        <v>686</v>
      </c>
      <c r="AH13" s="264" t="str">
        <f t="shared" ca="1" si="5"/>
        <v xml:space="preserve"> </v>
      </c>
      <c r="AI13" s="40" t="s">
        <v>684</v>
      </c>
      <c r="AJ13" s="264" t="str">
        <f t="shared" ca="1" si="6"/>
        <v xml:space="preserve"> </v>
      </c>
      <c r="AK13" s="40" t="s">
        <v>687</v>
      </c>
      <c r="AL13" s="264" t="str">
        <f t="shared" ca="1" si="7"/>
        <v>blueviolet</v>
      </c>
      <c r="AM13" s="40" t="s">
        <v>688</v>
      </c>
      <c r="AN13" s="40" t="str">
        <f t="shared" ca="1" si="8"/>
        <v>,{"type":"polygon","latLngs":[ {"lat":35.427715,"lng":133.326184}, {"lat":35.425684,"lng":133.330025},{"lat": ,"lng": }], "color":"blueviolet"}</v>
      </c>
      <c r="AO13" s="266" t="s">
        <v>689</v>
      </c>
      <c r="AP13" s="56">
        <f t="shared" ca="1" si="9"/>
        <v>35.427714999999999</v>
      </c>
      <c r="AQ13" s="40" t="s">
        <v>684</v>
      </c>
      <c r="AR13" s="56">
        <f t="shared" ca="1" si="10"/>
        <v>133.32618400000001</v>
      </c>
      <c r="AS13" s="40" t="s">
        <v>686</v>
      </c>
      <c r="AT13" s="56">
        <f t="shared" ca="1" si="11"/>
        <v>35.425683999999997</v>
      </c>
      <c r="AU13" s="40" t="s">
        <v>684</v>
      </c>
      <c r="AV13" s="56">
        <f t="shared" ca="1" si="12"/>
        <v>133.33002500000001</v>
      </c>
      <c r="AW13" s="40" t="s">
        <v>690</v>
      </c>
      <c r="AX13" s="40" t="str">
        <f t="shared" ca="1" si="13"/>
        <v>blueviolet</v>
      </c>
      <c r="AY13" s="40" t="s">
        <v>688</v>
      </c>
      <c r="AZ13" s="40" t="str">
        <f t="shared" ca="1" si="14"/>
        <v>,{"type":"polyline","latLngs":[{"lat":35.427715,"lng":133.326184},{"lat":35.425684,"lng":133.330025}],"color":"blueviolet"}</v>
      </c>
      <c r="BA13" s="40" t="s">
        <v>691</v>
      </c>
      <c r="BB13" s="56">
        <f t="shared" ca="1" si="15"/>
        <v>35.427714999999999</v>
      </c>
      <c r="BC13" s="40" t="s">
        <v>684</v>
      </c>
      <c r="BD13" s="56">
        <f t="shared" ca="1" si="16"/>
        <v>133.32618400000001</v>
      </c>
      <c r="BE13" s="40" t="s">
        <v>692</v>
      </c>
      <c r="BF13" s="40" t="str">
        <f t="shared" ca="1" si="17"/>
        <v>blueviolet</v>
      </c>
      <c r="BG13" s="40" t="s">
        <v>688</v>
      </c>
      <c r="BH13" s="40" t="str">
        <f t="shared" ca="1" si="18"/>
        <v>,{"type":"marker","latLng":{"lat":35.427715,"lng":133.326184},"color":"blueviolet"}</v>
      </c>
      <c r="BI13" s="40" t="s">
        <v>693</v>
      </c>
      <c r="BJ13" s="40" t="s">
        <v>694</v>
      </c>
      <c r="BK13" s="267" t="str">
        <f t="shared" ca="1" si="19"/>
        <v>,{"type":"polyline","latLngs":[{"lat":35.427715,"lng":133.326184},{"lat":35.425684,"lng":133.330025}],"color":"blueviolet"}</v>
      </c>
      <c r="BL13" s="40"/>
      <c r="BM13" s="40"/>
      <c r="BN13" s="40"/>
      <c r="BO13" s="40"/>
      <c r="BP13" s="40"/>
      <c r="BQ13" s="40"/>
      <c r="BR13" s="40"/>
      <c r="BS13" s="40"/>
      <c r="BT13" s="40"/>
      <c r="BU13" s="40"/>
      <c r="BV13" s="40"/>
      <c r="BW13" s="40"/>
      <c r="BX13" s="40"/>
      <c r="BY13" s="40"/>
      <c r="BZ13" s="40"/>
      <c r="CA13" s="40"/>
      <c r="CB13" s="40"/>
      <c r="CC13" s="40"/>
      <c r="CD13" s="40"/>
      <c r="CE13" s="40"/>
      <c r="CF13" s="40"/>
      <c r="CG13" s="40"/>
      <c r="CH13" s="40"/>
    </row>
    <row r="14" spans="1:86" ht="15.75" customHeight="1">
      <c r="A14" s="40"/>
      <c r="B14" s="260" t="str">
        <f ca="1">IFERROR(__xludf.DUMMYFUNCTION("""COMPUTED_VALUE"""),"P06")</f>
        <v>P06</v>
      </c>
      <c r="C14" s="273" t="str">
        <f ca="1">IFERROR(__xludf.DUMMYFUNCTION("""COMPUTED_VALUE"""),"旧法勝寺電車")</f>
        <v>旧法勝寺電車</v>
      </c>
      <c r="D14" s="273">
        <f ca="1">IFERROR(__xludf.DUMMYFUNCTION("""COMPUTED_VALUE"""),35.426821)</f>
        <v>35.426820999999997</v>
      </c>
      <c r="E14" s="273">
        <f ca="1">IFERROR(__xludf.DUMMYFUNCTION("""COMPUTED_VALUE"""),133.334139)</f>
        <v>133.33413899999999</v>
      </c>
      <c r="F14" s="40"/>
      <c r="G14" s="261"/>
      <c r="H14" s="262" t="s">
        <v>672</v>
      </c>
      <c r="I14" s="271" t="str">
        <f ca="1">IFERROR(__xludf.DUMMYFUNCTION("""COMPUTED_VALUE"""),"Agent01")</f>
        <v>Agent01</v>
      </c>
      <c r="J14" s="271" t="str">
        <f ca="1">IFERROR(__xludf.DUMMYFUNCTION("""COMPUTED_VALUE"""),"P11")</f>
        <v>P11</v>
      </c>
      <c r="K14" s="271" t="str">
        <f ca="1">IFERROR(__xludf.DUMMYFUNCTION("""COMPUTED_VALUE"""),"P09")</f>
        <v>P09</v>
      </c>
      <c r="L14" s="242" t="s">
        <v>681</v>
      </c>
      <c r="M14" s="263" t="str">
        <f t="shared" ca="1" si="0"/>
        <v>blueviolet</v>
      </c>
      <c r="N14" s="264" t="str">
        <f ca="1">IFERROR(__xludf.DUMMYFUNCTION("FILTER(C:E,B:B=J14)"),"市営湊山球場跡地")</f>
        <v>市営湊山球場跡地</v>
      </c>
      <c r="O14" s="265">
        <f ca="1">IFERROR(__xludf.DUMMYFUNCTION("""COMPUTED_VALUE"""),35.427715)</f>
        <v>35.427714999999999</v>
      </c>
      <c r="P14" s="265">
        <f ca="1">IFERROR(__xludf.DUMMYFUNCTION("""COMPUTED_VALUE"""),133.326184)</f>
        <v>133.32618400000001</v>
      </c>
      <c r="Q14" s="264" t="str">
        <f ca="1">IFERROR(__xludf.DUMMYFUNCTION("FILTER(C:E,B:B=K14)"),"金光教米子教会")</f>
        <v>金光教米子教会</v>
      </c>
      <c r="R14" s="265">
        <f ca="1">IFERROR(__xludf.DUMMYFUNCTION("""COMPUTED_VALUE"""),35.427637)</f>
        <v>35.427636999999997</v>
      </c>
      <c r="S14" s="265">
        <f ca="1">IFERROR(__xludf.DUMMYFUNCTION("""COMPUTED_VALUE"""),133.32851)</f>
        <v>133.32850999999999</v>
      </c>
      <c r="T14" s="264" t="str">
        <f ca="1">IFERROR(__xludf.DUMMYFUNCTION("FILTER(C:E,B:B=L14)")," ")</f>
        <v xml:space="preserve"> </v>
      </c>
      <c r="U14" s="40" t="str">
        <f ca="1">IFERROR(__xludf.DUMMYFUNCTION("""COMPUTED_VALUE""")," ")</f>
        <v xml:space="preserve"> </v>
      </c>
      <c r="V14" s="40" t="str">
        <f ca="1">IFERROR(__xludf.DUMMYFUNCTION("""COMPUTED_VALUE""")," ")</f>
        <v xml:space="preserve"> </v>
      </c>
      <c r="W14" s="40" t="str">
        <f t="shared" ca="1" si="21"/>
        <v>,</v>
      </c>
      <c r="X14" s="40" t="s">
        <v>682</v>
      </c>
      <c r="Y14" s="40" t="s">
        <v>683</v>
      </c>
      <c r="Z14" s="264">
        <f t="shared" ca="1" si="1"/>
        <v>35.427714999999999</v>
      </c>
      <c r="AA14" s="40" t="s">
        <v>684</v>
      </c>
      <c r="AB14" s="264">
        <f t="shared" ca="1" si="2"/>
        <v>133.32618400000001</v>
      </c>
      <c r="AC14" s="40" t="s">
        <v>685</v>
      </c>
      <c r="AD14" s="264">
        <f t="shared" ca="1" si="3"/>
        <v>35.427636999999997</v>
      </c>
      <c r="AE14" s="40" t="s">
        <v>684</v>
      </c>
      <c r="AF14" s="264">
        <f t="shared" ca="1" si="4"/>
        <v>133.32850999999999</v>
      </c>
      <c r="AG14" s="40" t="s">
        <v>686</v>
      </c>
      <c r="AH14" s="264" t="str">
        <f t="shared" ca="1" si="5"/>
        <v xml:space="preserve"> </v>
      </c>
      <c r="AI14" s="40" t="s">
        <v>684</v>
      </c>
      <c r="AJ14" s="264" t="str">
        <f t="shared" ca="1" si="6"/>
        <v xml:space="preserve"> </v>
      </c>
      <c r="AK14" s="40" t="s">
        <v>687</v>
      </c>
      <c r="AL14" s="264" t="str">
        <f t="shared" ca="1" si="7"/>
        <v>blueviolet</v>
      </c>
      <c r="AM14" s="40" t="s">
        <v>688</v>
      </c>
      <c r="AN14" s="40" t="str">
        <f t="shared" ca="1" si="8"/>
        <v>,{"type":"polygon","latLngs":[ {"lat":35.427715,"lng":133.326184}, {"lat":35.427637,"lng":133.32851},{"lat": ,"lng": }], "color":"blueviolet"}</v>
      </c>
      <c r="AO14" s="266" t="s">
        <v>689</v>
      </c>
      <c r="AP14" s="56">
        <f t="shared" ca="1" si="9"/>
        <v>35.427714999999999</v>
      </c>
      <c r="AQ14" s="40" t="s">
        <v>684</v>
      </c>
      <c r="AR14" s="56">
        <f t="shared" ca="1" si="10"/>
        <v>133.32618400000001</v>
      </c>
      <c r="AS14" s="40" t="s">
        <v>686</v>
      </c>
      <c r="AT14" s="56">
        <f t="shared" ca="1" si="11"/>
        <v>35.427636999999997</v>
      </c>
      <c r="AU14" s="40" t="s">
        <v>684</v>
      </c>
      <c r="AV14" s="56">
        <f t="shared" ca="1" si="12"/>
        <v>133.32850999999999</v>
      </c>
      <c r="AW14" s="40" t="s">
        <v>690</v>
      </c>
      <c r="AX14" s="40" t="str">
        <f t="shared" ca="1" si="13"/>
        <v>blueviolet</v>
      </c>
      <c r="AY14" s="40" t="s">
        <v>688</v>
      </c>
      <c r="AZ14" s="40" t="str">
        <f t="shared" ca="1" si="14"/>
        <v>,{"type":"polyline","latLngs":[{"lat":35.427715,"lng":133.326184},{"lat":35.427637,"lng":133.32851}],"color":"blueviolet"}</v>
      </c>
      <c r="BA14" s="40" t="s">
        <v>691</v>
      </c>
      <c r="BB14" s="56">
        <f t="shared" ca="1" si="15"/>
        <v>35.427714999999999</v>
      </c>
      <c r="BC14" s="40" t="s">
        <v>684</v>
      </c>
      <c r="BD14" s="56">
        <f t="shared" ca="1" si="16"/>
        <v>133.32618400000001</v>
      </c>
      <c r="BE14" s="40" t="s">
        <v>692</v>
      </c>
      <c r="BF14" s="40" t="str">
        <f t="shared" ca="1" si="17"/>
        <v>blueviolet</v>
      </c>
      <c r="BG14" s="40" t="s">
        <v>688</v>
      </c>
      <c r="BH14" s="40" t="str">
        <f t="shared" ca="1" si="18"/>
        <v>,{"type":"marker","latLng":{"lat":35.427715,"lng":133.326184},"color":"blueviolet"}</v>
      </c>
      <c r="BI14" s="40" t="s">
        <v>693</v>
      </c>
      <c r="BJ14" s="40" t="s">
        <v>694</v>
      </c>
      <c r="BK14" s="267" t="str">
        <f t="shared" ca="1" si="19"/>
        <v>,{"type":"polyline","latLngs":[{"lat":35.427715,"lng":133.326184},{"lat":35.427637,"lng":133.32851}],"color":"blueviolet"}</v>
      </c>
      <c r="BL14" s="40"/>
      <c r="BM14" s="40"/>
      <c r="BN14" s="40"/>
      <c r="BO14" s="40"/>
      <c r="BP14" s="40"/>
      <c r="BQ14" s="40"/>
      <c r="BR14" s="40"/>
      <c r="BS14" s="40"/>
      <c r="BT14" s="40"/>
      <c r="BU14" s="40"/>
      <c r="BV14" s="40"/>
      <c r="BW14" s="40"/>
      <c r="BX14" s="40"/>
      <c r="BY14" s="40"/>
      <c r="BZ14" s="40"/>
      <c r="CA14" s="40"/>
      <c r="CB14" s="40"/>
      <c r="CC14" s="40"/>
      <c r="CD14" s="40"/>
      <c r="CE14" s="40"/>
      <c r="CF14" s="40"/>
      <c r="CG14" s="40"/>
      <c r="CH14" s="40"/>
    </row>
    <row r="15" spans="1:86" ht="15.75" customHeight="1">
      <c r="A15" s="40"/>
      <c r="B15" s="260" t="str">
        <f ca="1">IFERROR(__xludf.DUMMYFUNCTION("""COMPUTED_VALUE"""),"P07")</f>
        <v>P07</v>
      </c>
      <c r="C15" s="273" t="str">
        <f ca="1">IFERROR(__xludf.DUMMYFUNCTION("""COMPUTED_VALUE"""),"がいな太鼓時計")</f>
        <v>がいな太鼓時計</v>
      </c>
      <c r="D15" s="273">
        <f ca="1">IFERROR(__xludf.DUMMYFUNCTION("""COMPUTED_VALUE"""),35.42733)</f>
        <v>35.427329999999998</v>
      </c>
      <c r="E15" s="273">
        <f ca="1">IFERROR(__xludf.DUMMYFUNCTION("""COMPUTED_VALUE"""),133.32892)</f>
        <v>133.32892000000001</v>
      </c>
      <c r="F15" s="40"/>
      <c r="G15" s="261"/>
      <c r="H15" s="262" t="s">
        <v>672</v>
      </c>
      <c r="I15" s="271" t="str">
        <f ca="1">IFERROR(__xludf.DUMMYFUNCTION("""COMPUTED_VALUE"""),"Agent01")</f>
        <v>Agent01</v>
      </c>
      <c r="J15" s="271" t="str">
        <f ca="1">IFERROR(__xludf.DUMMYFUNCTION("""COMPUTED_VALUE"""),"P11")</f>
        <v>P11</v>
      </c>
      <c r="K15" s="271" t="str">
        <f ca="1">IFERROR(__xludf.DUMMYFUNCTION("""COMPUTED_VALUE"""),"P14")</f>
        <v>P14</v>
      </c>
      <c r="L15" s="242" t="s">
        <v>681</v>
      </c>
      <c r="M15" s="263" t="str">
        <f t="shared" ca="1" si="0"/>
        <v>blueviolet</v>
      </c>
      <c r="N15" s="264" t="str">
        <f ca="1">IFERROR(__xludf.DUMMYFUNCTION("FILTER(C:E,B:B=J15)"),"市営湊山球場跡地")</f>
        <v>市営湊山球場跡地</v>
      </c>
      <c r="O15" s="265">
        <f ca="1">IFERROR(__xludf.DUMMYFUNCTION("""COMPUTED_VALUE"""),35.427715)</f>
        <v>35.427714999999999</v>
      </c>
      <c r="P15" s="265">
        <f ca="1">IFERROR(__xludf.DUMMYFUNCTION("""COMPUTED_VALUE"""),133.326184)</f>
        <v>133.32618400000001</v>
      </c>
      <c r="Q15" s="264" t="str">
        <f ca="1">IFERROR(__xludf.DUMMYFUNCTION("FILTER(C:E,B:B=K15)"),"米子加茂町郵便局")</f>
        <v>米子加茂町郵便局</v>
      </c>
      <c r="R15" s="265">
        <f ca="1">IFERROR(__xludf.DUMMYFUNCTION("""COMPUTED_VALUE"""),35.428231)</f>
        <v>35.428230999999997</v>
      </c>
      <c r="S15" s="265">
        <f ca="1">IFERROR(__xludf.DUMMYFUNCTION("""COMPUTED_VALUE"""),133.328234)</f>
        <v>133.32823400000001</v>
      </c>
      <c r="T15" s="264" t="str">
        <f ca="1">IFERROR(__xludf.DUMMYFUNCTION("FILTER(C:E,B:B=L15)")," ")</f>
        <v xml:space="preserve"> </v>
      </c>
      <c r="U15" s="40" t="str">
        <f ca="1">IFERROR(__xludf.DUMMYFUNCTION("""COMPUTED_VALUE""")," ")</f>
        <v xml:space="preserve"> </v>
      </c>
      <c r="V15" s="40" t="str">
        <f ca="1">IFERROR(__xludf.DUMMYFUNCTION("""COMPUTED_VALUE""")," ")</f>
        <v xml:space="preserve"> </v>
      </c>
      <c r="W15" s="40" t="str">
        <f t="shared" ca="1" si="21"/>
        <v>,</v>
      </c>
      <c r="X15" s="40" t="s">
        <v>682</v>
      </c>
      <c r="Y15" s="40" t="s">
        <v>683</v>
      </c>
      <c r="Z15" s="264">
        <f t="shared" ca="1" si="1"/>
        <v>35.427714999999999</v>
      </c>
      <c r="AA15" s="40" t="s">
        <v>684</v>
      </c>
      <c r="AB15" s="264">
        <f t="shared" ca="1" si="2"/>
        <v>133.32618400000001</v>
      </c>
      <c r="AC15" s="40" t="s">
        <v>685</v>
      </c>
      <c r="AD15" s="264">
        <f t="shared" ca="1" si="3"/>
        <v>35.428230999999997</v>
      </c>
      <c r="AE15" s="40" t="s">
        <v>684</v>
      </c>
      <c r="AF15" s="264">
        <f t="shared" ca="1" si="4"/>
        <v>133.32823400000001</v>
      </c>
      <c r="AG15" s="40" t="s">
        <v>686</v>
      </c>
      <c r="AH15" s="264" t="str">
        <f t="shared" ca="1" si="5"/>
        <v xml:space="preserve"> </v>
      </c>
      <c r="AI15" s="40" t="s">
        <v>684</v>
      </c>
      <c r="AJ15" s="264" t="str">
        <f t="shared" ca="1" si="6"/>
        <v xml:space="preserve"> </v>
      </c>
      <c r="AK15" s="40" t="s">
        <v>687</v>
      </c>
      <c r="AL15" s="264" t="str">
        <f t="shared" ca="1" si="7"/>
        <v>blueviolet</v>
      </c>
      <c r="AM15" s="40" t="s">
        <v>688</v>
      </c>
      <c r="AN15" s="40" t="str">
        <f t="shared" ca="1" si="8"/>
        <v>,{"type":"polygon","latLngs":[ {"lat":35.427715,"lng":133.326184}, {"lat":35.428231,"lng":133.328234},{"lat": ,"lng": }], "color":"blueviolet"}</v>
      </c>
      <c r="AO15" s="266" t="s">
        <v>689</v>
      </c>
      <c r="AP15" s="56">
        <f t="shared" ca="1" si="9"/>
        <v>35.427714999999999</v>
      </c>
      <c r="AQ15" s="40" t="s">
        <v>684</v>
      </c>
      <c r="AR15" s="56">
        <f t="shared" ca="1" si="10"/>
        <v>133.32618400000001</v>
      </c>
      <c r="AS15" s="40" t="s">
        <v>686</v>
      </c>
      <c r="AT15" s="56">
        <f t="shared" ca="1" si="11"/>
        <v>35.428230999999997</v>
      </c>
      <c r="AU15" s="40" t="s">
        <v>684</v>
      </c>
      <c r="AV15" s="56">
        <f t="shared" ca="1" si="12"/>
        <v>133.32823400000001</v>
      </c>
      <c r="AW15" s="40" t="s">
        <v>690</v>
      </c>
      <c r="AX15" s="40" t="str">
        <f t="shared" ca="1" si="13"/>
        <v>blueviolet</v>
      </c>
      <c r="AY15" s="40" t="s">
        <v>688</v>
      </c>
      <c r="AZ15" s="40" t="str">
        <f t="shared" ca="1" si="14"/>
        <v>,{"type":"polyline","latLngs":[{"lat":35.427715,"lng":133.326184},{"lat":35.428231,"lng":133.328234}],"color":"blueviolet"}</v>
      </c>
      <c r="BA15" s="40" t="s">
        <v>691</v>
      </c>
      <c r="BB15" s="56">
        <f t="shared" ca="1" si="15"/>
        <v>35.427714999999999</v>
      </c>
      <c r="BC15" s="40" t="s">
        <v>684</v>
      </c>
      <c r="BD15" s="56">
        <f t="shared" ca="1" si="16"/>
        <v>133.32618400000001</v>
      </c>
      <c r="BE15" s="40" t="s">
        <v>692</v>
      </c>
      <c r="BF15" s="40" t="str">
        <f t="shared" ca="1" si="17"/>
        <v>blueviolet</v>
      </c>
      <c r="BG15" s="40" t="s">
        <v>688</v>
      </c>
      <c r="BH15" s="40" t="str">
        <f t="shared" ca="1" si="18"/>
        <v>,{"type":"marker","latLng":{"lat":35.427715,"lng":133.326184},"color":"blueviolet"}</v>
      </c>
      <c r="BI15" s="40" t="s">
        <v>693</v>
      </c>
      <c r="BJ15" s="40" t="s">
        <v>694</v>
      </c>
      <c r="BK15" s="267" t="str">
        <f t="shared" ca="1" si="19"/>
        <v>,{"type":"polyline","latLngs":[{"lat":35.427715,"lng":133.326184},{"lat":35.428231,"lng":133.328234}],"color":"blueviolet"}</v>
      </c>
      <c r="BL15" s="40"/>
      <c r="BM15" s="40"/>
      <c r="BN15" s="40"/>
      <c r="BO15" s="40"/>
      <c r="BP15" s="40"/>
      <c r="BQ15" s="40"/>
      <c r="BR15" s="40"/>
      <c r="BS15" s="40"/>
      <c r="BT15" s="40"/>
      <c r="BU15" s="40"/>
      <c r="BV15" s="40"/>
      <c r="BW15" s="40"/>
      <c r="BX15" s="40"/>
      <c r="BY15" s="40"/>
      <c r="BZ15" s="40"/>
      <c r="CA15" s="40"/>
      <c r="CB15" s="40"/>
      <c r="CC15" s="40"/>
      <c r="CD15" s="40"/>
      <c r="CE15" s="40"/>
      <c r="CF15" s="40"/>
      <c r="CG15" s="40"/>
      <c r="CH15" s="40"/>
    </row>
    <row r="16" spans="1:86" ht="15.75" customHeight="1">
      <c r="A16" s="40"/>
      <c r="B16" s="260" t="str">
        <f ca="1">IFERROR(__xludf.DUMMYFUNCTION("""COMPUTED_VALUE"""),"P08")</f>
        <v>P08</v>
      </c>
      <c r="C16" s="273" t="str">
        <f ca="1">IFERROR(__xludf.DUMMYFUNCTION("""COMPUTED_VALUE"""),"米子合同庁舎")</f>
        <v>米子合同庁舎</v>
      </c>
      <c r="D16" s="273">
        <f ca="1">IFERROR(__xludf.DUMMYFUNCTION("""COMPUTED_VALUE"""),35.427592)</f>
        <v>35.427591999999997</v>
      </c>
      <c r="E16" s="273">
        <f ca="1">IFERROR(__xludf.DUMMYFUNCTION("""COMPUTED_VALUE"""),133.332872)</f>
        <v>133.33287200000001</v>
      </c>
      <c r="F16" s="40"/>
      <c r="G16" s="261"/>
      <c r="H16" s="262" t="s">
        <v>672</v>
      </c>
      <c r="I16" s="271" t="str">
        <f ca="1">IFERROR(__xludf.DUMMYFUNCTION("""COMPUTED_VALUE"""),"Agent01")</f>
        <v>Agent01</v>
      </c>
      <c r="J16" s="271" t="str">
        <f ca="1">IFERROR(__xludf.DUMMYFUNCTION("""COMPUTED_VALUE"""),"P26")</f>
        <v>P26</v>
      </c>
      <c r="K16" s="271" t="str">
        <f ca="1">IFERROR(__xludf.DUMMYFUNCTION("""COMPUTED_VALUE"""),"P11")</f>
        <v>P11</v>
      </c>
      <c r="L16" s="242" t="s">
        <v>681</v>
      </c>
      <c r="M16" s="263" t="str">
        <f t="shared" ca="1" si="0"/>
        <v>blueviolet</v>
      </c>
      <c r="N16" s="264" t="str">
        <f ca="1">IFERROR(__xludf.DUMMYFUNCTION("FILTER(C:E,B:B=J16)"),"宇気河口神社 鳥居")</f>
        <v>宇気河口神社 鳥居</v>
      </c>
      <c r="O16" s="265">
        <f ca="1">IFERROR(__xludf.DUMMYFUNCTION("""COMPUTED_VALUE"""),35.431111)</f>
        <v>35.431111000000001</v>
      </c>
      <c r="P16" s="265">
        <f ca="1">IFERROR(__xludf.DUMMYFUNCTION("""COMPUTED_VALUE"""),133.32436)</f>
        <v>133.32436000000001</v>
      </c>
      <c r="Q16" s="264" t="str">
        <f ca="1">IFERROR(__xludf.DUMMYFUNCTION("FILTER(C:E,B:B=K16)"),"市営湊山球場跡地")</f>
        <v>市営湊山球場跡地</v>
      </c>
      <c r="R16" s="265">
        <f ca="1">IFERROR(__xludf.DUMMYFUNCTION("""COMPUTED_VALUE"""),35.427715)</f>
        <v>35.427714999999999</v>
      </c>
      <c r="S16" s="265">
        <f ca="1">IFERROR(__xludf.DUMMYFUNCTION("""COMPUTED_VALUE"""),133.326184)</f>
        <v>133.32618400000001</v>
      </c>
      <c r="T16" s="264" t="str">
        <f ca="1">IFERROR(__xludf.DUMMYFUNCTION("FILTER(C:E,B:B=L16)")," ")</f>
        <v xml:space="preserve"> </v>
      </c>
      <c r="U16" s="40" t="str">
        <f ca="1">IFERROR(__xludf.DUMMYFUNCTION("""COMPUTED_VALUE""")," ")</f>
        <v xml:space="preserve"> </v>
      </c>
      <c r="V16" s="40" t="str">
        <f ca="1">IFERROR(__xludf.DUMMYFUNCTION("""COMPUTED_VALUE""")," ")</f>
        <v xml:space="preserve"> </v>
      </c>
      <c r="W16" s="40" t="str">
        <f t="shared" ca="1" si="21"/>
        <v>,</v>
      </c>
      <c r="X16" s="40" t="s">
        <v>682</v>
      </c>
      <c r="Y16" s="40" t="s">
        <v>683</v>
      </c>
      <c r="Z16" s="264">
        <f t="shared" ca="1" si="1"/>
        <v>35.431111000000001</v>
      </c>
      <c r="AA16" s="40" t="s">
        <v>684</v>
      </c>
      <c r="AB16" s="264">
        <f t="shared" ca="1" si="2"/>
        <v>133.32436000000001</v>
      </c>
      <c r="AC16" s="40" t="s">
        <v>685</v>
      </c>
      <c r="AD16" s="264">
        <f t="shared" ca="1" si="3"/>
        <v>35.427714999999999</v>
      </c>
      <c r="AE16" s="40" t="s">
        <v>684</v>
      </c>
      <c r="AF16" s="264">
        <f t="shared" ca="1" si="4"/>
        <v>133.32618400000001</v>
      </c>
      <c r="AG16" s="40" t="s">
        <v>686</v>
      </c>
      <c r="AH16" s="264" t="str">
        <f t="shared" ca="1" si="5"/>
        <v xml:space="preserve"> </v>
      </c>
      <c r="AI16" s="40" t="s">
        <v>684</v>
      </c>
      <c r="AJ16" s="264" t="str">
        <f t="shared" ca="1" si="6"/>
        <v xml:space="preserve"> </v>
      </c>
      <c r="AK16" s="40" t="s">
        <v>687</v>
      </c>
      <c r="AL16" s="264" t="str">
        <f t="shared" ca="1" si="7"/>
        <v>blueviolet</v>
      </c>
      <c r="AM16" s="40" t="s">
        <v>688</v>
      </c>
      <c r="AN16" s="40" t="str">
        <f t="shared" ca="1" si="8"/>
        <v>,{"type":"polygon","latLngs":[ {"lat":35.431111,"lng":133.32436}, {"lat":35.427715,"lng":133.326184},{"lat": ,"lng": }], "color":"blueviolet"}</v>
      </c>
      <c r="AO16" s="266" t="s">
        <v>689</v>
      </c>
      <c r="AP16" s="56">
        <f t="shared" ca="1" si="9"/>
        <v>35.431111000000001</v>
      </c>
      <c r="AQ16" s="40" t="s">
        <v>684</v>
      </c>
      <c r="AR16" s="56">
        <f t="shared" ca="1" si="10"/>
        <v>133.32436000000001</v>
      </c>
      <c r="AS16" s="40" t="s">
        <v>686</v>
      </c>
      <c r="AT16" s="56">
        <f t="shared" ca="1" si="11"/>
        <v>35.427714999999999</v>
      </c>
      <c r="AU16" s="40" t="s">
        <v>684</v>
      </c>
      <c r="AV16" s="56">
        <f t="shared" ca="1" si="12"/>
        <v>133.32618400000001</v>
      </c>
      <c r="AW16" s="40" t="s">
        <v>690</v>
      </c>
      <c r="AX16" s="40" t="str">
        <f t="shared" ca="1" si="13"/>
        <v>blueviolet</v>
      </c>
      <c r="AY16" s="40" t="s">
        <v>688</v>
      </c>
      <c r="AZ16" s="40" t="str">
        <f t="shared" ca="1" si="14"/>
        <v>,{"type":"polyline","latLngs":[{"lat":35.431111,"lng":133.32436},{"lat":35.427715,"lng":133.326184}],"color":"blueviolet"}</v>
      </c>
      <c r="BA16" s="40" t="s">
        <v>691</v>
      </c>
      <c r="BB16" s="56">
        <f t="shared" ca="1" si="15"/>
        <v>35.431111000000001</v>
      </c>
      <c r="BC16" s="40" t="s">
        <v>684</v>
      </c>
      <c r="BD16" s="56">
        <f t="shared" ca="1" si="16"/>
        <v>133.32436000000001</v>
      </c>
      <c r="BE16" s="40" t="s">
        <v>692</v>
      </c>
      <c r="BF16" s="40" t="str">
        <f t="shared" ca="1" si="17"/>
        <v>blueviolet</v>
      </c>
      <c r="BG16" s="40" t="s">
        <v>688</v>
      </c>
      <c r="BH16" s="40" t="str">
        <f t="shared" ca="1" si="18"/>
        <v>,{"type":"marker","latLng":{"lat":35.431111,"lng":133.32436},"color":"blueviolet"}</v>
      </c>
      <c r="BI16" s="40" t="s">
        <v>693</v>
      </c>
      <c r="BJ16" s="40" t="s">
        <v>694</v>
      </c>
      <c r="BK16" s="267" t="str">
        <f t="shared" ca="1" si="19"/>
        <v>,{"type":"polyline","latLngs":[{"lat":35.431111,"lng":133.32436},{"lat":35.427715,"lng":133.326184}],"color":"blueviolet"}</v>
      </c>
      <c r="BL16" s="40"/>
      <c r="BM16" s="40"/>
      <c r="BN16" s="40" t="s">
        <v>659</v>
      </c>
      <c r="BO16" s="40"/>
      <c r="BP16" s="40"/>
      <c r="BQ16" s="40"/>
      <c r="BR16" s="40"/>
      <c r="BS16" s="40"/>
      <c r="BT16" s="40"/>
      <c r="BU16" s="40"/>
      <c r="BV16" s="40"/>
      <c r="BW16" s="40"/>
      <c r="BX16" s="40"/>
      <c r="BY16" s="40"/>
      <c r="BZ16" s="40"/>
      <c r="CA16" s="40"/>
      <c r="CB16" s="40"/>
      <c r="CC16" s="40"/>
      <c r="CD16" s="40"/>
      <c r="CE16" s="40"/>
      <c r="CF16" s="40"/>
      <c r="CG16" s="40"/>
      <c r="CH16" s="40"/>
    </row>
    <row r="17" spans="1:86" ht="15.75" customHeight="1">
      <c r="A17" s="40"/>
      <c r="B17" s="260" t="str">
        <f ca="1">IFERROR(__xludf.DUMMYFUNCTION("""COMPUTED_VALUE"""),"P09")</f>
        <v>P09</v>
      </c>
      <c r="C17" s="273" t="str">
        <f ca="1">IFERROR(__xludf.DUMMYFUNCTION("""COMPUTED_VALUE"""),"金光教米子教会")</f>
        <v>金光教米子教会</v>
      </c>
      <c r="D17" s="273">
        <f ca="1">IFERROR(__xludf.DUMMYFUNCTION("""COMPUTED_VALUE"""),35.427637)</f>
        <v>35.427636999999997</v>
      </c>
      <c r="E17" s="273">
        <f ca="1">IFERROR(__xludf.DUMMYFUNCTION("""COMPUTED_VALUE"""),133.32851)</f>
        <v>133.32850999999999</v>
      </c>
      <c r="F17" s="40"/>
      <c r="G17" s="261"/>
      <c r="H17" s="262" t="s">
        <v>672</v>
      </c>
      <c r="I17" s="271" t="str">
        <f ca="1">IFERROR(__xludf.DUMMYFUNCTION("""COMPUTED_VALUE"""),"Agent01")</f>
        <v>Agent01</v>
      </c>
      <c r="J17" s="271" t="str">
        <f ca="1">IFERROR(__xludf.DUMMYFUNCTION("""COMPUTED_VALUE"""),"P26")</f>
        <v>P26</v>
      </c>
      <c r="K17" s="271" t="str">
        <f ca="1">IFERROR(__xludf.DUMMYFUNCTION("""COMPUTED_VALUE"""),"P14")</f>
        <v>P14</v>
      </c>
      <c r="L17" s="242" t="s">
        <v>681</v>
      </c>
      <c r="M17" s="263" t="str">
        <f t="shared" ca="1" si="0"/>
        <v>blueviolet</v>
      </c>
      <c r="N17" s="264" t="str">
        <f ca="1">IFERROR(__xludf.DUMMYFUNCTION("FILTER(C:E,B:B=J17)"),"宇気河口神社 鳥居")</f>
        <v>宇気河口神社 鳥居</v>
      </c>
      <c r="O17" s="265">
        <f ca="1">IFERROR(__xludf.DUMMYFUNCTION("""COMPUTED_VALUE"""),35.431111)</f>
        <v>35.431111000000001</v>
      </c>
      <c r="P17" s="265">
        <f ca="1">IFERROR(__xludf.DUMMYFUNCTION("""COMPUTED_VALUE"""),133.32436)</f>
        <v>133.32436000000001</v>
      </c>
      <c r="Q17" s="264" t="str">
        <f ca="1">IFERROR(__xludf.DUMMYFUNCTION("FILTER(C:E,B:B=K17)"),"米子加茂町郵便局")</f>
        <v>米子加茂町郵便局</v>
      </c>
      <c r="R17" s="265">
        <f ca="1">IFERROR(__xludf.DUMMYFUNCTION("""COMPUTED_VALUE"""),35.428231)</f>
        <v>35.428230999999997</v>
      </c>
      <c r="S17" s="265">
        <f ca="1">IFERROR(__xludf.DUMMYFUNCTION("""COMPUTED_VALUE"""),133.328234)</f>
        <v>133.32823400000001</v>
      </c>
      <c r="T17" s="264" t="str">
        <f ca="1">IFERROR(__xludf.DUMMYFUNCTION("FILTER(C:E,B:B=L17)")," ")</f>
        <v xml:space="preserve"> </v>
      </c>
      <c r="U17" s="40" t="str">
        <f ca="1">IFERROR(__xludf.DUMMYFUNCTION("""COMPUTED_VALUE""")," ")</f>
        <v xml:space="preserve"> </v>
      </c>
      <c r="V17" s="40" t="str">
        <f ca="1">IFERROR(__xludf.DUMMYFUNCTION("""COMPUTED_VALUE""")," ")</f>
        <v xml:space="preserve"> </v>
      </c>
      <c r="W17" s="40" t="str">
        <f t="shared" ca="1" si="21"/>
        <v>,</v>
      </c>
      <c r="X17" s="40" t="s">
        <v>682</v>
      </c>
      <c r="Y17" s="40" t="s">
        <v>683</v>
      </c>
      <c r="Z17" s="264">
        <f t="shared" ca="1" si="1"/>
        <v>35.431111000000001</v>
      </c>
      <c r="AA17" s="40" t="s">
        <v>684</v>
      </c>
      <c r="AB17" s="264">
        <f t="shared" ca="1" si="2"/>
        <v>133.32436000000001</v>
      </c>
      <c r="AC17" s="40" t="s">
        <v>685</v>
      </c>
      <c r="AD17" s="264">
        <f t="shared" ca="1" si="3"/>
        <v>35.428230999999997</v>
      </c>
      <c r="AE17" s="40" t="s">
        <v>684</v>
      </c>
      <c r="AF17" s="264">
        <f t="shared" ca="1" si="4"/>
        <v>133.32823400000001</v>
      </c>
      <c r="AG17" s="40" t="s">
        <v>686</v>
      </c>
      <c r="AH17" s="264" t="str">
        <f t="shared" ca="1" si="5"/>
        <v xml:space="preserve"> </v>
      </c>
      <c r="AI17" s="40" t="s">
        <v>684</v>
      </c>
      <c r="AJ17" s="264" t="str">
        <f t="shared" ca="1" si="6"/>
        <v xml:space="preserve"> </v>
      </c>
      <c r="AK17" s="40" t="s">
        <v>687</v>
      </c>
      <c r="AL17" s="264" t="str">
        <f t="shared" ca="1" si="7"/>
        <v>blueviolet</v>
      </c>
      <c r="AM17" s="40" t="s">
        <v>688</v>
      </c>
      <c r="AN17" s="40" t="str">
        <f t="shared" ca="1" si="8"/>
        <v>,{"type":"polygon","latLngs":[ {"lat":35.431111,"lng":133.32436}, {"lat":35.428231,"lng":133.328234},{"lat": ,"lng": }], "color":"blueviolet"}</v>
      </c>
      <c r="AO17" s="266" t="s">
        <v>689</v>
      </c>
      <c r="AP17" s="56">
        <f t="shared" ca="1" si="9"/>
        <v>35.431111000000001</v>
      </c>
      <c r="AQ17" s="40" t="s">
        <v>684</v>
      </c>
      <c r="AR17" s="56">
        <f t="shared" ca="1" si="10"/>
        <v>133.32436000000001</v>
      </c>
      <c r="AS17" s="40" t="s">
        <v>686</v>
      </c>
      <c r="AT17" s="56">
        <f t="shared" ca="1" si="11"/>
        <v>35.428230999999997</v>
      </c>
      <c r="AU17" s="40" t="s">
        <v>684</v>
      </c>
      <c r="AV17" s="56">
        <f t="shared" ca="1" si="12"/>
        <v>133.32823400000001</v>
      </c>
      <c r="AW17" s="40" t="s">
        <v>690</v>
      </c>
      <c r="AX17" s="40" t="str">
        <f t="shared" ca="1" si="13"/>
        <v>blueviolet</v>
      </c>
      <c r="AY17" s="40" t="s">
        <v>688</v>
      </c>
      <c r="AZ17" s="40" t="str">
        <f t="shared" ca="1" si="14"/>
        <v>,{"type":"polyline","latLngs":[{"lat":35.431111,"lng":133.32436},{"lat":35.428231,"lng":133.328234}],"color":"blueviolet"}</v>
      </c>
      <c r="BA17" s="40" t="s">
        <v>691</v>
      </c>
      <c r="BB17" s="56">
        <f t="shared" ca="1" si="15"/>
        <v>35.431111000000001</v>
      </c>
      <c r="BC17" s="40" t="s">
        <v>684</v>
      </c>
      <c r="BD17" s="56">
        <f t="shared" ca="1" si="16"/>
        <v>133.32436000000001</v>
      </c>
      <c r="BE17" s="40" t="s">
        <v>692</v>
      </c>
      <c r="BF17" s="40" t="str">
        <f t="shared" ca="1" si="17"/>
        <v>blueviolet</v>
      </c>
      <c r="BG17" s="40" t="s">
        <v>688</v>
      </c>
      <c r="BH17" s="40" t="str">
        <f t="shared" ca="1" si="18"/>
        <v>,{"type":"marker","latLng":{"lat":35.431111,"lng":133.32436},"color":"blueviolet"}</v>
      </c>
      <c r="BI17" s="40" t="s">
        <v>693</v>
      </c>
      <c r="BJ17" s="40" t="s">
        <v>694</v>
      </c>
      <c r="BK17" s="267" t="str">
        <f t="shared" ca="1" si="19"/>
        <v>,{"type":"polyline","latLngs":[{"lat":35.431111,"lng":133.32436},{"lat":35.428231,"lng":133.328234}],"color":"blueviolet"}</v>
      </c>
      <c r="BL17" s="40"/>
      <c r="BM17" s="40"/>
      <c r="BN17" s="247" t="s">
        <v>655</v>
      </c>
      <c r="BO17" s="247" t="s">
        <v>679</v>
      </c>
      <c r="BP17" s="40"/>
      <c r="BQ17" s="40"/>
      <c r="BR17" s="40"/>
      <c r="BS17" s="40"/>
      <c r="BT17" s="40"/>
      <c r="BU17" s="40"/>
      <c r="BV17" s="40"/>
      <c r="BW17" s="40"/>
      <c r="BX17" s="40"/>
      <c r="BY17" s="40"/>
      <c r="BZ17" s="40"/>
      <c r="CA17" s="40"/>
      <c r="CB17" s="40"/>
      <c r="CC17" s="40"/>
      <c r="CD17" s="40"/>
      <c r="CE17" s="40"/>
      <c r="CF17" s="40"/>
      <c r="CG17" s="40"/>
      <c r="CH17" s="40"/>
    </row>
    <row r="18" spans="1:86" ht="15.75" customHeight="1">
      <c r="A18" s="40"/>
      <c r="B18" s="260" t="str">
        <f ca="1">IFERROR(__xludf.DUMMYFUNCTION("""COMPUTED_VALUE"""),"P10")</f>
        <v>P10</v>
      </c>
      <c r="C18" s="273" t="str">
        <f ca="1">IFERROR(__xludf.DUMMYFUNCTION("""COMPUTED_VALUE"""),"東京2020記念ゴールドポスト")</f>
        <v>東京2020記念ゴールドポスト</v>
      </c>
      <c r="D18" s="273">
        <f ca="1">IFERROR(__xludf.DUMMYFUNCTION("""COMPUTED_VALUE"""),35.427647)</f>
        <v>35.427647</v>
      </c>
      <c r="E18" s="273">
        <f ca="1">IFERROR(__xludf.DUMMYFUNCTION("""COMPUTED_VALUE"""),133.331387)</f>
        <v>133.33138700000001</v>
      </c>
      <c r="F18" s="40"/>
      <c r="G18" s="261"/>
      <c r="H18" s="262" t="s">
        <v>672</v>
      </c>
      <c r="I18" s="271" t="str">
        <f ca="1">IFERROR(__xludf.DUMMYFUNCTION("""COMPUTED_VALUE"""),"Agent01")</f>
        <v>Agent01</v>
      </c>
      <c r="J18" s="271" t="str">
        <f ca="1">IFERROR(__xludf.DUMMYFUNCTION("""COMPUTED_VALUE"""),"P44")</f>
        <v>P44</v>
      </c>
      <c r="K18" s="271" t="str">
        <f ca="1">IFERROR(__xludf.DUMMYFUNCTION("""COMPUTED_VALUE"""),"P14")</f>
        <v>P14</v>
      </c>
      <c r="L18" s="242" t="s">
        <v>681</v>
      </c>
      <c r="M18" s="263" t="str">
        <f t="shared" ca="1" si="0"/>
        <v>blueviolet</v>
      </c>
      <c r="N18" s="264" t="str">
        <f ca="1">IFERROR(__xludf.DUMMYFUNCTION("FILTER(C:E,B:B=J18)"),"米子城(再現イメージ)")</f>
        <v>米子城(再現イメージ)</v>
      </c>
      <c r="O18" s="265">
        <f ca="1">IFERROR(__xludf.DUMMYFUNCTION("""COMPUTED_VALUE"""),35.433175)</f>
        <v>35.433174999999999</v>
      </c>
      <c r="P18" s="265">
        <f ca="1">IFERROR(__xludf.DUMMYFUNCTION("""COMPUTED_VALUE"""),133.325613)</f>
        <v>133.325613</v>
      </c>
      <c r="Q18" s="264" t="str">
        <f ca="1">IFERROR(__xludf.DUMMYFUNCTION("FILTER(C:E,B:B=K18)"),"米子加茂町郵便局")</f>
        <v>米子加茂町郵便局</v>
      </c>
      <c r="R18" s="265">
        <f ca="1">IFERROR(__xludf.DUMMYFUNCTION("""COMPUTED_VALUE"""),35.428231)</f>
        <v>35.428230999999997</v>
      </c>
      <c r="S18" s="265">
        <f ca="1">IFERROR(__xludf.DUMMYFUNCTION("""COMPUTED_VALUE"""),133.328234)</f>
        <v>133.32823400000001</v>
      </c>
      <c r="T18" s="264" t="str">
        <f ca="1">IFERROR(__xludf.DUMMYFUNCTION("FILTER(C:E,B:B=L18)")," ")</f>
        <v xml:space="preserve"> </v>
      </c>
      <c r="U18" s="40" t="str">
        <f ca="1">IFERROR(__xludf.DUMMYFUNCTION("""COMPUTED_VALUE""")," ")</f>
        <v xml:space="preserve"> </v>
      </c>
      <c r="V18" s="40" t="str">
        <f ca="1">IFERROR(__xludf.DUMMYFUNCTION("""COMPUTED_VALUE""")," ")</f>
        <v xml:space="preserve"> </v>
      </c>
      <c r="W18" s="40" t="str">
        <f t="shared" ca="1" si="21"/>
        <v>,</v>
      </c>
      <c r="X18" s="40" t="s">
        <v>682</v>
      </c>
      <c r="Y18" s="40" t="s">
        <v>683</v>
      </c>
      <c r="Z18" s="264">
        <f t="shared" ca="1" si="1"/>
        <v>35.433174999999999</v>
      </c>
      <c r="AA18" s="40" t="s">
        <v>684</v>
      </c>
      <c r="AB18" s="264">
        <f t="shared" ca="1" si="2"/>
        <v>133.325613</v>
      </c>
      <c r="AC18" s="40" t="s">
        <v>685</v>
      </c>
      <c r="AD18" s="264">
        <f t="shared" ca="1" si="3"/>
        <v>35.428230999999997</v>
      </c>
      <c r="AE18" s="40" t="s">
        <v>684</v>
      </c>
      <c r="AF18" s="264">
        <f t="shared" ca="1" si="4"/>
        <v>133.32823400000001</v>
      </c>
      <c r="AG18" s="40" t="s">
        <v>686</v>
      </c>
      <c r="AH18" s="264" t="str">
        <f t="shared" ca="1" si="5"/>
        <v xml:space="preserve"> </v>
      </c>
      <c r="AI18" s="40" t="s">
        <v>684</v>
      </c>
      <c r="AJ18" s="264" t="str">
        <f t="shared" ca="1" si="6"/>
        <v xml:space="preserve"> </v>
      </c>
      <c r="AK18" s="40" t="s">
        <v>687</v>
      </c>
      <c r="AL18" s="264" t="str">
        <f t="shared" ca="1" si="7"/>
        <v>blueviolet</v>
      </c>
      <c r="AM18" s="40" t="s">
        <v>688</v>
      </c>
      <c r="AN18" s="40" t="str">
        <f t="shared" ca="1" si="8"/>
        <v>,{"type":"polygon","latLngs":[ {"lat":35.433175,"lng":133.325613}, {"lat":35.428231,"lng":133.328234},{"lat": ,"lng": }], "color":"blueviolet"}</v>
      </c>
      <c r="AO18" s="266" t="s">
        <v>689</v>
      </c>
      <c r="AP18" s="56">
        <f t="shared" ca="1" si="9"/>
        <v>35.433174999999999</v>
      </c>
      <c r="AQ18" s="40" t="s">
        <v>684</v>
      </c>
      <c r="AR18" s="56">
        <f t="shared" ca="1" si="10"/>
        <v>133.325613</v>
      </c>
      <c r="AS18" s="40" t="s">
        <v>686</v>
      </c>
      <c r="AT18" s="56">
        <f t="shared" ca="1" si="11"/>
        <v>35.428230999999997</v>
      </c>
      <c r="AU18" s="40" t="s">
        <v>684</v>
      </c>
      <c r="AV18" s="56">
        <f t="shared" ca="1" si="12"/>
        <v>133.32823400000001</v>
      </c>
      <c r="AW18" s="40" t="s">
        <v>690</v>
      </c>
      <c r="AX18" s="40" t="str">
        <f t="shared" ca="1" si="13"/>
        <v>blueviolet</v>
      </c>
      <c r="AY18" s="40" t="s">
        <v>688</v>
      </c>
      <c r="AZ18" s="40" t="str">
        <f t="shared" ca="1" si="14"/>
        <v>,{"type":"polyline","latLngs":[{"lat":35.433175,"lng":133.325613},{"lat":35.428231,"lng":133.328234}],"color":"blueviolet"}</v>
      </c>
      <c r="BA18" s="40" t="s">
        <v>691</v>
      </c>
      <c r="BB18" s="56">
        <f t="shared" ca="1" si="15"/>
        <v>35.433174999999999</v>
      </c>
      <c r="BC18" s="40" t="s">
        <v>684</v>
      </c>
      <c r="BD18" s="56">
        <f t="shared" ca="1" si="16"/>
        <v>133.325613</v>
      </c>
      <c r="BE18" s="40" t="s">
        <v>692</v>
      </c>
      <c r="BF18" s="40" t="str">
        <f t="shared" ca="1" si="17"/>
        <v>blueviolet</v>
      </c>
      <c r="BG18" s="40" t="s">
        <v>688</v>
      </c>
      <c r="BH18" s="40" t="str">
        <f t="shared" ca="1" si="18"/>
        <v>,{"type":"marker","latLng":{"lat":35.433175,"lng":133.325613},"color":"blueviolet"}</v>
      </c>
      <c r="BI18" s="40" t="s">
        <v>693</v>
      </c>
      <c r="BJ18" s="40" t="s">
        <v>694</v>
      </c>
      <c r="BK18" s="267" t="str">
        <f t="shared" ca="1" si="19"/>
        <v>,{"type":"polyline","latLngs":[{"lat":35.433175,"lng":133.325613},{"lat":35.428231,"lng":133.328234}],"color":"blueviolet"}</v>
      </c>
      <c r="BL18" s="40"/>
      <c r="BM18" s="40"/>
      <c r="BN18" s="268" t="s">
        <v>697</v>
      </c>
      <c r="BO18" s="269" t="s">
        <v>698</v>
      </c>
      <c r="BP18" s="40"/>
      <c r="BQ18" s="40"/>
      <c r="BR18" s="40"/>
      <c r="BS18" s="40"/>
      <c r="BT18" s="40"/>
      <c r="BU18" s="40"/>
      <c r="BV18" s="40"/>
      <c r="BW18" s="40"/>
      <c r="BX18" s="40"/>
      <c r="BY18" s="40"/>
      <c r="BZ18" s="40"/>
      <c r="CA18" s="40"/>
      <c r="CB18" s="40"/>
      <c r="CC18" s="40"/>
      <c r="CD18" s="40"/>
      <c r="CE18" s="40"/>
      <c r="CF18" s="40"/>
      <c r="CG18" s="40"/>
      <c r="CH18" s="40"/>
    </row>
    <row r="19" spans="1:86" ht="15.75" customHeight="1">
      <c r="A19" s="40"/>
      <c r="B19" s="260" t="str">
        <f ca="1">IFERROR(__xludf.DUMMYFUNCTION("""COMPUTED_VALUE"""),"P11")</f>
        <v>P11</v>
      </c>
      <c r="C19" s="273" t="str">
        <f ca="1">IFERROR(__xludf.DUMMYFUNCTION("""COMPUTED_VALUE"""),"市営湊山球場跡地")</f>
        <v>市営湊山球場跡地</v>
      </c>
      <c r="D19" s="273">
        <f ca="1">IFERROR(__xludf.DUMMYFUNCTION("""COMPUTED_VALUE"""),35.427715)</f>
        <v>35.427714999999999</v>
      </c>
      <c r="E19" s="273">
        <f ca="1">IFERROR(__xludf.DUMMYFUNCTION("""COMPUTED_VALUE"""),133.326184)</f>
        <v>133.32618400000001</v>
      </c>
      <c r="F19" s="40"/>
      <c r="G19" s="261"/>
      <c r="H19" s="262" t="s">
        <v>672</v>
      </c>
      <c r="I19" s="271" t="str">
        <f ca="1">IFERROR(__xludf.DUMMYFUNCTION("""COMPUTED_VALUE"""),"Agent01")</f>
        <v>Agent01</v>
      </c>
      <c r="J19" s="271" t="str">
        <f ca="1">IFERROR(__xludf.DUMMYFUNCTION("""COMPUTED_VALUE"""),"P44")</f>
        <v>P44</v>
      </c>
      <c r="K19" s="271" t="str">
        <f ca="1">IFERROR(__xludf.DUMMYFUNCTION("""COMPUTED_VALUE"""),"P26")</f>
        <v>P26</v>
      </c>
      <c r="L19" s="242" t="s">
        <v>681</v>
      </c>
      <c r="M19" s="263" t="str">
        <f t="shared" ca="1" si="0"/>
        <v>blueviolet</v>
      </c>
      <c r="N19" s="264" t="str">
        <f ca="1">IFERROR(__xludf.DUMMYFUNCTION("FILTER(C:E,B:B=J19)"),"米子城(再現イメージ)")</f>
        <v>米子城(再現イメージ)</v>
      </c>
      <c r="O19" s="265">
        <f ca="1">IFERROR(__xludf.DUMMYFUNCTION("""COMPUTED_VALUE"""),35.433175)</f>
        <v>35.433174999999999</v>
      </c>
      <c r="P19" s="265">
        <f ca="1">IFERROR(__xludf.DUMMYFUNCTION("""COMPUTED_VALUE"""),133.325613)</f>
        <v>133.325613</v>
      </c>
      <c r="Q19" s="264" t="str">
        <f ca="1">IFERROR(__xludf.DUMMYFUNCTION("FILTER(C:E,B:B=K19)"),"宇気河口神社 鳥居")</f>
        <v>宇気河口神社 鳥居</v>
      </c>
      <c r="R19" s="265">
        <f ca="1">IFERROR(__xludf.DUMMYFUNCTION("""COMPUTED_VALUE"""),35.431111)</f>
        <v>35.431111000000001</v>
      </c>
      <c r="S19" s="265">
        <f ca="1">IFERROR(__xludf.DUMMYFUNCTION("""COMPUTED_VALUE"""),133.32436)</f>
        <v>133.32436000000001</v>
      </c>
      <c r="T19" s="264" t="str">
        <f ca="1">IFERROR(__xludf.DUMMYFUNCTION("FILTER(C:E,B:B=L19)")," ")</f>
        <v xml:space="preserve"> </v>
      </c>
      <c r="U19" s="40" t="str">
        <f ca="1">IFERROR(__xludf.DUMMYFUNCTION("""COMPUTED_VALUE""")," ")</f>
        <v xml:space="preserve"> </v>
      </c>
      <c r="V19" s="40" t="str">
        <f ca="1">IFERROR(__xludf.DUMMYFUNCTION("""COMPUTED_VALUE""")," ")</f>
        <v xml:space="preserve"> </v>
      </c>
      <c r="W19" s="40" t="str">
        <f t="shared" ca="1" si="21"/>
        <v>,</v>
      </c>
      <c r="X19" s="40" t="s">
        <v>682</v>
      </c>
      <c r="Y19" s="40" t="s">
        <v>683</v>
      </c>
      <c r="Z19" s="264">
        <f t="shared" ca="1" si="1"/>
        <v>35.433174999999999</v>
      </c>
      <c r="AA19" s="40" t="s">
        <v>684</v>
      </c>
      <c r="AB19" s="264">
        <f t="shared" ca="1" si="2"/>
        <v>133.325613</v>
      </c>
      <c r="AC19" s="40" t="s">
        <v>685</v>
      </c>
      <c r="AD19" s="264">
        <f t="shared" ca="1" si="3"/>
        <v>35.431111000000001</v>
      </c>
      <c r="AE19" s="40" t="s">
        <v>684</v>
      </c>
      <c r="AF19" s="264">
        <f t="shared" ca="1" si="4"/>
        <v>133.32436000000001</v>
      </c>
      <c r="AG19" s="40" t="s">
        <v>686</v>
      </c>
      <c r="AH19" s="264" t="str">
        <f t="shared" ca="1" si="5"/>
        <v xml:space="preserve"> </v>
      </c>
      <c r="AI19" s="40" t="s">
        <v>684</v>
      </c>
      <c r="AJ19" s="264" t="str">
        <f t="shared" ca="1" si="6"/>
        <v xml:space="preserve"> </v>
      </c>
      <c r="AK19" s="40" t="s">
        <v>687</v>
      </c>
      <c r="AL19" s="264" t="str">
        <f t="shared" ca="1" si="7"/>
        <v>blueviolet</v>
      </c>
      <c r="AM19" s="40" t="s">
        <v>688</v>
      </c>
      <c r="AN19" s="40" t="str">
        <f t="shared" ca="1" si="8"/>
        <v>,{"type":"polygon","latLngs":[ {"lat":35.433175,"lng":133.325613}, {"lat":35.431111,"lng":133.32436},{"lat": ,"lng": }], "color":"blueviolet"}</v>
      </c>
      <c r="AO19" s="266" t="s">
        <v>689</v>
      </c>
      <c r="AP19" s="56">
        <f t="shared" ca="1" si="9"/>
        <v>35.433174999999999</v>
      </c>
      <c r="AQ19" s="40" t="s">
        <v>684</v>
      </c>
      <c r="AR19" s="56">
        <f t="shared" ca="1" si="10"/>
        <v>133.325613</v>
      </c>
      <c r="AS19" s="40" t="s">
        <v>686</v>
      </c>
      <c r="AT19" s="56">
        <f t="shared" ca="1" si="11"/>
        <v>35.431111000000001</v>
      </c>
      <c r="AU19" s="40" t="s">
        <v>684</v>
      </c>
      <c r="AV19" s="56">
        <f t="shared" ca="1" si="12"/>
        <v>133.32436000000001</v>
      </c>
      <c r="AW19" s="40" t="s">
        <v>690</v>
      </c>
      <c r="AX19" s="40" t="str">
        <f t="shared" ca="1" si="13"/>
        <v>blueviolet</v>
      </c>
      <c r="AY19" s="40" t="s">
        <v>688</v>
      </c>
      <c r="AZ19" s="40" t="str">
        <f t="shared" ca="1" si="14"/>
        <v>,{"type":"polyline","latLngs":[{"lat":35.433175,"lng":133.325613},{"lat":35.431111,"lng":133.32436}],"color":"blueviolet"}</v>
      </c>
      <c r="BA19" s="40" t="s">
        <v>691</v>
      </c>
      <c r="BB19" s="56">
        <f t="shared" ca="1" si="15"/>
        <v>35.433174999999999</v>
      </c>
      <c r="BC19" s="40" t="s">
        <v>684</v>
      </c>
      <c r="BD19" s="56">
        <f t="shared" ca="1" si="16"/>
        <v>133.325613</v>
      </c>
      <c r="BE19" s="40" t="s">
        <v>692</v>
      </c>
      <c r="BF19" s="40" t="str">
        <f t="shared" ca="1" si="17"/>
        <v>blueviolet</v>
      </c>
      <c r="BG19" s="40" t="s">
        <v>688</v>
      </c>
      <c r="BH19" s="40" t="str">
        <f t="shared" ca="1" si="18"/>
        <v>,{"type":"marker","latLng":{"lat":35.433175,"lng":133.325613},"color":"blueviolet"}</v>
      </c>
      <c r="BI19" s="40" t="s">
        <v>693</v>
      </c>
      <c r="BJ19" s="40" t="s">
        <v>694</v>
      </c>
      <c r="BK19" s="267" t="str">
        <f t="shared" ca="1" si="19"/>
        <v>,{"type":"polyline","latLngs":[{"lat":35.433175,"lng":133.325613},{"lat":35.431111,"lng":133.32436}],"color":"blueviolet"}</v>
      </c>
      <c r="BL19" s="40"/>
      <c r="BM19" s="158"/>
      <c r="BN19" s="268" t="s">
        <v>699</v>
      </c>
      <c r="BO19" s="269" t="s">
        <v>700</v>
      </c>
      <c r="BP19" s="40"/>
      <c r="BQ19" s="40"/>
      <c r="BR19" s="40"/>
      <c r="BS19" s="40"/>
      <c r="BT19" s="40"/>
      <c r="BU19" s="40"/>
      <c r="BV19" s="40"/>
      <c r="BW19" s="40"/>
      <c r="BX19" s="40"/>
      <c r="BY19" s="40"/>
      <c r="BZ19" s="40"/>
      <c r="CA19" s="40"/>
      <c r="CB19" s="40"/>
      <c r="CC19" s="40"/>
      <c r="CD19" s="40"/>
      <c r="CE19" s="40"/>
      <c r="CF19" s="40"/>
      <c r="CG19" s="40"/>
      <c r="CH19" s="40"/>
    </row>
    <row r="20" spans="1:86" ht="15.75" customHeight="1">
      <c r="A20" s="40"/>
      <c r="B20" s="260" t="str">
        <f ca="1">IFERROR(__xludf.DUMMYFUNCTION("""COMPUTED_VALUE"""),"P12")</f>
        <v>P12</v>
      </c>
      <c r="C20" s="273" t="str">
        <f ca="1">IFERROR(__xludf.DUMMYFUNCTION("""COMPUTED_VALUE"""),"鳥取県西部総合事務所")</f>
        <v>鳥取県西部総合事務所</v>
      </c>
      <c r="D20" s="273">
        <f ca="1">IFERROR(__xludf.DUMMYFUNCTION("""COMPUTED_VALUE"""),35.427792)</f>
        <v>35.427791999999997</v>
      </c>
      <c r="E20" s="273">
        <f ca="1">IFERROR(__xludf.DUMMYFUNCTION("""COMPUTED_VALUE"""),133.339157)</f>
        <v>133.339157</v>
      </c>
      <c r="F20" s="40"/>
      <c r="G20" s="261"/>
      <c r="H20" s="262" t="s">
        <v>672</v>
      </c>
      <c r="I20" s="271" t="str">
        <f ca="1">IFERROR(__xludf.DUMMYFUNCTION("""COMPUTED_VALUE"""),"Agent01")</f>
        <v>Agent01</v>
      </c>
      <c r="J20" s="271" t="str">
        <f ca="1">IFERROR(__xludf.DUMMYFUNCTION("""COMPUTED_VALUE"""),"P44")</f>
        <v>P44</v>
      </c>
      <c r="K20" s="271" t="str">
        <f ca="1">IFERROR(__xludf.DUMMYFUNCTION("""COMPUTED_VALUE"""),"P37")</f>
        <v>P37</v>
      </c>
      <c r="L20" s="242" t="s">
        <v>681</v>
      </c>
      <c r="M20" s="263" t="str">
        <f t="shared" ca="1" si="0"/>
        <v>blueviolet</v>
      </c>
      <c r="N20" s="264" t="str">
        <f ca="1">IFERROR(__xludf.DUMMYFUNCTION("FILTER(C:E,B:B=J20)"),"米子城(再現イメージ)")</f>
        <v>米子城(再現イメージ)</v>
      </c>
      <c r="O20" s="265">
        <f ca="1">IFERROR(__xludf.DUMMYFUNCTION("""COMPUTED_VALUE"""),35.433175)</f>
        <v>35.433174999999999</v>
      </c>
      <c r="P20" s="265">
        <f ca="1">IFERROR(__xludf.DUMMYFUNCTION("""COMPUTED_VALUE"""),133.325613)</f>
        <v>133.325613</v>
      </c>
      <c r="Q20" s="264" t="str">
        <f ca="1">IFERROR(__xludf.DUMMYFUNCTION("FILTER(C:E,B:B=K20)"),"中ノ棚橋地蔵")</f>
        <v>中ノ棚橋地蔵</v>
      </c>
      <c r="R20" s="265">
        <f ca="1">IFERROR(__xludf.DUMMYFUNCTION("""COMPUTED_VALUE"""),35.432339)</f>
        <v>35.432338999999999</v>
      </c>
      <c r="S20" s="265">
        <f ca="1">IFERROR(__xludf.DUMMYFUNCTION("""COMPUTED_VALUE"""),133.326372)</f>
        <v>133.32637199999999</v>
      </c>
      <c r="T20" s="264" t="str">
        <f ca="1">IFERROR(__xludf.DUMMYFUNCTION("FILTER(C:E,B:B=L20)")," ")</f>
        <v xml:space="preserve"> </v>
      </c>
      <c r="U20" s="40" t="str">
        <f ca="1">IFERROR(__xludf.DUMMYFUNCTION("""COMPUTED_VALUE""")," ")</f>
        <v xml:space="preserve"> </v>
      </c>
      <c r="V20" s="40" t="str">
        <f ca="1">IFERROR(__xludf.DUMMYFUNCTION("""COMPUTED_VALUE""")," ")</f>
        <v xml:space="preserve"> </v>
      </c>
      <c r="W20" s="40" t="str">
        <f t="shared" ca="1" si="21"/>
        <v>,</v>
      </c>
      <c r="X20" s="40" t="s">
        <v>682</v>
      </c>
      <c r="Y20" s="40" t="s">
        <v>683</v>
      </c>
      <c r="Z20" s="264">
        <f t="shared" ca="1" si="1"/>
        <v>35.433174999999999</v>
      </c>
      <c r="AA20" s="40" t="s">
        <v>684</v>
      </c>
      <c r="AB20" s="264">
        <f t="shared" ca="1" si="2"/>
        <v>133.325613</v>
      </c>
      <c r="AC20" s="40" t="s">
        <v>685</v>
      </c>
      <c r="AD20" s="264">
        <f t="shared" ca="1" si="3"/>
        <v>35.432338999999999</v>
      </c>
      <c r="AE20" s="40" t="s">
        <v>684</v>
      </c>
      <c r="AF20" s="264">
        <f t="shared" ca="1" si="4"/>
        <v>133.32637199999999</v>
      </c>
      <c r="AG20" s="40" t="s">
        <v>686</v>
      </c>
      <c r="AH20" s="264" t="str">
        <f t="shared" ca="1" si="5"/>
        <v xml:space="preserve"> </v>
      </c>
      <c r="AI20" s="40" t="s">
        <v>684</v>
      </c>
      <c r="AJ20" s="264" t="str">
        <f t="shared" ca="1" si="6"/>
        <v xml:space="preserve"> </v>
      </c>
      <c r="AK20" s="40" t="s">
        <v>687</v>
      </c>
      <c r="AL20" s="264" t="str">
        <f t="shared" ca="1" si="7"/>
        <v>blueviolet</v>
      </c>
      <c r="AM20" s="40" t="s">
        <v>688</v>
      </c>
      <c r="AN20" s="40" t="str">
        <f t="shared" ca="1" si="8"/>
        <v>,{"type":"polygon","latLngs":[ {"lat":35.433175,"lng":133.325613}, {"lat":35.432339,"lng":133.326372},{"lat": ,"lng": }], "color":"blueviolet"}</v>
      </c>
      <c r="AO20" s="266" t="s">
        <v>689</v>
      </c>
      <c r="AP20" s="56">
        <f t="shared" ca="1" si="9"/>
        <v>35.433174999999999</v>
      </c>
      <c r="AQ20" s="40" t="s">
        <v>684</v>
      </c>
      <c r="AR20" s="56">
        <f t="shared" ca="1" si="10"/>
        <v>133.325613</v>
      </c>
      <c r="AS20" s="40" t="s">
        <v>686</v>
      </c>
      <c r="AT20" s="56">
        <f t="shared" ca="1" si="11"/>
        <v>35.432338999999999</v>
      </c>
      <c r="AU20" s="40" t="s">
        <v>684</v>
      </c>
      <c r="AV20" s="56">
        <f t="shared" ca="1" si="12"/>
        <v>133.32637199999999</v>
      </c>
      <c r="AW20" s="40" t="s">
        <v>690</v>
      </c>
      <c r="AX20" s="40" t="str">
        <f t="shared" ca="1" si="13"/>
        <v>blueviolet</v>
      </c>
      <c r="AY20" s="40" t="s">
        <v>688</v>
      </c>
      <c r="AZ20" s="40" t="str">
        <f t="shared" ca="1" si="14"/>
        <v>,{"type":"polyline","latLngs":[{"lat":35.433175,"lng":133.325613},{"lat":35.432339,"lng":133.326372}],"color":"blueviolet"}</v>
      </c>
      <c r="BA20" s="40" t="s">
        <v>691</v>
      </c>
      <c r="BB20" s="56">
        <f t="shared" ca="1" si="15"/>
        <v>35.433174999999999</v>
      </c>
      <c r="BC20" s="40" t="s">
        <v>684</v>
      </c>
      <c r="BD20" s="56">
        <f t="shared" ca="1" si="16"/>
        <v>133.325613</v>
      </c>
      <c r="BE20" s="40" t="s">
        <v>692</v>
      </c>
      <c r="BF20" s="40" t="str">
        <f t="shared" ca="1" si="17"/>
        <v>blueviolet</v>
      </c>
      <c r="BG20" s="40" t="s">
        <v>688</v>
      </c>
      <c r="BH20" s="40" t="str">
        <f t="shared" ca="1" si="18"/>
        <v>,{"type":"marker","latLng":{"lat":35.433175,"lng":133.325613},"color":"blueviolet"}</v>
      </c>
      <c r="BI20" s="40" t="s">
        <v>693</v>
      </c>
      <c r="BJ20" s="40" t="s">
        <v>694</v>
      </c>
      <c r="BK20" s="267" t="str">
        <f t="shared" ca="1" si="19"/>
        <v>,{"type":"polyline","latLngs":[{"lat":35.433175,"lng":133.325613},{"lat":35.432339,"lng":133.326372}],"color":"blueviolet"}</v>
      </c>
      <c r="BL20" s="40"/>
      <c r="BM20" s="40"/>
      <c r="BN20" s="268" t="s">
        <v>701</v>
      </c>
      <c r="BO20" s="269" t="s">
        <v>702</v>
      </c>
      <c r="BP20" s="40"/>
      <c r="BQ20" s="40"/>
      <c r="BR20" s="40"/>
      <c r="BS20" s="40"/>
      <c r="BT20" s="40"/>
      <c r="BU20" s="40"/>
      <c r="BV20" s="40"/>
      <c r="BW20" s="40"/>
      <c r="BX20" s="40"/>
      <c r="BY20" s="40"/>
      <c r="BZ20" s="40"/>
      <c r="CA20" s="40"/>
      <c r="CB20" s="40"/>
      <c r="CC20" s="40"/>
      <c r="CD20" s="40"/>
      <c r="CE20" s="40"/>
      <c r="CF20" s="40"/>
      <c r="CG20" s="40"/>
      <c r="CH20" s="40"/>
    </row>
    <row r="21" spans="1:86" ht="15.75" customHeight="1">
      <c r="A21" s="40"/>
      <c r="B21" s="260" t="str">
        <f ca="1">IFERROR(__xludf.DUMMYFUNCTION("""COMPUTED_VALUE"""),"P13")</f>
        <v>P13</v>
      </c>
      <c r="C21" s="273" t="str">
        <f ca="1">IFERROR(__xludf.DUMMYFUNCTION("""COMPUTED_VALUE"""),"やっちゃん")</f>
        <v>やっちゃん</v>
      </c>
      <c r="D21" s="273">
        <f ca="1">IFERROR(__xludf.DUMMYFUNCTION("""COMPUTED_VALUE"""),35.427921)</f>
        <v>35.427920999999998</v>
      </c>
      <c r="E21" s="273">
        <f ca="1">IFERROR(__xludf.DUMMYFUNCTION("""COMPUTED_VALUE"""),133.334101)</f>
        <v>133.334101</v>
      </c>
      <c r="F21" s="40"/>
      <c r="G21" s="261"/>
      <c r="H21" s="262" t="s">
        <v>672</v>
      </c>
      <c r="I21" s="271" t="str">
        <f ca="1">IFERROR(__xludf.DUMMYFUNCTION("""COMPUTED_VALUE"""),"Agent01")</f>
        <v>Agent01</v>
      </c>
      <c r="J21" s="271" t="str">
        <f ca="1">IFERROR(__xludf.DUMMYFUNCTION("""COMPUTED_VALUE"""),"P44")</f>
        <v>P44</v>
      </c>
      <c r="K21" s="271" t="str">
        <f ca="1">IFERROR(__xludf.DUMMYFUNCTION("""COMPUTED_VALUE"""),"P54")</f>
        <v>P54</v>
      </c>
      <c r="L21" s="242" t="s">
        <v>681</v>
      </c>
      <c r="M21" s="263" t="str">
        <f t="shared" ca="1" si="0"/>
        <v>blueviolet</v>
      </c>
      <c r="N21" s="264" t="str">
        <f ca="1">IFERROR(__xludf.DUMMYFUNCTION("FILTER(C:E,B:B=J21)"),"米子城(再現イメージ)")</f>
        <v>米子城(再現イメージ)</v>
      </c>
      <c r="O21" s="265">
        <f ca="1">IFERROR(__xludf.DUMMYFUNCTION("""COMPUTED_VALUE"""),35.433175)</f>
        <v>35.433174999999999</v>
      </c>
      <c r="P21" s="265">
        <f ca="1">IFERROR(__xludf.DUMMYFUNCTION("""COMPUTED_VALUE"""),133.325613)</f>
        <v>133.325613</v>
      </c>
      <c r="Q21" s="264" t="str">
        <f ca="1">IFERROR(__xludf.DUMMYFUNCTION("FILTER(C:E,B:B=K21)"),"心光寺 山門")</f>
        <v>心光寺 山門</v>
      </c>
      <c r="R21" s="265">
        <f ca="1">IFERROR(__xludf.DUMMYFUNCTION("""COMPUTED_VALUE"""),35.434594)</f>
        <v>35.434593999999997</v>
      </c>
      <c r="S21" s="265">
        <f ca="1">IFERROR(__xludf.DUMMYFUNCTION("""COMPUTED_VALUE"""),133.325975)</f>
        <v>133.325975</v>
      </c>
      <c r="T21" s="264" t="str">
        <f ca="1">IFERROR(__xludf.DUMMYFUNCTION("FILTER(C:E,B:B=L21)")," ")</f>
        <v xml:space="preserve"> </v>
      </c>
      <c r="U21" s="40" t="str">
        <f ca="1">IFERROR(__xludf.DUMMYFUNCTION("""COMPUTED_VALUE""")," ")</f>
        <v xml:space="preserve"> </v>
      </c>
      <c r="V21" s="40" t="str">
        <f ca="1">IFERROR(__xludf.DUMMYFUNCTION("""COMPUTED_VALUE""")," ")</f>
        <v xml:space="preserve"> </v>
      </c>
      <c r="W21" s="40" t="str">
        <f t="shared" ca="1" si="21"/>
        <v>,</v>
      </c>
      <c r="X21" s="40" t="s">
        <v>682</v>
      </c>
      <c r="Y21" s="40" t="s">
        <v>683</v>
      </c>
      <c r="Z21" s="264">
        <f t="shared" ca="1" si="1"/>
        <v>35.433174999999999</v>
      </c>
      <c r="AA21" s="40" t="s">
        <v>684</v>
      </c>
      <c r="AB21" s="264">
        <f t="shared" ca="1" si="2"/>
        <v>133.325613</v>
      </c>
      <c r="AC21" s="40" t="s">
        <v>685</v>
      </c>
      <c r="AD21" s="264">
        <f t="shared" ca="1" si="3"/>
        <v>35.434593999999997</v>
      </c>
      <c r="AE21" s="40" t="s">
        <v>684</v>
      </c>
      <c r="AF21" s="264">
        <f t="shared" ca="1" si="4"/>
        <v>133.325975</v>
      </c>
      <c r="AG21" s="40" t="s">
        <v>686</v>
      </c>
      <c r="AH21" s="264" t="str">
        <f t="shared" ca="1" si="5"/>
        <v xml:space="preserve"> </v>
      </c>
      <c r="AI21" s="40" t="s">
        <v>684</v>
      </c>
      <c r="AJ21" s="264" t="str">
        <f t="shared" ca="1" si="6"/>
        <v xml:space="preserve"> </v>
      </c>
      <c r="AK21" s="40" t="s">
        <v>687</v>
      </c>
      <c r="AL21" s="264" t="str">
        <f t="shared" ca="1" si="7"/>
        <v>blueviolet</v>
      </c>
      <c r="AM21" s="40" t="s">
        <v>688</v>
      </c>
      <c r="AN21" s="40" t="str">
        <f t="shared" ca="1" si="8"/>
        <v>,{"type":"polygon","latLngs":[ {"lat":35.433175,"lng":133.325613}, {"lat":35.434594,"lng":133.325975},{"lat": ,"lng": }], "color":"blueviolet"}</v>
      </c>
      <c r="AO21" s="266" t="s">
        <v>689</v>
      </c>
      <c r="AP21" s="56">
        <f t="shared" ca="1" si="9"/>
        <v>35.433174999999999</v>
      </c>
      <c r="AQ21" s="40" t="s">
        <v>684</v>
      </c>
      <c r="AR21" s="56">
        <f t="shared" ca="1" si="10"/>
        <v>133.325613</v>
      </c>
      <c r="AS21" s="40" t="s">
        <v>686</v>
      </c>
      <c r="AT21" s="56">
        <f t="shared" ca="1" si="11"/>
        <v>35.434593999999997</v>
      </c>
      <c r="AU21" s="40" t="s">
        <v>684</v>
      </c>
      <c r="AV21" s="56">
        <f t="shared" ca="1" si="12"/>
        <v>133.325975</v>
      </c>
      <c r="AW21" s="40" t="s">
        <v>690</v>
      </c>
      <c r="AX21" s="40" t="str">
        <f t="shared" ca="1" si="13"/>
        <v>blueviolet</v>
      </c>
      <c r="AY21" s="40" t="s">
        <v>688</v>
      </c>
      <c r="AZ21" s="40" t="str">
        <f t="shared" ca="1" si="14"/>
        <v>,{"type":"polyline","latLngs":[{"lat":35.433175,"lng":133.325613},{"lat":35.434594,"lng":133.325975}],"color":"blueviolet"}</v>
      </c>
      <c r="BA21" s="40" t="s">
        <v>691</v>
      </c>
      <c r="BB21" s="56">
        <f t="shared" ca="1" si="15"/>
        <v>35.433174999999999</v>
      </c>
      <c r="BC21" s="40" t="s">
        <v>684</v>
      </c>
      <c r="BD21" s="56">
        <f t="shared" ca="1" si="16"/>
        <v>133.325613</v>
      </c>
      <c r="BE21" s="40" t="s">
        <v>692</v>
      </c>
      <c r="BF21" s="40" t="str">
        <f t="shared" ca="1" si="17"/>
        <v>blueviolet</v>
      </c>
      <c r="BG21" s="40" t="s">
        <v>688</v>
      </c>
      <c r="BH21" s="40" t="str">
        <f t="shared" ca="1" si="18"/>
        <v>,{"type":"marker","latLng":{"lat":35.433175,"lng":133.325613},"color":"blueviolet"}</v>
      </c>
      <c r="BI21" s="40" t="s">
        <v>693</v>
      </c>
      <c r="BJ21" s="40" t="s">
        <v>694</v>
      </c>
      <c r="BK21" s="267" t="str">
        <f t="shared" ca="1" si="19"/>
        <v>,{"type":"polyline","latLngs":[{"lat":35.433175,"lng":133.325613},{"lat":35.434594,"lng":133.325975}],"color":"blueviolet"}</v>
      </c>
      <c r="BL21" s="40"/>
      <c r="BM21" s="40"/>
      <c r="BN21" s="268" t="s">
        <v>703</v>
      </c>
      <c r="BO21" s="269" t="s">
        <v>704</v>
      </c>
      <c r="BP21" s="40"/>
      <c r="BQ21" s="40"/>
      <c r="BR21" s="40"/>
      <c r="BS21" s="40"/>
      <c r="BT21" s="40"/>
      <c r="BU21" s="40"/>
      <c r="BV21" s="40"/>
      <c r="BW21" s="40"/>
      <c r="BX21" s="40"/>
      <c r="BY21" s="40"/>
      <c r="BZ21" s="40"/>
      <c r="CA21" s="40"/>
      <c r="CB21" s="40"/>
      <c r="CC21" s="40"/>
      <c r="CD21" s="40"/>
      <c r="CE21" s="40"/>
      <c r="CF21" s="40"/>
      <c r="CG21" s="40"/>
      <c r="CH21" s="40"/>
    </row>
    <row r="22" spans="1:86" ht="15.75" customHeight="1">
      <c r="A22" s="40"/>
      <c r="B22" s="260" t="str">
        <f ca="1">IFERROR(__xludf.DUMMYFUNCTION("""COMPUTED_VALUE"""),"P14")</f>
        <v>P14</v>
      </c>
      <c r="C22" s="273" t="str">
        <f ca="1">IFERROR(__xludf.DUMMYFUNCTION("""COMPUTED_VALUE"""),"米子加茂町郵便局")</f>
        <v>米子加茂町郵便局</v>
      </c>
      <c r="D22" s="273">
        <f ca="1">IFERROR(__xludf.DUMMYFUNCTION("""COMPUTED_VALUE"""),35.428231)</f>
        <v>35.428230999999997</v>
      </c>
      <c r="E22" s="273">
        <f ca="1">IFERROR(__xludf.DUMMYFUNCTION("""COMPUTED_VALUE"""),133.328234)</f>
        <v>133.32823400000001</v>
      </c>
      <c r="F22" s="40"/>
      <c r="G22" s="261"/>
      <c r="H22" s="262" t="s">
        <v>672</v>
      </c>
      <c r="I22" s="271" t="str">
        <f ca="1">IFERROR(__xludf.DUMMYFUNCTION("""COMPUTED_VALUE"""),"Agent01")</f>
        <v>Agent01</v>
      </c>
      <c r="J22" s="271" t="str">
        <f ca="1">IFERROR(__xludf.DUMMYFUNCTION("""COMPUTED_VALUE"""),"P51")</f>
        <v>P51</v>
      </c>
      <c r="K22" s="271" t="str">
        <f ca="1">IFERROR(__xludf.DUMMYFUNCTION("""COMPUTED_VALUE"""),"P26")</f>
        <v>P26</v>
      </c>
      <c r="L22" s="242" t="s">
        <v>681</v>
      </c>
      <c r="M22" s="263" t="str">
        <f t="shared" ca="1" si="0"/>
        <v>blueviolet</v>
      </c>
      <c r="N22" s="264" t="str">
        <f ca="1">IFERROR(__xludf.DUMMYFUNCTION("FILTER(C:E,B:B=J22)"),"吉祥院地蔵")</f>
        <v>吉祥院地蔵</v>
      </c>
      <c r="O22" s="265">
        <f ca="1">IFERROR(__xludf.DUMMYFUNCTION("""COMPUTED_VALUE"""),35.434429)</f>
        <v>35.434429000000002</v>
      </c>
      <c r="P22" s="265">
        <f ca="1">IFERROR(__xludf.DUMMYFUNCTION("""COMPUTED_VALUE"""),133.323813)</f>
        <v>133.323813</v>
      </c>
      <c r="Q22" s="264" t="str">
        <f ca="1">IFERROR(__xludf.DUMMYFUNCTION("FILTER(C:E,B:B=K22)"),"宇気河口神社 鳥居")</f>
        <v>宇気河口神社 鳥居</v>
      </c>
      <c r="R22" s="265">
        <f ca="1">IFERROR(__xludf.DUMMYFUNCTION("""COMPUTED_VALUE"""),35.431111)</f>
        <v>35.431111000000001</v>
      </c>
      <c r="S22" s="265">
        <f ca="1">IFERROR(__xludf.DUMMYFUNCTION("""COMPUTED_VALUE"""),133.32436)</f>
        <v>133.32436000000001</v>
      </c>
      <c r="T22" s="264" t="str">
        <f ca="1">IFERROR(__xludf.DUMMYFUNCTION("FILTER(C:E,B:B=L22)")," ")</f>
        <v xml:space="preserve"> </v>
      </c>
      <c r="U22" s="40" t="str">
        <f ca="1">IFERROR(__xludf.DUMMYFUNCTION("""COMPUTED_VALUE""")," ")</f>
        <v xml:space="preserve"> </v>
      </c>
      <c r="V22" s="40" t="str">
        <f ca="1">IFERROR(__xludf.DUMMYFUNCTION("""COMPUTED_VALUE""")," ")</f>
        <v xml:space="preserve"> </v>
      </c>
      <c r="W22" s="40" t="str">
        <f t="shared" ca="1" si="21"/>
        <v>,</v>
      </c>
      <c r="X22" s="40" t="s">
        <v>682</v>
      </c>
      <c r="Y22" s="40" t="s">
        <v>683</v>
      </c>
      <c r="Z22" s="264">
        <f t="shared" ca="1" si="1"/>
        <v>35.434429000000002</v>
      </c>
      <c r="AA22" s="40" t="s">
        <v>684</v>
      </c>
      <c r="AB22" s="264">
        <f t="shared" ca="1" si="2"/>
        <v>133.323813</v>
      </c>
      <c r="AC22" s="40" t="s">
        <v>685</v>
      </c>
      <c r="AD22" s="264">
        <f t="shared" ca="1" si="3"/>
        <v>35.431111000000001</v>
      </c>
      <c r="AE22" s="40" t="s">
        <v>684</v>
      </c>
      <c r="AF22" s="264">
        <f t="shared" ca="1" si="4"/>
        <v>133.32436000000001</v>
      </c>
      <c r="AG22" s="40" t="s">
        <v>686</v>
      </c>
      <c r="AH22" s="264" t="str">
        <f t="shared" ca="1" si="5"/>
        <v xml:space="preserve"> </v>
      </c>
      <c r="AI22" s="40" t="s">
        <v>684</v>
      </c>
      <c r="AJ22" s="264" t="str">
        <f t="shared" ca="1" si="6"/>
        <v xml:space="preserve"> </v>
      </c>
      <c r="AK22" s="40" t="s">
        <v>687</v>
      </c>
      <c r="AL22" s="264" t="str">
        <f t="shared" ca="1" si="7"/>
        <v>blueviolet</v>
      </c>
      <c r="AM22" s="40" t="s">
        <v>688</v>
      </c>
      <c r="AN22" s="40" t="str">
        <f t="shared" ca="1" si="8"/>
        <v>,{"type":"polygon","latLngs":[ {"lat":35.434429,"lng":133.323813}, {"lat":35.431111,"lng":133.32436},{"lat": ,"lng": }], "color":"blueviolet"}</v>
      </c>
      <c r="AO22" s="266" t="s">
        <v>689</v>
      </c>
      <c r="AP22" s="56">
        <f t="shared" ca="1" si="9"/>
        <v>35.434429000000002</v>
      </c>
      <c r="AQ22" s="40" t="s">
        <v>684</v>
      </c>
      <c r="AR22" s="56">
        <f t="shared" ca="1" si="10"/>
        <v>133.323813</v>
      </c>
      <c r="AS22" s="40" t="s">
        <v>686</v>
      </c>
      <c r="AT22" s="56">
        <f t="shared" ca="1" si="11"/>
        <v>35.431111000000001</v>
      </c>
      <c r="AU22" s="40" t="s">
        <v>684</v>
      </c>
      <c r="AV22" s="56">
        <f t="shared" ca="1" si="12"/>
        <v>133.32436000000001</v>
      </c>
      <c r="AW22" s="40" t="s">
        <v>690</v>
      </c>
      <c r="AX22" s="40" t="str">
        <f t="shared" ca="1" si="13"/>
        <v>blueviolet</v>
      </c>
      <c r="AY22" s="40" t="s">
        <v>688</v>
      </c>
      <c r="AZ22" s="40" t="str">
        <f t="shared" ca="1" si="14"/>
        <v>,{"type":"polyline","latLngs":[{"lat":35.434429,"lng":133.323813},{"lat":35.431111,"lng":133.32436}],"color":"blueviolet"}</v>
      </c>
      <c r="BA22" s="40" t="s">
        <v>691</v>
      </c>
      <c r="BB22" s="56">
        <f t="shared" ca="1" si="15"/>
        <v>35.434429000000002</v>
      </c>
      <c r="BC22" s="40" t="s">
        <v>684</v>
      </c>
      <c r="BD22" s="56">
        <f t="shared" ca="1" si="16"/>
        <v>133.323813</v>
      </c>
      <c r="BE22" s="40" t="s">
        <v>692</v>
      </c>
      <c r="BF22" s="40" t="str">
        <f t="shared" ca="1" si="17"/>
        <v>blueviolet</v>
      </c>
      <c r="BG22" s="40" t="s">
        <v>688</v>
      </c>
      <c r="BH22" s="40" t="str">
        <f t="shared" ca="1" si="18"/>
        <v>,{"type":"marker","latLng":{"lat":35.434429,"lng":133.323813},"color":"blueviolet"}</v>
      </c>
      <c r="BI22" s="40" t="s">
        <v>693</v>
      </c>
      <c r="BJ22" s="40" t="s">
        <v>694</v>
      </c>
      <c r="BK22" s="267" t="str">
        <f t="shared" ca="1" si="19"/>
        <v>,{"type":"polyline","latLngs":[{"lat":35.434429,"lng":133.323813},{"lat":35.431111,"lng":133.32436}],"color":"blueviolet"}</v>
      </c>
      <c r="BL22" s="40"/>
      <c r="BM22" s="40"/>
      <c r="BN22" s="268" t="s">
        <v>705</v>
      </c>
      <c r="BO22" s="269" t="s">
        <v>702</v>
      </c>
      <c r="BP22" s="40"/>
      <c r="BQ22" s="40"/>
      <c r="BR22" s="40"/>
      <c r="BS22" s="40"/>
      <c r="BT22" s="40"/>
      <c r="BU22" s="40"/>
      <c r="BV22" s="40"/>
      <c r="BW22" s="40"/>
      <c r="BX22" s="40"/>
      <c r="BY22" s="40"/>
      <c r="BZ22" s="40"/>
      <c r="CA22" s="40"/>
      <c r="CB22" s="40"/>
      <c r="CC22" s="40"/>
      <c r="CD22" s="40"/>
      <c r="CE22" s="40"/>
      <c r="CF22" s="40"/>
      <c r="CG22" s="40"/>
      <c r="CH22" s="40"/>
    </row>
    <row r="23" spans="1:86" ht="15.75" customHeight="1">
      <c r="A23" s="40"/>
      <c r="B23" s="260" t="str">
        <f ca="1">IFERROR(__xludf.DUMMYFUNCTION("""COMPUTED_VALUE"""),"P15")</f>
        <v>P15</v>
      </c>
      <c r="C23" s="273" t="str">
        <f ca="1">IFERROR(__xludf.DUMMYFUNCTION("""COMPUTED_VALUE"""),"米子市役所")</f>
        <v>米子市役所</v>
      </c>
      <c r="D23" s="273">
        <f ca="1">IFERROR(__xludf.DUMMYFUNCTION("""COMPUTED_VALUE"""),35.428322)</f>
        <v>35.428322000000001</v>
      </c>
      <c r="E23" s="273">
        <f ca="1">IFERROR(__xludf.DUMMYFUNCTION("""COMPUTED_VALUE"""),133.3306)</f>
        <v>133.3306</v>
      </c>
      <c r="F23" s="40"/>
      <c r="G23" s="261"/>
      <c r="H23" s="262" t="s">
        <v>672</v>
      </c>
      <c r="I23" s="271" t="str">
        <f ca="1">IFERROR(__xludf.DUMMYFUNCTION("""COMPUTED_VALUE"""),"Agent01")</f>
        <v>Agent01</v>
      </c>
      <c r="J23" s="271" t="str">
        <f ca="1">IFERROR(__xludf.DUMMYFUNCTION("""COMPUTED_VALUE"""),"P51")</f>
        <v>P51</v>
      </c>
      <c r="K23" s="271" t="str">
        <f ca="1">IFERROR(__xludf.DUMMYFUNCTION("""COMPUTED_VALUE"""),"P44")</f>
        <v>P44</v>
      </c>
      <c r="L23" s="242" t="s">
        <v>681</v>
      </c>
      <c r="M23" s="263" t="str">
        <f t="shared" ca="1" si="0"/>
        <v>blueviolet</v>
      </c>
      <c r="N23" s="264" t="str">
        <f ca="1">IFERROR(__xludf.DUMMYFUNCTION("FILTER(C:E,B:B=J23)"),"吉祥院地蔵")</f>
        <v>吉祥院地蔵</v>
      </c>
      <c r="O23" s="265">
        <f ca="1">IFERROR(__xludf.DUMMYFUNCTION("""COMPUTED_VALUE"""),35.434429)</f>
        <v>35.434429000000002</v>
      </c>
      <c r="P23" s="265">
        <f ca="1">IFERROR(__xludf.DUMMYFUNCTION("""COMPUTED_VALUE"""),133.323813)</f>
        <v>133.323813</v>
      </c>
      <c r="Q23" s="264" t="str">
        <f ca="1">IFERROR(__xludf.DUMMYFUNCTION("FILTER(C:E,B:B=K23)"),"米子城(再現イメージ)")</f>
        <v>米子城(再現イメージ)</v>
      </c>
      <c r="R23" s="265">
        <f ca="1">IFERROR(__xludf.DUMMYFUNCTION("""COMPUTED_VALUE"""),35.433175)</f>
        <v>35.433174999999999</v>
      </c>
      <c r="S23" s="265">
        <f ca="1">IFERROR(__xludf.DUMMYFUNCTION("""COMPUTED_VALUE"""),133.325613)</f>
        <v>133.325613</v>
      </c>
      <c r="T23" s="264" t="str">
        <f ca="1">IFERROR(__xludf.DUMMYFUNCTION("FILTER(C:E,B:B=L23)")," ")</f>
        <v xml:space="preserve"> </v>
      </c>
      <c r="U23" s="40" t="str">
        <f ca="1">IFERROR(__xludf.DUMMYFUNCTION("""COMPUTED_VALUE""")," ")</f>
        <v xml:space="preserve"> </v>
      </c>
      <c r="V23" s="40" t="str">
        <f ca="1">IFERROR(__xludf.DUMMYFUNCTION("""COMPUTED_VALUE""")," ")</f>
        <v xml:space="preserve"> </v>
      </c>
      <c r="W23" s="40" t="str">
        <f t="shared" ca="1" si="21"/>
        <v>,</v>
      </c>
      <c r="X23" s="40" t="s">
        <v>682</v>
      </c>
      <c r="Y23" s="40" t="s">
        <v>683</v>
      </c>
      <c r="Z23" s="264">
        <f t="shared" ca="1" si="1"/>
        <v>35.434429000000002</v>
      </c>
      <c r="AA23" s="40" t="s">
        <v>684</v>
      </c>
      <c r="AB23" s="264">
        <f t="shared" ca="1" si="2"/>
        <v>133.323813</v>
      </c>
      <c r="AC23" s="40" t="s">
        <v>685</v>
      </c>
      <c r="AD23" s="264">
        <f t="shared" ca="1" si="3"/>
        <v>35.433174999999999</v>
      </c>
      <c r="AE23" s="40" t="s">
        <v>684</v>
      </c>
      <c r="AF23" s="264">
        <f t="shared" ca="1" si="4"/>
        <v>133.325613</v>
      </c>
      <c r="AG23" s="40" t="s">
        <v>686</v>
      </c>
      <c r="AH23" s="264" t="str">
        <f t="shared" ca="1" si="5"/>
        <v xml:space="preserve"> </v>
      </c>
      <c r="AI23" s="40" t="s">
        <v>684</v>
      </c>
      <c r="AJ23" s="264" t="str">
        <f t="shared" ca="1" si="6"/>
        <v xml:space="preserve"> </v>
      </c>
      <c r="AK23" s="40" t="s">
        <v>687</v>
      </c>
      <c r="AL23" s="264" t="str">
        <f t="shared" ca="1" si="7"/>
        <v>blueviolet</v>
      </c>
      <c r="AM23" s="40" t="s">
        <v>688</v>
      </c>
      <c r="AN23" s="40" t="str">
        <f t="shared" ca="1" si="8"/>
        <v>,{"type":"polygon","latLngs":[ {"lat":35.434429,"lng":133.323813}, {"lat":35.433175,"lng":133.325613},{"lat": ,"lng": }], "color":"blueviolet"}</v>
      </c>
      <c r="AO23" s="266" t="s">
        <v>689</v>
      </c>
      <c r="AP23" s="56">
        <f t="shared" ca="1" si="9"/>
        <v>35.434429000000002</v>
      </c>
      <c r="AQ23" s="40" t="s">
        <v>684</v>
      </c>
      <c r="AR23" s="56">
        <f t="shared" ca="1" si="10"/>
        <v>133.323813</v>
      </c>
      <c r="AS23" s="40" t="s">
        <v>686</v>
      </c>
      <c r="AT23" s="56">
        <f t="shared" ca="1" si="11"/>
        <v>35.433174999999999</v>
      </c>
      <c r="AU23" s="40" t="s">
        <v>684</v>
      </c>
      <c r="AV23" s="56">
        <f t="shared" ca="1" si="12"/>
        <v>133.325613</v>
      </c>
      <c r="AW23" s="40" t="s">
        <v>690</v>
      </c>
      <c r="AX23" s="40" t="str">
        <f t="shared" ca="1" si="13"/>
        <v>blueviolet</v>
      </c>
      <c r="AY23" s="40" t="s">
        <v>688</v>
      </c>
      <c r="AZ23" s="40" t="str">
        <f t="shared" ca="1" si="14"/>
        <v>,{"type":"polyline","latLngs":[{"lat":35.434429,"lng":133.323813},{"lat":35.433175,"lng":133.325613}],"color":"blueviolet"}</v>
      </c>
      <c r="BA23" s="40" t="s">
        <v>691</v>
      </c>
      <c r="BB23" s="56">
        <f t="shared" ca="1" si="15"/>
        <v>35.434429000000002</v>
      </c>
      <c r="BC23" s="40" t="s">
        <v>684</v>
      </c>
      <c r="BD23" s="56">
        <f t="shared" ca="1" si="16"/>
        <v>133.323813</v>
      </c>
      <c r="BE23" s="40" t="s">
        <v>692</v>
      </c>
      <c r="BF23" s="40" t="str">
        <f t="shared" ca="1" si="17"/>
        <v>blueviolet</v>
      </c>
      <c r="BG23" s="40" t="s">
        <v>688</v>
      </c>
      <c r="BH23" s="40" t="str">
        <f t="shared" ca="1" si="18"/>
        <v>,{"type":"marker","latLng":{"lat":35.434429,"lng":133.323813},"color":"blueviolet"}</v>
      </c>
      <c r="BI23" s="40" t="s">
        <v>693</v>
      </c>
      <c r="BJ23" s="40" t="s">
        <v>694</v>
      </c>
      <c r="BK23" s="267" t="str">
        <f t="shared" ca="1" si="19"/>
        <v>,{"type":"polyline","latLngs":[{"lat":35.434429,"lng":133.323813},{"lat":35.433175,"lng":133.325613}],"color":"blueviolet"}</v>
      </c>
      <c r="BL23" s="40"/>
      <c r="BM23" s="40"/>
      <c r="BN23" s="40"/>
      <c r="BO23" s="40"/>
      <c r="BP23" s="40"/>
      <c r="BQ23" s="40"/>
      <c r="BR23" s="40"/>
      <c r="BS23" s="40"/>
      <c r="BT23" s="40"/>
      <c r="BU23" s="40"/>
      <c r="BV23" s="40"/>
      <c r="BW23" s="40"/>
      <c r="BX23" s="40"/>
      <c r="BY23" s="40"/>
      <c r="BZ23" s="40"/>
      <c r="CA23" s="40"/>
      <c r="CB23" s="40"/>
      <c r="CC23" s="40"/>
      <c r="CD23" s="40"/>
      <c r="CE23" s="40"/>
      <c r="CF23" s="40"/>
      <c r="CG23" s="40"/>
      <c r="CH23" s="40"/>
    </row>
    <row r="24" spans="1:86" ht="15.75" customHeight="1">
      <c r="A24" s="40"/>
      <c r="B24" s="260" t="str">
        <f ca="1">IFERROR(__xludf.DUMMYFUNCTION("""COMPUTED_VALUE"""),"P16")</f>
        <v>P16</v>
      </c>
      <c r="C24" s="273" t="str">
        <f ca="1">IFERROR(__xludf.DUMMYFUNCTION("""COMPUTED_VALUE"""),"延命院地蔵")</f>
        <v>延命院地蔵</v>
      </c>
      <c r="D24" s="273">
        <f ca="1">IFERROR(__xludf.DUMMYFUNCTION("""COMPUTED_VALUE"""),35.428827)</f>
        <v>35.428826999999998</v>
      </c>
      <c r="E24" s="273">
        <f ca="1">IFERROR(__xludf.DUMMYFUNCTION("""COMPUTED_VALUE"""),133.337438)</f>
        <v>133.33743799999999</v>
      </c>
      <c r="F24" s="40"/>
      <c r="G24" s="261"/>
      <c r="H24" s="262" t="s">
        <v>672</v>
      </c>
      <c r="I24" s="271" t="str">
        <f ca="1">IFERROR(__xludf.DUMMYFUNCTION("""COMPUTED_VALUE"""),"Agent01")</f>
        <v>Agent01</v>
      </c>
      <c r="J24" s="271" t="str">
        <f ca="1">IFERROR(__xludf.DUMMYFUNCTION("""COMPUTED_VALUE"""),"P51")</f>
        <v>P51</v>
      </c>
      <c r="K24" s="271" t="str">
        <f ca="1">IFERROR(__xludf.DUMMYFUNCTION("""COMPUTED_VALUE"""),"P54")</f>
        <v>P54</v>
      </c>
      <c r="L24" s="242" t="s">
        <v>681</v>
      </c>
      <c r="M24" s="263" t="str">
        <f t="shared" ca="1" si="0"/>
        <v>blueviolet</v>
      </c>
      <c r="N24" s="264" t="str">
        <f ca="1">IFERROR(__xludf.DUMMYFUNCTION("FILTER(C:E,B:B=J24)"),"吉祥院地蔵")</f>
        <v>吉祥院地蔵</v>
      </c>
      <c r="O24" s="265">
        <f ca="1">IFERROR(__xludf.DUMMYFUNCTION("""COMPUTED_VALUE"""),35.434429)</f>
        <v>35.434429000000002</v>
      </c>
      <c r="P24" s="265">
        <f ca="1">IFERROR(__xludf.DUMMYFUNCTION("""COMPUTED_VALUE"""),133.323813)</f>
        <v>133.323813</v>
      </c>
      <c r="Q24" s="264" t="str">
        <f ca="1">IFERROR(__xludf.DUMMYFUNCTION("FILTER(C:E,B:B=K24)"),"心光寺 山門")</f>
        <v>心光寺 山門</v>
      </c>
      <c r="R24" s="265">
        <f ca="1">IFERROR(__xludf.DUMMYFUNCTION("""COMPUTED_VALUE"""),35.434594)</f>
        <v>35.434593999999997</v>
      </c>
      <c r="S24" s="265">
        <f ca="1">IFERROR(__xludf.DUMMYFUNCTION("""COMPUTED_VALUE"""),133.325975)</f>
        <v>133.325975</v>
      </c>
      <c r="T24" s="264" t="str">
        <f ca="1">IFERROR(__xludf.DUMMYFUNCTION("FILTER(C:E,B:B=L24)")," ")</f>
        <v xml:space="preserve"> </v>
      </c>
      <c r="U24" s="40" t="str">
        <f ca="1">IFERROR(__xludf.DUMMYFUNCTION("""COMPUTED_VALUE""")," ")</f>
        <v xml:space="preserve"> </v>
      </c>
      <c r="V24" s="40" t="str">
        <f ca="1">IFERROR(__xludf.DUMMYFUNCTION("""COMPUTED_VALUE""")," ")</f>
        <v xml:space="preserve"> </v>
      </c>
      <c r="W24" s="40" t="str">
        <f t="shared" ca="1" si="21"/>
        <v>,</v>
      </c>
      <c r="X24" s="40" t="s">
        <v>682</v>
      </c>
      <c r="Y24" s="40" t="s">
        <v>683</v>
      </c>
      <c r="Z24" s="264">
        <f t="shared" ca="1" si="1"/>
        <v>35.434429000000002</v>
      </c>
      <c r="AA24" s="40" t="s">
        <v>684</v>
      </c>
      <c r="AB24" s="264">
        <f t="shared" ca="1" si="2"/>
        <v>133.323813</v>
      </c>
      <c r="AC24" s="40" t="s">
        <v>685</v>
      </c>
      <c r="AD24" s="264">
        <f t="shared" ca="1" si="3"/>
        <v>35.434593999999997</v>
      </c>
      <c r="AE24" s="40" t="s">
        <v>684</v>
      </c>
      <c r="AF24" s="264">
        <f t="shared" ca="1" si="4"/>
        <v>133.325975</v>
      </c>
      <c r="AG24" s="40" t="s">
        <v>686</v>
      </c>
      <c r="AH24" s="264" t="str">
        <f t="shared" ca="1" si="5"/>
        <v xml:space="preserve"> </v>
      </c>
      <c r="AI24" s="40" t="s">
        <v>684</v>
      </c>
      <c r="AJ24" s="264" t="str">
        <f t="shared" ca="1" si="6"/>
        <v xml:space="preserve"> </v>
      </c>
      <c r="AK24" s="40" t="s">
        <v>687</v>
      </c>
      <c r="AL24" s="264" t="str">
        <f t="shared" ca="1" si="7"/>
        <v>blueviolet</v>
      </c>
      <c r="AM24" s="40" t="s">
        <v>688</v>
      </c>
      <c r="AN24" s="40" t="str">
        <f t="shared" ca="1" si="8"/>
        <v>,{"type":"polygon","latLngs":[ {"lat":35.434429,"lng":133.323813}, {"lat":35.434594,"lng":133.325975},{"lat": ,"lng": }], "color":"blueviolet"}</v>
      </c>
      <c r="AO24" s="266" t="s">
        <v>689</v>
      </c>
      <c r="AP24" s="56">
        <f t="shared" ca="1" si="9"/>
        <v>35.434429000000002</v>
      </c>
      <c r="AQ24" s="40" t="s">
        <v>684</v>
      </c>
      <c r="AR24" s="56">
        <f t="shared" ca="1" si="10"/>
        <v>133.323813</v>
      </c>
      <c r="AS24" s="40" t="s">
        <v>686</v>
      </c>
      <c r="AT24" s="56">
        <f t="shared" ca="1" si="11"/>
        <v>35.434593999999997</v>
      </c>
      <c r="AU24" s="40" t="s">
        <v>684</v>
      </c>
      <c r="AV24" s="56">
        <f t="shared" ca="1" si="12"/>
        <v>133.325975</v>
      </c>
      <c r="AW24" s="40" t="s">
        <v>690</v>
      </c>
      <c r="AX24" s="40" t="str">
        <f t="shared" ca="1" si="13"/>
        <v>blueviolet</v>
      </c>
      <c r="AY24" s="40" t="s">
        <v>688</v>
      </c>
      <c r="AZ24" s="40" t="str">
        <f t="shared" ca="1" si="14"/>
        <v>,{"type":"polyline","latLngs":[{"lat":35.434429,"lng":133.323813},{"lat":35.434594,"lng":133.325975}],"color":"blueviolet"}</v>
      </c>
      <c r="BA24" s="40" t="s">
        <v>691</v>
      </c>
      <c r="BB24" s="56">
        <f t="shared" ca="1" si="15"/>
        <v>35.434429000000002</v>
      </c>
      <c r="BC24" s="40" t="s">
        <v>684</v>
      </c>
      <c r="BD24" s="56">
        <f t="shared" ca="1" si="16"/>
        <v>133.323813</v>
      </c>
      <c r="BE24" s="40" t="s">
        <v>692</v>
      </c>
      <c r="BF24" s="40" t="str">
        <f t="shared" ca="1" si="17"/>
        <v>blueviolet</v>
      </c>
      <c r="BG24" s="40" t="s">
        <v>688</v>
      </c>
      <c r="BH24" s="40" t="str">
        <f t="shared" ca="1" si="18"/>
        <v>,{"type":"marker","latLng":{"lat":35.434429,"lng":133.323813},"color":"blueviolet"}</v>
      </c>
      <c r="BI24" s="40" t="s">
        <v>693</v>
      </c>
      <c r="BJ24" s="40" t="s">
        <v>694</v>
      </c>
      <c r="BK24" s="267" t="str">
        <f t="shared" ca="1" si="19"/>
        <v>,{"type":"polyline","latLngs":[{"lat":35.434429,"lng":133.323813},{"lat":35.434594,"lng":133.325975}],"color":"blueviolet"}</v>
      </c>
      <c r="BL24" s="40"/>
      <c r="BM24" s="40"/>
      <c r="BN24" s="40"/>
      <c r="BO24" s="40"/>
      <c r="BP24" s="40"/>
      <c r="BQ24" s="40"/>
      <c r="BR24" s="40"/>
      <c r="BS24" s="40"/>
      <c r="BT24" s="40"/>
      <c r="BU24" s="40"/>
      <c r="BV24" s="40"/>
      <c r="BW24" s="40"/>
      <c r="BX24" s="40"/>
      <c r="BY24" s="40"/>
      <c r="BZ24" s="40"/>
      <c r="CA24" s="40"/>
      <c r="CB24" s="40"/>
      <c r="CC24" s="40"/>
      <c r="CD24" s="40"/>
      <c r="CE24" s="40"/>
      <c r="CF24" s="40"/>
      <c r="CG24" s="40"/>
      <c r="CH24" s="40"/>
    </row>
    <row r="25" spans="1:86" ht="15.75" customHeight="1">
      <c r="A25" s="40"/>
      <c r="B25" s="260" t="str">
        <f ca="1">IFERROR(__xludf.DUMMYFUNCTION("""COMPUTED_VALUE"""),"P17")</f>
        <v>P17</v>
      </c>
      <c r="C25" s="273" t="str">
        <f ca="1">IFERROR(__xludf.DUMMYFUNCTION("""COMPUTED_VALUE"""),"法勝寺町橋地蔵")</f>
        <v>法勝寺町橋地蔵</v>
      </c>
      <c r="D25" s="273">
        <f ca="1">IFERROR(__xludf.DUMMYFUNCTION("""COMPUTED_VALUE"""),35.42905)</f>
        <v>35.429049999999997</v>
      </c>
      <c r="E25" s="273">
        <f ca="1">IFERROR(__xludf.DUMMYFUNCTION("""COMPUTED_VALUE"""),133.335491)</f>
        <v>133.33549099999999</v>
      </c>
      <c r="F25" s="40"/>
      <c r="G25" s="261"/>
      <c r="H25" s="262" t="s">
        <v>672</v>
      </c>
      <c r="I25" s="271" t="str">
        <f ca="1">IFERROR(__xludf.DUMMYFUNCTION("""COMPUTED_VALUE"""),"Agent01")</f>
        <v>Agent01</v>
      </c>
      <c r="J25" s="271" t="str">
        <f ca="1">IFERROR(__xludf.DUMMYFUNCTION("""COMPUTED_VALUE"""),"P51")</f>
        <v>P51</v>
      </c>
      <c r="K25" s="271" t="str">
        <f ca="1">IFERROR(__xludf.DUMMYFUNCTION("""COMPUTED_VALUE"""),"P63")</f>
        <v>P63</v>
      </c>
      <c r="L25" s="242" t="s">
        <v>681</v>
      </c>
      <c r="M25" s="263" t="str">
        <f t="shared" ca="1" si="0"/>
        <v>blueviolet</v>
      </c>
      <c r="N25" s="264" t="str">
        <f ca="1">IFERROR(__xludf.DUMMYFUNCTION("FILTER(C:E,B:B=J25)"),"吉祥院地蔵")</f>
        <v>吉祥院地蔵</v>
      </c>
      <c r="O25" s="265">
        <f ca="1">IFERROR(__xludf.DUMMYFUNCTION("""COMPUTED_VALUE"""),35.434429)</f>
        <v>35.434429000000002</v>
      </c>
      <c r="P25" s="265">
        <f ca="1">IFERROR(__xludf.DUMMYFUNCTION("""COMPUTED_VALUE"""),133.323813)</f>
        <v>133.323813</v>
      </c>
      <c r="Q25" s="264" t="str">
        <f ca="1">IFERROR(__xludf.DUMMYFUNCTION("FILTER(C:E,B:B=K25)"),"Rochelle Antique")</f>
        <v>Rochelle Antique</v>
      </c>
      <c r="R25" s="265">
        <f ca="1">IFERROR(__xludf.DUMMYFUNCTION("""COMPUTED_VALUE"""),35.436062)</f>
        <v>35.436062</v>
      </c>
      <c r="S25" s="265">
        <f ca="1">IFERROR(__xludf.DUMMYFUNCTION("""COMPUTED_VALUE"""),133.324187)</f>
        <v>133.32418699999999</v>
      </c>
      <c r="T25" s="264" t="str">
        <f ca="1">IFERROR(__xludf.DUMMYFUNCTION("FILTER(C:E,B:B=L25)")," ")</f>
        <v xml:space="preserve"> </v>
      </c>
      <c r="U25" s="40" t="str">
        <f ca="1">IFERROR(__xludf.DUMMYFUNCTION("""COMPUTED_VALUE""")," ")</f>
        <v xml:space="preserve"> </v>
      </c>
      <c r="V25" s="40" t="str">
        <f ca="1">IFERROR(__xludf.DUMMYFUNCTION("""COMPUTED_VALUE""")," ")</f>
        <v xml:space="preserve"> </v>
      </c>
      <c r="W25" s="40" t="str">
        <f t="shared" ca="1" si="21"/>
        <v>,</v>
      </c>
      <c r="X25" s="40" t="s">
        <v>682</v>
      </c>
      <c r="Y25" s="40" t="s">
        <v>683</v>
      </c>
      <c r="Z25" s="264">
        <f t="shared" ca="1" si="1"/>
        <v>35.434429000000002</v>
      </c>
      <c r="AA25" s="40" t="s">
        <v>684</v>
      </c>
      <c r="AB25" s="264">
        <f t="shared" ca="1" si="2"/>
        <v>133.323813</v>
      </c>
      <c r="AC25" s="40" t="s">
        <v>685</v>
      </c>
      <c r="AD25" s="264">
        <f t="shared" ca="1" si="3"/>
        <v>35.436062</v>
      </c>
      <c r="AE25" s="40" t="s">
        <v>684</v>
      </c>
      <c r="AF25" s="264">
        <f t="shared" ca="1" si="4"/>
        <v>133.32418699999999</v>
      </c>
      <c r="AG25" s="40" t="s">
        <v>686</v>
      </c>
      <c r="AH25" s="264" t="str">
        <f t="shared" ca="1" si="5"/>
        <v xml:space="preserve"> </v>
      </c>
      <c r="AI25" s="40" t="s">
        <v>684</v>
      </c>
      <c r="AJ25" s="264" t="str">
        <f t="shared" ca="1" si="6"/>
        <v xml:space="preserve"> </v>
      </c>
      <c r="AK25" s="40" t="s">
        <v>687</v>
      </c>
      <c r="AL25" s="264" t="str">
        <f t="shared" ca="1" si="7"/>
        <v>blueviolet</v>
      </c>
      <c r="AM25" s="40" t="s">
        <v>688</v>
      </c>
      <c r="AN25" s="40" t="str">
        <f t="shared" ca="1" si="8"/>
        <v>,{"type":"polygon","latLngs":[ {"lat":35.434429,"lng":133.323813}, {"lat":35.436062,"lng":133.324187},{"lat": ,"lng": }], "color":"blueviolet"}</v>
      </c>
      <c r="AO25" s="266" t="s">
        <v>689</v>
      </c>
      <c r="AP25" s="56">
        <f t="shared" ca="1" si="9"/>
        <v>35.434429000000002</v>
      </c>
      <c r="AQ25" s="40" t="s">
        <v>684</v>
      </c>
      <c r="AR25" s="56">
        <f t="shared" ca="1" si="10"/>
        <v>133.323813</v>
      </c>
      <c r="AS25" s="40" t="s">
        <v>686</v>
      </c>
      <c r="AT25" s="56">
        <f t="shared" ca="1" si="11"/>
        <v>35.436062</v>
      </c>
      <c r="AU25" s="40" t="s">
        <v>684</v>
      </c>
      <c r="AV25" s="56">
        <f t="shared" ca="1" si="12"/>
        <v>133.32418699999999</v>
      </c>
      <c r="AW25" s="40" t="s">
        <v>690</v>
      </c>
      <c r="AX25" s="40" t="str">
        <f t="shared" ca="1" si="13"/>
        <v>blueviolet</v>
      </c>
      <c r="AY25" s="40" t="s">
        <v>688</v>
      </c>
      <c r="AZ25" s="40" t="str">
        <f t="shared" ca="1" si="14"/>
        <v>,{"type":"polyline","latLngs":[{"lat":35.434429,"lng":133.323813},{"lat":35.436062,"lng":133.324187}],"color":"blueviolet"}</v>
      </c>
      <c r="BA25" s="40" t="s">
        <v>691</v>
      </c>
      <c r="BB25" s="56">
        <f t="shared" ca="1" si="15"/>
        <v>35.434429000000002</v>
      </c>
      <c r="BC25" s="40" t="s">
        <v>684</v>
      </c>
      <c r="BD25" s="56">
        <f t="shared" ca="1" si="16"/>
        <v>133.323813</v>
      </c>
      <c r="BE25" s="40" t="s">
        <v>692</v>
      </c>
      <c r="BF25" s="40" t="str">
        <f t="shared" ca="1" si="17"/>
        <v>blueviolet</v>
      </c>
      <c r="BG25" s="40" t="s">
        <v>688</v>
      </c>
      <c r="BH25" s="40" t="str">
        <f t="shared" ca="1" si="18"/>
        <v>,{"type":"marker","latLng":{"lat":35.434429,"lng":133.323813},"color":"blueviolet"}</v>
      </c>
      <c r="BI25" s="40" t="s">
        <v>693</v>
      </c>
      <c r="BJ25" s="40" t="s">
        <v>694</v>
      </c>
      <c r="BK25" s="267" t="str">
        <f t="shared" ca="1" si="19"/>
        <v>,{"type":"polyline","latLngs":[{"lat":35.434429,"lng":133.323813},{"lat":35.436062,"lng":133.324187}],"color":"blueviolet"}</v>
      </c>
      <c r="BL25" s="40"/>
      <c r="BM25" s="40"/>
      <c r="BN25" s="40"/>
      <c r="BP25" s="40"/>
      <c r="BQ25" s="40"/>
      <c r="BR25" s="40"/>
      <c r="BS25" s="40"/>
      <c r="BT25" s="40"/>
      <c r="BU25" s="40"/>
      <c r="BV25" s="40"/>
      <c r="BW25" s="40"/>
      <c r="BX25" s="40"/>
      <c r="BY25" s="40"/>
      <c r="BZ25" s="40"/>
      <c r="CA25" s="40"/>
      <c r="CB25" s="40"/>
      <c r="CC25" s="40"/>
      <c r="CD25" s="40"/>
      <c r="CE25" s="40"/>
      <c r="CF25" s="40"/>
      <c r="CG25" s="40"/>
      <c r="CH25" s="40"/>
    </row>
    <row r="26" spans="1:86" ht="15.75" customHeight="1">
      <c r="A26" s="40"/>
      <c r="B26" s="260" t="str">
        <f ca="1">IFERROR(__xludf.DUMMYFUNCTION("""COMPUTED_VALUE"""),"P18")</f>
        <v>P18</v>
      </c>
      <c r="C26" s="273" t="str">
        <f ca="1">IFERROR(__xludf.DUMMYFUNCTION("""COMPUTED_VALUE"""),"山陰歴史館")</f>
        <v>山陰歴史館</v>
      </c>
      <c r="D26" s="273">
        <f ca="1">IFERROR(__xludf.DUMMYFUNCTION("""COMPUTED_VALUE"""),35.429185)</f>
        <v>35.429184999999997</v>
      </c>
      <c r="E26" s="273">
        <f ca="1">IFERROR(__xludf.DUMMYFUNCTION("""COMPUTED_VALUE"""),133.33043)</f>
        <v>133.33043000000001</v>
      </c>
      <c r="F26" s="40"/>
      <c r="G26" s="261"/>
      <c r="H26" s="262" t="s">
        <v>672</v>
      </c>
      <c r="I26" s="271" t="str">
        <f ca="1">IFERROR(__xludf.DUMMYFUNCTION("""COMPUTED_VALUE"""),"Agent01")</f>
        <v>Agent01</v>
      </c>
      <c r="J26" s="271" t="str">
        <f ca="1">IFERROR(__xludf.DUMMYFUNCTION("""COMPUTED_VALUE"""),"P51")</f>
        <v>P51</v>
      </c>
      <c r="K26" s="271" t="str">
        <f ca="1">IFERROR(__xludf.DUMMYFUNCTION("""COMPUTED_VALUE"""),"P61")</f>
        <v>P61</v>
      </c>
      <c r="L26" s="242" t="s">
        <v>681</v>
      </c>
      <c r="M26" s="263" t="str">
        <f t="shared" ca="1" si="0"/>
        <v>blueviolet</v>
      </c>
      <c r="N26" s="264" t="str">
        <f ca="1">IFERROR(__xludf.DUMMYFUNCTION("FILTER(C:E,B:B=J26)"),"吉祥院地蔵")</f>
        <v>吉祥院地蔵</v>
      </c>
      <c r="O26" s="265">
        <f ca="1">IFERROR(__xludf.DUMMYFUNCTION("""COMPUTED_VALUE"""),35.434429)</f>
        <v>35.434429000000002</v>
      </c>
      <c r="P26" s="265">
        <f ca="1">IFERROR(__xludf.DUMMYFUNCTION("""COMPUTED_VALUE"""),133.323813)</f>
        <v>133.323813</v>
      </c>
      <c r="Q26" s="264" t="str">
        <f ca="1">IFERROR(__xludf.DUMMYFUNCTION("FILTER(C:E,B:B=K26)"),"どらやき神社")</f>
        <v>どらやき神社</v>
      </c>
      <c r="R26" s="265">
        <f ca="1">IFERROR(__xludf.DUMMYFUNCTION("""COMPUTED_VALUE"""),35.435771)</f>
        <v>35.435771000000003</v>
      </c>
      <c r="S26" s="265">
        <f ca="1">IFERROR(__xludf.DUMMYFUNCTION("""COMPUTED_VALUE"""),133.323536)</f>
        <v>133.32353599999999</v>
      </c>
      <c r="T26" s="264" t="str">
        <f ca="1">IFERROR(__xludf.DUMMYFUNCTION("FILTER(C:E,B:B=L26)")," ")</f>
        <v xml:space="preserve"> </v>
      </c>
      <c r="U26" s="40" t="str">
        <f ca="1">IFERROR(__xludf.DUMMYFUNCTION("""COMPUTED_VALUE""")," ")</f>
        <v xml:space="preserve"> </v>
      </c>
      <c r="V26" s="40" t="str">
        <f ca="1">IFERROR(__xludf.DUMMYFUNCTION("""COMPUTED_VALUE""")," ")</f>
        <v xml:space="preserve"> </v>
      </c>
      <c r="W26" s="40" t="str">
        <f t="shared" ca="1" si="21"/>
        <v>,</v>
      </c>
      <c r="X26" s="40" t="s">
        <v>682</v>
      </c>
      <c r="Y26" s="40" t="s">
        <v>683</v>
      </c>
      <c r="Z26" s="264">
        <f t="shared" ca="1" si="1"/>
        <v>35.434429000000002</v>
      </c>
      <c r="AA26" s="40" t="s">
        <v>684</v>
      </c>
      <c r="AB26" s="264">
        <f t="shared" ca="1" si="2"/>
        <v>133.323813</v>
      </c>
      <c r="AC26" s="40" t="s">
        <v>685</v>
      </c>
      <c r="AD26" s="264">
        <f t="shared" ca="1" si="3"/>
        <v>35.435771000000003</v>
      </c>
      <c r="AE26" s="40" t="s">
        <v>684</v>
      </c>
      <c r="AF26" s="264">
        <f t="shared" ca="1" si="4"/>
        <v>133.32353599999999</v>
      </c>
      <c r="AG26" s="40" t="s">
        <v>686</v>
      </c>
      <c r="AH26" s="264" t="str">
        <f t="shared" ca="1" si="5"/>
        <v xml:space="preserve"> </v>
      </c>
      <c r="AI26" s="40" t="s">
        <v>684</v>
      </c>
      <c r="AJ26" s="264" t="str">
        <f t="shared" ca="1" si="6"/>
        <v xml:space="preserve"> </v>
      </c>
      <c r="AK26" s="40" t="s">
        <v>687</v>
      </c>
      <c r="AL26" s="264" t="str">
        <f t="shared" ca="1" si="7"/>
        <v>blueviolet</v>
      </c>
      <c r="AM26" s="40" t="s">
        <v>688</v>
      </c>
      <c r="AN26" s="40" t="str">
        <f t="shared" ca="1" si="8"/>
        <v>,{"type":"polygon","latLngs":[ {"lat":35.434429,"lng":133.323813}, {"lat":35.435771,"lng":133.323536},{"lat": ,"lng": }], "color":"blueviolet"}</v>
      </c>
      <c r="AO26" s="266" t="s">
        <v>689</v>
      </c>
      <c r="AP26" s="56">
        <f t="shared" ca="1" si="9"/>
        <v>35.434429000000002</v>
      </c>
      <c r="AQ26" s="40" t="s">
        <v>684</v>
      </c>
      <c r="AR26" s="56">
        <f t="shared" ca="1" si="10"/>
        <v>133.323813</v>
      </c>
      <c r="AS26" s="40" t="s">
        <v>686</v>
      </c>
      <c r="AT26" s="56">
        <f t="shared" ca="1" si="11"/>
        <v>35.435771000000003</v>
      </c>
      <c r="AU26" s="40" t="s">
        <v>684</v>
      </c>
      <c r="AV26" s="56">
        <f t="shared" ca="1" si="12"/>
        <v>133.32353599999999</v>
      </c>
      <c r="AW26" s="40" t="s">
        <v>690</v>
      </c>
      <c r="AX26" s="40" t="str">
        <f t="shared" ca="1" si="13"/>
        <v>blueviolet</v>
      </c>
      <c r="AY26" s="40" t="s">
        <v>688</v>
      </c>
      <c r="AZ26" s="40" t="str">
        <f t="shared" ca="1" si="14"/>
        <v>,{"type":"polyline","latLngs":[{"lat":35.434429,"lng":133.323813},{"lat":35.435771,"lng":133.323536}],"color":"blueviolet"}</v>
      </c>
      <c r="BA26" s="40" t="s">
        <v>691</v>
      </c>
      <c r="BB26" s="56">
        <f t="shared" ca="1" si="15"/>
        <v>35.434429000000002</v>
      </c>
      <c r="BC26" s="40" t="s">
        <v>684</v>
      </c>
      <c r="BD26" s="56">
        <f t="shared" ca="1" si="16"/>
        <v>133.323813</v>
      </c>
      <c r="BE26" s="40" t="s">
        <v>692</v>
      </c>
      <c r="BF26" s="40" t="str">
        <f t="shared" ca="1" si="17"/>
        <v>blueviolet</v>
      </c>
      <c r="BG26" s="40" t="s">
        <v>688</v>
      </c>
      <c r="BH26" s="40" t="str">
        <f t="shared" ca="1" si="18"/>
        <v>,{"type":"marker","latLng":{"lat":35.434429,"lng":133.323813},"color":"blueviolet"}</v>
      </c>
      <c r="BI26" s="40" t="s">
        <v>693</v>
      </c>
      <c r="BJ26" s="40" t="s">
        <v>694</v>
      </c>
      <c r="BK26" s="267" t="str">
        <f t="shared" ca="1" si="19"/>
        <v>,{"type":"polyline","latLngs":[{"lat":35.434429,"lng":133.323813},{"lat":35.435771,"lng":133.323536}],"color":"blueviolet"}</v>
      </c>
      <c r="BL26" s="40"/>
      <c r="BM26" s="40"/>
      <c r="BN26" s="40" t="s">
        <v>706</v>
      </c>
      <c r="BO26" s="40"/>
      <c r="BP26" s="40"/>
      <c r="BQ26" s="40"/>
      <c r="BR26" s="40"/>
      <c r="BS26" s="40"/>
      <c r="BT26" s="40"/>
      <c r="BU26" s="40"/>
      <c r="BV26" s="40"/>
      <c r="BW26" s="40"/>
      <c r="BX26" s="40"/>
      <c r="BY26" s="40"/>
      <c r="BZ26" s="40"/>
      <c r="CA26" s="40"/>
      <c r="CB26" s="40"/>
      <c r="CC26" s="40"/>
      <c r="CD26" s="40"/>
      <c r="CE26" s="40"/>
      <c r="CF26" s="40"/>
      <c r="CG26" s="40"/>
      <c r="CH26" s="40"/>
    </row>
    <row r="27" spans="1:86" ht="15.75" customHeight="1">
      <c r="A27" s="40"/>
      <c r="B27" s="260" t="str">
        <f ca="1">IFERROR(__xludf.DUMMYFUNCTION("""COMPUTED_VALUE"""),"P19")</f>
        <v>P19</v>
      </c>
      <c r="C27" s="273" t="str">
        <f ca="1">IFERROR(__xludf.DUMMYFUNCTION("""COMPUTED_VALUE"""),"天理教米城分教会")</f>
        <v>天理教米城分教会</v>
      </c>
      <c r="D27" s="273">
        <f ca="1">IFERROR(__xludf.DUMMYFUNCTION("""COMPUTED_VALUE"""),35.429514)</f>
        <v>35.429513999999998</v>
      </c>
      <c r="E27" s="273">
        <f ca="1">IFERROR(__xludf.DUMMYFUNCTION("""COMPUTED_VALUE"""),133.335564)</f>
        <v>133.33556400000001</v>
      </c>
      <c r="F27" s="40"/>
      <c r="G27" s="261"/>
      <c r="H27" s="262" t="s">
        <v>672</v>
      </c>
      <c r="I27" s="271" t="str">
        <f ca="1">IFERROR(__xludf.DUMMYFUNCTION("""COMPUTED_VALUE"""),"Agent01")</f>
        <v>Agent01</v>
      </c>
      <c r="J27" s="271" t="str">
        <f ca="1">IFERROR(__xludf.DUMMYFUNCTION("""COMPUTED_VALUE"""),"P51")</f>
        <v>P51</v>
      </c>
      <c r="K27" s="271" t="str">
        <f ca="1">IFERROR(__xludf.DUMMYFUNCTION("""COMPUTED_VALUE"""),"P68")</f>
        <v>P68</v>
      </c>
      <c r="L27" s="242" t="s">
        <v>681</v>
      </c>
      <c r="M27" s="263" t="str">
        <f t="shared" ca="1" si="0"/>
        <v>blueviolet</v>
      </c>
      <c r="N27" s="264" t="str">
        <f ca="1">IFERROR(__xludf.DUMMYFUNCTION("FILTER(C:E,B:B=J27)"),"吉祥院地蔵")</f>
        <v>吉祥院地蔵</v>
      </c>
      <c r="O27" s="265">
        <f ca="1">IFERROR(__xludf.DUMMYFUNCTION("""COMPUTED_VALUE"""),35.434429)</f>
        <v>35.434429000000002</v>
      </c>
      <c r="P27" s="265">
        <f ca="1">IFERROR(__xludf.DUMMYFUNCTION("""COMPUTED_VALUE"""),133.323813)</f>
        <v>133.323813</v>
      </c>
      <c r="Q27" s="264" t="str">
        <f ca="1">IFERROR(__xludf.DUMMYFUNCTION("FILTER(C:E,B:B=K27)"),"住居表示街区案内図 米子市旗ヶ崎1丁目")</f>
        <v>住居表示街区案内図 米子市旗ヶ崎1丁目</v>
      </c>
      <c r="R27" s="265">
        <f ca="1">IFERROR(__xludf.DUMMYFUNCTION("""COMPUTED_VALUE"""),35.437263)</f>
        <v>35.437263000000002</v>
      </c>
      <c r="S27" s="265">
        <f ca="1">IFERROR(__xludf.DUMMYFUNCTION("""COMPUTED_VALUE"""),133.322232)</f>
        <v>133.32223200000001</v>
      </c>
      <c r="T27" s="264" t="str">
        <f ca="1">IFERROR(__xludf.DUMMYFUNCTION("FILTER(C:E,B:B=L27)")," ")</f>
        <v xml:space="preserve"> </v>
      </c>
      <c r="U27" s="40" t="str">
        <f ca="1">IFERROR(__xludf.DUMMYFUNCTION("""COMPUTED_VALUE""")," ")</f>
        <v xml:space="preserve"> </v>
      </c>
      <c r="V27" s="40" t="str">
        <f ca="1">IFERROR(__xludf.DUMMYFUNCTION("""COMPUTED_VALUE""")," ")</f>
        <v xml:space="preserve"> </v>
      </c>
      <c r="W27" s="40" t="str">
        <f t="shared" ca="1" si="21"/>
        <v>,</v>
      </c>
      <c r="X27" s="40" t="s">
        <v>682</v>
      </c>
      <c r="Y27" s="40" t="s">
        <v>683</v>
      </c>
      <c r="Z27" s="264">
        <f t="shared" ca="1" si="1"/>
        <v>35.434429000000002</v>
      </c>
      <c r="AA27" s="40" t="s">
        <v>684</v>
      </c>
      <c r="AB27" s="264">
        <f t="shared" ca="1" si="2"/>
        <v>133.323813</v>
      </c>
      <c r="AC27" s="40" t="s">
        <v>685</v>
      </c>
      <c r="AD27" s="264">
        <f t="shared" ca="1" si="3"/>
        <v>35.437263000000002</v>
      </c>
      <c r="AE27" s="40" t="s">
        <v>684</v>
      </c>
      <c r="AF27" s="264">
        <f t="shared" ca="1" si="4"/>
        <v>133.32223200000001</v>
      </c>
      <c r="AG27" s="40" t="s">
        <v>686</v>
      </c>
      <c r="AH27" s="264" t="str">
        <f t="shared" ca="1" si="5"/>
        <v xml:space="preserve"> </v>
      </c>
      <c r="AI27" s="40" t="s">
        <v>684</v>
      </c>
      <c r="AJ27" s="264" t="str">
        <f t="shared" ca="1" si="6"/>
        <v xml:space="preserve"> </v>
      </c>
      <c r="AK27" s="40" t="s">
        <v>687</v>
      </c>
      <c r="AL27" s="264" t="str">
        <f t="shared" ca="1" si="7"/>
        <v>blueviolet</v>
      </c>
      <c r="AM27" s="40" t="s">
        <v>688</v>
      </c>
      <c r="AN27" s="40" t="str">
        <f t="shared" ca="1" si="8"/>
        <v>,{"type":"polygon","latLngs":[ {"lat":35.434429,"lng":133.323813}, {"lat":35.437263,"lng":133.322232},{"lat": ,"lng": }], "color":"blueviolet"}</v>
      </c>
      <c r="AO27" s="266" t="s">
        <v>689</v>
      </c>
      <c r="AP27" s="56">
        <f t="shared" ca="1" si="9"/>
        <v>35.434429000000002</v>
      </c>
      <c r="AQ27" s="40" t="s">
        <v>684</v>
      </c>
      <c r="AR27" s="56">
        <f t="shared" ca="1" si="10"/>
        <v>133.323813</v>
      </c>
      <c r="AS27" s="40" t="s">
        <v>686</v>
      </c>
      <c r="AT27" s="56">
        <f t="shared" ca="1" si="11"/>
        <v>35.437263000000002</v>
      </c>
      <c r="AU27" s="40" t="s">
        <v>684</v>
      </c>
      <c r="AV27" s="56">
        <f t="shared" ca="1" si="12"/>
        <v>133.32223200000001</v>
      </c>
      <c r="AW27" s="40" t="s">
        <v>690</v>
      </c>
      <c r="AX27" s="40" t="str">
        <f t="shared" ca="1" si="13"/>
        <v>blueviolet</v>
      </c>
      <c r="AY27" s="40" t="s">
        <v>688</v>
      </c>
      <c r="AZ27" s="40" t="str">
        <f t="shared" ca="1" si="14"/>
        <v>,{"type":"polyline","latLngs":[{"lat":35.434429,"lng":133.323813},{"lat":35.437263,"lng":133.322232}],"color":"blueviolet"}</v>
      </c>
      <c r="BA27" s="40" t="s">
        <v>691</v>
      </c>
      <c r="BB27" s="56">
        <f t="shared" ca="1" si="15"/>
        <v>35.434429000000002</v>
      </c>
      <c r="BC27" s="40" t="s">
        <v>684</v>
      </c>
      <c r="BD27" s="56">
        <f t="shared" ca="1" si="16"/>
        <v>133.323813</v>
      </c>
      <c r="BE27" s="40" t="s">
        <v>692</v>
      </c>
      <c r="BF27" s="40" t="str">
        <f t="shared" ca="1" si="17"/>
        <v>blueviolet</v>
      </c>
      <c r="BG27" s="40" t="s">
        <v>688</v>
      </c>
      <c r="BH27" s="40" t="str">
        <f t="shared" ca="1" si="18"/>
        <v>,{"type":"marker","latLng":{"lat":35.434429,"lng":133.323813},"color":"blueviolet"}</v>
      </c>
      <c r="BI27" s="40" t="s">
        <v>693</v>
      </c>
      <c r="BJ27" s="40" t="s">
        <v>694</v>
      </c>
      <c r="BK27" s="267" t="str">
        <f t="shared" ca="1" si="19"/>
        <v>,{"type":"polyline","latLngs":[{"lat":35.434429,"lng":133.323813},{"lat":35.437263,"lng":133.322232}],"color":"blueviolet"}</v>
      </c>
      <c r="BL27" s="40"/>
      <c r="BM27" s="40"/>
      <c r="BN27" s="247" t="s">
        <v>656</v>
      </c>
      <c r="BO27" s="247" t="s">
        <v>679</v>
      </c>
      <c r="BP27" s="40"/>
      <c r="BQ27" s="40"/>
      <c r="BR27" s="40"/>
      <c r="BS27" s="40"/>
      <c r="BT27" s="40"/>
      <c r="BU27" s="40"/>
      <c r="BV27" s="40"/>
      <c r="BW27" s="40"/>
      <c r="BX27" s="40"/>
      <c r="BY27" s="40"/>
      <c r="BZ27" s="40"/>
      <c r="CA27" s="40"/>
      <c r="CB27" s="40"/>
      <c r="CC27" s="40"/>
      <c r="CD27" s="40"/>
      <c r="CE27" s="40"/>
      <c r="CF27" s="40"/>
      <c r="CG27" s="40"/>
      <c r="CH27" s="40"/>
    </row>
    <row r="28" spans="1:86" ht="15.75" customHeight="1">
      <c r="A28" s="40"/>
      <c r="B28" s="260" t="str">
        <f ca="1">IFERROR(__xludf.DUMMYFUNCTION("""COMPUTED_VALUE"""),"P20")</f>
        <v>P20</v>
      </c>
      <c r="C28" s="273" t="str">
        <f ca="1">IFERROR(__xludf.DUMMYFUNCTION("""COMPUTED_VALUE"""),"加茂かめ")</f>
        <v>加茂かめ</v>
      </c>
      <c r="D28" s="273">
        <f ca="1">IFERROR(__xludf.DUMMYFUNCTION("""COMPUTED_VALUE"""),35.429615)</f>
        <v>35.429614999999998</v>
      </c>
      <c r="E28" s="273">
        <f ca="1">IFERROR(__xludf.DUMMYFUNCTION("""COMPUTED_VALUE"""),133.332531)</f>
        <v>133.33253099999999</v>
      </c>
      <c r="F28" s="40"/>
      <c r="G28" s="261"/>
      <c r="H28" s="262" t="s">
        <v>672</v>
      </c>
      <c r="I28" s="271" t="str">
        <f ca="1">IFERROR(__xludf.DUMMYFUNCTION("""COMPUTED_VALUE"""),"Agent02")</f>
        <v>Agent02</v>
      </c>
      <c r="J28" s="271" t="str">
        <f ca="1">IFERROR(__xludf.DUMMYFUNCTION("""COMPUTED_VALUE"""),"P08")</f>
        <v>P08</v>
      </c>
      <c r="K28" s="271" t="str">
        <f ca="1">IFERROR(__xludf.DUMMYFUNCTION("""COMPUTED_VALUE"""),"P13")</f>
        <v>P13</v>
      </c>
      <c r="L28" s="242" t="s">
        <v>681</v>
      </c>
      <c r="M28" s="263" t="str">
        <f t="shared" ca="1" si="0"/>
        <v xml:space="preserve">IndianRed  </v>
      </c>
      <c r="N28" s="264" t="str">
        <f ca="1">IFERROR(__xludf.DUMMYFUNCTION("FILTER(C:E,B:B=J28)"),"米子合同庁舎")</f>
        <v>米子合同庁舎</v>
      </c>
      <c r="O28" s="265">
        <f ca="1">IFERROR(__xludf.DUMMYFUNCTION("""COMPUTED_VALUE"""),35.427592)</f>
        <v>35.427591999999997</v>
      </c>
      <c r="P28" s="265">
        <f ca="1">IFERROR(__xludf.DUMMYFUNCTION("""COMPUTED_VALUE"""),133.332872)</f>
        <v>133.33287200000001</v>
      </c>
      <c r="Q28" s="264" t="str">
        <f ca="1">IFERROR(__xludf.DUMMYFUNCTION("FILTER(C:E,B:B=K28)"),"やっちゃん")</f>
        <v>やっちゃん</v>
      </c>
      <c r="R28" s="265">
        <f ca="1">IFERROR(__xludf.DUMMYFUNCTION("""COMPUTED_VALUE"""),35.427921)</f>
        <v>35.427920999999998</v>
      </c>
      <c r="S28" s="265">
        <f ca="1">IFERROR(__xludf.DUMMYFUNCTION("""COMPUTED_VALUE"""),133.334101)</f>
        <v>133.334101</v>
      </c>
      <c r="T28" s="264" t="str">
        <f ca="1">IFERROR(__xludf.DUMMYFUNCTION("FILTER(C:E,B:B=L28)")," ")</f>
        <v xml:space="preserve"> </v>
      </c>
      <c r="U28" s="40" t="str">
        <f ca="1">IFERROR(__xludf.DUMMYFUNCTION("""COMPUTED_VALUE""")," ")</f>
        <v xml:space="preserve"> </v>
      </c>
      <c r="V28" s="40" t="str">
        <f ca="1">IFERROR(__xludf.DUMMYFUNCTION("""COMPUTED_VALUE""")," ")</f>
        <v xml:space="preserve"> </v>
      </c>
      <c r="W28" s="40" t="str">
        <f t="shared" ca="1" si="21"/>
        <v>,</v>
      </c>
      <c r="X28" s="40" t="s">
        <v>682</v>
      </c>
      <c r="Y28" s="40" t="s">
        <v>683</v>
      </c>
      <c r="Z28" s="264">
        <f t="shared" ca="1" si="1"/>
        <v>35.427591999999997</v>
      </c>
      <c r="AA28" s="40" t="s">
        <v>684</v>
      </c>
      <c r="AB28" s="264">
        <f t="shared" ca="1" si="2"/>
        <v>133.33287200000001</v>
      </c>
      <c r="AC28" s="40" t="s">
        <v>685</v>
      </c>
      <c r="AD28" s="264">
        <f t="shared" ca="1" si="3"/>
        <v>35.427920999999998</v>
      </c>
      <c r="AE28" s="40" t="s">
        <v>684</v>
      </c>
      <c r="AF28" s="264">
        <f t="shared" ca="1" si="4"/>
        <v>133.334101</v>
      </c>
      <c r="AG28" s="40" t="s">
        <v>686</v>
      </c>
      <c r="AH28" s="264" t="str">
        <f t="shared" ca="1" si="5"/>
        <v xml:space="preserve"> </v>
      </c>
      <c r="AI28" s="40" t="s">
        <v>684</v>
      </c>
      <c r="AJ28" s="264" t="str">
        <f t="shared" ca="1" si="6"/>
        <v xml:space="preserve"> </v>
      </c>
      <c r="AK28" s="40" t="s">
        <v>687</v>
      </c>
      <c r="AL28" s="264" t="str">
        <f t="shared" ca="1" si="7"/>
        <v xml:space="preserve">IndianRed  </v>
      </c>
      <c r="AM28" s="40" t="s">
        <v>688</v>
      </c>
      <c r="AN28" s="40" t="str">
        <f t="shared" ca="1" si="8"/>
        <v>,{"type":"polygon","latLngs":[ {"lat":35.427592,"lng":133.332872}, {"lat":35.427921,"lng":133.334101},{"lat": ,"lng": }], "color":"IndianRed  "}</v>
      </c>
      <c r="AO28" s="266" t="s">
        <v>689</v>
      </c>
      <c r="AP28" s="56">
        <f t="shared" ca="1" si="9"/>
        <v>35.427591999999997</v>
      </c>
      <c r="AQ28" s="40" t="s">
        <v>684</v>
      </c>
      <c r="AR28" s="56">
        <f t="shared" ca="1" si="10"/>
        <v>133.33287200000001</v>
      </c>
      <c r="AS28" s="40" t="s">
        <v>686</v>
      </c>
      <c r="AT28" s="56">
        <f t="shared" ca="1" si="11"/>
        <v>35.427920999999998</v>
      </c>
      <c r="AU28" s="40" t="s">
        <v>684</v>
      </c>
      <c r="AV28" s="56">
        <f t="shared" ca="1" si="12"/>
        <v>133.334101</v>
      </c>
      <c r="AW28" s="40" t="s">
        <v>690</v>
      </c>
      <c r="AX28" s="40" t="str">
        <f t="shared" ca="1" si="13"/>
        <v xml:space="preserve">IndianRed  </v>
      </c>
      <c r="AY28" s="40" t="s">
        <v>688</v>
      </c>
      <c r="AZ28" s="40" t="str">
        <f t="shared" ca="1" si="14"/>
        <v>,{"type":"polyline","latLngs":[{"lat":35.427592,"lng":133.332872},{"lat":35.427921,"lng":133.334101}],"color":"IndianRed  "}</v>
      </c>
      <c r="BA28" s="40" t="s">
        <v>691</v>
      </c>
      <c r="BB28" s="56">
        <f t="shared" ca="1" si="15"/>
        <v>35.427591999999997</v>
      </c>
      <c r="BC28" s="40" t="s">
        <v>684</v>
      </c>
      <c r="BD28" s="56">
        <f t="shared" ca="1" si="16"/>
        <v>133.33287200000001</v>
      </c>
      <c r="BE28" s="40" t="s">
        <v>692</v>
      </c>
      <c r="BF28" s="40" t="str">
        <f t="shared" ca="1" si="17"/>
        <v xml:space="preserve">IndianRed  </v>
      </c>
      <c r="BG28" s="40" t="s">
        <v>688</v>
      </c>
      <c r="BH28" s="40" t="str">
        <f t="shared" ca="1" si="18"/>
        <v>,{"type":"marker","latLng":{"lat":35.427592,"lng":133.332872},"color":"IndianRed  "}</v>
      </c>
      <c r="BI28" s="40" t="s">
        <v>693</v>
      </c>
      <c r="BJ28" s="40" t="s">
        <v>694</v>
      </c>
      <c r="BK28" s="267" t="str">
        <f t="shared" ca="1" si="19"/>
        <v>,{"type":"polyline","latLngs":[{"lat":35.427592,"lng":133.332872},{"lat":35.427921,"lng":133.334101}],"color":"IndianRed  "}</v>
      </c>
      <c r="BL28" s="40"/>
      <c r="BM28" s="40"/>
      <c r="BN28" s="268" t="s">
        <v>681</v>
      </c>
      <c r="BO28" s="274" t="s">
        <v>698</v>
      </c>
    </row>
    <row r="29" spans="1:86" ht="15.75" customHeight="1">
      <c r="A29" s="40"/>
      <c r="B29" s="260" t="str">
        <f ca="1">IFERROR(__xludf.DUMMYFUNCTION("""COMPUTED_VALUE"""),"P21")</f>
        <v>P21</v>
      </c>
      <c r="C29" s="273" t="str">
        <f ca="1">IFERROR(__xludf.DUMMYFUNCTION("""COMPUTED_VALUE"""),"瑜伽堂地蔵")</f>
        <v>瑜伽堂地蔵</v>
      </c>
      <c r="D29" s="273">
        <f ca="1">IFERROR(__xludf.DUMMYFUNCTION("""COMPUTED_VALUE"""),35.429617)</f>
        <v>35.429617</v>
      </c>
      <c r="E29" s="273">
        <f ca="1">IFERROR(__xludf.DUMMYFUNCTION("""COMPUTED_VALUE"""),133.333667)</f>
        <v>133.33366699999999</v>
      </c>
      <c r="F29" s="40"/>
      <c r="G29" s="261"/>
      <c r="H29" s="262" t="s">
        <v>672</v>
      </c>
      <c r="I29" s="271" t="str">
        <f ca="1">IFERROR(__xludf.DUMMYFUNCTION("""COMPUTED_VALUE"""),"Agent02")</f>
        <v>Agent02</v>
      </c>
      <c r="J29" s="271" t="str">
        <f ca="1">IFERROR(__xludf.DUMMYFUNCTION("""COMPUTED_VALUE"""),"P10")</f>
        <v>P10</v>
      </c>
      <c r="K29" s="271" t="str">
        <f ca="1">IFERROR(__xludf.DUMMYFUNCTION("""COMPUTED_VALUE"""),"P08")</f>
        <v>P08</v>
      </c>
      <c r="L29" s="242" t="s">
        <v>681</v>
      </c>
      <c r="M29" s="263" t="str">
        <f t="shared" ca="1" si="0"/>
        <v xml:space="preserve">IndianRed  </v>
      </c>
      <c r="N29" s="264" t="str">
        <f ca="1">IFERROR(__xludf.DUMMYFUNCTION("FILTER(C:E,B:B=J29)"),"東京2020記念ゴールドポスト")</f>
        <v>東京2020記念ゴールドポスト</v>
      </c>
      <c r="O29" s="265">
        <f ca="1">IFERROR(__xludf.DUMMYFUNCTION("""COMPUTED_VALUE"""),35.427647)</f>
        <v>35.427647</v>
      </c>
      <c r="P29" s="265">
        <f ca="1">IFERROR(__xludf.DUMMYFUNCTION("""COMPUTED_VALUE"""),133.331387)</f>
        <v>133.33138700000001</v>
      </c>
      <c r="Q29" s="264" t="str">
        <f ca="1">IFERROR(__xludf.DUMMYFUNCTION("FILTER(C:E,B:B=K29)"),"米子合同庁舎")</f>
        <v>米子合同庁舎</v>
      </c>
      <c r="R29" s="265">
        <f ca="1">IFERROR(__xludf.DUMMYFUNCTION("""COMPUTED_VALUE"""),35.427592)</f>
        <v>35.427591999999997</v>
      </c>
      <c r="S29" s="265">
        <f ca="1">IFERROR(__xludf.DUMMYFUNCTION("""COMPUTED_VALUE"""),133.332872)</f>
        <v>133.33287200000001</v>
      </c>
      <c r="T29" s="264" t="str">
        <f ca="1">IFERROR(__xludf.DUMMYFUNCTION("FILTER(C:E,B:B=L29)")," ")</f>
        <v xml:space="preserve"> </v>
      </c>
      <c r="U29" s="40" t="str">
        <f ca="1">IFERROR(__xludf.DUMMYFUNCTION("""COMPUTED_VALUE""")," ")</f>
        <v xml:space="preserve"> </v>
      </c>
      <c r="V29" s="40" t="str">
        <f ca="1">IFERROR(__xludf.DUMMYFUNCTION("""COMPUTED_VALUE""")," ")</f>
        <v xml:space="preserve"> </v>
      </c>
      <c r="W29" s="40" t="str">
        <f t="shared" ca="1" si="21"/>
        <v>,</v>
      </c>
      <c r="X29" s="40" t="s">
        <v>682</v>
      </c>
      <c r="Y29" s="40" t="s">
        <v>683</v>
      </c>
      <c r="Z29" s="264">
        <f t="shared" ca="1" si="1"/>
        <v>35.427647</v>
      </c>
      <c r="AA29" s="40" t="s">
        <v>684</v>
      </c>
      <c r="AB29" s="264">
        <f t="shared" ca="1" si="2"/>
        <v>133.33138700000001</v>
      </c>
      <c r="AC29" s="40" t="s">
        <v>685</v>
      </c>
      <c r="AD29" s="264">
        <f t="shared" ca="1" si="3"/>
        <v>35.427591999999997</v>
      </c>
      <c r="AE29" s="40" t="s">
        <v>684</v>
      </c>
      <c r="AF29" s="264">
        <f t="shared" ca="1" si="4"/>
        <v>133.33287200000001</v>
      </c>
      <c r="AG29" s="40" t="s">
        <v>686</v>
      </c>
      <c r="AH29" s="264" t="str">
        <f t="shared" ca="1" si="5"/>
        <v xml:space="preserve"> </v>
      </c>
      <c r="AI29" s="40" t="s">
        <v>684</v>
      </c>
      <c r="AJ29" s="264" t="str">
        <f t="shared" ca="1" si="6"/>
        <v xml:space="preserve"> </v>
      </c>
      <c r="AK29" s="40" t="s">
        <v>687</v>
      </c>
      <c r="AL29" s="264" t="str">
        <f t="shared" ca="1" si="7"/>
        <v xml:space="preserve">IndianRed  </v>
      </c>
      <c r="AM29" s="40" t="s">
        <v>688</v>
      </c>
      <c r="AN29" s="40" t="str">
        <f t="shared" ca="1" si="8"/>
        <v>,{"type":"polygon","latLngs":[ {"lat":35.427647,"lng":133.331387}, {"lat":35.427592,"lng":133.332872},{"lat": ,"lng": }], "color":"IndianRed  "}</v>
      </c>
      <c r="AO29" s="266" t="s">
        <v>689</v>
      </c>
      <c r="AP29" s="56">
        <f t="shared" ca="1" si="9"/>
        <v>35.427647</v>
      </c>
      <c r="AQ29" s="40" t="s">
        <v>684</v>
      </c>
      <c r="AR29" s="56">
        <f t="shared" ca="1" si="10"/>
        <v>133.33138700000001</v>
      </c>
      <c r="AS29" s="40" t="s">
        <v>686</v>
      </c>
      <c r="AT29" s="56">
        <f t="shared" ca="1" si="11"/>
        <v>35.427591999999997</v>
      </c>
      <c r="AU29" s="40" t="s">
        <v>684</v>
      </c>
      <c r="AV29" s="56">
        <f t="shared" ca="1" si="12"/>
        <v>133.33287200000001</v>
      </c>
      <c r="AW29" s="40" t="s">
        <v>690</v>
      </c>
      <c r="AX29" s="40" t="str">
        <f t="shared" ca="1" si="13"/>
        <v xml:space="preserve">IndianRed  </v>
      </c>
      <c r="AY29" s="40" t="s">
        <v>688</v>
      </c>
      <c r="AZ29" s="40" t="str">
        <f t="shared" ca="1" si="14"/>
        <v>,{"type":"polyline","latLngs":[{"lat":35.427647,"lng":133.331387},{"lat":35.427592,"lng":133.332872}],"color":"IndianRed  "}</v>
      </c>
      <c r="BA29" s="40" t="s">
        <v>691</v>
      </c>
      <c r="BB29" s="56">
        <f t="shared" ca="1" si="15"/>
        <v>35.427647</v>
      </c>
      <c r="BC29" s="40" t="s">
        <v>684</v>
      </c>
      <c r="BD29" s="56">
        <f t="shared" ca="1" si="16"/>
        <v>133.33138700000001</v>
      </c>
      <c r="BE29" s="40" t="s">
        <v>692</v>
      </c>
      <c r="BF29" s="40" t="str">
        <f t="shared" ca="1" si="17"/>
        <v xml:space="preserve">IndianRed  </v>
      </c>
      <c r="BG29" s="40" t="s">
        <v>688</v>
      </c>
      <c r="BH29" s="40" t="str">
        <f t="shared" ca="1" si="18"/>
        <v>,{"type":"marker","latLng":{"lat":35.427647,"lng":133.331387},"color":"IndianRed  "}</v>
      </c>
      <c r="BI29" s="40" t="s">
        <v>693</v>
      </c>
      <c r="BJ29" s="40" t="s">
        <v>694</v>
      </c>
      <c r="BK29" s="267" t="str">
        <f t="shared" ca="1" si="19"/>
        <v>,{"type":"polyline","latLngs":[{"lat":35.427647,"lng":133.331387},{"lat":35.427592,"lng":133.332872}],"color":"IndianRed  "}</v>
      </c>
      <c r="BL29" s="40"/>
      <c r="BM29" s="40"/>
      <c r="BN29" s="268" t="s">
        <v>446</v>
      </c>
      <c r="BO29" s="274" t="s">
        <v>707</v>
      </c>
      <c r="BP29" s="275"/>
    </row>
    <row r="30" spans="1:86" ht="15.75" customHeight="1">
      <c r="A30" s="40"/>
      <c r="B30" s="260" t="str">
        <f ca="1">IFERROR(__xludf.DUMMYFUNCTION("""COMPUTED_VALUE"""),"P22")</f>
        <v>P22</v>
      </c>
      <c r="C30" s="273" t="str">
        <f ca="1">IFERROR(__xludf.DUMMYFUNCTION("""COMPUTED_VALUE"""),"旭橋のステンドグラスみたいな欄干")</f>
        <v>旭橋のステンドグラスみたいな欄干</v>
      </c>
      <c r="D30" s="273">
        <f ca="1">IFERROR(__xludf.DUMMYFUNCTION("""COMPUTED_VALUE"""),35.430262)</f>
        <v>35.430261999999999</v>
      </c>
      <c r="E30" s="273">
        <f ca="1">IFERROR(__xludf.DUMMYFUNCTION("""COMPUTED_VALUE"""),133.331595)</f>
        <v>133.33159499999999</v>
      </c>
      <c r="F30" s="40"/>
      <c r="G30" s="261"/>
      <c r="H30" s="262" t="s">
        <v>672</v>
      </c>
      <c r="I30" s="271" t="str">
        <f ca="1">IFERROR(__xludf.DUMMYFUNCTION("""COMPUTED_VALUE"""),"Agent02")</f>
        <v>Agent02</v>
      </c>
      <c r="J30" s="271" t="str">
        <f ca="1">IFERROR(__xludf.DUMMYFUNCTION("""COMPUTED_VALUE"""),"P15")</f>
        <v>P15</v>
      </c>
      <c r="K30" s="271" t="str">
        <f ca="1">IFERROR(__xludf.DUMMYFUNCTION("""COMPUTED_VALUE"""),"P10")</f>
        <v>P10</v>
      </c>
      <c r="L30" s="242" t="s">
        <v>681</v>
      </c>
      <c r="M30" s="263" t="str">
        <f t="shared" ca="1" si="0"/>
        <v xml:space="preserve">IndianRed  </v>
      </c>
      <c r="N30" s="264" t="str">
        <f ca="1">IFERROR(__xludf.DUMMYFUNCTION("FILTER(C:E,B:B=J30)"),"米子市役所")</f>
        <v>米子市役所</v>
      </c>
      <c r="O30" s="265">
        <f ca="1">IFERROR(__xludf.DUMMYFUNCTION("""COMPUTED_VALUE"""),35.428322)</f>
        <v>35.428322000000001</v>
      </c>
      <c r="P30" s="265">
        <f ca="1">IFERROR(__xludf.DUMMYFUNCTION("""COMPUTED_VALUE"""),133.3306)</f>
        <v>133.3306</v>
      </c>
      <c r="Q30" s="264" t="str">
        <f ca="1">IFERROR(__xludf.DUMMYFUNCTION("FILTER(C:E,B:B=K30)"),"東京2020記念ゴールドポスト")</f>
        <v>東京2020記念ゴールドポスト</v>
      </c>
      <c r="R30" s="265">
        <f ca="1">IFERROR(__xludf.DUMMYFUNCTION("""COMPUTED_VALUE"""),35.427647)</f>
        <v>35.427647</v>
      </c>
      <c r="S30" s="265">
        <f ca="1">IFERROR(__xludf.DUMMYFUNCTION("""COMPUTED_VALUE"""),133.331387)</f>
        <v>133.33138700000001</v>
      </c>
      <c r="T30" s="264" t="str">
        <f ca="1">IFERROR(__xludf.DUMMYFUNCTION("FILTER(C:E,B:B=L30)")," ")</f>
        <v xml:space="preserve"> </v>
      </c>
      <c r="U30" s="40" t="str">
        <f ca="1">IFERROR(__xludf.DUMMYFUNCTION("""COMPUTED_VALUE""")," ")</f>
        <v xml:space="preserve"> </v>
      </c>
      <c r="V30" s="40" t="str">
        <f ca="1">IFERROR(__xludf.DUMMYFUNCTION("""COMPUTED_VALUE""")," ")</f>
        <v xml:space="preserve"> </v>
      </c>
      <c r="W30" s="40" t="str">
        <f t="shared" ca="1" si="21"/>
        <v>,</v>
      </c>
      <c r="X30" s="40" t="s">
        <v>682</v>
      </c>
      <c r="Y30" s="40" t="s">
        <v>683</v>
      </c>
      <c r="Z30" s="264">
        <f t="shared" ca="1" si="1"/>
        <v>35.428322000000001</v>
      </c>
      <c r="AA30" s="40" t="s">
        <v>684</v>
      </c>
      <c r="AB30" s="264">
        <f t="shared" ca="1" si="2"/>
        <v>133.3306</v>
      </c>
      <c r="AC30" s="40" t="s">
        <v>685</v>
      </c>
      <c r="AD30" s="264">
        <f t="shared" ca="1" si="3"/>
        <v>35.427647</v>
      </c>
      <c r="AE30" s="40" t="s">
        <v>684</v>
      </c>
      <c r="AF30" s="264">
        <f t="shared" ca="1" si="4"/>
        <v>133.33138700000001</v>
      </c>
      <c r="AG30" s="40" t="s">
        <v>686</v>
      </c>
      <c r="AH30" s="264" t="str">
        <f t="shared" ca="1" si="5"/>
        <v xml:space="preserve"> </v>
      </c>
      <c r="AI30" s="40" t="s">
        <v>684</v>
      </c>
      <c r="AJ30" s="264" t="str">
        <f t="shared" ca="1" si="6"/>
        <v xml:space="preserve"> </v>
      </c>
      <c r="AK30" s="40" t="s">
        <v>687</v>
      </c>
      <c r="AL30" s="264" t="str">
        <f t="shared" ca="1" si="7"/>
        <v xml:space="preserve">IndianRed  </v>
      </c>
      <c r="AM30" s="40" t="s">
        <v>688</v>
      </c>
      <c r="AN30" s="40" t="str">
        <f t="shared" ca="1" si="8"/>
        <v>,{"type":"polygon","latLngs":[ {"lat":35.428322,"lng":133.3306}, {"lat":35.427647,"lng":133.331387},{"lat": ,"lng": }], "color":"IndianRed  "}</v>
      </c>
      <c r="AO30" s="266" t="s">
        <v>689</v>
      </c>
      <c r="AP30" s="56">
        <f t="shared" ca="1" si="9"/>
        <v>35.428322000000001</v>
      </c>
      <c r="AQ30" s="40" t="s">
        <v>684</v>
      </c>
      <c r="AR30" s="56">
        <f t="shared" ca="1" si="10"/>
        <v>133.3306</v>
      </c>
      <c r="AS30" s="40" t="s">
        <v>686</v>
      </c>
      <c r="AT30" s="56">
        <f t="shared" ca="1" si="11"/>
        <v>35.427647</v>
      </c>
      <c r="AU30" s="40" t="s">
        <v>684</v>
      </c>
      <c r="AV30" s="56">
        <f t="shared" ca="1" si="12"/>
        <v>133.33138700000001</v>
      </c>
      <c r="AW30" s="40" t="s">
        <v>690</v>
      </c>
      <c r="AX30" s="40" t="str">
        <f t="shared" ca="1" si="13"/>
        <v xml:space="preserve">IndianRed  </v>
      </c>
      <c r="AY30" s="40" t="s">
        <v>688</v>
      </c>
      <c r="AZ30" s="40" t="str">
        <f t="shared" ca="1" si="14"/>
        <v>,{"type":"polyline","latLngs":[{"lat":35.428322,"lng":133.3306},{"lat":35.427647,"lng":133.331387}],"color":"IndianRed  "}</v>
      </c>
      <c r="BA30" s="40" t="s">
        <v>691</v>
      </c>
      <c r="BB30" s="56">
        <f t="shared" ca="1" si="15"/>
        <v>35.428322000000001</v>
      </c>
      <c r="BC30" s="40" t="s">
        <v>684</v>
      </c>
      <c r="BD30" s="56">
        <f t="shared" ca="1" si="16"/>
        <v>133.3306</v>
      </c>
      <c r="BE30" s="40" t="s">
        <v>692</v>
      </c>
      <c r="BF30" s="40" t="str">
        <f t="shared" ca="1" si="17"/>
        <v xml:space="preserve">IndianRed  </v>
      </c>
      <c r="BG30" s="40" t="s">
        <v>688</v>
      </c>
      <c r="BH30" s="40" t="str">
        <f t="shared" ca="1" si="18"/>
        <v>,{"type":"marker","latLng":{"lat":35.428322,"lng":133.3306},"color":"IndianRed  "}</v>
      </c>
      <c r="BI30" s="40" t="s">
        <v>693</v>
      </c>
      <c r="BJ30" s="40" t="s">
        <v>694</v>
      </c>
      <c r="BK30" s="267" t="str">
        <f t="shared" ca="1" si="19"/>
        <v>,{"type":"polyline","latLngs":[{"lat":35.428322,"lng":133.3306},{"lat":35.427647,"lng":133.331387}],"color":"IndianRed  "}</v>
      </c>
      <c r="BL30" s="40"/>
      <c r="BM30" s="40"/>
      <c r="BN30" s="268" t="s">
        <v>452</v>
      </c>
      <c r="BO30" s="274" t="s">
        <v>708</v>
      </c>
      <c r="BP30" s="275"/>
    </row>
    <row r="31" spans="1:86" ht="15.75" customHeight="1">
      <c r="A31" s="40"/>
      <c r="B31" s="260" t="str">
        <f ca="1">IFERROR(__xludf.DUMMYFUNCTION("""COMPUTED_VALUE"""),"P23")</f>
        <v>P23</v>
      </c>
      <c r="C31" s="273" t="str">
        <f ca="1">IFERROR(__xludf.DUMMYFUNCTION("""COMPUTED_VALUE"""),"出現地蔵")</f>
        <v>出現地蔵</v>
      </c>
      <c r="D31" s="273">
        <f ca="1">IFERROR(__xludf.DUMMYFUNCTION("""COMPUTED_VALUE"""),35.430575)</f>
        <v>35.430574999999997</v>
      </c>
      <c r="E31" s="273">
        <f ca="1">IFERROR(__xludf.DUMMYFUNCTION("""COMPUTED_VALUE"""),133.330703)</f>
        <v>133.330703</v>
      </c>
      <c r="F31" s="40"/>
      <c r="G31" s="261"/>
      <c r="H31" s="262" t="s">
        <v>672</v>
      </c>
      <c r="I31" s="271" t="str">
        <f ca="1">IFERROR(__xludf.DUMMYFUNCTION("""COMPUTED_VALUE"""),"Agent02")</f>
        <v>Agent02</v>
      </c>
      <c r="J31" s="271" t="str">
        <f ca="1">IFERROR(__xludf.DUMMYFUNCTION("""COMPUTED_VALUE"""),"P18")</f>
        <v>P18</v>
      </c>
      <c r="K31" s="271" t="str">
        <f ca="1">IFERROR(__xludf.DUMMYFUNCTION("""COMPUTED_VALUE"""),"P15")</f>
        <v>P15</v>
      </c>
      <c r="L31" s="242" t="s">
        <v>681</v>
      </c>
      <c r="M31" s="263" t="str">
        <f t="shared" ca="1" si="0"/>
        <v xml:space="preserve">IndianRed  </v>
      </c>
      <c r="N31" s="264" t="str">
        <f ca="1">IFERROR(__xludf.DUMMYFUNCTION("FILTER(C:E,B:B=J31)"),"山陰歴史館")</f>
        <v>山陰歴史館</v>
      </c>
      <c r="O31" s="265">
        <f ca="1">IFERROR(__xludf.DUMMYFUNCTION("""COMPUTED_VALUE"""),35.429185)</f>
        <v>35.429184999999997</v>
      </c>
      <c r="P31" s="265">
        <f ca="1">IFERROR(__xludf.DUMMYFUNCTION("""COMPUTED_VALUE"""),133.33043)</f>
        <v>133.33043000000001</v>
      </c>
      <c r="Q31" s="264" t="str">
        <f ca="1">IFERROR(__xludf.DUMMYFUNCTION("FILTER(C:E,B:B=K31)"),"米子市役所")</f>
        <v>米子市役所</v>
      </c>
      <c r="R31" s="265">
        <f ca="1">IFERROR(__xludf.DUMMYFUNCTION("""COMPUTED_VALUE"""),35.428322)</f>
        <v>35.428322000000001</v>
      </c>
      <c r="S31" s="265">
        <f ca="1">IFERROR(__xludf.DUMMYFUNCTION("""COMPUTED_VALUE"""),133.3306)</f>
        <v>133.3306</v>
      </c>
      <c r="T31" s="264" t="str">
        <f ca="1">IFERROR(__xludf.DUMMYFUNCTION("FILTER(C:E,B:B=L31)")," ")</f>
        <v xml:space="preserve"> </v>
      </c>
      <c r="U31" s="40" t="str">
        <f ca="1">IFERROR(__xludf.DUMMYFUNCTION("""COMPUTED_VALUE""")," ")</f>
        <v xml:space="preserve"> </v>
      </c>
      <c r="V31" s="40" t="str">
        <f ca="1">IFERROR(__xludf.DUMMYFUNCTION("""COMPUTED_VALUE""")," ")</f>
        <v xml:space="preserve"> </v>
      </c>
      <c r="W31" s="40" t="str">
        <f t="shared" ca="1" si="21"/>
        <v>,</v>
      </c>
      <c r="X31" s="40" t="s">
        <v>682</v>
      </c>
      <c r="Y31" s="40" t="s">
        <v>683</v>
      </c>
      <c r="Z31" s="264">
        <f t="shared" ca="1" si="1"/>
        <v>35.429184999999997</v>
      </c>
      <c r="AA31" s="40" t="s">
        <v>684</v>
      </c>
      <c r="AB31" s="264">
        <f t="shared" ca="1" si="2"/>
        <v>133.33043000000001</v>
      </c>
      <c r="AC31" s="40" t="s">
        <v>685</v>
      </c>
      <c r="AD31" s="264">
        <f t="shared" ca="1" si="3"/>
        <v>35.428322000000001</v>
      </c>
      <c r="AE31" s="40" t="s">
        <v>684</v>
      </c>
      <c r="AF31" s="264">
        <f t="shared" ca="1" si="4"/>
        <v>133.3306</v>
      </c>
      <c r="AG31" s="40" t="s">
        <v>686</v>
      </c>
      <c r="AH31" s="264" t="str">
        <f t="shared" ca="1" si="5"/>
        <v xml:space="preserve"> </v>
      </c>
      <c r="AI31" s="40" t="s">
        <v>684</v>
      </c>
      <c r="AJ31" s="264" t="str">
        <f t="shared" ca="1" si="6"/>
        <v xml:space="preserve"> </v>
      </c>
      <c r="AK31" s="40" t="s">
        <v>687</v>
      </c>
      <c r="AL31" s="264" t="str">
        <f t="shared" ca="1" si="7"/>
        <v xml:space="preserve">IndianRed  </v>
      </c>
      <c r="AM31" s="40" t="s">
        <v>688</v>
      </c>
      <c r="AN31" s="40" t="str">
        <f t="shared" ca="1" si="8"/>
        <v>,{"type":"polygon","latLngs":[ {"lat":35.429185,"lng":133.33043}, {"lat":35.428322,"lng":133.3306},{"lat": ,"lng": }], "color":"IndianRed  "}</v>
      </c>
      <c r="AO31" s="266" t="s">
        <v>689</v>
      </c>
      <c r="AP31" s="56">
        <f t="shared" ca="1" si="9"/>
        <v>35.429184999999997</v>
      </c>
      <c r="AQ31" s="40" t="s">
        <v>684</v>
      </c>
      <c r="AR31" s="56">
        <f t="shared" ca="1" si="10"/>
        <v>133.33043000000001</v>
      </c>
      <c r="AS31" s="40" t="s">
        <v>686</v>
      </c>
      <c r="AT31" s="56">
        <f t="shared" ca="1" si="11"/>
        <v>35.428322000000001</v>
      </c>
      <c r="AU31" s="40" t="s">
        <v>684</v>
      </c>
      <c r="AV31" s="56">
        <f t="shared" ca="1" si="12"/>
        <v>133.3306</v>
      </c>
      <c r="AW31" s="40" t="s">
        <v>690</v>
      </c>
      <c r="AX31" s="40" t="str">
        <f t="shared" ca="1" si="13"/>
        <v xml:space="preserve">IndianRed  </v>
      </c>
      <c r="AY31" s="40" t="s">
        <v>688</v>
      </c>
      <c r="AZ31" s="40" t="str">
        <f t="shared" ca="1" si="14"/>
        <v>,{"type":"polyline","latLngs":[{"lat":35.429185,"lng":133.33043},{"lat":35.428322,"lng":133.3306}],"color":"IndianRed  "}</v>
      </c>
      <c r="BA31" s="40" t="s">
        <v>691</v>
      </c>
      <c r="BB31" s="56">
        <f t="shared" ca="1" si="15"/>
        <v>35.429184999999997</v>
      </c>
      <c r="BC31" s="40" t="s">
        <v>684</v>
      </c>
      <c r="BD31" s="56">
        <f t="shared" ca="1" si="16"/>
        <v>133.33043000000001</v>
      </c>
      <c r="BE31" s="40" t="s">
        <v>692</v>
      </c>
      <c r="BF31" s="40" t="str">
        <f t="shared" ca="1" si="17"/>
        <v xml:space="preserve">IndianRed  </v>
      </c>
      <c r="BG31" s="40" t="s">
        <v>688</v>
      </c>
      <c r="BH31" s="40" t="str">
        <f t="shared" ca="1" si="18"/>
        <v>,{"type":"marker","latLng":{"lat":35.429185,"lng":133.33043},"color":"IndianRed  "}</v>
      </c>
      <c r="BI31" s="40" t="s">
        <v>693</v>
      </c>
      <c r="BJ31" s="40" t="s">
        <v>694</v>
      </c>
      <c r="BK31" s="267" t="str">
        <f t="shared" ca="1" si="19"/>
        <v>,{"type":"polyline","latLngs":[{"lat":35.429185,"lng":133.33043},{"lat":35.428322,"lng":133.3306}],"color":"IndianRed  "}</v>
      </c>
      <c r="BL31" s="40"/>
      <c r="BM31" s="40"/>
      <c r="BN31" s="268" t="s">
        <v>456</v>
      </c>
      <c r="BO31" s="276" t="s">
        <v>709</v>
      </c>
    </row>
    <row r="32" spans="1:86" ht="17.5">
      <c r="A32" s="40"/>
      <c r="B32" s="260" t="str">
        <f ca="1">IFERROR(__xludf.DUMMYFUNCTION("""COMPUTED_VALUE"""),"P24")</f>
        <v>P24</v>
      </c>
      <c r="C32" s="273" t="str">
        <f ca="1">IFERROR(__xludf.DUMMYFUNCTION("""COMPUTED_VALUE"""),"咲い地蔵")</f>
        <v>咲い地蔵</v>
      </c>
      <c r="D32" s="273">
        <f ca="1">IFERROR(__xludf.DUMMYFUNCTION("""COMPUTED_VALUE"""),35.430601)</f>
        <v>35.430601000000003</v>
      </c>
      <c r="E32" s="273">
        <f ca="1">IFERROR(__xludf.DUMMYFUNCTION("""COMPUTED_VALUE"""),133.330977)</f>
        <v>133.33097699999999</v>
      </c>
      <c r="F32" s="40"/>
      <c r="G32" s="261"/>
      <c r="H32" s="262" t="s">
        <v>672</v>
      </c>
      <c r="I32" s="271" t="str">
        <f ca="1">IFERROR(__xludf.DUMMYFUNCTION("""COMPUTED_VALUE"""),"Agent02")</f>
        <v>Agent02</v>
      </c>
      <c r="J32" s="271" t="str">
        <f ca="1">IFERROR(__xludf.DUMMYFUNCTION("""COMPUTED_VALUE"""),"P24")</f>
        <v>P24</v>
      </c>
      <c r="K32" s="271" t="str">
        <f ca="1">IFERROR(__xludf.DUMMYFUNCTION("""COMPUTED_VALUE"""),"P23")</f>
        <v>P23</v>
      </c>
      <c r="L32" s="242" t="s">
        <v>681</v>
      </c>
      <c r="M32" s="263" t="str">
        <f t="shared" ca="1" si="0"/>
        <v xml:space="preserve">IndianRed  </v>
      </c>
      <c r="N32" s="264" t="str">
        <f ca="1">IFERROR(__xludf.DUMMYFUNCTION("FILTER(C:E,B:B=J32)"),"咲い地蔵")</f>
        <v>咲い地蔵</v>
      </c>
      <c r="O32" s="265">
        <f ca="1">IFERROR(__xludf.DUMMYFUNCTION("""COMPUTED_VALUE"""),35.430601)</f>
        <v>35.430601000000003</v>
      </c>
      <c r="P32" s="265">
        <f ca="1">IFERROR(__xludf.DUMMYFUNCTION("""COMPUTED_VALUE"""),133.330977)</f>
        <v>133.33097699999999</v>
      </c>
      <c r="Q32" s="264" t="str">
        <f ca="1">IFERROR(__xludf.DUMMYFUNCTION("FILTER(C:E,B:B=K32)"),"出現地蔵")</f>
        <v>出現地蔵</v>
      </c>
      <c r="R32" s="265">
        <f ca="1">IFERROR(__xludf.DUMMYFUNCTION("""COMPUTED_VALUE"""),35.430575)</f>
        <v>35.430574999999997</v>
      </c>
      <c r="S32" s="265">
        <f ca="1">IFERROR(__xludf.DUMMYFUNCTION("""COMPUTED_VALUE"""),133.330703)</f>
        <v>133.330703</v>
      </c>
      <c r="T32" s="264" t="str">
        <f ca="1">IFERROR(__xludf.DUMMYFUNCTION("FILTER(C:E,B:B=L32)")," ")</f>
        <v xml:space="preserve"> </v>
      </c>
      <c r="U32" s="40" t="str">
        <f ca="1">IFERROR(__xludf.DUMMYFUNCTION("""COMPUTED_VALUE""")," ")</f>
        <v xml:space="preserve"> </v>
      </c>
      <c r="V32" s="40" t="str">
        <f ca="1">IFERROR(__xludf.DUMMYFUNCTION("""COMPUTED_VALUE""")," ")</f>
        <v xml:space="preserve"> </v>
      </c>
      <c r="W32" s="40" t="str">
        <f t="shared" ca="1" si="21"/>
        <v>,</v>
      </c>
      <c r="X32" s="40" t="s">
        <v>682</v>
      </c>
      <c r="Y32" s="40" t="s">
        <v>683</v>
      </c>
      <c r="Z32" s="264">
        <f t="shared" ca="1" si="1"/>
        <v>35.430601000000003</v>
      </c>
      <c r="AA32" s="40" t="s">
        <v>684</v>
      </c>
      <c r="AB32" s="264">
        <f t="shared" ca="1" si="2"/>
        <v>133.33097699999999</v>
      </c>
      <c r="AC32" s="40" t="s">
        <v>685</v>
      </c>
      <c r="AD32" s="264">
        <f t="shared" ca="1" si="3"/>
        <v>35.430574999999997</v>
      </c>
      <c r="AE32" s="40" t="s">
        <v>684</v>
      </c>
      <c r="AF32" s="264">
        <f t="shared" ca="1" si="4"/>
        <v>133.330703</v>
      </c>
      <c r="AG32" s="40" t="s">
        <v>686</v>
      </c>
      <c r="AH32" s="264" t="str">
        <f t="shared" ca="1" si="5"/>
        <v xml:space="preserve"> </v>
      </c>
      <c r="AI32" s="40" t="s">
        <v>684</v>
      </c>
      <c r="AJ32" s="264" t="str">
        <f t="shared" ca="1" si="6"/>
        <v xml:space="preserve"> </v>
      </c>
      <c r="AK32" s="40" t="s">
        <v>687</v>
      </c>
      <c r="AL32" s="264" t="str">
        <f t="shared" ca="1" si="7"/>
        <v xml:space="preserve">IndianRed  </v>
      </c>
      <c r="AM32" s="40" t="s">
        <v>688</v>
      </c>
      <c r="AN32" s="40" t="str">
        <f t="shared" ca="1" si="8"/>
        <v>,{"type":"polygon","latLngs":[ {"lat":35.430601,"lng":133.330977}, {"lat":35.430575,"lng":133.330703},{"lat": ,"lng": }], "color":"IndianRed  "}</v>
      </c>
      <c r="AO32" s="266" t="s">
        <v>689</v>
      </c>
      <c r="AP32" s="56">
        <f t="shared" ca="1" si="9"/>
        <v>35.430601000000003</v>
      </c>
      <c r="AQ32" s="40" t="s">
        <v>684</v>
      </c>
      <c r="AR32" s="56">
        <f t="shared" ca="1" si="10"/>
        <v>133.33097699999999</v>
      </c>
      <c r="AS32" s="40" t="s">
        <v>686</v>
      </c>
      <c r="AT32" s="56">
        <f t="shared" ca="1" si="11"/>
        <v>35.430574999999997</v>
      </c>
      <c r="AU32" s="40" t="s">
        <v>684</v>
      </c>
      <c r="AV32" s="56">
        <f t="shared" ca="1" si="12"/>
        <v>133.330703</v>
      </c>
      <c r="AW32" s="40" t="s">
        <v>690</v>
      </c>
      <c r="AX32" s="40" t="str">
        <f t="shared" ca="1" si="13"/>
        <v xml:space="preserve">IndianRed  </v>
      </c>
      <c r="AY32" s="40" t="s">
        <v>688</v>
      </c>
      <c r="AZ32" s="40" t="str">
        <f t="shared" ca="1" si="14"/>
        <v>,{"type":"polyline","latLngs":[{"lat":35.430601,"lng":133.330977},{"lat":35.430575,"lng":133.330703}],"color":"IndianRed  "}</v>
      </c>
      <c r="BA32" s="40" t="s">
        <v>691</v>
      </c>
      <c r="BB32" s="56">
        <f t="shared" ca="1" si="15"/>
        <v>35.430601000000003</v>
      </c>
      <c r="BC32" s="40" t="s">
        <v>684</v>
      </c>
      <c r="BD32" s="56">
        <f t="shared" ca="1" si="16"/>
        <v>133.33097699999999</v>
      </c>
      <c r="BE32" s="40" t="s">
        <v>692</v>
      </c>
      <c r="BF32" s="40" t="str">
        <f t="shared" ca="1" si="17"/>
        <v xml:space="preserve">IndianRed  </v>
      </c>
      <c r="BG32" s="40" t="s">
        <v>688</v>
      </c>
      <c r="BH32" s="40" t="str">
        <f t="shared" ca="1" si="18"/>
        <v>,{"type":"marker","latLng":{"lat":35.430601,"lng":133.330977},"color":"IndianRed  "}</v>
      </c>
      <c r="BI32" s="40" t="s">
        <v>693</v>
      </c>
      <c r="BJ32" s="40" t="s">
        <v>694</v>
      </c>
      <c r="BK32" s="267" t="str">
        <f t="shared" ca="1" si="19"/>
        <v>,{"type":"polyline","latLngs":[{"lat":35.430601,"lng":133.330977},{"lat":35.430575,"lng":133.330703}],"color":"IndianRed  "}</v>
      </c>
      <c r="BL32" s="40"/>
      <c r="BM32" s="40"/>
      <c r="BN32" s="268" t="s">
        <v>459</v>
      </c>
      <c r="BO32" s="274" t="s">
        <v>710</v>
      </c>
      <c r="BP32" s="275"/>
    </row>
    <row r="33" spans="1:68" ht="17.5">
      <c r="A33" s="40"/>
      <c r="B33" s="260" t="str">
        <f ca="1">IFERROR(__xludf.DUMMYFUNCTION("""COMPUTED_VALUE"""),"P25")</f>
        <v>P25</v>
      </c>
      <c r="C33" s="273" t="str">
        <f ca="1">IFERROR(__xludf.DUMMYFUNCTION("""COMPUTED_VALUE"""),"カッパのコンちゃん")</f>
        <v>カッパのコンちゃん</v>
      </c>
      <c r="D33" s="273">
        <f ca="1">IFERROR(__xludf.DUMMYFUNCTION("""COMPUTED_VALUE"""),35.43071)</f>
        <v>35.430709999999998</v>
      </c>
      <c r="E33" s="273">
        <f ca="1">IFERROR(__xludf.DUMMYFUNCTION("""COMPUTED_VALUE"""),133.329038)</f>
        <v>133.329038</v>
      </c>
      <c r="F33" s="40"/>
      <c r="G33" s="261"/>
      <c r="H33" s="262" t="s">
        <v>672</v>
      </c>
      <c r="I33" s="271" t="str">
        <f ca="1">IFERROR(__xludf.DUMMYFUNCTION("""COMPUTED_VALUE"""),"Agent02")</f>
        <v>Agent02</v>
      </c>
      <c r="J33" s="271" t="str">
        <f ca="1">IFERROR(__xludf.DUMMYFUNCTION("""COMPUTED_VALUE"""),"P22")</f>
        <v>P22</v>
      </c>
      <c r="K33" s="271" t="str">
        <f ca="1">IFERROR(__xludf.DUMMYFUNCTION("""COMPUTED_VALUE"""),"P23")</f>
        <v>P23</v>
      </c>
      <c r="L33" s="242" t="s">
        <v>681</v>
      </c>
      <c r="M33" s="263" t="str">
        <f t="shared" ca="1" si="0"/>
        <v xml:space="preserve">IndianRed  </v>
      </c>
      <c r="N33" s="264" t="str">
        <f ca="1">IFERROR(__xludf.DUMMYFUNCTION("FILTER(C:E,B:B=J33)"),"旭橋のステンドグラスみたいな欄干")</f>
        <v>旭橋のステンドグラスみたいな欄干</v>
      </c>
      <c r="O33" s="265">
        <f ca="1">IFERROR(__xludf.DUMMYFUNCTION("""COMPUTED_VALUE"""),35.430262)</f>
        <v>35.430261999999999</v>
      </c>
      <c r="P33" s="265">
        <f ca="1">IFERROR(__xludf.DUMMYFUNCTION("""COMPUTED_VALUE"""),133.331595)</f>
        <v>133.33159499999999</v>
      </c>
      <c r="Q33" s="264" t="str">
        <f ca="1">IFERROR(__xludf.DUMMYFUNCTION("FILTER(C:E,B:B=K33)"),"出現地蔵")</f>
        <v>出現地蔵</v>
      </c>
      <c r="R33" s="265">
        <f ca="1">IFERROR(__xludf.DUMMYFUNCTION("""COMPUTED_VALUE"""),35.430575)</f>
        <v>35.430574999999997</v>
      </c>
      <c r="S33" s="265">
        <f ca="1">IFERROR(__xludf.DUMMYFUNCTION("""COMPUTED_VALUE"""),133.330703)</f>
        <v>133.330703</v>
      </c>
      <c r="T33" s="264" t="str">
        <f ca="1">IFERROR(__xludf.DUMMYFUNCTION("FILTER(C:E,B:B=L33)")," ")</f>
        <v xml:space="preserve"> </v>
      </c>
      <c r="U33" s="40" t="str">
        <f ca="1">IFERROR(__xludf.DUMMYFUNCTION("""COMPUTED_VALUE""")," ")</f>
        <v xml:space="preserve"> </v>
      </c>
      <c r="V33" s="40" t="str">
        <f ca="1">IFERROR(__xludf.DUMMYFUNCTION("""COMPUTED_VALUE""")," ")</f>
        <v xml:space="preserve"> </v>
      </c>
      <c r="W33" s="40" t="str">
        <f t="shared" ca="1" si="21"/>
        <v>,</v>
      </c>
      <c r="X33" s="40" t="s">
        <v>682</v>
      </c>
      <c r="Y33" s="40" t="s">
        <v>683</v>
      </c>
      <c r="Z33" s="264">
        <f t="shared" ca="1" si="1"/>
        <v>35.430261999999999</v>
      </c>
      <c r="AA33" s="40" t="s">
        <v>684</v>
      </c>
      <c r="AB33" s="264">
        <f t="shared" ca="1" si="2"/>
        <v>133.33159499999999</v>
      </c>
      <c r="AC33" s="40" t="s">
        <v>685</v>
      </c>
      <c r="AD33" s="264">
        <f t="shared" ca="1" si="3"/>
        <v>35.430574999999997</v>
      </c>
      <c r="AE33" s="40" t="s">
        <v>684</v>
      </c>
      <c r="AF33" s="264">
        <f t="shared" ca="1" si="4"/>
        <v>133.330703</v>
      </c>
      <c r="AG33" s="40" t="s">
        <v>686</v>
      </c>
      <c r="AH33" s="264" t="str">
        <f t="shared" ca="1" si="5"/>
        <v xml:space="preserve"> </v>
      </c>
      <c r="AI33" s="40" t="s">
        <v>684</v>
      </c>
      <c r="AJ33" s="264" t="str">
        <f t="shared" ca="1" si="6"/>
        <v xml:space="preserve"> </v>
      </c>
      <c r="AK33" s="40" t="s">
        <v>687</v>
      </c>
      <c r="AL33" s="264" t="str">
        <f t="shared" ca="1" si="7"/>
        <v xml:space="preserve">IndianRed  </v>
      </c>
      <c r="AM33" s="40" t="s">
        <v>688</v>
      </c>
      <c r="AN33" s="40" t="str">
        <f t="shared" ca="1" si="8"/>
        <v>,{"type":"polygon","latLngs":[ {"lat":35.430262,"lng":133.331595}, {"lat":35.430575,"lng":133.330703},{"lat": ,"lng": }], "color":"IndianRed  "}</v>
      </c>
      <c r="AO33" s="266" t="s">
        <v>689</v>
      </c>
      <c r="AP33" s="56">
        <f t="shared" ca="1" si="9"/>
        <v>35.430261999999999</v>
      </c>
      <c r="AQ33" s="40" t="s">
        <v>684</v>
      </c>
      <c r="AR33" s="56">
        <f t="shared" ca="1" si="10"/>
        <v>133.33159499999999</v>
      </c>
      <c r="AS33" s="40" t="s">
        <v>686</v>
      </c>
      <c r="AT33" s="56">
        <f t="shared" ca="1" si="11"/>
        <v>35.430574999999997</v>
      </c>
      <c r="AU33" s="40" t="s">
        <v>684</v>
      </c>
      <c r="AV33" s="56">
        <f t="shared" ca="1" si="12"/>
        <v>133.330703</v>
      </c>
      <c r="AW33" s="40" t="s">
        <v>690</v>
      </c>
      <c r="AX33" s="40" t="str">
        <f t="shared" ca="1" si="13"/>
        <v xml:space="preserve">IndianRed  </v>
      </c>
      <c r="AY33" s="40" t="s">
        <v>688</v>
      </c>
      <c r="AZ33" s="40" t="str">
        <f t="shared" ca="1" si="14"/>
        <v>,{"type":"polyline","latLngs":[{"lat":35.430262,"lng":133.331595},{"lat":35.430575,"lng":133.330703}],"color":"IndianRed  "}</v>
      </c>
      <c r="BA33" s="40" t="s">
        <v>691</v>
      </c>
      <c r="BB33" s="56">
        <f t="shared" ca="1" si="15"/>
        <v>35.430261999999999</v>
      </c>
      <c r="BC33" s="40" t="s">
        <v>684</v>
      </c>
      <c r="BD33" s="56">
        <f t="shared" ca="1" si="16"/>
        <v>133.33159499999999</v>
      </c>
      <c r="BE33" s="40" t="s">
        <v>692</v>
      </c>
      <c r="BF33" s="40" t="str">
        <f t="shared" ca="1" si="17"/>
        <v xml:space="preserve">IndianRed  </v>
      </c>
      <c r="BG33" s="40" t="s">
        <v>688</v>
      </c>
      <c r="BH33" s="40" t="str">
        <f t="shared" ca="1" si="18"/>
        <v>,{"type":"marker","latLng":{"lat":35.430262,"lng":133.331595},"color":"IndianRed  "}</v>
      </c>
      <c r="BI33" s="40" t="s">
        <v>693</v>
      </c>
      <c r="BJ33" s="40" t="s">
        <v>694</v>
      </c>
      <c r="BK33" s="267" t="str">
        <f t="shared" ca="1" si="19"/>
        <v>,{"type":"polyline","latLngs":[{"lat":35.430262,"lng":133.331595},{"lat":35.430575,"lng":133.330703}],"color":"IndianRed  "}</v>
      </c>
      <c r="BL33" s="40"/>
      <c r="BM33" s="40"/>
      <c r="BN33" s="268" t="s">
        <v>462</v>
      </c>
      <c r="BO33" s="274" t="s">
        <v>711</v>
      </c>
      <c r="BP33" s="275"/>
    </row>
    <row r="34" spans="1:68" ht="17.5">
      <c r="A34" s="40"/>
      <c r="B34" s="260" t="str">
        <f ca="1">IFERROR(__xludf.DUMMYFUNCTION("""COMPUTED_VALUE"""),"P26")</f>
        <v>P26</v>
      </c>
      <c r="C34" s="273" t="str">
        <f ca="1">IFERROR(__xludf.DUMMYFUNCTION("""COMPUTED_VALUE"""),"宇気河口神社 鳥居")</f>
        <v>宇気河口神社 鳥居</v>
      </c>
      <c r="D34" s="273">
        <f ca="1">IFERROR(__xludf.DUMMYFUNCTION("""COMPUTED_VALUE"""),35.431111)</f>
        <v>35.431111000000001</v>
      </c>
      <c r="E34" s="273">
        <f ca="1">IFERROR(__xludf.DUMMYFUNCTION("""COMPUTED_VALUE"""),133.32436)</f>
        <v>133.32436000000001</v>
      </c>
      <c r="F34" s="40"/>
      <c r="G34" s="261"/>
      <c r="H34" s="262" t="s">
        <v>672</v>
      </c>
      <c r="I34" s="271" t="str">
        <f ca="1">IFERROR(__xludf.DUMMYFUNCTION("""COMPUTED_VALUE"""),"Agent02")</f>
        <v>Agent02</v>
      </c>
      <c r="J34" s="271" t="str">
        <f ca="1">IFERROR(__xludf.DUMMYFUNCTION("""COMPUTED_VALUE"""),"P22")</f>
        <v>P22</v>
      </c>
      <c r="K34" s="271" t="str">
        <f ca="1">IFERROR(__xludf.DUMMYFUNCTION("""COMPUTED_VALUE"""),"P24")</f>
        <v>P24</v>
      </c>
      <c r="L34" s="242" t="s">
        <v>681</v>
      </c>
      <c r="M34" s="263" t="str">
        <f t="shared" ca="1" si="0"/>
        <v xml:space="preserve">IndianRed  </v>
      </c>
      <c r="N34" s="264" t="str">
        <f ca="1">IFERROR(__xludf.DUMMYFUNCTION("FILTER(C:E,B:B=J34)"),"旭橋のステンドグラスみたいな欄干")</f>
        <v>旭橋のステンドグラスみたいな欄干</v>
      </c>
      <c r="O34" s="265">
        <f ca="1">IFERROR(__xludf.DUMMYFUNCTION("""COMPUTED_VALUE"""),35.430262)</f>
        <v>35.430261999999999</v>
      </c>
      <c r="P34" s="265">
        <f ca="1">IFERROR(__xludf.DUMMYFUNCTION("""COMPUTED_VALUE"""),133.331595)</f>
        <v>133.33159499999999</v>
      </c>
      <c r="Q34" s="264" t="str">
        <f ca="1">IFERROR(__xludf.DUMMYFUNCTION("FILTER(C:E,B:B=K34)"),"咲い地蔵")</f>
        <v>咲い地蔵</v>
      </c>
      <c r="R34" s="265">
        <f ca="1">IFERROR(__xludf.DUMMYFUNCTION("""COMPUTED_VALUE"""),35.430601)</f>
        <v>35.430601000000003</v>
      </c>
      <c r="S34" s="265">
        <f ca="1">IFERROR(__xludf.DUMMYFUNCTION("""COMPUTED_VALUE"""),133.330977)</f>
        <v>133.33097699999999</v>
      </c>
      <c r="T34" s="264" t="str">
        <f ca="1">IFERROR(__xludf.DUMMYFUNCTION("FILTER(C:E,B:B=L34)")," ")</f>
        <v xml:space="preserve"> </v>
      </c>
      <c r="U34" s="40" t="str">
        <f ca="1">IFERROR(__xludf.DUMMYFUNCTION("""COMPUTED_VALUE""")," ")</f>
        <v xml:space="preserve"> </v>
      </c>
      <c r="V34" s="40" t="str">
        <f ca="1">IFERROR(__xludf.DUMMYFUNCTION("""COMPUTED_VALUE""")," ")</f>
        <v xml:space="preserve"> </v>
      </c>
      <c r="W34" s="40" t="str">
        <f t="shared" ca="1" si="21"/>
        <v>,</v>
      </c>
      <c r="X34" s="40" t="s">
        <v>682</v>
      </c>
      <c r="Y34" s="40" t="s">
        <v>683</v>
      </c>
      <c r="Z34" s="264">
        <f t="shared" ca="1" si="1"/>
        <v>35.430261999999999</v>
      </c>
      <c r="AA34" s="40" t="s">
        <v>684</v>
      </c>
      <c r="AB34" s="264">
        <f t="shared" ca="1" si="2"/>
        <v>133.33159499999999</v>
      </c>
      <c r="AC34" s="40" t="s">
        <v>685</v>
      </c>
      <c r="AD34" s="264">
        <f t="shared" ca="1" si="3"/>
        <v>35.430601000000003</v>
      </c>
      <c r="AE34" s="40" t="s">
        <v>684</v>
      </c>
      <c r="AF34" s="264">
        <f t="shared" ca="1" si="4"/>
        <v>133.33097699999999</v>
      </c>
      <c r="AG34" s="40" t="s">
        <v>686</v>
      </c>
      <c r="AH34" s="264" t="str">
        <f t="shared" ca="1" si="5"/>
        <v xml:space="preserve"> </v>
      </c>
      <c r="AI34" s="40" t="s">
        <v>684</v>
      </c>
      <c r="AJ34" s="264" t="str">
        <f t="shared" ca="1" si="6"/>
        <v xml:space="preserve"> </v>
      </c>
      <c r="AK34" s="40" t="s">
        <v>687</v>
      </c>
      <c r="AL34" s="264" t="str">
        <f t="shared" ca="1" si="7"/>
        <v xml:space="preserve">IndianRed  </v>
      </c>
      <c r="AM34" s="40" t="s">
        <v>688</v>
      </c>
      <c r="AN34" s="40" t="str">
        <f t="shared" ca="1" si="8"/>
        <v>,{"type":"polygon","latLngs":[ {"lat":35.430262,"lng":133.331595}, {"lat":35.430601,"lng":133.330977},{"lat": ,"lng": }], "color":"IndianRed  "}</v>
      </c>
      <c r="AO34" s="266" t="s">
        <v>689</v>
      </c>
      <c r="AP34" s="56">
        <f t="shared" ca="1" si="9"/>
        <v>35.430261999999999</v>
      </c>
      <c r="AQ34" s="40" t="s">
        <v>684</v>
      </c>
      <c r="AR34" s="56">
        <f t="shared" ca="1" si="10"/>
        <v>133.33159499999999</v>
      </c>
      <c r="AS34" s="40" t="s">
        <v>686</v>
      </c>
      <c r="AT34" s="56">
        <f t="shared" ca="1" si="11"/>
        <v>35.430601000000003</v>
      </c>
      <c r="AU34" s="40" t="s">
        <v>684</v>
      </c>
      <c r="AV34" s="56">
        <f t="shared" ca="1" si="12"/>
        <v>133.33097699999999</v>
      </c>
      <c r="AW34" s="40" t="s">
        <v>690</v>
      </c>
      <c r="AX34" s="40" t="str">
        <f t="shared" ca="1" si="13"/>
        <v xml:space="preserve">IndianRed  </v>
      </c>
      <c r="AY34" s="40" t="s">
        <v>688</v>
      </c>
      <c r="AZ34" s="40" t="str">
        <f t="shared" ca="1" si="14"/>
        <v>,{"type":"polyline","latLngs":[{"lat":35.430262,"lng":133.331595},{"lat":35.430601,"lng":133.330977}],"color":"IndianRed  "}</v>
      </c>
      <c r="BA34" s="40" t="s">
        <v>691</v>
      </c>
      <c r="BB34" s="56">
        <f t="shared" ca="1" si="15"/>
        <v>35.430261999999999</v>
      </c>
      <c r="BC34" s="40" t="s">
        <v>684</v>
      </c>
      <c r="BD34" s="56">
        <f t="shared" ca="1" si="16"/>
        <v>133.33159499999999</v>
      </c>
      <c r="BE34" s="40" t="s">
        <v>692</v>
      </c>
      <c r="BF34" s="40" t="str">
        <f t="shared" ca="1" si="17"/>
        <v xml:space="preserve">IndianRed  </v>
      </c>
      <c r="BG34" s="40" t="s">
        <v>688</v>
      </c>
      <c r="BH34" s="40" t="str">
        <f t="shared" ca="1" si="18"/>
        <v>,{"type":"marker","latLng":{"lat":35.430262,"lng":133.331595},"color":"IndianRed  "}</v>
      </c>
      <c r="BI34" s="40" t="s">
        <v>693</v>
      </c>
      <c r="BJ34" s="40" t="s">
        <v>694</v>
      </c>
      <c r="BK34" s="267" t="str">
        <f t="shared" ca="1" si="19"/>
        <v>,{"type":"polyline","latLngs":[{"lat":35.430262,"lng":133.331595},{"lat":35.430601,"lng":133.330977}],"color":"IndianRed  "}</v>
      </c>
      <c r="BL34" s="40"/>
      <c r="BM34" s="40"/>
      <c r="BN34" s="268" t="s">
        <v>467</v>
      </c>
      <c r="BO34" s="274" t="s">
        <v>712</v>
      </c>
      <c r="BP34" s="275"/>
    </row>
    <row r="35" spans="1:68" ht="17.5">
      <c r="A35" s="40"/>
      <c r="B35" s="260" t="str">
        <f ca="1">IFERROR(__xludf.DUMMYFUNCTION("""COMPUTED_VALUE"""),"P27")</f>
        <v>P27</v>
      </c>
      <c r="C35" s="273" t="str">
        <f ca="1">IFERROR(__xludf.DUMMYFUNCTION("""COMPUTED_VALUE"""),"感謝之碑")</f>
        <v>感謝之碑</v>
      </c>
      <c r="D35" s="273">
        <f ca="1">IFERROR(__xludf.DUMMYFUNCTION("""COMPUTED_VALUE"""),35.431215)</f>
        <v>35.431215000000002</v>
      </c>
      <c r="E35" s="273">
        <f ca="1">IFERROR(__xludf.DUMMYFUNCTION("""COMPUTED_VALUE"""),133.327846)</f>
        <v>133.32784599999999</v>
      </c>
      <c r="F35" s="40"/>
      <c r="G35" s="261"/>
      <c r="H35" s="262" t="s">
        <v>672</v>
      </c>
      <c r="I35" s="271" t="str">
        <f ca="1">IFERROR(__xludf.DUMMYFUNCTION("""COMPUTED_VALUE"""),"Agent02")</f>
        <v>Agent02</v>
      </c>
      <c r="J35" s="271" t="str">
        <f ca="1">IFERROR(__xludf.DUMMYFUNCTION("""COMPUTED_VALUE"""),"P20")</f>
        <v>P20</v>
      </c>
      <c r="K35" s="271" t="str">
        <f ca="1">IFERROR(__xludf.DUMMYFUNCTION("""COMPUTED_VALUE"""),"P18")</f>
        <v>P18</v>
      </c>
      <c r="L35" s="242" t="s">
        <v>681</v>
      </c>
      <c r="M35" s="263" t="str">
        <f t="shared" ca="1" si="0"/>
        <v xml:space="preserve">IndianRed  </v>
      </c>
      <c r="N35" s="264" t="str">
        <f ca="1">IFERROR(__xludf.DUMMYFUNCTION("FILTER(C:E,B:B=J35)"),"加茂かめ")</f>
        <v>加茂かめ</v>
      </c>
      <c r="O35" s="265">
        <f ca="1">IFERROR(__xludf.DUMMYFUNCTION("""COMPUTED_VALUE"""),35.429615)</f>
        <v>35.429614999999998</v>
      </c>
      <c r="P35" s="265">
        <f ca="1">IFERROR(__xludf.DUMMYFUNCTION("""COMPUTED_VALUE"""),133.332531)</f>
        <v>133.33253099999999</v>
      </c>
      <c r="Q35" s="264" t="str">
        <f ca="1">IFERROR(__xludf.DUMMYFUNCTION("FILTER(C:E,B:B=K35)"),"山陰歴史館")</f>
        <v>山陰歴史館</v>
      </c>
      <c r="R35" s="265">
        <f ca="1">IFERROR(__xludf.DUMMYFUNCTION("""COMPUTED_VALUE"""),35.429185)</f>
        <v>35.429184999999997</v>
      </c>
      <c r="S35" s="265">
        <f ca="1">IFERROR(__xludf.DUMMYFUNCTION("""COMPUTED_VALUE"""),133.33043)</f>
        <v>133.33043000000001</v>
      </c>
      <c r="T35" s="264" t="str">
        <f ca="1">IFERROR(__xludf.DUMMYFUNCTION("FILTER(C:E,B:B=L35)")," ")</f>
        <v xml:space="preserve"> </v>
      </c>
      <c r="U35" s="40" t="str">
        <f ca="1">IFERROR(__xludf.DUMMYFUNCTION("""COMPUTED_VALUE""")," ")</f>
        <v xml:space="preserve"> </v>
      </c>
      <c r="V35" s="40" t="str">
        <f ca="1">IFERROR(__xludf.DUMMYFUNCTION("""COMPUTED_VALUE""")," ")</f>
        <v xml:space="preserve"> </v>
      </c>
      <c r="W35" s="40" t="str">
        <f t="shared" ca="1" si="21"/>
        <v>,</v>
      </c>
      <c r="X35" s="40" t="s">
        <v>682</v>
      </c>
      <c r="Y35" s="40" t="s">
        <v>683</v>
      </c>
      <c r="Z35" s="264">
        <f t="shared" ca="1" si="1"/>
        <v>35.429614999999998</v>
      </c>
      <c r="AA35" s="40" t="s">
        <v>684</v>
      </c>
      <c r="AB35" s="264">
        <f t="shared" ca="1" si="2"/>
        <v>133.33253099999999</v>
      </c>
      <c r="AC35" s="40" t="s">
        <v>685</v>
      </c>
      <c r="AD35" s="264">
        <f t="shared" ca="1" si="3"/>
        <v>35.429184999999997</v>
      </c>
      <c r="AE35" s="40" t="s">
        <v>684</v>
      </c>
      <c r="AF35" s="264">
        <f t="shared" ca="1" si="4"/>
        <v>133.33043000000001</v>
      </c>
      <c r="AG35" s="40" t="s">
        <v>686</v>
      </c>
      <c r="AH35" s="264" t="str">
        <f t="shared" ca="1" si="5"/>
        <v xml:space="preserve"> </v>
      </c>
      <c r="AI35" s="40" t="s">
        <v>684</v>
      </c>
      <c r="AJ35" s="264" t="str">
        <f t="shared" ca="1" si="6"/>
        <v xml:space="preserve"> </v>
      </c>
      <c r="AK35" s="40" t="s">
        <v>687</v>
      </c>
      <c r="AL35" s="264" t="str">
        <f t="shared" ca="1" si="7"/>
        <v xml:space="preserve">IndianRed  </v>
      </c>
      <c r="AM35" s="40" t="s">
        <v>688</v>
      </c>
      <c r="AN35" s="40" t="str">
        <f t="shared" ca="1" si="8"/>
        <v>,{"type":"polygon","latLngs":[ {"lat":35.429615,"lng":133.332531}, {"lat":35.429185,"lng":133.33043},{"lat": ,"lng": }], "color":"IndianRed  "}</v>
      </c>
      <c r="AO35" s="266" t="s">
        <v>689</v>
      </c>
      <c r="AP35" s="56">
        <f t="shared" ca="1" si="9"/>
        <v>35.429614999999998</v>
      </c>
      <c r="AQ35" s="40" t="s">
        <v>684</v>
      </c>
      <c r="AR35" s="56">
        <f t="shared" ca="1" si="10"/>
        <v>133.33253099999999</v>
      </c>
      <c r="AS35" s="40" t="s">
        <v>686</v>
      </c>
      <c r="AT35" s="56">
        <f t="shared" ca="1" si="11"/>
        <v>35.429184999999997</v>
      </c>
      <c r="AU35" s="40" t="s">
        <v>684</v>
      </c>
      <c r="AV35" s="56">
        <f t="shared" ca="1" si="12"/>
        <v>133.33043000000001</v>
      </c>
      <c r="AW35" s="40" t="s">
        <v>690</v>
      </c>
      <c r="AX35" s="40" t="str">
        <f t="shared" ca="1" si="13"/>
        <v xml:space="preserve">IndianRed  </v>
      </c>
      <c r="AY35" s="40" t="s">
        <v>688</v>
      </c>
      <c r="AZ35" s="40" t="str">
        <f t="shared" ca="1" si="14"/>
        <v>,{"type":"polyline","latLngs":[{"lat":35.429615,"lng":133.332531},{"lat":35.429185,"lng":133.33043}],"color":"IndianRed  "}</v>
      </c>
      <c r="BA35" s="40" t="s">
        <v>691</v>
      </c>
      <c r="BB35" s="56">
        <f t="shared" ca="1" si="15"/>
        <v>35.429614999999998</v>
      </c>
      <c r="BC35" s="40" t="s">
        <v>684</v>
      </c>
      <c r="BD35" s="56">
        <f t="shared" ca="1" si="16"/>
        <v>133.33253099999999</v>
      </c>
      <c r="BE35" s="40" t="s">
        <v>692</v>
      </c>
      <c r="BF35" s="40" t="str">
        <f t="shared" ca="1" si="17"/>
        <v xml:space="preserve">IndianRed  </v>
      </c>
      <c r="BG35" s="40" t="s">
        <v>688</v>
      </c>
      <c r="BH35" s="40" t="str">
        <f t="shared" ca="1" si="18"/>
        <v>,{"type":"marker","latLng":{"lat":35.429615,"lng":133.332531},"color":"IndianRed  "}</v>
      </c>
      <c r="BI35" s="40" t="s">
        <v>693</v>
      </c>
      <c r="BJ35" s="40" t="s">
        <v>694</v>
      </c>
      <c r="BK35" s="267" t="str">
        <f t="shared" ca="1" si="19"/>
        <v>,{"type":"polyline","latLngs":[{"lat":35.429615,"lng":133.332531},{"lat":35.429185,"lng":133.33043}],"color":"IndianRed  "}</v>
      </c>
      <c r="BL35" s="40"/>
      <c r="BM35" s="40"/>
      <c r="BN35" s="268" t="s">
        <v>471</v>
      </c>
      <c r="BO35" s="276" t="s">
        <v>713</v>
      </c>
    </row>
    <row r="36" spans="1:68" ht="17.5">
      <c r="A36" s="40"/>
      <c r="B36" s="260" t="str">
        <f ca="1">IFERROR(__xludf.DUMMYFUNCTION("""COMPUTED_VALUE"""),"P28")</f>
        <v>P28</v>
      </c>
      <c r="C36" s="273" t="str">
        <f ca="1">IFERROR(__xludf.DUMMYFUNCTION("""COMPUTED_VALUE"""),"荒魂神社")</f>
        <v>荒魂神社</v>
      </c>
      <c r="D36" s="273">
        <f ca="1">IFERROR(__xludf.DUMMYFUNCTION("""COMPUTED_VALUE"""),35.431417)</f>
        <v>35.431417000000003</v>
      </c>
      <c r="E36" s="273">
        <f ca="1">IFERROR(__xludf.DUMMYFUNCTION("""COMPUTED_VALUE"""),133.338208)</f>
        <v>133.33820800000001</v>
      </c>
      <c r="F36" s="40"/>
      <c r="G36" s="261"/>
      <c r="H36" s="262" t="s">
        <v>672</v>
      </c>
      <c r="I36" s="271" t="str">
        <f ca="1">IFERROR(__xludf.DUMMYFUNCTION("""COMPUTED_VALUE"""),"Agent02")</f>
        <v>Agent02</v>
      </c>
      <c r="J36" s="271" t="str">
        <f ca="1">IFERROR(__xludf.DUMMYFUNCTION("""COMPUTED_VALUE"""),"P21")</f>
        <v>P21</v>
      </c>
      <c r="K36" s="271" t="str">
        <f ca="1">IFERROR(__xludf.DUMMYFUNCTION("""COMPUTED_VALUE"""),"P20")</f>
        <v>P20</v>
      </c>
      <c r="L36" s="242" t="s">
        <v>681</v>
      </c>
      <c r="M36" s="263" t="str">
        <f t="shared" ca="1" si="0"/>
        <v xml:space="preserve">IndianRed  </v>
      </c>
      <c r="N36" s="264" t="str">
        <f ca="1">IFERROR(__xludf.DUMMYFUNCTION("FILTER(C:E,B:B=J36)"),"瑜伽堂地蔵")</f>
        <v>瑜伽堂地蔵</v>
      </c>
      <c r="O36" s="265">
        <f ca="1">IFERROR(__xludf.DUMMYFUNCTION("""COMPUTED_VALUE"""),35.429617)</f>
        <v>35.429617</v>
      </c>
      <c r="P36" s="265">
        <f ca="1">IFERROR(__xludf.DUMMYFUNCTION("""COMPUTED_VALUE"""),133.333667)</f>
        <v>133.33366699999999</v>
      </c>
      <c r="Q36" s="264" t="str">
        <f ca="1">IFERROR(__xludf.DUMMYFUNCTION("FILTER(C:E,B:B=K36)"),"加茂かめ")</f>
        <v>加茂かめ</v>
      </c>
      <c r="R36" s="265">
        <f ca="1">IFERROR(__xludf.DUMMYFUNCTION("""COMPUTED_VALUE"""),35.429615)</f>
        <v>35.429614999999998</v>
      </c>
      <c r="S36" s="265">
        <f ca="1">IFERROR(__xludf.DUMMYFUNCTION("""COMPUTED_VALUE"""),133.332531)</f>
        <v>133.33253099999999</v>
      </c>
      <c r="T36" s="264" t="str">
        <f ca="1">IFERROR(__xludf.DUMMYFUNCTION("FILTER(C:E,B:B=L36)")," ")</f>
        <v xml:space="preserve"> </v>
      </c>
      <c r="U36" s="40" t="str">
        <f ca="1">IFERROR(__xludf.DUMMYFUNCTION("""COMPUTED_VALUE""")," ")</f>
        <v xml:space="preserve"> </v>
      </c>
      <c r="V36" s="40" t="str">
        <f ca="1">IFERROR(__xludf.DUMMYFUNCTION("""COMPUTED_VALUE""")," ")</f>
        <v xml:space="preserve"> </v>
      </c>
      <c r="W36" s="40" t="str">
        <f t="shared" ca="1" si="21"/>
        <v>,</v>
      </c>
      <c r="X36" s="40" t="s">
        <v>682</v>
      </c>
      <c r="Y36" s="40" t="s">
        <v>683</v>
      </c>
      <c r="Z36" s="264">
        <f t="shared" ca="1" si="1"/>
        <v>35.429617</v>
      </c>
      <c r="AA36" s="40" t="s">
        <v>684</v>
      </c>
      <c r="AB36" s="264">
        <f t="shared" ca="1" si="2"/>
        <v>133.33366699999999</v>
      </c>
      <c r="AC36" s="40" t="s">
        <v>685</v>
      </c>
      <c r="AD36" s="264">
        <f t="shared" ca="1" si="3"/>
        <v>35.429614999999998</v>
      </c>
      <c r="AE36" s="40" t="s">
        <v>684</v>
      </c>
      <c r="AF36" s="264">
        <f t="shared" ca="1" si="4"/>
        <v>133.33253099999999</v>
      </c>
      <c r="AG36" s="40" t="s">
        <v>686</v>
      </c>
      <c r="AH36" s="264" t="str">
        <f t="shared" ca="1" si="5"/>
        <v xml:space="preserve"> </v>
      </c>
      <c r="AI36" s="40" t="s">
        <v>684</v>
      </c>
      <c r="AJ36" s="264" t="str">
        <f t="shared" ca="1" si="6"/>
        <v xml:space="preserve"> </v>
      </c>
      <c r="AK36" s="40" t="s">
        <v>687</v>
      </c>
      <c r="AL36" s="264" t="str">
        <f t="shared" ca="1" si="7"/>
        <v xml:space="preserve">IndianRed  </v>
      </c>
      <c r="AM36" s="40" t="s">
        <v>688</v>
      </c>
      <c r="AN36" s="40" t="str">
        <f t="shared" ca="1" si="8"/>
        <v>,{"type":"polygon","latLngs":[ {"lat":35.429617,"lng":133.333667}, {"lat":35.429615,"lng":133.332531},{"lat": ,"lng": }], "color":"IndianRed  "}</v>
      </c>
      <c r="AO36" s="266" t="s">
        <v>689</v>
      </c>
      <c r="AP36" s="56">
        <f t="shared" ca="1" si="9"/>
        <v>35.429617</v>
      </c>
      <c r="AQ36" s="40" t="s">
        <v>684</v>
      </c>
      <c r="AR36" s="56">
        <f t="shared" ca="1" si="10"/>
        <v>133.33366699999999</v>
      </c>
      <c r="AS36" s="40" t="s">
        <v>686</v>
      </c>
      <c r="AT36" s="56">
        <f t="shared" ca="1" si="11"/>
        <v>35.429614999999998</v>
      </c>
      <c r="AU36" s="40" t="s">
        <v>684</v>
      </c>
      <c r="AV36" s="56">
        <f t="shared" ca="1" si="12"/>
        <v>133.33253099999999</v>
      </c>
      <c r="AW36" s="40" t="s">
        <v>690</v>
      </c>
      <c r="AX36" s="40" t="str">
        <f t="shared" ca="1" si="13"/>
        <v xml:space="preserve">IndianRed  </v>
      </c>
      <c r="AY36" s="40" t="s">
        <v>688</v>
      </c>
      <c r="AZ36" s="40" t="str">
        <f t="shared" ca="1" si="14"/>
        <v>,{"type":"polyline","latLngs":[{"lat":35.429617,"lng":133.333667},{"lat":35.429615,"lng":133.332531}],"color":"IndianRed  "}</v>
      </c>
      <c r="BA36" s="40" t="s">
        <v>691</v>
      </c>
      <c r="BB36" s="56">
        <f t="shared" ca="1" si="15"/>
        <v>35.429617</v>
      </c>
      <c r="BC36" s="40" t="s">
        <v>684</v>
      </c>
      <c r="BD36" s="56">
        <f t="shared" ca="1" si="16"/>
        <v>133.33366699999999</v>
      </c>
      <c r="BE36" s="40" t="s">
        <v>692</v>
      </c>
      <c r="BF36" s="40" t="str">
        <f t="shared" ca="1" si="17"/>
        <v xml:space="preserve">IndianRed  </v>
      </c>
      <c r="BG36" s="40" t="s">
        <v>688</v>
      </c>
      <c r="BH36" s="40" t="str">
        <f t="shared" ca="1" si="18"/>
        <v>,{"type":"marker","latLng":{"lat":35.429617,"lng":133.333667},"color":"IndianRed  "}</v>
      </c>
      <c r="BI36" s="40" t="s">
        <v>693</v>
      </c>
      <c r="BJ36" s="40" t="s">
        <v>694</v>
      </c>
      <c r="BK36" s="267" t="str">
        <f t="shared" ca="1" si="19"/>
        <v>,{"type":"polyline","latLngs":[{"lat":35.429617,"lng":133.333667},{"lat":35.429615,"lng":133.332531}],"color":"IndianRed  "}</v>
      </c>
      <c r="BL36" s="40"/>
      <c r="BM36" s="40"/>
      <c r="BN36" s="268" t="s">
        <v>475</v>
      </c>
      <c r="BO36" s="276" t="s">
        <v>702</v>
      </c>
    </row>
    <row r="37" spans="1:68" ht="17.5">
      <c r="A37" s="40"/>
      <c r="B37" s="260" t="str">
        <f ca="1">IFERROR(__xludf.DUMMYFUNCTION("""COMPUTED_VALUE"""),"P29")</f>
        <v>P29</v>
      </c>
      <c r="C37" s="273" t="str">
        <f ca="1">IFERROR(__xludf.DUMMYFUNCTION("""COMPUTED_VALUE"""),"川守り地蔵")</f>
        <v>川守り地蔵</v>
      </c>
      <c r="D37" s="273">
        <f ca="1">IFERROR(__xludf.DUMMYFUNCTION("""COMPUTED_VALUE"""),35.431469)</f>
        <v>35.431469</v>
      </c>
      <c r="E37" s="273">
        <f ca="1">IFERROR(__xludf.DUMMYFUNCTION("""COMPUTED_VALUE"""),133.329779)</f>
        <v>133.329779</v>
      </c>
      <c r="F37" s="40"/>
      <c r="G37" s="261"/>
      <c r="H37" s="262" t="s">
        <v>672</v>
      </c>
      <c r="I37" s="271" t="str">
        <f ca="1">IFERROR(__xludf.DUMMYFUNCTION("""COMPUTED_VALUE"""),"Agent02")</f>
        <v>Agent02</v>
      </c>
      <c r="J37" s="271" t="str">
        <f ca="1">IFERROR(__xludf.DUMMYFUNCTION("""COMPUTED_VALUE"""),"P19")</f>
        <v>P19</v>
      </c>
      <c r="K37" s="271" t="str">
        <f ca="1">IFERROR(__xludf.DUMMYFUNCTION("""COMPUTED_VALUE"""),"P21")</f>
        <v>P21</v>
      </c>
      <c r="L37" s="242" t="s">
        <v>681</v>
      </c>
      <c r="M37" s="263" t="str">
        <f t="shared" ca="1" si="0"/>
        <v xml:space="preserve">IndianRed  </v>
      </c>
      <c r="N37" s="264" t="str">
        <f ca="1">IFERROR(__xludf.DUMMYFUNCTION("FILTER(C:E,B:B=J37)"),"天理教米城分教会")</f>
        <v>天理教米城分教会</v>
      </c>
      <c r="O37" s="265">
        <f ca="1">IFERROR(__xludf.DUMMYFUNCTION("""COMPUTED_VALUE"""),35.429514)</f>
        <v>35.429513999999998</v>
      </c>
      <c r="P37" s="265">
        <f ca="1">IFERROR(__xludf.DUMMYFUNCTION("""COMPUTED_VALUE"""),133.335564)</f>
        <v>133.33556400000001</v>
      </c>
      <c r="Q37" s="264" t="str">
        <f ca="1">IFERROR(__xludf.DUMMYFUNCTION("FILTER(C:E,B:B=K37)"),"瑜伽堂地蔵")</f>
        <v>瑜伽堂地蔵</v>
      </c>
      <c r="R37" s="265">
        <f ca="1">IFERROR(__xludf.DUMMYFUNCTION("""COMPUTED_VALUE"""),35.429617)</f>
        <v>35.429617</v>
      </c>
      <c r="S37" s="265">
        <f ca="1">IFERROR(__xludf.DUMMYFUNCTION("""COMPUTED_VALUE"""),133.333667)</f>
        <v>133.33366699999999</v>
      </c>
      <c r="T37" s="264" t="str">
        <f ca="1">IFERROR(__xludf.DUMMYFUNCTION("FILTER(C:E,B:B=L37)")," ")</f>
        <v xml:space="preserve"> </v>
      </c>
      <c r="U37" s="40" t="str">
        <f ca="1">IFERROR(__xludf.DUMMYFUNCTION("""COMPUTED_VALUE""")," ")</f>
        <v xml:space="preserve"> </v>
      </c>
      <c r="V37" s="40" t="str">
        <f ca="1">IFERROR(__xludf.DUMMYFUNCTION("""COMPUTED_VALUE""")," ")</f>
        <v xml:space="preserve"> </v>
      </c>
      <c r="W37" s="40" t="str">
        <f t="shared" ca="1" si="21"/>
        <v>,</v>
      </c>
      <c r="X37" s="40" t="s">
        <v>682</v>
      </c>
      <c r="Y37" s="40" t="s">
        <v>683</v>
      </c>
      <c r="Z37" s="264">
        <f t="shared" ca="1" si="1"/>
        <v>35.429513999999998</v>
      </c>
      <c r="AA37" s="40" t="s">
        <v>684</v>
      </c>
      <c r="AB37" s="264">
        <f t="shared" ca="1" si="2"/>
        <v>133.33556400000001</v>
      </c>
      <c r="AC37" s="40" t="s">
        <v>685</v>
      </c>
      <c r="AD37" s="264">
        <f t="shared" ca="1" si="3"/>
        <v>35.429617</v>
      </c>
      <c r="AE37" s="40" t="s">
        <v>684</v>
      </c>
      <c r="AF37" s="264">
        <f t="shared" ca="1" si="4"/>
        <v>133.33366699999999</v>
      </c>
      <c r="AG37" s="40" t="s">
        <v>686</v>
      </c>
      <c r="AH37" s="264" t="str">
        <f t="shared" ca="1" si="5"/>
        <v xml:space="preserve"> </v>
      </c>
      <c r="AI37" s="40" t="s">
        <v>684</v>
      </c>
      <c r="AJ37" s="264" t="str">
        <f t="shared" ca="1" si="6"/>
        <v xml:space="preserve"> </v>
      </c>
      <c r="AK37" s="40" t="s">
        <v>687</v>
      </c>
      <c r="AL37" s="264" t="str">
        <f t="shared" ca="1" si="7"/>
        <v xml:space="preserve">IndianRed  </v>
      </c>
      <c r="AM37" s="40" t="s">
        <v>688</v>
      </c>
      <c r="AN37" s="40" t="str">
        <f t="shared" ca="1" si="8"/>
        <v>,{"type":"polygon","latLngs":[ {"lat":35.429514,"lng":133.335564}, {"lat":35.429617,"lng":133.333667},{"lat": ,"lng": }], "color":"IndianRed  "}</v>
      </c>
      <c r="AO37" s="266" t="s">
        <v>689</v>
      </c>
      <c r="AP37" s="56">
        <f t="shared" ca="1" si="9"/>
        <v>35.429513999999998</v>
      </c>
      <c r="AQ37" s="40" t="s">
        <v>684</v>
      </c>
      <c r="AR37" s="56">
        <f t="shared" ca="1" si="10"/>
        <v>133.33556400000001</v>
      </c>
      <c r="AS37" s="40" t="s">
        <v>686</v>
      </c>
      <c r="AT37" s="56">
        <f t="shared" ca="1" si="11"/>
        <v>35.429617</v>
      </c>
      <c r="AU37" s="40" t="s">
        <v>684</v>
      </c>
      <c r="AV37" s="56">
        <f t="shared" ca="1" si="12"/>
        <v>133.33366699999999</v>
      </c>
      <c r="AW37" s="40" t="s">
        <v>690</v>
      </c>
      <c r="AX37" s="40" t="str">
        <f t="shared" ca="1" si="13"/>
        <v xml:space="preserve">IndianRed  </v>
      </c>
      <c r="AY37" s="40" t="s">
        <v>688</v>
      </c>
      <c r="AZ37" s="40" t="str">
        <f t="shared" ca="1" si="14"/>
        <v>,{"type":"polyline","latLngs":[{"lat":35.429514,"lng":133.335564},{"lat":35.429617,"lng":133.333667}],"color":"IndianRed  "}</v>
      </c>
      <c r="BA37" s="40" t="s">
        <v>691</v>
      </c>
      <c r="BB37" s="56">
        <f t="shared" ca="1" si="15"/>
        <v>35.429513999999998</v>
      </c>
      <c r="BC37" s="40" t="s">
        <v>684</v>
      </c>
      <c r="BD37" s="56">
        <f t="shared" ca="1" si="16"/>
        <v>133.33556400000001</v>
      </c>
      <c r="BE37" s="40" t="s">
        <v>692</v>
      </c>
      <c r="BF37" s="40" t="str">
        <f t="shared" ca="1" si="17"/>
        <v xml:space="preserve">IndianRed  </v>
      </c>
      <c r="BG37" s="40" t="s">
        <v>688</v>
      </c>
      <c r="BH37" s="40" t="str">
        <f t="shared" ca="1" si="18"/>
        <v>,{"type":"marker","latLng":{"lat":35.429514,"lng":133.335564},"color":"IndianRed  "}</v>
      </c>
      <c r="BI37" s="40" t="s">
        <v>693</v>
      </c>
      <c r="BJ37" s="40" t="s">
        <v>694</v>
      </c>
      <c r="BK37" s="267" t="str">
        <f t="shared" ca="1" si="19"/>
        <v>,{"type":"polyline","latLngs":[{"lat":35.429514,"lng":133.335564},{"lat":35.429617,"lng":133.333667}],"color":"IndianRed  "}</v>
      </c>
      <c r="BL37" s="40"/>
      <c r="BM37" s="40"/>
      <c r="BN37" s="268" t="s">
        <v>714</v>
      </c>
      <c r="BO37" s="276" t="s">
        <v>715</v>
      </c>
    </row>
    <row r="38" spans="1:68" ht="17.5">
      <c r="A38" s="40"/>
      <c r="B38" s="260" t="str">
        <f ca="1">IFERROR(__xludf.DUMMYFUNCTION("""COMPUTED_VALUE"""),"P30")</f>
        <v>P30</v>
      </c>
      <c r="C38" s="273" t="str">
        <f ca="1">IFERROR(__xludf.DUMMYFUNCTION("""COMPUTED_VALUE"""),"今井書店創業の地")</f>
        <v>今井書店創業の地</v>
      </c>
      <c r="D38" s="273">
        <f ca="1">IFERROR(__xludf.DUMMYFUNCTION("""COMPUTED_VALUE"""),35.431619)</f>
        <v>35.431618999999998</v>
      </c>
      <c r="E38" s="273">
        <f ca="1">IFERROR(__xludf.DUMMYFUNCTION("""COMPUTED_VALUE"""),133.328789)</f>
        <v>133.328789</v>
      </c>
      <c r="F38" s="40"/>
      <c r="G38" s="261"/>
      <c r="H38" s="262" t="s">
        <v>672</v>
      </c>
      <c r="I38" s="271" t="str">
        <f ca="1">IFERROR(__xludf.DUMMYFUNCTION("""COMPUTED_VALUE"""),"Agent02")</f>
        <v>Agent02</v>
      </c>
      <c r="J38" s="271" t="str">
        <f ca="1">IFERROR(__xludf.DUMMYFUNCTION("""COMPUTED_VALUE"""),"P17")</f>
        <v>P17</v>
      </c>
      <c r="K38" s="271" t="str">
        <f ca="1">IFERROR(__xludf.DUMMYFUNCTION("""COMPUTED_VALUE"""),"P19")</f>
        <v>P19</v>
      </c>
      <c r="L38" s="242" t="s">
        <v>681</v>
      </c>
      <c r="M38" s="263" t="str">
        <f t="shared" ca="1" si="0"/>
        <v xml:space="preserve">IndianRed  </v>
      </c>
      <c r="N38" s="264" t="str">
        <f ca="1">IFERROR(__xludf.DUMMYFUNCTION("FILTER(C:E,B:B=J38)"),"法勝寺町橋地蔵")</f>
        <v>法勝寺町橋地蔵</v>
      </c>
      <c r="O38" s="265">
        <f ca="1">IFERROR(__xludf.DUMMYFUNCTION("""COMPUTED_VALUE"""),35.42905)</f>
        <v>35.429049999999997</v>
      </c>
      <c r="P38" s="265">
        <f ca="1">IFERROR(__xludf.DUMMYFUNCTION("""COMPUTED_VALUE"""),133.335491)</f>
        <v>133.33549099999999</v>
      </c>
      <c r="Q38" s="264" t="str">
        <f ca="1">IFERROR(__xludf.DUMMYFUNCTION("FILTER(C:E,B:B=K38)"),"天理教米城分教会")</f>
        <v>天理教米城分教会</v>
      </c>
      <c r="R38" s="265">
        <f ca="1">IFERROR(__xludf.DUMMYFUNCTION("""COMPUTED_VALUE"""),35.429514)</f>
        <v>35.429513999999998</v>
      </c>
      <c r="S38" s="265">
        <f ca="1">IFERROR(__xludf.DUMMYFUNCTION("""COMPUTED_VALUE"""),133.335564)</f>
        <v>133.33556400000001</v>
      </c>
      <c r="T38" s="264" t="str">
        <f ca="1">IFERROR(__xludf.DUMMYFUNCTION("FILTER(C:E,B:B=L38)")," ")</f>
        <v xml:space="preserve"> </v>
      </c>
      <c r="U38" s="40" t="str">
        <f ca="1">IFERROR(__xludf.DUMMYFUNCTION("""COMPUTED_VALUE""")," ")</f>
        <v xml:space="preserve"> </v>
      </c>
      <c r="V38" s="40" t="str">
        <f ca="1">IFERROR(__xludf.DUMMYFUNCTION("""COMPUTED_VALUE""")," ")</f>
        <v xml:space="preserve"> </v>
      </c>
      <c r="W38" s="40" t="str">
        <f t="shared" ca="1" si="21"/>
        <v>,</v>
      </c>
      <c r="X38" s="40" t="s">
        <v>682</v>
      </c>
      <c r="Y38" s="40" t="s">
        <v>683</v>
      </c>
      <c r="Z38" s="264">
        <f t="shared" ca="1" si="1"/>
        <v>35.429049999999997</v>
      </c>
      <c r="AA38" s="40" t="s">
        <v>684</v>
      </c>
      <c r="AB38" s="264">
        <f t="shared" ca="1" si="2"/>
        <v>133.33549099999999</v>
      </c>
      <c r="AC38" s="40" t="s">
        <v>685</v>
      </c>
      <c r="AD38" s="264">
        <f t="shared" ca="1" si="3"/>
        <v>35.429513999999998</v>
      </c>
      <c r="AE38" s="40" t="s">
        <v>684</v>
      </c>
      <c r="AF38" s="264">
        <f t="shared" ca="1" si="4"/>
        <v>133.33556400000001</v>
      </c>
      <c r="AG38" s="40" t="s">
        <v>686</v>
      </c>
      <c r="AH38" s="264" t="str">
        <f t="shared" ca="1" si="5"/>
        <v xml:space="preserve"> </v>
      </c>
      <c r="AI38" s="40" t="s">
        <v>684</v>
      </c>
      <c r="AJ38" s="264" t="str">
        <f t="shared" ca="1" si="6"/>
        <v xml:space="preserve"> </v>
      </c>
      <c r="AK38" s="40" t="s">
        <v>687</v>
      </c>
      <c r="AL38" s="264" t="str">
        <f t="shared" ca="1" si="7"/>
        <v xml:space="preserve">IndianRed  </v>
      </c>
      <c r="AM38" s="40" t="s">
        <v>688</v>
      </c>
      <c r="AN38" s="40" t="str">
        <f t="shared" ca="1" si="8"/>
        <v>,{"type":"polygon","latLngs":[ {"lat":35.42905,"lng":133.335491}, {"lat":35.429514,"lng":133.335564},{"lat": ,"lng": }], "color":"IndianRed  "}</v>
      </c>
      <c r="AO38" s="266" t="s">
        <v>689</v>
      </c>
      <c r="AP38" s="56">
        <f t="shared" ca="1" si="9"/>
        <v>35.429049999999997</v>
      </c>
      <c r="AQ38" s="40" t="s">
        <v>684</v>
      </c>
      <c r="AR38" s="56">
        <f t="shared" ca="1" si="10"/>
        <v>133.33549099999999</v>
      </c>
      <c r="AS38" s="40" t="s">
        <v>686</v>
      </c>
      <c r="AT38" s="56">
        <f t="shared" ca="1" si="11"/>
        <v>35.429513999999998</v>
      </c>
      <c r="AU38" s="40" t="s">
        <v>684</v>
      </c>
      <c r="AV38" s="56">
        <f t="shared" ca="1" si="12"/>
        <v>133.33556400000001</v>
      </c>
      <c r="AW38" s="40" t="s">
        <v>690</v>
      </c>
      <c r="AX38" s="40" t="str">
        <f t="shared" ca="1" si="13"/>
        <v xml:space="preserve">IndianRed  </v>
      </c>
      <c r="AY38" s="40" t="s">
        <v>688</v>
      </c>
      <c r="AZ38" s="40" t="str">
        <f t="shared" ca="1" si="14"/>
        <v>,{"type":"polyline","latLngs":[{"lat":35.42905,"lng":133.335491},{"lat":35.429514,"lng":133.335564}],"color":"IndianRed  "}</v>
      </c>
      <c r="BA38" s="40" t="s">
        <v>691</v>
      </c>
      <c r="BB38" s="56">
        <f t="shared" ca="1" si="15"/>
        <v>35.429049999999997</v>
      </c>
      <c r="BC38" s="40" t="s">
        <v>684</v>
      </c>
      <c r="BD38" s="56">
        <f t="shared" ca="1" si="16"/>
        <v>133.33549099999999</v>
      </c>
      <c r="BE38" s="40" t="s">
        <v>692</v>
      </c>
      <c r="BF38" s="40" t="str">
        <f t="shared" ca="1" si="17"/>
        <v xml:space="preserve">IndianRed  </v>
      </c>
      <c r="BG38" s="40" t="s">
        <v>688</v>
      </c>
      <c r="BH38" s="40" t="str">
        <f t="shared" ca="1" si="18"/>
        <v>,{"type":"marker","latLng":{"lat":35.42905,"lng":133.335491},"color":"IndianRed  "}</v>
      </c>
      <c r="BI38" s="40" t="s">
        <v>693</v>
      </c>
      <c r="BJ38" s="40" t="s">
        <v>694</v>
      </c>
      <c r="BK38" s="267" t="str">
        <f t="shared" ca="1" si="19"/>
        <v>,{"type":"polyline","latLngs":[{"lat":35.42905,"lng":133.335491},{"lat":35.429514,"lng":133.335564}],"color":"IndianRed  "}</v>
      </c>
      <c r="BL38" s="40"/>
      <c r="BM38" s="40"/>
      <c r="BN38" s="268" t="s">
        <v>716</v>
      </c>
      <c r="BO38" s="276" t="s">
        <v>717</v>
      </c>
    </row>
    <row r="39" spans="1:68" ht="17.5">
      <c r="A39" s="40"/>
      <c r="B39" s="260" t="str">
        <f ca="1">IFERROR(__xludf.DUMMYFUNCTION("""COMPUTED_VALUE"""),"P31")</f>
        <v>P31</v>
      </c>
      <c r="C39" s="273" t="str">
        <f ca="1">IFERROR(__xludf.DUMMYFUNCTION("""COMPUTED_VALUE"""),"歯科医院のマスコット")</f>
        <v>歯科医院のマスコット</v>
      </c>
      <c r="D39" s="273">
        <f ca="1">IFERROR(__xludf.DUMMYFUNCTION("""COMPUTED_VALUE"""),35.43165)</f>
        <v>35.431649999999998</v>
      </c>
      <c r="E39" s="273">
        <f ca="1">IFERROR(__xludf.DUMMYFUNCTION("""COMPUTED_VALUE"""),133.336166)</f>
        <v>133.33616599999999</v>
      </c>
      <c r="F39" s="40"/>
      <c r="G39" s="261"/>
      <c r="H39" s="262" t="s">
        <v>672</v>
      </c>
      <c r="I39" s="271" t="str">
        <f ca="1">IFERROR(__xludf.DUMMYFUNCTION("""COMPUTED_VALUE"""),"Agent02")</f>
        <v>Agent02</v>
      </c>
      <c r="J39" s="271" t="str">
        <f ca="1">IFERROR(__xludf.DUMMYFUNCTION("""COMPUTED_VALUE"""),"P17")</f>
        <v>P17</v>
      </c>
      <c r="K39" s="271" t="str">
        <f ca="1">IFERROR(__xludf.DUMMYFUNCTION("""COMPUTED_VALUE"""),"P21")</f>
        <v>P21</v>
      </c>
      <c r="L39" s="242" t="s">
        <v>681</v>
      </c>
      <c r="M39" s="263" t="str">
        <f t="shared" ca="1" si="0"/>
        <v xml:space="preserve">IndianRed  </v>
      </c>
      <c r="N39" s="264" t="str">
        <f ca="1">IFERROR(__xludf.DUMMYFUNCTION("FILTER(C:E,B:B=J39)"),"法勝寺町橋地蔵")</f>
        <v>法勝寺町橋地蔵</v>
      </c>
      <c r="O39" s="265">
        <f ca="1">IFERROR(__xludf.DUMMYFUNCTION("""COMPUTED_VALUE"""),35.42905)</f>
        <v>35.429049999999997</v>
      </c>
      <c r="P39" s="265">
        <f ca="1">IFERROR(__xludf.DUMMYFUNCTION("""COMPUTED_VALUE"""),133.335491)</f>
        <v>133.33549099999999</v>
      </c>
      <c r="Q39" s="264" t="str">
        <f ca="1">IFERROR(__xludf.DUMMYFUNCTION("FILTER(C:E,B:B=K39)"),"瑜伽堂地蔵")</f>
        <v>瑜伽堂地蔵</v>
      </c>
      <c r="R39" s="265">
        <f ca="1">IFERROR(__xludf.DUMMYFUNCTION("""COMPUTED_VALUE"""),35.429617)</f>
        <v>35.429617</v>
      </c>
      <c r="S39" s="265">
        <f ca="1">IFERROR(__xludf.DUMMYFUNCTION("""COMPUTED_VALUE"""),133.333667)</f>
        <v>133.33366699999999</v>
      </c>
      <c r="T39" s="264" t="str">
        <f ca="1">IFERROR(__xludf.DUMMYFUNCTION("FILTER(C:E,B:B=L39)")," ")</f>
        <v xml:space="preserve"> </v>
      </c>
      <c r="U39" s="40" t="str">
        <f ca="1">IFERROR(__xludf.DUMMYFUNCTION("""COMPUTED_VALUE""")," ")</f>
        <v xml:space="preserve"> </v>
      </c>
      <c r="V39" s="40" t="str">
        <f ca="1">IFERROR(__xludf.DUMMYFUNCTION("""COMPUTED_VALUE""")," ")</f>
        <v xml:space="preserve"> </v>
      </c>
      <c r="W39" s="40" t="str">
        <f t="shared" ca="1" si="21"/>
        <v>,</v>
      </c>
      <c r="X39" s="40" t="s">
        <v>682</v>
      </c>
      <c r="Y39" s="40" t="s">
        <v>683</v>
      </c>
      <c r="Z39" s="264">
        <f t="shared" ca="1" si="1"/>
        <v>35.429049999999997</v>
      </c>
      <c r="AA39" s="40" t="s">
        <v>684</v>
      </c>
      <c r="AB39" s="264">
        <f t="shared" ca="1" si="2"/>
        <v>133.33549099999999</v>
      </c>
      <c r="AC39" s="40" t="s">
        <v>685</v>
      </c>
      <c r="AD39" s="264">
        <f t="shared" ca="1" si="3"/>
        <v>35.429617</v>
      </c>
      <c r="AE39" s="40" t="s">
        <v>684</v>
      </c>
      <c r="AF39" s="264">
        <f t="shared" ca="1" si="4"/>
        <v>133.33366699999999</v>
      </c>
      <c r="AG39" s="40" t="s">
        <v>686</v>
      </c>
      <c r="AH39" s="264" t="str">
        <f t="shared" ca="1" si="5"/>
        <v xml:space="preserve"> </v>
      </c>
      <c r="AI39" s="40" t="s">
        <v>684</v>
      </c>
      <c r="AJ39" s="264" t="str">
        <f t="shared" ca="1" si="6"/>
        <v xml:space="preserve"> </v>
      </c>
      <c r="AK39" s="40" t="s">
        <v>687</v>
      </c>
      <c r="AL39" s="264" t="str">
        <f t="shared" ca="1" si="7"/>
        <v xml:space="preserve">IndianRed  </v>
      </c>
      <c r="AM39" s="40" t="s">
        <v>688</v>
      </c>
      <c r="AN39" s="40" t="str">
        <f t="shared" ca="1" si="8"/>
        <v>,{"type":"polygon","latLngs":[ {"lat":35.42905,"lng":133.335491}, {"lat":35.429617,"lng":133.333667},{"lat": ,"lng": }], "color":"IndianRed  "}</v>
      </c>
      <c r="AO39" s="266" t="s">
        <v>689</v>
      </c>
      <c r="AP39" s="56">
        <f t="shared" ca="1" si="9"/>
        <v>35.429049999999997</v>
      </c>
      <c r="AQ39" s="40" t="s">
        <v>684</v>
      </c>
      <c r="AR39" s="56">
        <f t="shared" ca="1" si="10"/>
        <v>133.33549099999999</v>
      </c>
      <c r="AS39" s="40" t="s">
        <v>686</v>
      </c>
      <c r="AT39" s="56">
        <f t="shared" ca="1" si="11"/>
        <v>35.429617</v>
      </c>
      <c r="AU39" s="40" t="s">
        <v>684</v>
      </c>
      <c r="AV39" s="56">
        <f t="shared" ca="1" si="12"/>
        <v>133.33366699999999</v>
      </c>
      <c r="AW39" s="40" t="s">
        <v>690</v>
      </c>
      <c r="AX39" s="40" t="str">
        <f t="shared" ca="1" si="13"/>
        <v xml:space="preserve">IndianRed  </v>
      </c>
      <c r="AY39" s="40" t="s">
        <v>688</v>
      </c>
      <c r="AZ39" s="40" t="str">
        <f t="shared" ca="1" si="14"/>
        <v>,{"type":"polyline","latLngs":[{"lat":35.42905,"lng":133.335491},{"lat":35.429617,"lng":133.333667}],"color":"IndianRed  "}</v>
      </c>
      <c r="BA39" s="40" t="s">
        <v>691</v>
      </c>
      <c r="BB39" s="56">
        <f t="shared" ca="1" si="15"/>
        <v>35.429049999999997</v>
      </c>
      <c r="BC39" s="40" t="s">
        <v>684</v>
      </c>
      <c r="BD39" s="56">
        <f t="shared" ca="1" si="16"/>
        <v>133.33549099999999</v>
      </c>
      <c r="BE39" s="40" t="s">
        <v>692</v>
      </c>
      <c r="BF39" s="40" t="str">
        <f t="shared" ca="1" si="17"/>
        <v xml:space="preserve">IndianRed  </v>
      </c>
      <c r="BG39" s="40" t="s">
        <v>688</v>
      </c>
      <c r="BH39" s="40" t="str">
        <f t="shared" ca="1" si="18"/>
        <v>,{"type":"marker","latLng":{"lat":35.42905,"lng":133.335491},"color":"IndianRed  "}</v>
      </c>
      <c r="BI39" s="40" t="s">
        <v>693</v>
      </c>
      <c r="BJ39" s="40" t="s">
        <v>694</v>
      </c>
      <c r="BK39" s="267" t="str">
        <f t="shared" ca="1" si="19"/>
        <v>,{"type":"polyline","latLngs":[{"lat":35.42905,"lng":133.335491},{"lat":35.429617,"lng":133.333667}],"color":"IndianRed  "}</v>
      </c>
      <c r="BL39" s="40"/>
      <c r="BM39" s="40"/>
      <c r="BN39" s="268" t="s">
        <v>479</v>
      </c>
      <c r="BO39" s="274" t="s">
        <v>718</v>
      </c>
    </row>
    <row r="40" spans="1:68" ht="17.5">
      <c r="A40" s="40"/>
      <c r="B40" s="260" t="str">
        <f ca="1">IFERROR(__xludf.DUMMYFUNCTION("""COMPUTED_VALUE"""),"P32")</f>
        <v>P32</v>
      </c>
      <c r="C40" s="273" t="str">
        <f ca="1">IFERROR(__xludf.DUMMYFUNCTION("""COMPUTED_VALUE"""),"富士見2号公園")</f>
        <v>富士見2号公園</v>
      </c>
      <c r="D40" s="273">
        <f ca="1">IFERROR(__xludf.DUMMYFUNCTION("""COMPUTED_VALUE"""),35.431738)</f>
        <v>35.431738000000003</v>
      </c>
      <c r="E40" s="273">
        <f ca="1">IFERROR(__xludf.DUMMYFUNCTION("""COMPUTED_VALUE"""),133.334961)</f>
        <v>133.33496099999999</v>
      </c>
      <c r="F40" s="40"/>
      <c r="G40" s="261"/>
      <c r="H40" s="262" t="s">
        <v>672</v>
      </c>
      <c r="I40" s="271" t="str">
        <f ca="1">IFERROR(__xludf.DUMMYFUNCTION("""COMPUTED_VALUE"""),"Agent02")</f>
        <v>Agent02</v>
      </c>
      <c r="J40" s="271" t="str">
        <f ca="1">IFERROR(__xludf.DUMMYFUNCTION("""COMPUTED_VALUE"""),"P17")</f>
        <v>P17</v>
      </c>
      <c r="K40" s="271" t="str">
        <f ca="1">IFERROR(__xludf.DUMMYFUNCTION("""COMPUTED_VALUE"""),"P20")</f>
        <v>P20</v>
      </c>
      <c r="L40" s="242" t="s">
        <v>681</v>
      </c>
      <c r="M40" s="263" t="str">
        <f t="shared" ca="1" si="0"/>
        <v xml:space="preserve">IndianRed  </v>
      </c>
      <c r="N40" s="264" t="str">
        <f ca="1">IFERROR(__xludf.DUMMYFUNCTION("FILTER(C:E,B:B=J40)"),"法勝寺町橋地蔵")</f>
        <v>法勝寺町橋地蔵</v>
      </c>
      <c r="O40" s="265">
        <f ca="1">IFERROR(__xludf.DUMMYFUNCTION("""COMPUTED_VALUE"""),35.42905)</f>
        <v>35.429049999999997</v>
      </c>
      <c r="P40" s="265">
        <f ca="1">IFERROR(__xludf.DUMMYFUNCTION("""COMPUTED_VALUE"""),133.335491)</f>
        <v>133.33549099999999</v>
      </c>
      <c r="Q40" s="264" t="str">
        <f ca="1">IFERROR(__xludf.DUMMYFUNCTION("FILTER(C:E,B:B=K40)"),"加茂かめ")</f>
        <v>加茂かめ</v>
      </c>
      <c r="R40" s="265">
        <f ca="1">IFERROR(__xludf.DUMMYFUNCTION("""COMPUTED_VALUE"""),35.429615)</f>
        <v>35.429614999999998</v>
      </c>
      <c r="S40" s="265">
        <f ca="1">IFERROR(__xludf.DUMMYFUNCTION("""COMPUTED_VALUE"""),133.332531)</f>
        <v>133.33253099999999</v>
      </c>
      <c r="T40" s="264" t="str">
        <f ca="1">IFERROR(__xludf.DUMMYFUNCTION("FILTER(C:E,B:B=L40)")," ")</f>
        <v xml:space="preserve"> </v>
      </c>
      <c r="U40" s="40" t="str">
        <f ca="1">IFERROR(__xludf.DUMMYFUNCTION("""COMPUTED_VALUE""")," ")</f>
        <v xml:space="preserve"> </v>
      </c>
      <c r="V40" s="40" t="str">
        <f ca="1">IFERROR(__xludf.DUMMYFUNCTION("""COMPUTED_VALUE""")," ")</f>
        <v xml:space="preserve"> </v>
      </c>
      <c r="W40" s="40" t="str">
        <f t="shared" ca="1" si="21"/>
        <v>,</v>
      </c>
      <c r="X40" s="40" t="s">
        <v>682</v>
      </c>
      <c r="Y40" s="40" t="s">
        <v>683</v>
      </c>
      <c r="Z40" s="264">
        <f t="shared" ca="1" si="1"/>
        <v>35.429049999999997</v>
      </c>
      <c r="AA40" s="40" t="s">
        <v>684</v>
      </c>
      <c r="AB40" s="264">
        <f t="shared" ca="1" si="2"/>
        <v>133.33549099999999</v>
      </c>
      <c r="AC40" s="40" t="s">
        <v>685</v>
      </c>
      <c r="AD40" s="264">
        <f t="shared" ca="1" si="3"/>
        <v>35.429614999999998</v>
      </c>
      <c r="AE40" s="40" t="s">
        <v>684</v>
      </c>
      <c r="AF40" s="264">
        <f t="shared" ca="1" si="4"/>
        <v>133.33253099999999</v>
      </c>
      <c r="AG40" s="40" t="s">
        <v>686</v>
      </c>
      <c r="AH40" s="264" t="str">
        <f t="shared" ca="1" si="5"/>
        <v xml:space="preserve"> </v>
      </c>
      <c r="AI40" s="40" t="s">
        <v>684</v>
      </c>
      <c r="AJ40" s="264" t="str">
        <f t="shared" ca="1" si="6"/>
        <v xml:space="preserve"> </v>
      </c>
      <c r="AK40" s="40" t="s">
        <v>687</v>
      </c>
      <c r="AL40" s="264" t="str">
        <f t="shared" ca="1" si="7"/>
        <v xml:space="preserve">IndianRed  </v>
      </c>
      <c r="AM40" s="40" t="s">
        <v>688</v>
      </c>
      <c r="AN40" s="40" t="str">
        <f t="shared" ca="1" si="8"/>
        <v>,{"type":"polygon","latLngs":[ {"lat":35.42905,"lng":133.335491}, {"lat":35.429615,"lng":133.332531},{"lat": ,"lng": }], "color":"IndianRed  "}</v>
      </c>
      <c r="AO40" s="266" t="s">
        <v>689</v>
      </c>
      <c r="AP40" s="56">
        <f t="shared" ca="1" si="9"/>
        <v>35.429049999999997</v>
      </c>
      <c r="AQ40" s="40" t="s">
        <v>684</v>
      </c>
      <c r="AR40" s="56">
        <f t="shared" ca="1" si="10"/>
        <v>133.33549099999999</v>
      </c>
      <c r="AS40" s="40" t="s">
        <v>686</v>
      </c>
      <c r="AT40" s="56">
        <f t="shared" ca="1" si="11"/>
        <v>35.429614999999998</v>
      </c>
      <c r="AU40" s="40" t="s">
        <v>684</v>
      </c>
      <c r="AV40" s="56">
        <f t="shared" ca="1" si="12"/>
        <v>133.33253099999999</v>
      </c>
      <c r="AW40" s="40" t="s">
        <v>690</v>
      </c>
      <c r="AX40" s="40" t="str">
        <f t="shared" ca="1" si="13"/>
        <v xml:space="preserve">IndianRed  </v>
      </c>
      <c r="AY40" s="40" t="s">
        <v>688</v>
      </c>
      <c r="AZ40" s="40" t="str">
        <f t="shared" ca="1" si="14"/>
        <v>,{"type":"polyline","latLngs":[{"lat":35.42905,"lng":133.335491},{"lat":35.429615,"lng":133.332531}],"color":"IndianRed  "}</v>
      </c>
      <c r="BA40" s="40" t="s">
        <v>691</v>
      </c>
      <c r="BB40" s="56">
        <f t="shared" ca="1" si="15"/>
        <v>35.429049999999997</v>
      </c>
      <c r="BC40" s="40" t="s">
        <v>684</v>
      </c>
      <c r="BD40" s="56">
        <f t="shared" ca="1" si="16"/>
        <v>133.33549099999999</v>
      </c>
      <c r="BE40" s="40" t="s">
        <v>692</v>
      </c>
      <c r="BF40" s="40" t="str">
        <f t="shared" ca="1" si="17"/>
        <v xml:space="preserve">IndianRed  </v>
      </c>
      <c r="BG40" s="40" t="s">
        <v>688</v>
      </c>
      <c r="BH40" s="40" t="str">
        <f t="shared" ca="1" si="18"/>
        <v>,{"type":"marker","latLng":{"lat":35.42905,"lng":133.335491},"color":"IndianRed  "}</v>
      </c>
      <c r="BI40" s="40" t="s">
        <v>693</v>
      </c>
      <c r="BJ40" s="40" t="s">
        <v>694</v>
      </c>
      <c r="BK40" s="267" t="str">
        <f t="shared" ca="1" si="19"/>
        <v>,{"type":"polyline","latLngs":[{"lat":35.42905,"lng":133.335491},{"lat":35.429615,"lng":133.332531}],"color":"IndianRed  "}</v>
      </c>
      <c r="BL40" s="40"/>
      <c r="BM40" s="40"/>
      <c r="BN40" s="268" t="s">
        <v>483</v>
      </c>
      <c r="BO40" s="274" t="s">
        <v>707</v>
      </c>
    </row>
    <row r="41" spans="1:68" ht="17.5">
      <c r="A41" s="40"/>
      <c r="B41" s="260" t="str">
        <f ca="1">IFERROR(__xludf.DUMMYFUNCTION("""COMPUTED_VALUE"""),"P33")</f>
        <v>P33</v>
      </c>
      <c r="C41" s="273" t="str">
        <f ca="1">IFERROR(__xludf.DUMMYFUNCTION("""COMPUTED_VALUE"""),"出雲大社 米子分院")</f>
        <v>出雲大社 米子分院</v>
      </c>
      <c r="D41" s="273">
        <f ca="1">IFERROR(__xludf.DUMMYFUNCTION("""COMPUTED_VALUE"""),35.432135)</f>
        <v>35.432135000000002</v>
      </c>
      <c r="E41" s="273">
        <f ca="1">IFERROR(__xludf.DUMMYFUNCTION("""COMPUTED_VALUE"""),133.340211)</f>
        <v>133.34021100000001</v>
      </c>
      <c r="F41" s="40"/>
      <c r="G41" s="261"/>
      <c r="H41" s="262" t="s">
        <v>672</v>
      </c>
      <c r="I41" s="271" t="str">
        <f ca="1">IFERROR(__xludf.DUMMYFUNCTION("""COMPUTED_VALUE"""),"Agent02")</f>
        <v>Agent02</v>
      </c>
      <c r="J41" s="271" t="str">
        <f ca="1">IFERROR(__xludf.DUMMYFUNCTION("""COMPUTED_VALUE"""),"P17")</f>
        <v>P17</v>
      </c>
      <c r="K41" s="271" t="str">
        <f ca="1">IFERROR(__xludf.DUMMYFUNCTION("""COMPUTED_VALUE"""),"P18")</f>
        <v>P18</v>
      </c>
      <c r="L41" s="242" t="s">
        <v>681</v>
      </c>
      <c r="M41" s="263" t="str">
        <f t="shared" ca="1" si="0"/>
        <v xml:space="preserve">IndianRed  </v>
      </c>
      <c r="N41" s="264" t="str">
        <f ca="1">IFERROR(__xludf.DUMMYFUNCTION("FILTER(C:E,B:B=J41)"),"法勝寺町橋地蔵")</f>
        <v>法勝寺町橋地蔵</v>
      </c>
      <c r="O41" s="265">
        <f ca="1">IFERROR(__xludf.DUMMYFUNCTION("""COMPUTED_VALUE"""),35.42905)</f>
        <v>35.429049999999997</v>
      </c>
      <c r="P41" s="265">
        <f ca="1">IFERROR(__xludf.DUMMYFUNCTION("""COMPUTED_VALUE"""),133.335491)</f>
        <v>133.33549099999999</v>
      </c>
      <c r="Q41" s="264" t="str">
        <f ca="1">IFERROR(__xludf.DUMMYFUNCTION("FILTER(C:E,B:B=K41)"),"山陰歴史館")</f>
        <v>山陰歴史館</v>
      </c>
      <c r="R41" s="265">
        <f ca="1">IFERROR(__xludf.DUMMYFUNCTION("""COMPUTED_VALUE"""),35.429185)</f>
        <v>35.429184999999997</v>
      </c>
      <c r="S41" s="265">
        <f ca="1">IFERROR(__xludf.DUMMYFUNCTION("""COMPUTED_VALUE"""),133.33043)</f>
        <v>133.33043000000001</v>
      </c>
      <c r="T41" s="264" t="str">
        <f ca="1">IFERROR(__xludf.DUMMYFUNCTION("FILTER(C:E,B:B=L41)")," ")</f>
        <v xml:space="preserve"> </v>
      </c>
      <c r="U41" s="40" t="str">
        <f ca="1">IFERROR(__xludf.DUMMYFUNCTION("""COMPUTED_VALUE""")," ")</f>
        <v xml:space="preserve"> </v>
      </c>
      <c r="V41" s="40" t="str">
        <f ca="1">IFERROR(__xludf.DUMMYFUNCTION("""COMPUTED_VALUE""")," ")</f>
        <v xml:space="preserve"> </v>
      </c>
      <c r="W41" s="40" t="str">
        <f t="shared" ca="1" si="21"/>
        <v>,</v>
      </c>
      <c r="X41" s="40" t="s">
        <v>682</v>
      </c>
      <c r="Y41" s="40" t="s">
        <v>683</v>
      </c>
      <c r="Z41" s="264">
        <f t="shared" ca="1" si="1"/>
        <v>35.429049999999997</v>
      </c>
      <c r="AA41" s="40" t="s">
        <v>684</v>
      </c>
      <c r="AB41" s="264">
        <f t="shared" ca="1" si="2"/>
        <v>133.33549099999999</v>
      </c>
      <c r="AC41" s="40" t="s">
        <v>685</v>
      </c>
      <c r="AD41" s="264">
        <f t="shared" ca="1" si="3"/>
        <v>35.429184999999997</v>
      </c>
      <c r="AE41" s="40" t="s">
        <v>684</v>
      </c>
      <c r="AF41" s="264">
        <f t="shared" ca="1" si="4"/>
        <v>133.33043000000001</v>
      </c>
      <c r="AG41" s="40" t="s">
        <v>686</v>
      </c>
      <c r="AH41" s="264" t="str">
        <f t="shared" ca="1" si="5"/>
        <v xml:space="preserve"> </v>
      </c>
      <c r="AI41" s="40" t="s">
        <v>684</v>
      </c>
      <c r="AJ41" s="264" t="str">
        <f t="shared" ca="1" si="6"/>
        <v xml:space="preserve"> </v>
      </c>
      <c r="AK41" s="40" t="s">
        <v>687</v>
      </c>
      <c r="AL41" s="264" t="str">
        <f t="shared" ca="1" si="7"/>
        <v xml:space="preserve">IndianRed  </v>
      </c>
      <c r="AM41" s="40" t="s">
        <v>688</v>
      </c>
      <c r="AN41" s="40" t="str">
        <f t="shared" ca="1" si="8"/>
        <v>,{"type":"polygon","latLngs":[ {"lat":35.42905,"lng":133.335491}, {"lat":35.429185,"lng":133.33043},{"lat": ,"lng": }], "color":"IndianRed  "}</v>
      </c>
      <c r="AO41" s="266" t="s">
        <v>689</v>
      </c>
      <c r="AP41" s="56">
        <f t="shared" ca="1" si="9"/>
        <v>35.429049999999997</v>
      </c>
      <c r="AQ41" s="40" t="s">
        <v>684</v>
      </c>
      <c r="AR41" s="56">
        <f t="shared" ca="1" si="10"/>
        <v>133.33549099999999</v>
      </c>
      <c r="AS41" s="40" t="s">
        <v>686</v>
      </c>
      <c r="AT41" s="56">
        <f t="shared" ca="1" si="11"/>
        <v>35.429184999999997</v>
      </c>
      <c r="AU41" s="40" t="s">
        <v>684</v>
      </c>
      <c r="AV41" s="56">
        <f t="shared" ca="1" si="12"/>
        <v>133.33043000000001</v>
      </c>
      <c r="AW41" s="40" t="s">
        <v>690</v>
      </c>
      <c r="AX41" s="40" t="str">
        <f t="shared" ca="1" si="13"/>
        <v xml:space="preserve">IndianRed  </v>
      </c>
      <c r="AY41" s="40" t="s">
        <v>688</v>
      </c>
      <c r="AZ41" s="40" t="str">
        <f t="shared" ca="1" si="14"/>
        <v>,{"type":"polyline","latLngs":[{"lat":35.42905,"lng":133.335491},{"lat":35.429185,"lng":133.33043}],"color":"IndianRed  "}</v>
      </c>
      <c r="BA41" s="40" t="s">
        <v>691</v>
      </c>
      <c r="BB41" s="56">
        <f t="shared" ca="1" si="15"/>
        <v>35.429049999999997</v>
      </c>
      <c r="BC41" s="40" t="s">
        <v>684</v>
      </c>
      <c r="BD41" s="56">
        <f t="shared" ca="1" si="16"/>
        <v>133.33549099999999</v>
      </c>
      <c r="BE41" s="40" t="s">
        <v>692</v>
      </c>
      <c r="BF41" s="40" t="str">
        <f t="shared" ca="1" si="17"/>
        <v xml:space="preserve">IndianRed  </v>
      </c>
      <c r="BG41" s="40" t="s">
        <v>688</v>
      </c>
      <c r="BH41" s="40" t="str">
        <f t="shared" ca="1" si="18"/>
        <v>,{"type":"marker","latLng":{"lat":35.42905,"lng":133.335491},"color":"IndianRed  "}</v>
      </c>
      <c r="BI41" s="40" t="s">
        <v>693</v>
      </c>
      <c r="BJ41" s="40" t="s">
        <v>694</v>
      </c>
      <c r="BK41" s="267" t="str">
        <f t="shared" ca="1" si="19"/>
        <v>,{"type":"polyline","latLngs":[{"lat":35.42905,"lng":133.335491},{"lat":35.429185,"lng":133.33043}],"color":"IndianRed  "}</v>
      </c>
      <c r="BL41" s="40"/>
      <c r="BM41" s="40"/>
      <c r="BN41" s="268" t="s">
        <v>486</v>
      </c>
      <c r="BO41" s="274" t="s">
        <v>702</v>
      </c>
    </row>
    <row r="42" spans="1:68" ht="17.5">
      <c r="A42" s="40"/>
      <c r="B42" s="260" t="str">
        <f ca="1">IFERROR(__xludf.DUMMYFUNCTION("""COMPUTED_VALUE"""),"P34")</f>
        <v>P34</v>
      </c>
      <c r="C42" s="273" t="str">
        <f ca="1">IFERROR(__xludf.DUMMYFUNCTION("""COMPUTED_VALUE"""),"米子 法城寺")</f>
        <v>米子 法城寺</v>
      </c>
      <c r="D42" s="273">
        <f ca="1">IFERROR(__xludf.DUMMYFUNCTION("""COMPUTED_VALUE"""),35.432157)</f>
        <v>35.432156999999997</v>
      </c>
      <c r="E42" s="273">
        <f ca="1">IFERROR(__xludf.DUMMYFUNCTION("""COMPUTED_VALUE"""),133.342227)</f>
        <v>133.34222700000001</v>
      </c>
      <c r="F42" s="40"/>
      <c r="G42" s="261"/>
      <c r="H42" s="262" t="s">
        <v>672</v>
      </c>
      <c r="I42" s="271" t="str">
        <f ca="1">IFERROR(__xludf.DUMMYFUNCTION("""COMPUTED_VALUE"""),"Agent02")</f>
        <v>Agent02</v>
      </c>
      <c r="J42" s="271" t="str">
        <f ca="1">IFERROR(__xludf.DUMMYFUNCTION("""COMPUTED_VALUE"""),"P17")</f>
        <v>P17</v>
      </c>
      <c r="K42" s="271" t="str">
        <f ca="1">IFERROR(__xludf.DUMMYFUNCTION("""COMPUTED_VALUE"""),"P15")</f>
        <v>P15</v>
      </c>
      <c r="L42" s="242" t="s">
        <v>681</v>
      </c>
      <c r="M42" s="263" t="str">
        <f t="shared" ca="1" si="0"/>
        <v xml:space="preserve">IndianRed  </v>
      </c>
      <c r="N42" s="264" t="str">
        <f ca="1">IFERROR(__xludf.DUMMYFUNCTION("FILTER(C:E,B:B=J42)"),"法勝寺町橋地蔵")</f>
        <v>法勝寺町橋地蔵</v>
      </c>
      <c r="O42" s="265">
        <f ca="1">IFERROR(__xludf.DUMMYFUNCTION("""COMPUTED_VALUE"""),35.42905)</f>
        <v>35.429049999999997</v>
      </c>
      <c r="P42" s="265">
        <f ca="1">IFERROR(__xludf.DUMMYFUNCTION("""COMPUTED_VALUE"""),133.335491)</f>
        <v>133.33549099999999</v>
      </c>
      <c r="Q42" s="264" t="str">
        <f ca="1">IFERROR(__xludf.DUMMYFUNCTION("FILTER(C:E,B:B=K42)"),"米子市役所")</f>
        <v>米子市役所</v>
      </c>
      <c r="R42" s="265">
        <f ca="1">IFERROR(__xludf.DUMMYFUNCTION("""COMPUTED_VALUE"""),35.428322)</f>
        <v>35.428322000000001</v>
      </c>
      <c r="S42" s="265">
        <f ca="1">IFERROR(__xludf.DUMMYFUNCTION("""COMPUTED_VALUE"""),133.3306)</f>
        <v>133.3306</v>
      </c>
      <c r="T42" s="264" t="str">
        <f ca="1">IFERROR(__xludf.DUMMYFUNCTION("FILTER(C:E,B:B=L42)")," ")</f>
        <v xml:space="preserve"> </v>
      </c>
      <c r="U42" s="40" t="str">
        <f ca="1">IFERROR(__xludf.DUMMYFUNCTION("""COMPUTED_VALUE""")," ")</f>
        <v xml:space="preserve"> </v>
      </c>
      <c r="V42" s="40" t="str">
        <f ca="1">IFERROR(__xludf.DUMMYFUNCTION("""COMPUTED_VALUE""")," ")</f>
        <v xml:space="preserve"> </v>
      </c>
      <c r="W42" s="40" t="str">
        <f t="shared" ca="1" si="21"/>
        <v>,</v>
      </c>
      <c r="X42" s="40" t="s">
        <v>682</v>
      </c>
      <c r="Y42" s="40" t="s">
        <v>683</v>
      </c>
      <c r="Z42" s="264">
        <f t="shared" ca="1" si="1"/>
        <v>35.429049999999997</v>
      </c>
      <c r="AA42" s="40" t="s">
        <v>684</v>
      </c>
      <c r="AB42" s="264">
        <f t="shared" ca="1" si="2"/>
        <v>133.33549099999999</v>
      </c>
      <c r="AC42" s="40" t="s">
        <v>685</v>
      </c>
      <c r="AD42" s="264">
        <f t="shared" ca="1" si="3"/>
        <v>35.428322000000001</v>
      </c>
      <c r="AE42" s="40" t="s">
        <v>684</v>
      </c>
      <c r="AF42" s="264">
        <f t="shared" ca="1" si="4"/>
        <v>133.3306</v>
      </c>
      <c r="AG42" s="40" t="s">
        <v>686</v>
      </c>
      <c r="AH42" s="264" t="str">
        <f t="shared" ca="1" si="5"/>
        <v xml:space="preserve"> </v>
      </c>
      <c r="AI42" s="40" t="s">
        <v>684</v>
      </c>
      <c r="AJ42" s="264" t="str">
        <f t="shared" ca="1" si="6"/>
        <v xml:space="preserve"> </v>
      </c>
      <c r="AK42" s="40" t="s">
        <v>687</v>
      </c>
      <c r="AL42" s="264" t="str">
        <f t="shared" ca="1" si="7"/>
        <v xml:space="preserve">IndianRed  </v>
      </c>
      <c r="AM42" s="40" t="s">
        <v>688</v>
      </c>
      <c r="AN42" s="40" t="str">
        <f t="shared" ca="1" si="8"/>
        <v>,{"type":"polygon","latLngs":[ {"lat":35.42905,"lng":133.335491}, {"lat":35.428322,"lng":133.3306},{"lat": ,"lng": }], "color":"IndianRed  "}</v>
      </c>
      <c r="AO42" s="266" t="s">
        <v>689</v>
      </c>
      <c r="AP42" s="56">
        <f t="shared" ca="1" si="9"/>
        <v>35.429049999999997</v>
      </c>
      <c r="AQ42" s="40" t="s">
        <v>684</v>
      </c>
      <c r="AR42" s="56">
        <f t="shared" ca="1" si="10"/>
        <v>133.33549099999999</v>
      </c>
      <c r="AS42" s="40" t="s">
        <v>686</v>
      </c>
      <c r="AT42" s="56">
        <f t="shared" ca="1" si="11"/>
        <v>35.428322000000001</v>
      </c>
      <c r="AU42" s="40" t="s">
        <v>684</v>
      </c>
      <c r="AV42" s="56">
        <f t="shared" ca="1" si="12"/>
        <v>133.3306</v>
      </c>
      <c r="AW42" s="40" t="s">
        <v>690</v>
      </c>
      <c r="AX42" s="40" t="str">
        <f t="shared" ca="1" si="13"/>
        <v xml:space="preserve">IndianRed  </v>
      </c>
      <c r="AY42" s="40" t="s">
        <v>688</v>
      </c>
      <c r="AZ42" s="40" t="str">
        <f t="shared" ca="1" si="14"/>
        <v>,{"type":"polyline","latLngs":[{"lat":35.42905,"lng":133.335491},{"lat":35.428322,"lng":133.3306}],"color":"IndianRed  "}</v>
      </c>
      <c r="BA42" s="40" t="s">
        <v>691</v>
      </c>
      <c r="BB42" s="56">
        <f t="shared" ca="1" si="15"/>
        <v>35.429049999999997</v>
      </c>
      <c r="BC42" s="40" t="s">
        <v>684</v>
      </c>
      <c r="BD42" s="56">
        <f t="shared" ca="1" si="16"/>
        <v>133.33549099999999</v>
      </c>
      <c r="BE42" s="40" t="s">
        <v>692</v>
      </c>
      <c r="BF42" s="40" t="str">
        <f t="shared" ca="1" si="17"/>
        <v xml:space="preserve">IndianRed  </v>
      </c>
      <c r="BG42" s="40" t="s">
        <v>688</v>
      </c>
      <c r="BH42" s="40" t="str">
        <f t="shared" ca="1" si="18"/>
        <v>,{"type":"marker","latLng":{"lat":35.42905,"lng":133.335491},"color":"IndianRed  "}</v>
      </c>
      <c r="BI42" s="40" t="s">
        <v>693</v>
      </c>
      <c r="BJ42" s="40" t="s">
        <v>694</v>
      </c>
      <c r="BK42" s="267" t="str">
        <f t="shared" ca="1" si="19"/>
        <v>,{"type":"polyline","latLngs":[{"lat":35.42905,"lng":133.335491},{"lat":35.428322,"lng":133.3306}],"color":"IndianRed  "}</v>
      </c>
      <c r="BL42" s="40"/>
      <c r="BM42" s="40"/>
      <c r="BN42" s="268" t="s">
        <v>719</v>
      </c>
      <c r="BO42" s="274" t="s">
        <v>720</v>
      </c>
    </row>
    <row r="43" spans="1:68" ht="17.5">
      <c r="A43" s="40"/>
      <c r="B43" s="260" t="str">
        <f ca="1">IFERROR(__xludf.DUMMYFUNCTION("""COMPUTED_VALUE"""),"P35")</f>
        <v>P35</v>
      </c>
      <c r="C43" s="273" t="str">
        <f ca="1">IFERROR(__xludf.DUMMYFUNCTION("""COMPUTED_VALUE"""),"勝田神社の社")</f>
        <v>勝田神社の社</v>
      </c>
      <c r="D43" s="273">
        <f ca="1">IFERROR(__xludf.DUMMYFUNCTION("""COMPUTED_VALUE"""),35.432161)</f>
        <v>35.432161000000001</v>
      </c>
      <c r="E43" s="273">
        <f ca="1">IFERROR(__xludf.DUMMYFUNCTION("""COMPUTED_VALUE"""),133.341019)</f>
        <v>133.34101899999999</v>
      </c>
      <c r="F43" s="40"/>
      <c r="G43" s="261"/>
      <c r="H43" s="262" t="s">
        <v>672</v>
      </c>
      <c r="I43" s="271" t="str">
        <f ca="1">IFERROR(__xludf.DUMMYFUNCTION("""COMPUTED_VALUE"""),"Agent02")</f>
        <v>Agent02</v>
      </c>
      <c r="J43" s="271" t="str">
        <f ca="1">IFERROR(__xludf.DUMMYFUNCTION("""COMPUTED_VALUE"""),"P17")</f>
        <v>P17</v>
      </c>
      <c r="K43" s="271" t="str">
        <f ca="1">IFERROR(__xludf.DUMMYFUNCTION("""COMPUTED_VALUE"""),"P10")</f>
        <v>P10</v>
      </c>
      <c r="L43" s="242" t="s">
        <v>681</v>
      </c>
      <c r="M43" s="263" t="str">
        <f t="shared" ca="1" si="0"/>
        <v xml:space="preserve">IndianRed  </v>
      </c>
      <c r="N43" s="264" t="str">
        <f ca="1">IFERROR(__xludf.DUMMYFUNCTION("FILTER(C:E,B:B=J43)"),"法勝寺町橋地蔵")</f>
        <v>法勝寺町橋地蔵</v>
      </c>
      <c r="O43" s="265">
        <f ca="1">IFERROR(__xludf.DUMMYFUNCTION("""COMPUTED_VALUE"""),35.42905)</f>
        <v>35.429049999999997</v>
      </c>
      <c r="P43" s="265">
        <f ca="1">IFERROR(__xludf.DUMMYFUNCTION("""COMPUTED_VALUE"""),133.335491)</f>
        <v>133.33549099999999</v>
      </c>
      <c r="Q43" s="264" t="str">
        <f ca="1">IFERROR(__xludf.DUMMYFUNCTION("FILTER(C:E,B:B=K43)"),"東京2020記念ゴールドポスト")</f>
        <v>東京2020記念ゴールドポスト</v>
      </c>
      <c r="R43" s="265">
        <f ca="1">IFERROR(__xludf.DUMMYFUNCTION("""COMPUTED_VALUE"""),35.427647)</f>
        <v>35.427647</v>
      </c>
      <c r="S43" s="265">
        <f ca="1">IFERROR(__xludf.DUMMYFUNCTION("""COMPUTED_VALUE"""),133.331387)</f>
        <v>133.33138700000001</v>
      </c>
      <c r="T43" s="264" t="str">
        <f ca="1">IFERROR(__xludf.DUMMYFUNCTION("FILTER(C:E,B:B=L43)")," ")</f>
        <v xml:space="preserve"> </v>
      </c>
      <c r="U43" s="40" t="str">
        <f ca="1">IFERROR(__xludf.DUMMYFUNCTION("""COMPUTED_VALUE""")," ")</f>
        <v xml:space="preserve"> </v>
      </c>
      <c r="V43" s="40" t="str">
        <f ca="1">IFERROR(__xludf.DUMMYFUNCTION("""COMPUTED_VALUE""")," ")</f>
        <v xml:space="preserve"> </v>
      </c>
      <c r="W43" s="40" t="str">
        <f t="shared" ca="1" si="21"/>
        <v>,</v>
      </c>
      <c r="X43" s="40" t="s">
        <v>682</v>
      </c>
      <c r="Y43" s="40" t="s">
        <v>683</v>
      </c>
      <c r="Z43" s="264">
        <f t="shared" ca="1" si="1"/>
        <v>35.429049999999997</v>
      </c>
      <c r="AA43" s="40" t="s">
        <v>684</v>
      </c>
      <c r="AB43" s="264">
        <f t="shared" ca="1" si="2"/>
        <v>133.33549099999999</v>
      </c>
      <c r="AC43" s="40" t="s">
        <v>685</v>
      </c>
      <c r="AD43" s="264">
        <f t="shared" ca="1" si="3"/>
        <v>35.427647</v>
      </c>
      <c r="AE43" s="40" t="s">
        <v>684</v>
      </c>
      <c r="AF43" s="264">
        <f t="shared" ca="1" si="4"/>
        <v>133.33138700000001</v>
      </c>
      <c r="AG43" s="40" t="s">
        <v>686</v>
      </c>
      <c r="AH43" s="264" t="str">
        <f t="shared" ca="1" si="5"/>
        <v xml:space="preserve"> </v>
      </c>
      <c r="AI43" s="40" t="s">
        <v>684</v>
      </c>
      <c r="AJ43" s="264" t="str">
        <f t="shared" ca="1" si="6"/>
        <v xml:space="preserve"> </v>
      </c>
      <c r="AK43" s="40" t="s">
        <v>687</v>
      </c>
      <c r="AL43" s="264" t="str">
        <f t="shared" ca="1" si="7"/>
        <v xml:space="preserve">IndianRed  </v>
      </c>
      <c r="AM43" s="40" t="s">
        <v>688</v>
      </c>
      <c r="AN43" s="40" t="str">
        <f t="shared" ca="1" si="8"/>
        <v>,{"type":"polygon","latLngs":[ {"lat":35.42905,"lng":133.335491}, {"lat":35.427647,"lng":133.331387},{"lat": ,"lng": }], "color":"IndianRed  "}</v>
      </c>
      <c r="AO43" s="266" t="s">
        <v>689</v>
      </c>
      <c r="AP43" s="56">
        <f t="shared" ca="1" si="9"/>
        <v>35.429049999999997</v>
      </c>
      <c r="AQ43" s="40" t="s">
        <v>684</v>
      </c>
      <c r="AR43" s="56">
        <f t="shared" ca="1" si="10"/>
        <v>133.33549099999999</v>
      </c>
      <c r="AS43" s="40" t="s">
        <v>686</v>
      </c>
      <c r="AT43" s="56">
        <f t="shared" ca="1" si="11"/>
        <v>35.427647</v>
      </c>
      <c r="AU43" s="40" t="s">
        <v>684</v>
      </c>
      <c r="AV43" s="56">
        <f t="shared" ca="1" si="12"/>
        <v>133.33138700000001</v>
      </c>
      <c r="AW43" s="40" t="s">
        <v>690</v>
      </c>
      <c r="AX43" s="40" t="str">
        <f t="shared" ca="1" si="13"/>
        <v xml:space="preserve">IndianRed  </v>
      </c>
      <c r="AY43" s="40" t="s">
        <v>688</v>
      </c>
      <c r="AZ43" s="40" t="str">
        <f t="shared" ca="1" si="14"/>
        <v>,{"type":"polyline","latLngs":[{"lat":35.42905,"lng":133.335491},{"lat":35.427647,"lng":133.331387}],"color":"IndianRed  "}</v>
      </c>
      <c r="BA43" s="40" t="s">
        <v>691</v>
      </c>
      <c r="BB43" s="56">
        <f t="shared" ca="1" si="15"/>
        <v>35.429049999999997</v>
      </c>
      <c r="BC43" s="40" t="s">
        <v>684</v>
      </c>
      <c r="BD43" s="56">
        <f t="shared" ca="1" si="16"/>
        <v>133.33549099999999</v>
      </c>
      <c r="BE43" s="40" t="s">
        <v>692</v>
      </c>
      <c r="BF43" s="40" t="str">
        <f t="shared" ca="1" si="17"/>
        <v xml:space="preserve">IndianRed  </v>
      </c>
      <c r="BG43" s="40" t="s">
        <v>688</v>
      </c>
      <c r="BH43" s="40" t="str">
        <f t="shared" ca="1" si="18"/>
        <v>,{"type":"marker","latLng":{"lat":35.42905,"lng":133.335491},"color":"IndianRed  "}</v>
      </c>
      <c r="BI43" s="40" t="s">
        <v>693</v>
      </c>
      <c r="BJ43" s="40" t="s">
        <v>694</v>
      </c>
      <c r="BK43" s="267" t="str">
        <f t="shared" ca="1" si="19"/>
        <v>,{"type":"polyline","latLngs":[{"lat":35.42905,"lng":133.335491},{"lat":35.427647,"lng":133.331387}],"color":"IndianRed  "}</v>
      </c>
      <c r="BL43" s="40"/>
      <c r="BM43" s="40"/>
      <c r="BN43" s="268" t="s">
        <v>490</v>
      </c>
      <c r="BO43" s="274" t="s">
        <v>718</v>
      </c>
    </row>
    <row r="44" spans="1:68" ht="17.5">
      <c r="A44" s="40"/>
      <c r="B44" s="260" t="str">
        <f ca="1">IFERROR(__xludf.DUMMYFUNCTION("""COMPUTED_VALUE"""),"P36")</f>
        <v>P36</v>
      </c>
      <c r="C44" s="273" t="str">
        <f ca="1">IFERROR(__xludf.DUMMYFUNCTION("""COMPUTED_VALUE"""),"お地蔵さん")</f>
        <v>お地蔵さん</v>
      </c>
      <c r="D44" s="273">
        <f ca="1">IFERROR(__xludf.DUMMYFUNCTION("""COMPUTED_VALUE"""),35.432332)</f>
        <v>35.432332000000002</v>
      </c>
      <c r="E44" s="273">
        <f ca="1">IFERROR(__xludf.DUMMYFUNCTION("""COMPUTED_VALUE"""),133.339103)</f>
        <v>133.33910299999999</v>
      </c>
      <c r="F44" s="40"/>
      <c r="G44" s="261"/>
      <c r="H44" s="262" t="s">
        <v>672</v>
      </c>
      <c r="I44" s="271" t="str">
        <f ca="1">IFERROR(__xludf.DUMMYFUNCTION("""COMPUTED_VALUE"""),"Agent02")</f>
        <v>Agent02</v>
      </c>
      <c r="J44" s="271" t="str">
        <f ca="1">IFERROR(__xludf.DUMMYFUNCTION("""COMPUTED_VALUE"""),"P17")</f>
        <v>P17</v>
      </c>
      <c r="K44" s="271" t="str">
        <f ca="1">IFERROR(__xludf.DUMMYFUNCTION("""COMPUTED_VALUE"""),"P08")</f>
        <v>P08</v>
      </c>
      <c r="L44" s="242" t="s">
        <v>681</v>
      </c>
      <c r="M44" s="263" t="str">
        <f t="shared" ca="1" si="0"/>
        <v xml:space="preserve">IndianRed  </v>
      </c>
      <c r="N44" s="264" t="str">
        <f ca="1">IFERROR(__xludf.DUMMYFUNCTION("FILTER(C:E,B:B=J44)"),"法勝寺町橋地蔵")</f>
        <v>法勝寺町橋地蔵</v>
      </c>
      <c r="O44" s="265">
        <f ca="1">IFERROR(__xludf.DUMMYFUNCTION("""COMPUTED_VALUE"""),35.42905)</f>
        <v>35.429049999999997</v>
      </c>
      <c r="P44" s="265">
        <f ca="1">IFERROR(__xludf.DUMMYFUNCTION("""COMPUTED_VALUE"""),133.335491)</f>
        <v>133.33549099999999</v>
      </c>
      <c r="Q44" s="264" t="str">
        <f ca="1">IFERROR(__xludf.DUMMYFUNCTION("FILTER(C:E,B:B=K44)"),"米子合同庁舎")</f>
        <v>米子合同庁舎</v>
      </c>
      <c r="R44" s="265">
        <f ca="1">IFERROR(__xludf.DUMMYFUNCTION("""COMPUTED_VALUE"""),35.427592)</f>
        <v>35.427591999999997</v>
      </c>
      <c r="S44" s="265">
        <f ca="1">IFERROR(__xludf.DUMMYFUNCTION("""COMPUTED_VALUE"""),133.332872)</f>
        <v>133.33287200000001</v>
      </c>
      <c r="T44" s="264" t="str">
        <f ca="1">IFERROR(__xludf.DUMMYFUNCTION("FILTER(C:E,B:B=L44)")," ")</f>
        <v xml:space="preserve"> </v>
      </c>
      <c r="U44" s="40" t="str">
        <f ca="1">IFERROR(__xludf.DUMMYFUNCTION("""COMPUTED_VALUE""")," ")</f>
        <v xml:space="preserve"> </v>
      </c>
      <c r="V44" s="40" t="str">
        <f ca="1">IFERROR(__xludf.DUMMYFUNCTION("""COMPUTED_VALUE""")," ")</f>
        <v xml:space="preserve"> </v>
      </c>
      <c r="W44" s="40" t="str">
        <f t="shared" ca="1" si="21"/>
        <v>,</v>
      </c>
      <c r="X44" s="40" t="s">
        <v>682</v>
      </c>
      <c r="Y44" s="40" t="s">
        <v>683</v>
      </c>
      <c r="Z44" s="264">
        <f t="shared" ca="1" si="1"/>
        <v>35.429049999999997</v>
      </c>
      <c r="AA44" s="40" t="s">
        <v>684</v>
      </c>
      <c r="AB44" s="264">
        <f t="shared" ca="1" si="2"/>
        <v>133.33549099999999</v>
      </c>
      <c r="AC44" s="40" t="s">
        <v>685</v>
      </c>
      <c r="AD44" s="264">
        <f t="shared" ca="1" si="3"/>
        <v>35.427591999999997</v>
      </c>
      <c r="AE44" s="40" t="s">
        <v>684</v>
      </c>
      <c r="AF44" s="264">
        <f t="shared" ca="1" si="4"/>
        <v>133.33287200000001</v>
      </c>
      <c r="AG44" s="40" t="s">
        <v>686</v>
      </c>
      <c r="AH44" s="264" t="str">
        <f t="shared" ca="1" si="5"/>
        <v xml:space="preserve"> </v>
      </c>
      <c r="AI44" s="40" t="s">
        <v>684</v>
      </c>
      <c r="AJ44" s="264" t="str">
        <f t="shared" ca="1" si="6"/>
        <v xml:space="preserve"> </v>
      </c>
      <c r="AK44" s="40" t="s">
        <v>687</v>
      </c>
      <c r="AL44" s="264" t="str">
        <f t="shared" ca="1" si="7"/>
        <v xml:space="preserve">IndianRed  </v>
      </c>
      <c r="AM44" s="40" t="s">
        <v>688</v>
      </c>
      <c r="AN44" s="40" t="str">
        <f t="shared" ca="1" si="8"/>
        <v>,{"type":"polygon","latLngs":[ {"lat":35.42905,"lng":133.335491}, {"lat":35.427592,"lng":133.332872},{"lat": ,"lng": }], "color":"IndianRed  "}</v>
      </c>
      <c r="AO44" s="266" t="s">
        <v>689</v>
      </c>
      <c r="AP44" s="56">
        <f t="shared" ca="1" si="9"/>
        <v>35.429049999999997</v>
      </c>
      <c r="AQ44" s="40" t="s">
        <v>684</v>
      </c>
      <c r="AR44" s="56">
        <f t="shared" ca="1" si="10"/>
        <v>133.33549099999999</v>
      </c>
      <c r="AS44" s="40" t="s">
        <v>686</v>
      </c>
      <c r="AT44" s="56">
        <f t="shared" ca="1" si="11"/>
        <v>35.427591999999997</v>
      </c>
      <c r="AU44" s="40" t="s">
        <v>684</v>
      </c>
      <c r="AV44" s="56">
        <f t="shared" ca="1" si="12"/>
        <v>133.33287200000001</v>
      </c>
      <c r="AW44" s="40" t="s">
        <v>690</v>
      </c>
      <c r="AX44" s="40" t="str">
        <f t="shared" ca="1" si="13"/>
        <v xml:space="preserve">IndianRed  </v>
      </c>
      <c r="AY44" s="40" t="s">
        <v>688</v>
      </c>
      <c r="AZ44" s="40" t="str">
        <f t="shared" ca="1" si="14"/>
        <v>,{"type":"polyline","latLngs":[{"lat":35.42905,"lng":133.335491},{"lat":35.427592,"lng":133.332872}],"color":"IndianRed  "}</v>
      </c>
      <c r="BA44" s="40" t="s">
        <v>691</v>
      </c>
      <c r="BB44" s="56">
        <f t="shared" ca="1" si="15"/>
        <v>35.429049999999997</v>
      </c>
      <c r="BC44" s="40" t="s">
        <v>684</v>
      </c>
      <c r="BD44" s="56">
        <f t="shared" ca="1" si="16"/>
        <v>133.33549099999999</v>
      </c>
      <c r="BE44" s="40" t="s">
        <v>692</v>
      </c>
      <c r="BF44" s="40" t="str">
        <f t="shared" ca="1" si="17"/>
        <v xml:space="preserve">IndianRed  </v>
      </c>
      <c r="BG44" s="40" t="s">
        <v>688</v>
      </c>
      <c r="BH44" s="40" t="str">
        <f t="shared" ca="1" si="18"/>
        <v>,{"type":"marker","latLng":{"lat":35.42905,"lng":133.335491},"color":"IndianRed  "}</v>
      </c>
      <c r="BI44" s="40" t="s">
        <v>693</v>
      </c>
      <c r="BJ44" s="40" t="s">
        <v>694</v>
      </c>
      <c r="BK44" s="267" t="str">
        <f t="shared" ca="1" si="19"/>
        <v>,{"type":"polyline","latLngs":[{"lat":35.42905,"lng":133.335491},{"lat":35.427592,"lng":133.332872}],"color":"IndianRed  "}</v>
      </c>
      <c r="BL44" s="40"/>
      <c r="BM44" s="40"/>
      <c r="BN44" s="268" t="s">
        <v>492</v>
      </c>
      <c r="BO44" s="274" t="s">
        <v>707</v>
      </c>
    </row>
    <row r="45" spans="1:68" ht="17.5">
      <c r="A45" s="40"/>
      <c r="B45" s="260" t="str">
        <f ca="1">IFERROR(__xludf.DUMMYFUNCTION("""COMPUTED_VALUE"""),"P37")</f>
        <v>P37</v>
      </c>
      <c r="C45" s="273" t="str">
        <f ca="1">IFERROR(__xludf.DUMMYFUNCTION("""COMPUTED_VALUE"""),"中ノ棚橋地蔵")</f>
        <v>中ノ棚橋地蔵</v>
      </c>
      <c r="D45" s="273">
        <f ca="1">IFERROR(__xludf.DUMMYFUNCTION("""COMPUTED_VALUE"""),35.432339)</f>
        <v>35.432338999999999</v>
      </c>
      <c r="E45" s="273">
        <f ca="1">IFERROR(__xludf.DUMMYFUNCTION("""COMPUTED_VALUE"""),133.326372)</f>
        <v>133.32637199999999</v>
      </c>
      <c r="F45" s="40"/>
      <c r="G45" s="261"/>
      <c r="H45" s="262" t="s">
        <v>672</v>
      </c>
      <c r="I45" s="271" t="str">
        <f ca="1">IFERROR(__xludf.DUMMYFUNCTION("""COMPUTED_VALUE"""),"Agent02")</f>
        <v>Agent02</v>
      </c>
      <c r="J45" s="271" t="str">
        <f ca="1">IFERROR(__xludf.DUMMYFUNCTION("""COMPUTED_VALUE"""),"P17")</f>
        <v>P17</v>
      </c>
      <c r="K45" s="271" t="str">
        <f ca="1">IFERROR(__xludf.DUMMYFUNCTION("""COMPUTED_VALUE"""),"P13")</f>
        <v>P13</v>
      </c>
      <c r="L45" s="242" t="s">
        <v>681</v>
      </c>
      <c r="M45" s="263" t="str">
        <f t="shared" ca="1" si="0"/>
        <v xml:space="preserve">IndianRed  </v>
      </c>
      <c r="N45" s="264" t="str">
        <f ca="1">IFERROR(__xludf.DUMMYFUNCTION("FILTER(C:E,B:B=J45)"),"法勝寺町橋地蔵")</f>
        <v>法勝寺町橋地蔵</v>
      </c>
      <c r="O45" s="265">
        <f ca="1">IFERROR(__xludf.DUMMYFUNCTION("""COMPUTED_VALUE"""),35.42905)</f>
        <v>35.429049999999997</v>
      </c>
      <c r="P45" s="265">
        <f ca="1">IFERROR(__xludf.DUMMYFUNCTION("""COMPUTED_VALUE"""),133.335491)</f>
        <v>133.33549099999999</v>
      </c>
      <c r="Q45" s="264" t="str">
        <f ca="1">IFERROR(__xludf.DUMMYFUNCTION("FILTER(C:E,B:B=K45)"),"やっちゃん")</f>
        <v>やっちゃん</v>
      </c>
      <c r="R45" s="265">
        <f ca="1">IFERROR(__xludf.DUMMYFUNCTION("""COMPUTED_VALUE"""),35.427921)</f>
        <v>35.427920999999998</v>
      </c>
      <c r="S45" s="265">
        <f ca="1">IFERROR(__xludf.DUMMYFUNCTION("""COMPUTED_VALUE"""),133.334101)</f>
        <v>133.334101</v>
      </c>
      <c r="T45" s="264" t="str">
        <f ca="1">IFERROR(__xludf.DUMMYFUNCTION("FILTER(C:E,B:B=L45)")," ")</f>
        <v xml:space="preserve"> </v>
      </c>
      <c r="U45" s="40" t="str">
        <f ca="1">IFERROR(__xludf.DUMMYFUNCTION("""COMPUTED_VALUE""")," ")</f>
        <v xml:space="preserve"> </v>
      </c>
      <c r="V45" s="40" t="str">
        <f ca="1">IFERROR(__xludf.DUMMYFUNCTION("""COMPUTED_VALUE""")," ")</f>
        <v xml:space="preserve"> </v>
      </c>
      <c r="W45" s="40" t="str">
        <f t="shared" ca="1" si="21"/>
        <v>,</v>
      </c>
      <c r="X45" s="40" t="s">
        <v>682</v>
      </c>
      <c r="Y45" s="40" t="s">
        <v>683</v>
      </c>
      <c r="Z45" s="264">
        <f t="shared" ca="1" si="1"/>
        <v>35.429049999999997</v>
      </c>
      <c r="AA45" s="40" t="s">
        <v>684</v>
      </c>
      <c r="AB45" s="264">
        <f t="shared" ca="1" si="2"/>
        <v>133.33549099999999</v>
      </c>
      <c r="AC45" s="40" t="s">
        <v>685</v>
      </c>
      <c r="AD45" s="264">
        <f t="shared" ca="1" si="3"/>
        <v>35.427920999999998</v>
      </c>
      <c r="AE45" s="40" t="s">
        <v>684</v>
      </c>
      <c r="AF45" s="264">
        <f t="shared" ca="1" si="4"/>
        <v>133.334101</v>
      </c>
      <c r="AG45" s="40" t="s">
        <v>686</v>
      </c>
      <c r="AH45" s="264" t="str">
        <f t="shared" ca="1" si="5"/>
        <v xml:space="preserve"> </v>
      </c>
      <c r="AI45" s="40" t="s">
        <v>684</v>
      </c>
      <c r="AJ45" s="264" t="str">
        <f t="shared" ca="1" si="6"/>
        <v xml:space="preserve"> </v>
      </c>
      <c r="AK45" s="40" t="s">
        <v>687</v>
      </c>
      <c r="AL45" s="264" t="str">
        <f t="shared" ca="1" si="7"/>
        <v xml:space="preserve">IndianRed  </v>
      </c>
      <c r="AM45" s="40" t="s">
        <v>688</v>
      </c>
      <c r="AN45" s="40" t="str">
        <f t="shared" ca="1" si="8"/>
        <v>,{"type":"polygon","latLngs":[ {"lat":35.42905,"lng":133.335491}, {"lat":35.427921,"lng":133.334101},{"lat": ,"lng": }], "color":"IndianRed  "}</v>
      </c>
      <c r="AO45" s="266" t="s">
        <v>689</v>
      </c>
      <c r="AP45" s="56">
        <f t="shared" ca="1" si="9"/>
        <v>35.429049999999997</v>
      </c>
      <c r="AQ45" s="40" t="s">
        <v>684</v>
      </c>
      <c r="AR45" s="56">
        <f t="shared" ca="1" si="10"/>
        <v>133.33549099999999</v>
      </c>
      <c r="AS45" s="40" t="s">
        <v>686</v>
      </c>
      <c r="AT45" s="56">
        <f t="shared" ca="1" si="11"/>
        <v>35.427920999999998</v>
      </c>
      <c r="AU45" s="40" t="s">
        <v>684</v>
      </c>
      <c r="AV45" s="56">
        <f t="shared" ca="1" si="12"/>
        <v>133.334101</v>
      </c>
      <c r="AW45" s="40" t="s">
        <v>690</v>
      </c>
      <c r="AX45" s="40" t="str">
        <f t="shared" ca="1" si="13"/>
        <v xml:space="preserve">IndianRed  </v>
      </c>
      <c r="AY45" s="40" t="s">
        <v>688</v>
      </c>
      <c r="AZ45" s="40" t="str">
        <f t="shared" ca="1" si="14"/>
        <v>,{"type":"polyline","latLngs":[{"lat":35.42905,"lng":133.335491},{"lat":35.427921,"lng":133.334101}],"color":"IndianRed  "}</v>
      </c>
      <c r="BA45" s="40" t="s">
        <v>691</v>
      </c>
      <c r="BB45" s="56">
        <f t="shared" ca="1" si="15"/>
        <v>35.429049999999997</v>
      </c>
      <c r="BC45" s="40" t="s">
        <v>684</v>
      </c>
      <c r="BD45" s="56">
        <f t="shared" ca="1" si="16"/>
        <v>133.33549099999999</v>
      </c>
      <c r="BE45" s="40" t="s">
        <v>692</v>
      </c>
      <c r="BF45" s="40" t="str">
        <f t="shared" ca="1" si="17"/>
        <v xml:space="preserve">IndianRed  </v>
      </c>
      <c r="BG45" s="40" t="s">
        <v>688</v>
      </c>
      <c r="BH45" s="40" t="str">
        <f t="shared" ca="1" si="18"/>
        <v>,{"type":"marker","latLng":{"lat":35.42905,"lng":133.335491},"color":"IndianRed  "}</v>
      </c>
      <c r="BI45" s="40" t="s">
        <v>693</v>
      </c>
      <c r="BJ45" s="40" t="s">
        <v>694</v>
      </c>
      <c r="BK45" s="267" t="str">
        <f t="shared" ca="1" si="19"/>
        <v>,{"type":"polyline","latLngs":[{"lat":35.42905,"lng":133.335491},{"lat":35.427921,"lng":133.334101}],"color":"IndianRed  "}</v>
      </c>
      <c r="BL45" s="40"/>
      <c r="BM45" s="40"/>
      <c r="BN45" s="268" t="s">
        <v>721</v>
      </c>
      <c r="BO45" s="274" t="s">
        <v>718</v>
      </c>
    </row>
    <row r="46" spans="1:68" ht="17.5">
      <c r="A46" s="40"/>
      <c r="B46" s="260" t="str">
        <f ca="1">IFERROR(__xludf.DUMMYFUNCTION("""COMPUTED_VALUE"""),"P38")</f>
        <v>P38</v>
      </c>
      <c r="C46" s="273" t="str">
        <f ca="1">IFERROR(__xludf.DUMMYFUNCTION("""COMPUTED_VALUE"""),"米子市中央隣保館")</f>
        <v>米子市中央隣保館</v>
      </c>
      <c r="D46" s="273">
        <f ca="1">IFERROR(__xludf.DUMMYFUNCTION("""COMPUTED_VALUE"""),35.432593)</f>
        <v>35.432592999999997</v>
      </c>
      <c r="E46" s="273">
        <f ca="1">IFERROR(__xludf.DUMMYFUNCTION("""COMPUTED_VALUE"""),133.337234)</f>
        <v>133.337234</v>
      </c>
      <c r="F46" s="40"/>
      <c r="G46" s="261"/>
      <c r="H46" s="262" t="s">
        <v>672</v>
      </c>
      <c r="I46" s="271" t="str">
        <f ca="1">IFERROR(__xludf.DUMMYFUNCTION("""COMPUTED_VALUE"""),"Agent02")</f>
        <v>Agent02</v>
      </c>
      <c r="J46" s="271" t="str">
        <f ca="1">IFERROR(__xludf.DUMMYFUNCTION("""COMPUTED_VALUE"""),"P06")</f>
        <v>P06</v>
      </c>
      <c r="K46" s="271" t="str">
        <f ca="1">IFERROR(__xludf.DUMMYFUNCTION("""COMPUTED_VALUE"""),"P16")</f>
        <v>P16</v>
      </c>
      <c r="L46" s="242" t="s">
        <v>681</v>
      </c>
      <c r="M46" s="263" t="str">
        <f t="shared" ca="1" si="0"/>
        <v xml:space="preserve">IndianRed  </v>
      </c>
      <c r="N46" s="264" t="str">
        <f ca="1">IFERROR(__xludf.DUMMYFUNCTION("FILTER(C:E,B:B=J46)"),"旧法勝寺電車")</f>
        <v>旧法勝寺電車</v>
      </c>
      <c r="O46" s="265">
        <f ca="1">IFERROR(__xludf.DUMMYFUNCTION("""COMPUTED_VALUE"""),35.426821)</f>
        <v>35.426820999999997</v>
      </c>
      <c r="P46" s="265">
        <f ca="1">IFERROR(__xludf.DUMMYFUNCTION("""COMPUTED_VALUE"""),133.334139)</f>
        <v>133.33413899999999</v>
      </c>
      <c r="Q46" s="264" t="str">
        <f ca="1">IFERROR(__xludf.DUMMYFUNCTION("FILTER(C:E,B:B=K46)"),"延命院地蔵")</f>
        <v>延命院地蔵</v>
      </c>
      <c r="R46" s="265">
        <f ca="1">IFERROR(__xludf.DUMMYFUNCTION("""COMPUTED_VALUE"""),35.428827)</f>
        <v>35.428826999999998</v>
      </c>
      <c r="S46" s="265">
        <f ca="1">IFERROR(__xludf.DUMMYFUNCTION("""COMPUTED_VALUE"""),133.337438)</f>
        <v>133.33743799999999</v>
      </c>
      <c r="T46" s="264" t="str">
        <f ca="1">IFERROR(__xludf.DUMMYFUNCTION("FILTER(C:E,B:B=L46)")," ")</f>
        <v xml:space="preserve"> </v>
      </c>
      <c r="U46" s="40" t="str">
        <f ca="1">IFERROR(__xludf.DUMMYFUNCTION("""COMPUTED_VALUE""")," ")</f>
        <v xml:space="preserve"> </v>
      </c>
      <c r="V46" s="40" t="str">
        <f ca="1">IFERROR(__xludf.DUMMYFUNCTION("""COMPUTED_VALUE""")," ")</f>
        <v xml:space="preserve"> </v>
      </c>
      <c r="W46" s="40" t="str">
        <f t="shared" ca="1" si="21"/>
        <v>,</v>
      </c>
      <c r="X46" s="40" t="s">
        <v>682</v>
      </c>
      <c r="Y46" s="40" t="s">
        <v>683</v>
      </c>
      <c r="Z46" s="264">
        <f t="shared" ca="1" si="1"/>
        <v>35.426820999999997</v>
      </c>
      <c r="AA46" s="40" t="s">
        <v>684</v>
      </c>
      <c r="AB46" s="264">
        <f t="shared" ca="1" si="2"/>
        <v>133.33413899999999</v>
      </c>
      <c r="AC46" s="40" t="s">
        <v>685</v>
      </c>
      <c r="AD46" s="264">
        <f t="shared" ca="1" si="3"/>
        <v>35.428826999999998</v>
      </c>
      <c r="AE46" s="40" t="s">
        <v>684</v>
      </c>
      <c r="AF46" s="264">
        <f t="shared" ca="1" si="4"/>
        <v>133.33743799999999</v>
      </c>
      <c r="AG46" s="40" t="s">
        <v>686</v>
      </c>
      <c r="AH46" s="264" t="str">
        <f t="shared" ca="1" si="5"/>
        <v xml:space="preserve"> </v>
      </c>
      <c r="AI46" s="40" t="s">
        <v>684</v>
      </c>
      <c r="AJ46" s="264" t="str">
        <f t="shared" ca="1" si="6"/>
        <v xml:space="preserve"> </v>
      </c>
      <c r="AK46" s="40" t="s">
        <v>687</v>
      </c>
      <c r="AL46" s="264" t="str">
        <f t="shared" ca="1" si="7"/>
        <v xml:space="preserve">IndianRed  </v>
      </c>
      <c r="AM46" s="40" t="s">
        <v>688</v>
      </c>
      <c r="AN46" s="40" t="str">
        <f t="shared" ca="1" si="8"/>
        <v>,{"type":"polygon","latLngs":[ {"lat":35.426821,"lng":133.334139}, {"lat":35.428827,"lng":133.337438},{"lat": ,"lng": }], "color":"IndianRed  "}</v>
      </c>
      <c r="AO46" s="266" t="s">
        <v>689</v>
      </c>
      <c r="AP46" s="56">
        <f t="shared" ca="1" si="9"/>
        <v>35.426820999999997</v>
      </c>
      <c r="AQ46" s="40" t="s">
        <v>684</v>
      </c>
      <c r="AR46" s="56">
        <f t="shared" ca="1" si="10"/>
        <v>133.33413899999999</v>
      </c>
      <c r="AS46" s="40" t="s">
        <v>686</v>
      </c>
      <c r="AT46" s="56">
        <f t="shared" ca="1" si="11"/>
        <v>35.428826999999998</v>
      </c>
      <c r="AU46" s="40" t="s">
        <v>684</v>
      </c>
      <c r="AV46" s="56">
        <f t="shared" ca="1" si="12"/>
        <v>133.33743799999999</v>
      </c>
      <c r="AW46" s="40" t="s">
        <v>690</v>
      </c>
      <c r="AX46" s="40" t="str">
        <f t="shared" ca="1" si="13"/>
        <v xml:space="preserve">IndianRed  </v>
      </c>
      <c r="AY46" s="40" t="s">
        <v>688</v>
      </c>
      <c r="AZ46" s="40" t="str">
        <f t="shared" ca="1" si="14"/>
        <v>,{"type":"polyline","latLngs":[{"lat":35.426821,"lng":133.334139},{"lat":35.428827,"lng":133.337438}],"color":"IndianRed  "}</v>
      </c>
      <c r="BA46" s="40" t="s">
        <v>691</v>
      </c>
      <c r="BB46" s="56">
        <f t="shared" ca="1" si="15"/>
        <v>35.426820999999997</v>
      </c>
      <c r="BC46" s="40" t="s">
        <v>684</v>
      </c>
      <c r="BD46" s="56">
        <f t="shared" ca="1" si="16"/>
        <v>133.33413899999999</v>
      </c>
      <c r="BE46" s="40" t="s">
        <v>692</v>
      </c>
      <c r="BF46" s="40" t="str">
        <f t="shared" ca="1" si="17"/>
        <v xml:space="preserve">IndianRed  </v>
      </c>
      <c r="BG46" s="40" t="s">
        <v>688</v>
      </c>
      <c r="BH46" s="40" t="str">
        <f t="shared" ca="1" si="18"/>
        <v>,{"type":"marker","latLng":{"lat":35.426821,"lng":133.334139},"color":"IndianRed  "}</v>
      </c>
      <c r="BI46" s="40" t="s">
        <v>693</v>
      </c>
      <c r="BJ46" s="40" t="s">
        <v>694</v>
      </c>
      <c r="BK46" s="267" t="str">
        <f t="shared" ca="1" si="19"/>
        <v>,{"type":"polyline","latLngs":[{"lat":35.426821,"lng":133.334139},{"lat":35.428827,"lng":133.337438}],"color":"IndianRed  "}</v>
      </c>
      <c r="BL46" s="40"/>
      <c r="BM46" s="40"/>
      <c r="BN46" s="268" t="s">
        <v>722</v>
      </c>
      <c r="BO46" s="274" t="s">
        <v>723</v>
      </c>
    </row>
    <row r="47" spans="1:68" ht="17.5">
      <c r="A47" s="40"/>
      <c r="B47" s="260" t="str">
        <f ca="1">IFERROR(__xludf.DUMMYFUNCTION("""COMPUTED_VALUE"""),"P39")</f>
        <v>P39</v>
      </c>
      <c r="C47" s="273" t="str">
        <f ca="1">IFERROR(__xludf.DUMMYFUNCTION("""COMPUTED_VALUE"""),"朝日公園")</f>
        <v>朝日公園</v>
      </c>
      <c r="D47" s="273">
        <f ca="1">IFERROR(__xludf.DUMMYFUNCTION("""COMPUTED_VALUE"""),35.432595)</f>
        <v>35.432594999999999</v>
      </c>
      <c r="E47" s="273">
        <f ca="1">IFERROR(__xludf.DUMMYFUNCTION("""COMPUTED_VALUE"""),133.329787)</f>
        <v>133.32978700000001</v>
      </c>
      <c r="F47" s="40"/>
      <c r="G47" s="261"/>
      <c r="H47" s="262" t="s">
        <v>672</v>
      </c>
      <c r="I47" s="271" t="str">
        <f ca="1">IFERROR(__xludf.DUMMYFUNCTION("""COMPUTED_VALUE"""),"Agent02")</f>
        <v>Agent02</v>
      </c>
      <c r="J47" s="271" t="str">
        <f ca="1">IFERROR(__xludf.DUMMYFUNCTION("""COMPUTED_VALUE"""),"P06")</f>
        <v>P06</v>
      </c>
      <c r="K47" s="271" t="str">
        <f ca="1">IFERROR(__xludf.DUMMYFUNCTION("""COMPUTED_VALUE"""),"P04")</f>
        <v>P04</v>
      </c>
      <c r="L47" s="242" t="s">
        <v>681</v>
      </c>
      <c r="M47" s="263" t="str">
        <f t="shared" ca="1" si="0"/>
        <v xml:space="preserve">IndianRed  </v>
      </c>
      <c r="N47" s="264" t="str">
        <f ca="1">IFERROR(__xludf.DUMMYFUNCTION("FILTER(C:E,B:B=J47)"),"旧法勝寺電車")</f>
        <v>旧法勝寺電車</v>
      </c>
      <c r="O47" s="265">
        <f ca="1">IFERROR(__xludf.DUMMYFUNCTION("""COMPUTED_VALUE"""),35.426821)</f>
        <v>35.426820999999997</v>
      </c>
      <c r="P47" s="265">
        <f ca="1">IFERROR(__xludf.DUMMYFUNCTION("""COMPUTED_VALUE"""),133.334139)</f>
        <v>133.33413899999999</v>
      </c>
      <c r="Q47" s="264" t="str">
        <f ca="1">IFERROR(__xludf.DUMMYFUNCTION("FILTER(C:E,B:B=K47)"),"海鮮居酒屋 とみ家")</f>
        <v>海鮮居酒屋 とみ家</v>
      </c>
      <c r="R47" s="265">
        <f ca="1">IFERROR(__xludf.DUMMYFUNCTION("""COMPUTED_VALUE"""),35.426377)</f>
        <v>35.426377000000002</v>
      </c>
      <c r="S47" s="265">
        <f ca="1">IFERROR(__xludf.DUMMYFUNCTION("""COMPUTED_VALUE"""),133.332204)</f>
        <v>133.33220399999999</v>
      </c>
      <c r="T47" s="264" t="str">
        <f ca="1">IFERROR(__xludf.DUMMYFUNCTION("FILTER(C:E,B:B=L47)")," ")</f>
        <v xml:space="preserve"> </v>
      </c>
      <c r="U47" s="40" t="str">
        <f ca="1">IFERROR(__xludf.DUMMYFUNCTION("""COMPUTED_VALUE""")," ")</f>
        <v xml:space="preserve"> </v>
      </c>
      <c r="V47" s="40" t="str">
        <f ca="1">IFERROR(__xludf.DUMMYFUNCTION("""COMPUTED_VALUE""")," ")</f>
        <v xml:space="preserve"> </v>
      </c>
      <c r="W47" s="40" t="str">
        <f t="shared" ca="1" si="21"/>
        <v>,</v>
      </c>
      <c r="X47" s="40" t="s">
        <v>682</v>
      </c>
      <c r="Y47" s="40" t="s">
        <v>683</v>
      </c>
      <c r="Z47" s="264">
        <f t="shared" ca="1" si="1"/>
        <v>35.426820999999997</v>
      </c>
      <c r="AA47" s="40" t="s">
        <v>684</v>
      </c>
      <c r="AB47" s="264">
        <f t="shared" ca="1" si="2"/>
        <v>133.33413899999999</v>
      </c>
      <c r="AC47" s="40" t="s">
        <v>685</v>
      </c>
      <c r="AD47" s="264">
        <f t="shared" ca="1" si="3"/>
        <v>35.426377000000002</v>
      </c>
      <c r="AE47" s="40" t="s">
        <v>684</v>
      </c>
      <c r="AF47" s="264">
        <f t="shared" ca="1" si="4"/>
        <v>133.33220399999999</v>
      </c>
      <c r="AG47" s="40" t="s">
        <v>686</v>
      </c>
      <c r="AH47" s="264" t="str">
        <f t="shared" ca="1" si="5"/>
        <v xml:space="preserve"> </v>
      </c>
      <c r="AI47" s="40" t="s">
        <v>684</v>
      </c>
      <c r="AJ47" s="264" t="str">
        <f t="shared" ca="1" si="6"/>
        <v xml:space="preserve"> </v>
      </c>
      <c r="AK47" s="40" t="s">
        <v>687</v>
      </c>
      <c r="AL47" s="264" t="str">
        <f t="shared" ca="1" si="7"/>
        <v xml:space="preserve">IndianRed  </v>
      </c>
      <c r="AM47" s="40" t="s">
        <v>688</v>
      </c>
      <c r="AN47" s="40" t="str">
        <f t="shared" ca="1" si="8"/>
        <v>,{"type":"polygon","latLngs":[ {"lat":35.426821,"lng":133.334139}, {"lat":35.426377,"lng":133.332204},{"lat": ,"lng": }], "color":"IndianRed  "}</v>
      </c>
      <c r="AO47" s="266" t="s">
        <v>689</v>
      </c>
      <c r="AP47" s="56">
        <f t="shared" ca="1" si="9"/>
        <v>35.426820999999997</v>
      </c>
      <c r="AQ47" s="40" t="s">
        <v>684</v>
      </c>
      <c r="AR47" s="56">
        <f t="shared" ca="1" si="10"/>
        <v>133.33413899999999</v>
      </c>
      <c r="AS47" s="40" t="s">
        <v>686</v>
      </c>
      <c r="AT47" s="56">
        <f t="shared" ca="1" si="11"/>
        <v>35.426377000000002</v>
      </c>
      <c r="AU47" s="40" t="s">
        <v>684</v>
      </c>
      <c r="AV47" s="56">
        <f t="shared" ca="1" si="12"/>
        <v>133.33220399999999</v>
      </c>
      <c r="AW47" s="40" t="s">
        <v>690</v>
      </c>
      <c r="AX47" s="40" t="str">
        <f t="shared" ca="1" si="13"/>
        <v xml:space="preserve">IndianRed  </v>
      </c>
      <c r="AY47" s="40" t="s">
        <v>688</v>
      </c>
      <c r="AZ47" s="40" t="str">
        <f t="shared" ca="1" si="14"/>
        <v>,{"type":"polyline","latLngs":[{"lat":35.426821,"lng":133.334139},{"lat":35.426377,"lng":133.332204}],"color":"IndianRed  "}</v>
      </c>
      <c r="BA47" s="40" t="s">
        <v>691</v>
      </c>
      <c r="BB47" s="56">
        <f t="shared" ca="1" si="15"/>
        <v>35.426820999999997</v>
      </c>
      <c r="BC47" s="40" t="s">
        <v>684</v>
      </c>
      <c r="BD47" s="56">
        <f t="shared" ca="1" si="16"/>
        <v>133.33413899999999</v>
      </c>
      <c r="BE47" s="40" t="s">
        <v>692</v>
      </c>
      <c r="BF47" s="40" t="str">
        <f t="shared" ca="1" si="17"/>
        <v xml:space="preserve">IndianRed  </v>
      </c>
      <c r="BG47" s="40" t="s">
        <v>688</v>
      </c>
      <c r="BH47" s="40" t="str">
        <f t="shared" ca="1" si="18"/>
        <v>,{"type":"marker","latLng":{"lat":35.426821,"lng":133.334139},"color":"IndianRed  "}</v>
      </c>
      <c r="BI47" s="40" t="s">
        <v>693</v>
      </c>
      <c r="BJ47" s="40" t="s">
        <v>694</v>
      </c>
      <c r="BK47" s="267" t="str">
        <f t="shared" ca="1" si="19"/>
        <v>,{"type":"polyline","latLngs":[{"lat":35.426821,"lng":133.334139},{"lat":35.426377,"lng":133.332204}],"color":"IndianRed  "}</v>
      </c>
      <c r="BL47" s="40"/>
      <c r="BM47" s="40"/>
      <c r="BN47" s="268" t="s">
        <v>724</v>
      </c>
      <c r="BO47" s="274" t="s">
        <v>725</v>
      </c>
    </row>
    <row r="48" spans="1:68" ht="17.5">
      <c r="A48" s="40"/>
      <c r="B48" s="260" t="str">
        <f ca="1">IFERROR(__xludf.DUMMYFUNCTION("""COMPUTED_VALUE"""),"P40")</f>
        <v>P40</v>
      </c>
      <c r="C48" s="273" t="str">
        <f ca="1">IFERROR(__xludf.DUMMYFUNCTION("""COMPUTED_VALUE"""),"涼善寺 本堂")</f>
        <v>涼善寺 本堂</v>
      </c>
      <c r="D48" s="273">
        <f ca="1">IFERROR(__xludf.DUMMYFUNCTION("""COMPUTED_VALUE"""),35.432693)</f>
        <v>35.432693</v>
      </c>
      <c r="E48" s="273">
        <f ca="1">IFERROR(__xludf.DUMMYFUNCTION("""COMPUTED_VALUE"""),133.328398)</f>
        <v>133.32839799999999</v>
      </c>
      <c r="F48" s="40"/>
      <c r="G48" s="261"/>
      <c r="H48" s="262" t="s">
        <v>672</v>
      </c>
      <c r="I48" s="271" t="str">
        <f ca="1">IFERROR(__xludf.DUMMYFUNCTION("""COMPUTED_VALUE"""),"Agent02")</f>
        <v>Agent02</v>
      </c>
      <c r="J48" s="271" t="str">
        <f ca="1">IFERROR(__xludf.DUMMYFUNCTION("""COMPUTED_VALUE"""),"P01")</f>
        <v>P01</v>
      </c>
      <c r="K48" s="271" t="str">
        <f ca="1">IFERROR(__xludf.DUMMYFUNCTION("""COMPUTED_VALUE"""),"P04")</f>
        <v>P04</v>
      </c>
      <c r="L48" s="242" t="s">
        <v>681</v>
      </c>
      <c r="M48" s="263" t="str">
        <f t="shared" ca="1" si="0"/>
        <v xml:space="preserve">IndianRed  </v>
      </c>
      <c r="N48" s="264" t="str">
        <f ca="1">IFERROR(__xludf.DUMMYFUNCTION("FILTER(C:E,B:B=J48)"),"たいやきとお茶の店あんあん")</f>
        <v>たいやきとお茶の店あんあん</v>
      </c>
      <c r="O48" s="265">
        <f ca="1">IFERROR(__xludf.DUMMYFUNCTION("""COMPUTED_VALUE"""),35.425063)</f>
        <v>35.425063000000002</v>
      </c>
      <c r="P48" s="265">
        <f ca="1">IFERROR(__xludf.DUMMYFUNCTION("""COMPUTED_VALUE"""),133.332011)</f>
        <v>133.33201099999999</v>
      </c>
      <c r="Q48" s="264" t="str">
        <f ca="1">IFERROR(__xludf.DUMMYFUNCTION("FILTER(C:E,B:B=K48)"),"海鮮居酒屋 とみ家")</f>
        <v>海鮮居酒屋 とみ家</v>
      </c>
      <c r="R48" s="265">
        <f ca="1">IFERROR(__xludf.DUMMYFUNCTION("""COMPUTED_VALUE"""),35.426377)</f>
        <v>35.426377000000002</v>
      </c>
      <c r="S48" s="265">
        <f ca="1">IFERROR(__xludf.DUMMYFUNCTION("""COMPUTED_VALUE"""),133.332204)</f>
        <v>133.33220399999999</v>
      </c>
      <c r="T48" s="264" t="str">
        <f ca="1">IFERROR(__xludf.DUMMYFUNCTION("FILTER(C:E,B:B=L48)")," ")</f>
        <v xml:space="preserve"> </v>
      </c>
      <c r="U48" s="40" t="str">
        <f ca="1">IFERROR(__xludf.DUMMYFUNCTION("""COMPUTED_VALUE""")," ")</f>
        <v xml:space="preserve"> </v>
      </c>
      <c r="V48" s="40" t="str">
        <f ca="1">IFERROR(__xludf.DUMMYFUNCTION("""COMPUTED_VALUE""")," ")</f>
        <v xml:space="preserve"> </v>
      </c>
      <c r="W48" s="40" t="str">
        <f t="shared" ca="1" si="21"/>
        <v>,</v>
      </c>
      <c r="X48" s="40" t="s">
        <v>682</v>
      </c>
      <c r="Y48" s="40" t="s">
        <v>683</v>
      </c>
      <c r="Z48" s="264">
        <f t="shared" ca="1" si="1"/>
        <v>35.425063000000002</v>
      </c>
      <c r="AA48" s="40" t="s">
        <v>684</v>
      </c>
      <c r="AB48" s="264">
        <f t="shared" ca="1" si="2"/>
        <v>133.33201099999999</v>
      </c>
      <c r="AC48" s="40" t="s">
        <v>685</v>
      </c>
      <c r="AD48" s="264">
        <f t="shared" ca="1" si="3"/>
        <v>35.426377000000002</v>
      </c>
      <c r="AE48" s="40" t="s">
        <v>684</v>
      </c>
      <c r="AF48" s="264">
        <f t="shared" ca="1" si="4"/>
        <v>133.33220399999999</v>
      </c>
      <c r="AG48" s="40" t="s">
        <v>686</v>
      </c>
      <c r="AH48" s="264" t="str">
        <f t="shared" ca="1" si="5"/>
        <v xml:space="preserve"> </v>
      </c>
      <c r="AI48" s="40" t="s">
        <v>684</v>
      </c>
      <c r="AJ48" s="264" t="str">
        <f t="shared" ca="1" si="6"/>
        <v xml:space="preserve"> </v>
      </c>
      <c r="AK48" s="40" t="s">
        <v>687</v>
      </c>
      <c r="AL48" s="264" t="str">
        <f t="shared" ca="1" si="7"/>
        <v xml:space="preserve">IndianRed  </v>
      </c>
      <c r="AM48" s="40" t="s">
        <v>688</v>
      </c>
      <c r="AN48" s="40" t="str">
        <f t="shared" ca="1" si="8"/>
        <v>,{"type":"polygon","latLngs":[ {"lat":35.425063,"lng":133.332011}, {"lat":35.426377,"lng":133.332204},{"lat": ,"lng": }], "color":"IndianRed  "}</v>
      </c>
      <c r="AO48" s="266" t="s">
        <v>689</v>
      </c>
      <c r="AP48" s="56">
        <f t="shared" ca="1" si="9"/>
        <v>35.425063000000002</v>
      </c>
      <c r="AQ48" s="40" t="s">
        <v>684</v>
      </c>
      <c r="AR48" s="56">
        <f t="shared" ca="1" si="10"/>
        <v>133.33201099999999</v>
      </c>
      <c r="AS48" s="40" t="s">
        <v>686</v>
      </c>
      <c r="AT48" s="56">
        <f t="shared" ca="1" si="11"/>
        <v>35.426377000000002</v>
      </c>
      <c r="AU48" s="40" t="s">
        <v>684</v>
      </c>
      <c r="AV48" s="56">
        <f t="shared" ca="1" si="12"/>
        <v>133.33220399999999</v>
      </c>
      <c r="AW48" s="40" t="s">
        <v>690</v>
      </c>
      <c r="AX48" s="40" t="str">
        <f t="shared" ca="1" si="13"/>
        <v xml:space="preserve">IndianRed  </v>
      </c>
      <c r="AY48" s="40" t="s">
        <v>688</v>
      </c>
      <c r="AZ48" s="40" t="str">
        <f t="shared" ca="1" si="14"/>
        <v>,{"type":"polyline","latLngs":[{"lat":35.425063,"lng":133.332011},{"lat":35.426377,"lng":133.332204}],"color":"IndianRed  "}</v>
      </c>
      <c r="BA48" s="40" t="s">
        <v>691</v>
      </c>
      <c r="BB48" s="56">
        <f t="shared" ca="1" si="15"/>
        <v>35.425063000000002</v>
      </c>
      <c r="BC48" s="40" t="s">
        <v>684</v>
      </c>
      <c r="BD48" s="56">
        <f t="shared" ca="1" si="16"/>
        <v>133.33201099999999</v>
      </c>
      <c r="BE48" s="40" t="s">
        <v>692</v>
      </c>
      <c r="BF48" s="40" t="str">
        <f t="shared" ca="1" si="17"/>
        <v xml:space="preserve">IndianRed  </v>
      </c>
      <c r="BG48" s="40" t="s">
        <v>688</v>
      </c>
      <c r="BH48" s="40" t="str">
        <f t="shared" ca="1" si="18"/>
        <v>,{"type":"marker","latLng":{"lat":35.425063,"lng":133.332011},"color":"IndianRed  "}</v>
      </c>
      <c r="BI48" s="40" t="s">
        <v>693</v>
      </c>
      <c r="BJ48" s="40" t="s">
        <v>694</v>
      </c>
      <c r="BK48" s="267" t="str">
        <f t="shared" ca="1" si="19"/>
        <v>,{"type":"polyline","latLngs":[{"lat":35.425063,"lng":133.332011},{"lat":35.426377,"lng":133.332204}],"color":"IndianRed  "}</v>
      </c>
      <c r="BL48" s="40"/>
      <c r="BM48" s="40"/>
      <c r="BN48" s="268" t="s">
        <v>726</v>
      </c>
      <c r="BO48" s="274" t="s">
        <v>710</v>
      </c>
    </row>
    <row r="49" spans="1:86" ht="17.5">
      <c r="A49" s="40"/>
      <c r="B49" s="260" t="str">
        <f ca="1">IFERROR(__xludf.DUMMYFUNCTION("""COMPUTED_VALUE"""),"P41")</f>
        <v>P41</v>
      </c>
      <c r="C49" s="273" t="str">
        <f ca="1">IFERROR(__xludf.DUMMYFUNCTION("""COMPUTED_VALUE"""),"米子盆踊発祥之地")</f>
        <v>米子盆踊発祥之地</v>
      </c>
      <c r="D49" s="273">
        <f ca="1">IFERROR(__xludf.DUMMYFUNCTION("""COMPUTED_VALUE"""),35.432755)</f>
        <v>35.432755</v>
      </c>
      <c r="E49" s="273">
        <f ca="1">IFERROR(__xludf.DUMMYFUNCTION("""COMPUTED_VALUE"""),133.33603)</f>
        <v>133.33602999999999</v>
      </c>
      <c r="F49" s="40"/>
      <c r="G49" s="261"/>
      <c r="H49" s="262" t="s">
        <v>672</v>
      </c>
      <c r="I49" s="271" t="str">
        <f ca="1">IFERROR(__xludf.DUMMYFUNCTION("""COMPUTED_VALUE"""),"Agent02")</f>
        <v>Agent02</v>
      </c>
      <c r="J49" s="271" t="str">
        <f ca="1">IFERROR(__xludf.DUMMYFUNCTION("""COMPUTED_VALUE"""),"P01")</f>
        <v>P01</v>
      </c>
      <c r="K49" s="271" t="str">
        <f ca="1">IFERROR(__xludf.DUMMYFUNCTION("""COMPUTED_VALUE"""),"P06")</f>
        <v>P06</v>
      </c>
      <c r="L49" s="242" t="s">
        <v>681</v>
      </c>
      <c r="M49" s="263" t="str">
        <f t="shared" ca="1" si="0"/>
        <v xml:space="preserve">IndianRed  </v>
      </c>
      <c r="N49" s="264" t="str">
        <f ca="1">IFERROR(__xludf.DUMMYFUNCTION("FILTER(C:E,B:B=J49)"),"たいやきとお茶の店あんあん")</f>
        <v>たいやきとお茶の店あんあん</v>
      </c>
      <c r="O49" s="265">
        <f ca="1">IFERROR(__xludf.DUMMYFUNCTION("""COMPUTED_VALUE"""),35.425063)</f>
        <v>35.425063000000002</v>
      </c>
      <c r="P49" s="265">
        <f ca="1">IFERROR(__xludf.DUMMYFUNCTION("""COMPUTED_VALUE"""),133.332011)</f>
        <v>133.33201099999999</v>
      </c>
      <c r="Q49" s="264" t="str">
        <f ca="1">IFERROR(__xludf.DUMMYFUNCTION("FILTER(C:E,B:B=K49)"),"旧法勝寺電車")</f>
        <v>旧法勝寺電車</v>
      </c>
      <c r="R49" s="265">
        <f ca="1">IFERROR(__xludf.DUMMYFUNCTION("""COMPUTED_VALUE"""),35.426821)</f>
        <v>35.426820999999997</v>
      </c>
      <c r="S49" s="265">
        <f ca="1">IFERROR(__xludf.DUMMYFUNCTION("""COMPUTED_VALUE"""),133.334139)</f>
        <v>133.33413899999999</v>
      </c>
      <c r="T49" s="264" t="str">
        <f ca="1">IFERROR(__xludf.DUMMYFUNCTION("FILTER(C:E,B:B=L49)")," ")</f>
        <v xml:space="preserve"> </v>
      </c>
      <c r="U49" s="40" t="str">
        <f ca="1">IFERROR(__xludf.DUMMYFUNCTION("""COMPUTED_VALUE""")," ")</f>
        <v xml:space="preserve"> </v>
      </c>
      <c r="V49" s="40" t="str">
        <f ca="1">IFERROR(__xludf.DUMMYFUNCTION("""COMPUTED_VALUE""")," ")</f>
        <v xml:space="preserve"> </v>
      </c>
      <c r="W49" s="40" t="str">
        <f t="shared" ca="1" si="21"/>
        <v>,</v>
      </c>
      <c r="X49" s="40" t="s">
        <v>682</v>
      </c>
      <c r="Y49" s="40" t="s">
        <v>683</v>
      </c>
      <c r="Z49" s="264">
        <f t="shared" ca="1" si="1"/>
        <v>35.425063000000002</v>
      </c>
      <c r="AA49" s="40" t="s">
        <v>684</v>
      </c>
      <c r="AB49" s="264">
        <f t="shared" ca="1" si="2"/>
        <v>133.33201099999999</v>
      </c>
      <c r="AC49" s="40" t="s">
        <v>685</v>
      </c>
      <c r="AD49" s="264">
        <f t="shared" ca="1" si="3"/>
        <v>35.426820999999997</v>
      </c>
      <c r="AE49" s="40" t="s">
        <v>684</v>
      </c>
      <c r="AF49" s="264">
        <f t="shared" ca="1" si="4"/>
        <v>133.33413899999999</v>
      </c>
      <c r="AG49" s="40" t="s">
        <v>686</v>
      </c>
      <c r="AH49" s="264" t="str">
        <f t="shared" ca="1" si="5"/>
        <v xml:space="preserve"> </v>
      </c>
      <c r="AI49" s="40" t="s">
        <v>684</v>
      </c>
      <c r="AJ49" s="264" t="str">
        <f t="shared" ca="1" si="6"/>
        <v xml:space="preserve"> </v>
      </c>
      <c r="AK49" s="40" t="s">
        <v>687</v>
      </c>
      <c r="AL49" s="264" t="str">
        <f t="shared" ca="1" si="7"/>
        <v xml:space="preserve">IndianRed  </v>
      </c>
      <c r="AM49" s="40" t="s">
        <v>688</v>
      </c>
      <c r="AN49" s="40" t="str">
        <f t="shared" ca="1" si="8"/>
        <v>,{"type":"polygon","latLngs":[ {"lat":35.425063,"lng":133.332011}, {"lat":35.426821,"lng":133.334139},{"lat": ,"lng": }], "color":"IndianRed  "}</v>
      </c>
      <c r="AO49" s="266" t="s">
        <v>689</v>
      </c>
      <c r="AP49" s="56">
        <f t="shared" ca="1" si="9"/>
        <v>35.425063000000002</v>
      </c>
      <c r="AQ49" s="40" t="s">
        <v>684</v>
      </c>
      <c r="AR49" s="56">
        <f t="shared" ca="1" si="10"/>
        <v>133.33201099999999</v>
      </c>
      <c r="AS49" s="40" t="s">
        <v>686</v>
      </c>
      <c r="AT49" s="56">
        <f t="shared" ca="1" si="11"/>
        <v>35.426820999999997</v>
      </c>
      <c r="AU49" s="40" t="s">
        <v>684</v>
      </c>
      <c r="AV49" s="56">
        <f t="shared" ca="1" si="12"/>
        <v>133.33413899999999</v>
      </c>
      <c r="AW49" s="40" t="s">
        <v>690</v>
      </c>
      <c r="AX49" s="40" t="str">
        <f t="shared" ca="1" si="13"/>
        <v xml:space="preserve">IndianRed  </v>
      </c>
      <c r="AY49" s="40" t="s">
        <v>688</v>
      </c>
      <c r="AZ49" s="40" t="str">
        <f t="shared" ca="1" si="14"/>
        <v>,{"type":"polyline","latLngs":[{"lat":35.425063,"lng":133.332011},{"lat":35.426821,"lng":133.334139}],"color":"IndianRed  "}</v>
      </c>
      <c r="BA49" s="40" t="s">
        <v>691</v>
      </c>
      <c r="BB49" s="56">
        <f t="shared" ca="1" si="15"/>
        <v>35.425063000000002</v>
      </c>
      <c r="BC49" s="40" t="s">
        <v>684</v>
      </c>
      <c r="BD49" s="56">
        <f t="shared" ca="1" si="16"/>
        <v>133.33201099999999</v>
      </c>
      <c r="BE49" s="40" t="s">
        <v>692</v>
      </c>
      <c r="BF49" s="40" t="str">
        <f t="shared" ca="1" si="17"/>
        <v xml:space="preserve">IndianRed  </v>
      </c>
      <c r="BG49" s="40" t="s">
        <v>688</v>
      </c>
      <c r="BH49" s="40" t="str">
        <f t="shared" ca="1" si="18"/>
        <v>,{"type":"marker","latLng":{"lat":35.425063,"lng":133.332011},"color":"IndianRed  "}</v>
      </c>
      <c r="BI49" s="40" t="s">
        <v>693</v>
      </c>
      <c r="BJ49" s="40" t="s">
        <v>694</v>
      </c>
      <c r="BK49" s="267" t="str">
        <f t="shared" ca="1" si="19"/>
        <v>,{"type":"polyline","latLngs":[{"lat":35.425063,"lng":133.332011},{"lat":35.426821,"lng":133.334139}],"color":"IndianRed  "}</v>
      </c>
      <c r="BL49" s="40"/>
      <c r="BM49" s="40"/>
      <c r="BN49" s="277"/>
    </row>
    <row r="50" spans="1:86" ht="17.5">
      <c r="A50" s="40"/>
      <c r="B50" s="260" t="str">
        <f ca="1">IFERROR(__xludf.DUMMYFUNCTION("""COMPUTED_VALUE"""),"P42")</f>
        <v>P42</v>
      </c>
      <c r="C50" s="273" t="str">
        <f ca="1">IFERROR(__xludf.DUMMYFUNCTION("""COMPUTED_VALUE"""),"本教寺")</f>
        <v>本教寺</v>
      </c>
      <c r="D50" s="273">
        <f ca="1">IFERROR(__xludf.DUMMYFUNCTION("""COMPUTED_VALUE"""),35.433129)</f>
        <v>35.433129000000001</v>
      </c>
      <c r="E50" s="273">
        <f ca="1">IFERROR(__xludf.DUMMYFUNCTION("""COMPUTED_VALUE"""),133.327572)</f>
        <v>133.327572</v>
      </c>
      <c r="F50" s="40"/>
      <c r="G50" s="261"/>
      <c r="H50" s="262" t="s">
        <v>672</v>
      </c>
      <c r="I50" s="271" t="str">
        <f ca="1">IFERROR(__xludf.DUMMYFUNCTION("""COMPUTED_VALUE"""),"Agent02")</f>
        <v>Agent02</v>
      </c>
      <c r="J50" s="271" t="str">
        <f ca="1">IFERROR(__xludf.DUMMYFUNCTION("""COMPUTED_VALUE"""),"P01")</f>
        <v>P01</v>
      </c>
      <c r="K50" s="271" t="str">
        <f ca="1">IFERROR(__xludf.DUMMYFUNCTION("""COMPUTED_VALUE"""),"P16")</f>
        <v>P16</v>
      </c>
      <c r="L50" s="242" t="s">
        <v>681</v>
      </c>
      <c r="M50" s="263" t="str">
        <f t="shared" ca="1" si="0"/>
        <v xml:space="preserve">IndianRed  </v>
      </c>
      <c r="N50" s="264" t="str">
        <f ca="1">IFERROR(__xludf.DUMMYFUNCTION("FILTER(C:E,B:B=J50)"),"たいやきとお茶の店あんあん")</f>
        <v>たいやきとお茶の店あんあん</v>
      </c>
      <c r="O50" s="265">
        <f ca="1">IFERROR(__xludf.DUMMYFUNCTION("""COMPUTED_VALUE"""),35.425063)</f>
        <v>35.425063000000002</v>
      </c>
      <c r="P50" s="265">
        <f ca="1">IFERROR(__xludf.DUMMYFUNCTION("""COMPUTED_VALUE"""),133.332011)</f>
        <v>133.33201099999999</v>
      </c>
      <c r="Q50" s="264" t="str">
        <f ca="1">IFERROR(__xludf.DUMMYFUNCTION("FILTER(C:E,B:B=K50)"),"延命院地蔵")</f>
        <v>延命院地蔵</v>
      </c>
      <c r="R50" s="265">
        <f ca="1">IFERROR(__xludf.DUMMYFUNCTION("""COMPUTED_VALUE"""),35.428827)</f>
        <v>35.428826999999998</v>
      </c>
      <c r="S50" s="265">
        <f ca="1">IFERROR(__xludf.DUMMYFUNCTION("""COMPUTED_VALUE"""),133.337438)</f>
        <v>133.33743799999999</v>
      </c>
      <c r="T50" s="264" t="str">
        <f ca="1">IFERROR(__xludf.DUMMYFUNCTION("FILTER(C:E,B:B=L50)")," ")</f>
        <v xml:space="preserve"> </v>
      </c>
      <c r="U50" s="40" t="str">
        <f ca="1">IFERROR(__xludf.DUMMYFUNCTION("""COMPUTED_VALUE""")," ")</f>
        <v xml:space="preserve"> </v>
      </c>
      <c r="V50" s="40" t="str">
        <f ca="1">IFERROR(__xludf.DUMMYFUNCTION("""COMPUTED_VALUE""")," ")</f>
        <v xml:space="preserve"> </v>
      </c>
      <c r="W50" s="40" t="str">
        <f t="shared" ca="1" si="21"/>
        <v>,</v>
      </c>
      <c r="X50" s="40" t="s">
        <v>682</v>
      </c>
      <c r="Y50" s="40" t="s">
        <v>683</v>
      </c>
      <c r="Z50" s="264">
        <f t="shared" ca="1" si="1"/>
        <v>35.425063000000002</v>
      </c>
      <c r="AA50" s="40" t="s">
        <v>684</v>
      </c>
      <c r="AB50" s="264">
        <f t="shared" ca="1" si="2"/>
        <v>133.33201099999999</v>
      </c>
      <c r="AC50" s="40" t="s">
        <v>685</v>
      </c>
      <c r="AD50" s="264">
        <f t="shared" ca="1" si="3"/>
        <v>35.428826999999998</v>
      </c>
      <c r="AE50" s="40" t="s">
        <v>684</v>
      </c>
      <c r="AF50" s="264">
        <f t="shared" ca="1" si="4"/>
        <v>133.33743799999999</v>
      </c>
      <c r="AG50" s="40" t="s">
        <v>686</v>
      </c>
      <c r="AH50" s="264" t="str">
        <f t="shared" ca="1" si="5"/>
        <v xml:space="preserve"> </v>
      </c>
      <c r="AI50" s="40" t="s">
        <v>684</v>
      </c>
      <c r="AJ50" s="264" t="str">
        <f t="shared" ca="1" si="6"/>
        <v xml:space="preserve"> </v>
      </c>
      <c r="AK50" s="40" t="s">
        <v>687</v>
      </c>
      <c r="AL50" s="264" t="str">
        <f t="shared" ca="1" si="7"/>
        <v xml:space="preserve">IndianRed  </v>
      </c>
      <c r="AM50" s="40" t="s">
        <v>688</v>
      </c>
      <c r="AN50" s="40" t="str">
        <f t="shared" ca="1" si="8"/>
        <v>,{"type":"polygon","latLngs":[ {"lat":35.425063,"lng":133.332011}, {"lat":35.428827,"lng":133.337438},{"lat": ,"lng": }], "color":"IndianRed  "}</v>
      </c>
      <c r="AO50" s="266" t="s">
        <v>689</v>
      </c>
      <c r="AP50" s="56">
        <f t="shared" ca="1" si="9"/>
        <v>35.425063000000002</v>
      </c>
      <c r="AQ50" s="40" t="s">
        <v>684</v>
      </c>
      <c r="AR50" s="56">
        <f t="shared" ca="1" si="10"/>
        <v>133.33201099999999</v>
      </c>
      <c r="AS50" s="40" t="s">
        <v>686</v>
      </c>
      <c r="AT50" s="56">
        <f t="shared" ca="1" si="11"/>
        <v>35.428826999999998</v>
      </c>
      <c r="AU50" s="40" t="s">
        <v>684</v>
      </c>
      <c r="AV50" s="56">
        <f t="shared" ca="1" si="12"/>
        <v>133.33743799999999</v>
      </c>
      <c r="AW50" s="40" t="s">
        <v>690</v>
      </c>
      <c r="AX50" s="40" t="str">
        <f t="shared" ca="1" si="13"/>
        <v xml:space="preserve">IndianRed  </v>
      </c>
      <c r="AY50" s="40" t="s">
        <v>688</v>
      </c>
      <c r="AZ50" s="40" t="str">
        <f t="shared" ca="1" si="14"/>
        <v>,{"type":"polyline","latLngs":[{"lat":35.425063,"lng":133.332011},{"lat":35.428827,"lng":133.337438}],"color":"IndianRed  "}</v>
      </c>
      <c r="BA50" s="40" t="s">
        <v>691</v>
      </c>
      <c r="BB50" s="56">
        <f t="shared" ca="1" si="15"/>
        <v>35.425063000000002</v>
      </c>
      <c r="BC50" s="40" t="s">
        <v>684</v>
      </c>
      <c r="BD50" s="56">
        <f t="shared" ca="1" si="16"/>
        <v>133.33201099999999</v>
      </c>
      <c r="BE50" s="40" t="s">
        <v>692</v>
      </c>
      <c r="BF50" s="40" t="str">
        <f t="shared" ca="1" si="17"/>
        <v xml:space="preserve">IndianRed  </v>
      </c>
      <c r="BG50" s="40" t="s">
        <v>688</v>
      </c>
      <c r="BH50" s="40" t="str">
        <f t="shared" ca="1" si="18"/>
        <v>,{"type":"marker","latLng":{"lat":35.425063,"lng":133.332011},"color":"IndianRed  "}</v>
      </c>
      <c r="BI50" s="40" t="s">
        <v>693</v>
      </c>
      <c r="BJ50" s="40" t="s">
        <v>694</v>
      </c>
      <c r="BK50" s="267" t="str">
        <f t="shared" ca="1" si="19"/>
        <v>,{"type":"polyline","latLngs":[{"lat":35.425063,"lng":133.332011},{"lat":35.428827,"lng":133.337438}],"color":"IndianRed  "}</v>
      </c>
      <c r="BL50" s="40"/>
      <c r="BM50" s="40"/>
      <c r="BN50" s="40"/>
    </row>
    <row r="51" spans="1:86" ht="17.5">
      <c r="A51" s="40"/>
      <c r="B51" s="260" t="str">
        <f ca="1">IFERROR(__xludf.DUMMYFUNCTION("""COMPUTED_VALUE"""),"P43")</f>
        <v>P43</v>
      </c>
      <c r="C51" s="273" t="str">
        <f ca="1">IFERROR(__xludf.DUMMYFUNCTION("""COMPUTED_VALUE"""),"Big Boy 米子富士見町店")</f>
        <v>Big Boy 米子富士見町店</v>
      </c>
      <c r="D51" s="273">
        <f ca="1">IFERROR(__xludf.DUMMYFUNCTION("""COMPUTED_VALUE"""),35.433144)</f>
        <v>35.433143999999999</v>
      </c>
      <c r="E51" s="273">
        <f ca="1">IFERROR(__xludf.DUMMYFUNCTION("""COMPUTED_VALUE"""),133.334244)</f>
        <v>133.33424400000001</v>
      </c>
      <c r="F51" s="40"/>
      <c r="G51" s="261"/>
      <c r="H51" s="262" t="s">
        <v>672</v>
      </c>
      <c r="I51" s="271" t="str">
        <f ca="1">IFERROR(__xludf.DUMMYFUNCTION("""COMPUTED_VALUE"""),"Agent03")</f>
        <v>Agent03</v>
      </c>
      <c r="J51" s="271" t="str">
        <f ca="1">IFERROR(__xludf.DUMMYFUNCTION("""COMPUTED_VALUE"""),"P25")</f>
        <v>P25</v>
      </c>
      <c r="K51" s="271" t="str">
        <f ca="1">IFERROR(__xludf.DUMMYFUNCTION("""COMPUTED_VALUE"""),"P27")</f>
        <v>P27</v>
      </c>
      <c r="L51" s="242" t="s">
        <v>681</v>
      </c>
      <c r="M51" s="263" t="str">
        <f t="shared" ca="1" si="0"/>
        <v xml:space="preserve">DarkSlateBlue </v>
      </c>
      <c r="N51" s="264" t="str">
        <f ca="1">IFERROR(__xludf.DUMMYFUNCTION("FILTER(C:E,B:B=J51)"),"カッパのコンちゃん")</f>
        <v>カッパのコンちゃん</v>
      </c>
      <c r="O51" s="265">
        <f ca="1">IFERROR(__xludf.DUMMYFUNCTION("""COMPUTED_VALUE"""),35.43071)</f>
        <v>35.430709999999998</v>
      </c>
      <c r="P51" s="265">
        <f ca="1">IFERROR(__xludf.DUMMYFUNCTION("""COMPUTED_VALUE"""),133.329038)</f>
        <v>133.329038</v>
      </c>
      <c r="Q51" s="264" t="str">
        <f ca="1">IFERROR(__xludf.DUMMYFUNCTION("FILTER(C:E,B:B=K51)"),"感謝之碑")</f>
        <v>感謝之碑</v>
      </c>
      <c r="R51" s="265">
        <f ca="1">IFERROR(__xludf.DUMMYFUNCTION("""COMPUTED_VALUE"""),35.431215)</f>
        <v>35.431215000000002</v>
      </c>
      <c r="S51" s="265">
        <f ca="1">IFERROR(__xludf.DUMMYFUNCTION("""COMPUTED_VALUE"""),133.327846)</f>
        <v>133.32784599999999</v>
      </c>
      <c r="T51" s="264" t="str">
        <f ca="1">IFERROR(__xludf.DUMMYFUNCTION("FILTER(C:E,B:B=L51)")," ")</f>
        <v xml:space="preserve"> </v>
      </c>
      <c r="U51" s="40" t="str">
        <f ca="1">IFERROR(__xludf.DUMMYFUNCTION("""COMPUTED_VALUE""")," ")</f>
        <v xml:space="preserve"> </v>
      </c>
      <c r="V51" s="40" t="str">
        <f ca="1">IFERROR(__xludf.DUMMYFUNCTION("""COMPUTED_VALUE""")," ")</f>
        <v xml:space="preserve"> </v>
      </c>
      <c r="W51" s="40" t="str">
        <f t="shared" ca="1" si="21"/>
        <v>,</v>
      </c>
      <c r="X51" s="40" t="s">
        <v>682</v>
      </c>
      <c r="Y51" s="40" t="s">
        <v>683</v>
      </c>
      <c r="Z51" s="264">
        <f t="shared" ca="1" si="1"/>
        <v>35.430709999999998</v>
      </c>
      <c r="AA51" s="40" t="s">
        <v>684</v>
      </c>
      <c r="AB51" s="264">
        <f t="shared" ca="1" si="2"/>
        <v>133.329038</v>
      </c>
      <c r="AC51" s="40" t="s">
        <v>685</v>
      </c>
      <c r="AD51" s="264">
        <f t="shared" ca="1" si="3"/>
        <v>35.431215000000002</v>
      </c>
      <c r="AE51" s="40" t="s">
        <v>684</v>
      </c>
      <c r="AF51" s="264">
        <f t="shared" ca="1" si="4"/>
        <v>133.32784599999999</v>
      </c>
      <c r="AG51" s="40" t="s">
        <v>686</v>
      </c>
      <c r="AH51" s="264" t="str">
        <f t="shared" ca="1" si="5"/>
        <v xml:space="preserve"> </v>
      </c>
      <c r="AI51" s="40" t="s">
        <v>684</v>
      </c>
      <c r="AJ51" s="264" t="str">
        <f t="shared" ca="1" si="6"/>
        <v xml:space="preserve"> </v>
      </c>
      <c r="AK51" s="40" t="s">
        <v>687</v>
      </c>
      <c r="AL51" s="264" t="str">
        <f t="shared" ca="1" si="7"/>
        <v xml:space="preserve">DarkSlateBlue </v>
      </c>
      <c r="AM51" s="40" t="s">
        <v>688</v>
      </c>
      <c r="AN51" s="40" t="str">
        <f t="shared" ca="1" si="8"/>
        <v>,{"type":"polygon","latLngs":[ {"lat":35.43071,"lng":133.329038}, {"lat":35.431215,"lng":133.327846},{"lat": ,"lng": }], "color":"DarkSlateBlue "}</v>
      </c>
      <c r="AO51" s="266" t="s">
        <v>689</v>
      </c>
      <c r="AP51" s="56">
        <f t="shared" ca="1" si="9"/>
        <v>35.430709999999998</v>
      </c>
      <c r="AQ51" s="40" t="s">
        <v>684</v>
      </c>
      <c r="AR51" s="56">
        <f t="shared" ca="1" si="10"/>
        <v>133.329038</v>
      </c>
      <c r="AS51" s="40" t="s">
        <v>686</v>
      </c>
      <c r="AT51" s="56">
        <f t="shared" ca="1" si="11"/>
        <v>35.431215000000002</v>
      </c>
      <c r="AU51" s="40" t="s">
        <v>684</v>
      </c>
      <c r="AV51" s="56">
        <f t="shared" ca="1" si="12"/>
        <v>133.32784599999999</v>
      </c>
      <c r="AW51" s="40" t="s">
        <v>690</v>
      </c>
      <c r="AX51" s="40" t="str">
        <f t="shared" ca="1" si="13"/>
        <v xml:space="preserve">DarkSlateBlue </v>
      </c>
      <c r="AY51" s="40" t="s">
        <v>688</v>
      </c>
      <c r="AZ51" s="40" t="str">
        <f t="shared" ca="1" si="14"/>
        <v>,{"type":"polyline","latLngs":[{"lat":35.43071,"lng":133.329038},{"lat":35.431215,"lng":133.327846}],"color":"DarkSlateBlue "}</v>
      </c>
      <c r="BA51" s="40" t="s">
        <v>691</v>
      </c>
      <c r="BB51" s="56">
        <f t="shared" ca="1" si="15"/>
        <v>35.430709999999998</v>
      </c>
      <c r="BC51" s="40" t="s">
        <v>684</v>
      </c>
      <c r="BD51" s="56">
        <f t="shared" ca="1" si="16"/>
        <v>133.329038</v>
      </c>
      <c r="BE51" s="40" t="s">
        <v>692</v>
      </c>
      <c r="BF51" s="40" t="str">
        <f t="shared" ca="1" si="17"/>
        <v xml:space="preserve">DarkSlateBlue </v>
      </c>
      <c r="BG51" s="40" t="s">
        <v>688</v>
      </c>
      <c r="BH51" s="40" t="str">
        <f t="shared" ca="1" si="18"/>
        <v>,{"type":"marker","latLng":{"lat":35.43071,"lng":133.329038},"color":"DarkSlateBlue "}</v>
      </c>
      <c r="BI51" s="40" t="s">
        <v>693</v>
      </c>
      <c r="BJ51" s="40" t="s">
        <v>694</v>
      </c>
      <c r="BK51" s="267" t="str">
        <f t="shared" ca="1" si="19"/>
        <v>,{"type":"polyline","latLngs":[{"lat":35.43071,"lng":133.329038},{"lat":35.431215,"lng":133.327846}],"color":"DarkSlateBlue "}</v>
      </c>
      <c r="BL51" s="40"/>
      <c r="BM51" s="40"/>
      <c r="BN51" s="40"/>
    </row>
    <row r="52" spans="1:86" ht="17.5">
      <c r="A52" s="40"/>
      <c r="B52" s="260" t="str">
        <f ca="1">IFERROR(__xludf.DUMMYFUNCTION("""COMPUTED_VALUE"""),"P44")</f>
        <v>P44</v>
      </c>
      <c r="C52" s="273" t="str">
        <f ca="1">IFERROR(__xludf.DUMMYFUNCTION("""COMPUTED_VALUE"""),"米子城(再現イメージ)")</f>
        <v>米子城(再現イメージ)</v>
      </c>
      <c r="D52" s="273">
        <f ca="1">IFERROR(__xludf.DUMMYFUNCTION("""COMPUTED_VALUE"""),35.433175)</f>
        <v>35.433174999999999</v>
      </c>
      <c r="E52" s="273">
        <f ca="1">IFERROR(__xludf.DUMMYFUNCTION("""COMPUTED_VALUE"""),133.325613)</f>
        <v>133.325613</v>
      </c>
      <c r="F52" s="40"/>
      <c r="G52" s="261"/>
      <c r="H52" s="262" t="s">
        <v>672</v>
      </c>
      <c r="I52" s="271" t="str">
        <f ca="1">IFERROR(__xludf.DUMMYFUNCTION("""COMPUTED_VALUE"""),"Agent03")</f>
        <v>Agent03</v>
      </c>
      <c r="J52" s="271" t="str">
        <f ca="1">IFERROR(__xludf.DUMMYFUNCTION("""COMPUTED_VALUE"""),"P40")</f>
        <v>P40</v>
      </c>
      <c r="K52" s="271" t="str">
        <f ca="1">IFERROR(__xludf.DUMMYFUNCTION("""COMPUTED_VALUE"""),"P27")</f>
        <v>P27</v>
      </c>
      <c r="L52" s="242" t="s">
        <v>681</v>
      </c>
      <c r="M52" s="263" t="str">
        <f t="shared" ca="1" si="0"/>
        <v xml:space="preserve">DarkSlateBlue </v>
      </c>
      <c r="N52" s="264" t="str">
        <f ca="1">IFERROR(__xludf.DUMMYFUNCTION("FILTER(C:E,B:B=J52)"),"涼善寺 本堂")</f>
        <v>涼善寺 本堂</v>
      </c>
      <c r="O52" s="265">
        <f ca="1">IFERROR(__xludf.DUMMYFUNCTION("""COMPUTED_VALUE"""),35.432693)</f>
        <v>35.432693</v>
      </c>
      <c r="P52" s="265">
        <f ca="1">IFERROR(__xludf.DUMMYFUNCTION("""COMPUTED_VALUE"""),133.328398)</f>
        <v>133.32839799999999</v>
      </c>
      <c r="Q52" s="264" t="str">
        <f ca="1">IFERROR(__xludf.DUMMYFUNCTION("FILTER(C:E,B:B=K52)"),"感謝之碑")</f>
        <v>感謝之碑</v>
      </c>
      <c r="R52" s="265">
        <f ca="1">IFERROR(__xludf.DUMMYFUNCTION("""COMPUTED_VALUE"""),35.431215)</f>
        <v>35.431215000000002</v>
      </c>
      <c r="S52" s="265">
        <f ca="1">IFERROR(__xludf.DUMMYFUNCTION("""COMPUTED_VALUE"""),133.327846)</f>
        <v>133.32784599999999</v>
      </c>
      <c r="T52" s="264" t="str">
        <f ca="1">IFERROR(__xludf.DUMMYFUNCTION("FILTER(C:E,B:B=L52)")," ")</f>
        <v xml:space="preserve"> </v>
      </c>
      <c r="U52" s="40" t="str">
        <f ca="1">IFERROR(__xludf.DUMMYFUNCTION("""COMPUTED_VALUE""")," ")</f>
        <v xml:space="preserve"> </v>
      </c>
      <c r="V52" s="40" t="str">
        <f ca="1">IFERROR(__xludf.DUMMYFUNCTION("""COMPUTED_VALUE""")," ")</f>
        <v xml:space="preserve"> </v>
      </c>
      <c r="W52" s="40" t="str">
        <f t="shared" ca="1" si="21"/>
        <v>,</v>
      </c>
      <c r="X52" s="40" t="s">
        <v>682</v>
      </c>
      <c r="Y52" s="40" t="s">
        <v>683</v>
      </c>
      <c r="Z52" s="264">
        <f t="shared" ca="1" si="1"/>
        <v>35.432693</v>
      </c>
      <c r="AA52" s="40" t="s">
        <v>684</v>
      </c>
      <c r="AB52" s="264">
        <f t="shared" ca="1" si="2"/>
        <v>133.32839799999999</v>
      </c>
      <c r="AC52" s="40" t="s">
        <v>685</v>
      </c>
      <c r="AD52" s="264">
        <f t="shared" ca="1" si="3"/>
        <v>35.431215000000002</v>
      </c>
      <c r="AE52" s="40" t="s">
        <v>684</v>
      </c>
      <c r="AF52" s="264">
        <f t="shared" ca="1" si="4"/>
        <v>133.32784599999999</v>
      </c>
      <c r="AG52" s="40" t="s">
        <v>686</v>
      </c>
      <c r="AH52" s="264" t="str">
        <f t="shared" ca="1" si="5"/>
        <v xml:space="preserve"> </v>
      </c>
      <c r="AI52" s="40" t="s">
        <v>684</v>
      </c>
      <c r="AJ52" s="264" t="str">
        <f t="shared" ca="1" si="6"/>
        <v xml:space="preserve"> </v>
      </c>
      <c r="AK52" s="40" t="s">
        <v>687</v>
      </c>
      <c r="AL52" s="264" t="str">
        <f t="shared" ca="1" si="7"/>
        <v xml:space="preserve">DarkSlateBlue </v>
      </c>
      <c r="AM52" s="40" t="s">
        <v>688</v>
      </c>
      <c r="AN52" s="40" t="str">
        <f t="shared" ca="1" si="8"/>
        <v>,{"type":"polygon","latLngs":[ {"lat":35.432693,"lng":133.328398}, {"lat":35.431215,"lng":133.327846},{"lat": ,"lng": }], "color":"DarkSlateBlue "}</v>
      </c>
      <c r="AO52" s="266" t="s">
        <v>689</v>
      </c>
      <c r="AP52" s="56">
        <f t="shared" ca="1" si="9"/>
        <v>35.432693</v>
      </c>
      <c r="AQ52" s="40" t="s">
        <v>684</v>
      </c>
      <c r="AR52" s="56">
        <f t="shared" ca="1" si="10"/>
        <v>133.32839799999999</v>
      </c>
      <c r="AS52" s="40" t="s">
        <v>686</v>
      </c>
      <c r="AT52" s="56">
        <f t="shared" ca="1" si="11"/>
        <v>35.431215000000002</v>
      </c>
      <c r="AU52" s="40" t="s">
        <v>684</v>
      </c>
      <c r="AV52" s="56">
        <f t="shared" ca="1" si="12"/>
        <v>133.32784599999999</v>
      </c>
      <c r="AW52" s="40" t="s">
        <v>690</v>
      </c>
      <c r="AX52" s="40" t="str">
        <f t="shared" ca="1" si="13"/>
        <v xml:space="preserve">DarkSlateBlue </v>
      </c>
      <c r="AY52" s="40" t="s">
        <v>688</v>
      </c>
      <c r="AZ52" s="40" t="str">
        <f t="shared" ca="1" si="14"/>
        <v>,{"type":"polyline","latLngs":[{"lat":35.432693,"lng":133.328398},{"lat":35.431215,"lng":133.327846}],"color":"DarkSlateBlue "}</v>
      </c>
      <c r="BA52" s="40" t="s">
        <v>691</v>
      </c>
      <c r="BB52" s="56">
        <f t="shared" ca="1" si="15"/>
        <v>35.432693</v>
      </c>
      <c r="BC52" s="40" t="s">
        <v>684</v>
      </c>
      <c r="BD52" s="56">
        <f t="shared" ca="1" si="16"/>
        <v>133.32839799999999</v>
      </c>
      <c r="BE52" s="40" t="s">
        <v>692</v>
      </c>
      <c r="BF52" s="40" t="str">
        <f t="shared" ca="1" si="17"/>
        <v xml:space="preserve">DarkSlateBlue </v>
      </c>
      <c r="BG52" s="40" t="s">
        <v>688</v>
      </c>
      <c r="BH52" s="40" t="str">
        <f t="shared" ca="1" si="18"/>
        <v>,{"type":"marker","latLng":{"lat":35.432693,"lng":133.328398},"color":"DarkSlateBlue "}</v>
      </c>
      <c r="BI52" s="40" t="s">
        <v>693</v>
      </c>
      <c r="BJ52" s="40" t="s">
        <v>694</v>
      </c>
      <c r="BK52" s="267" t="str">
        <f t="shared" ca="1" si="19"/>
        <v>,{"type":"polyline","latLngs":[{"lat":35.432693,"lng":133.328398},{"lat":35.431215,"lng":133.327846}],"color":"DarkSlateBlue "}</v>
      </c>
      <c r="BL52" s="275"/>
      <c r="BM52" s="275"/>
      <c r="BN52" s="275"/>
      <c r="BO52" s="275"/>
      <c r="BP52" s="275"/>
      <c r="BQ52" s="275"/>
      <c r="BR52" s="275"/>
      <c r="BS52" s="275"/>
      <c r="BT52" s="275"/>
      <c r="BU52" s="275"/>
      <c r="BV52" s="275" t="s">
        <v>727</v>
      </c>
      <c r="BW52" s="275" t="s">
        <v>728</v>
      </c>
      <c r="BX52" s="275" t="s">
        <v>704</v>
      </c>
      <c r="BY52" s="275" t="s">
        <v>729</v>
      </c>
      <c r="BZ52" s="275" t="s">
        <v>711</v>
      </c>
      <c r="CA52" s="275" t="s">
        <v>730</v>
      </c>
      <c r="CB52" s="275" t="s">
        <v>731</v>
      </c>
      <c r="CC52" s="275"/>
      <c r="CD52" s="275"/>
      <c r="CE52" s="275"/>
      <c r="CF52" s="275"/>
      <c r="CG52" s="275"/>
      <c r="CH52" s="275"/>
    </row>
    <row r="53" spans="1:86" ht="17.5">
      <c r="A53" s="40"/>
      <c r="B53" s="260" t="str">
        <f ca="1">IFERROR(__xludf.DUMMYFUNCTION("""COMPUTED_VALUE"""),"P45")</f>
        <v>P45</v>
      </c>
      <c r="C53" s="273" t="str">
        <f ca="1">IFERROR(__xludf.DUMMYFUNCTION("""COMPUTED_VALUE"""),"米子市公会堂の彫刻")</f>
        <v>米子市公会堂の彫刻</v>
      </c>
      <c r="D53" s="273">
        <f ca="1">IFERROR(__xludf.DUMMYFUNCTION("""COMPUTED_VALUE"""),35.433328)</f>
        <v>35.433328000000003</v>
      </c>
      <c r="E53" s="273">
        <f ca="1">IFERROR(__xludf.DUMMYFUNCTION("""COMPUTED_VALUE"""),133.333404)</f>
        <v>133.333404</v>
      </c>
      <c r="F53" s="40"/>
      <c r="G53" s="261"/>
      <c r="H53" s="262" t="s">
        <v>672</v>
      </c>
      <c r="I53" s="271" t="str">
        <f ca="1">IFERROR(__xludf.DUMMYFUNCTION("""COMPUTED_VALUE"""),"Agent03")</f>
        <v>Agent03</v>
      </c>
      <c r="J53" s="271" t="str">
        <f ca="1">IFERROR(__xludf.DUMMYFUNCTION("""COMPUTED_VALUE"""),"P40")</f>
        <v>P40</v>
      </c>
      <c r="K53" s="271" t="str">
        <f ca="1">IFERROR(__xludf.DUMMYFUNCTION("""COMPUTED_VALUE"""),"P25")</f>
        <v>P25</v>
      </c>
      <c r="L53" s="242" t="s">
        <v>681</v>
      </c>
      <c r="M53" s="263" t="str">
        <f t="shared" ca="1" si="0"/>
        <v xml:space="preserve">DarkSlateBlue </v>
      </c>
      <c r="N53" s="264" t="str">
        <f ca="1">IFERROR(__xludf.DUMMYFUNCTION("FILTER(C:E,B:B=J53)"),"涼善寺 本堂")</f>
        <v>涼善寺 本堂</v>
      </c>
      <c r="O53" s="265">
        <f ca="1">IFERROR(__xludf.DUMMYFUNCTION("""COMPUTED_VALUE"""),35.432693)</f>
        <v>35.432693</v>
      </c>
      <c r="P53" s="265">
        <f ca="1">IFERROR(__xludf.DUMMYFUNCTION("""COMPUTED_VALUE"""),133.328398)</f>
        <v>133.32839799999999</v>
      </c>
      <c r="Q53" s="264" t="str">
        <f ca="1">IFERROR(__xludf.DUMMYFUNCTION("FILTER(C:E,B:B=K53)"),"カッパのコンちゃん")</f>
        <v>カッパのコンちゃん</v>
      </c>
      <c r="R53" s="265">
        <f ca="1">IFERROR(__xludf.DUMMYFUNCTION("""COMPUTED_VALUE"""),35.43071)</f>
        <v>35.430709999999998</v>
      </c>
      <c r="S53" s="265">
        <f ca="1">IFERROR(__xludf.DUMMYFUNCTION("""COMPUTED_VALUE"""),133.329038)</f>
        <v>133.329038</v>
      </c>
      <c r="T53" s="264" t="str">
        <f ca="1">IFERROR(__xludf.DUMMYFUNCTION("FILTER(C:E,B:B=L53)")," ")</f>
        <v xml:space="preserve"> </v>
      </c>
      <c r="U53" s="40" t="str">
        <f ca="1">IFERROR(__xludf.DUMMYFUNCTION("""COMPUTED_VALUE""")," ")</f>
        <v xml:space="preserve"> </v>
      </c>
      <c r="V53" s="40" t="str">
        <f ca="1">IFERROR(__xludf.DUMMYFUNCTION("""COMPUTED_VALUE""")," ")</f>
        <v xml:space="preserve"> </v>
      </c>
      <c r="W53" s="40" t="str">
        <f t="shared" ca="1" si="21"/>
        <v>,</v>
      </c>
      <c r="X53" s="40" t="s">
        <v>682</v>
      </c>
      <c r="Y53" s="40" t="s">
        <v>683</v>
      </c>
      <c r="Z53" s="264">
        <f t="shared" ca="1" si="1"/>
        <v>35.432693</v>
      </c>
      <c r="AA53" s="40" t="s">
        <v>684</v>
      </c>
      <c r="AB53" s="264">
        <f t="shared" ca="1" si="2"/>
        <v>133.32839799999999</v>
      </c>
      <c r="AC53" s="40" t="s">
        <v>685</v>
      </c>
      <c r="AD53" s="264">
        <f t="shared" ca="1" si="3"/>
        <v>35.430709999999998</v>
      </c>
      <c r="AE53" s="40" t="s">
        <v>684</v>
      </c>
      <c r="AF53" s="264">
        <f t="shared" ca="1" si="4"/>
        <v>133.329038</v>
      </c>
      <c r="AG53" s="40" t="s">
        <v>686</v>
      </c>
      <c r="AH53" s="264" t="str">
        <f t="shared" ca="1" si="5"/>
        <v xml:space="preserve"> </v>
      </c>
      <c r="AI53" s="40" t="s">
        <v>684</v>
      </c>
      <c r="AJ53" s="264" t="str">
        <f t="shared" ca="1" si="6"/>
        <v xml:space="preserve"> </v>
      </c>
      <c r="AK53" s="40" t="s">
        <v>687</v>
      </c>
      <c r="AL53" s="264" t="str">
        <f t="shared" ca="1" si="7"/>
        <v xml:space="preserve">DarkSlateBlue </v>
      </c>
      <c r="AM53" s="40" t="s">
        <v>688</v>
      </c>
      <c r="AN53" s="40" t="str">
        <f t="shared" ca="1" si="8"/>
        <v>,{"type":"polygon","latLngs":[ {"lat":35.432693,"lng":133.328398}, {"lat":35.43071,"lng":133.329038},{"lat": ,"lng": }], "color":"DarkSlateBlue "}</v>
      </c>
      <c r="AO53" s="266" t="s">
        <v>689</v>
      </c>
      <c r="AP53" s="56">
        <f t="shared" ca="1" si="9"/>
        <v>35.432693</v>
      </c>
      <c r="AQ53" s="40" t="s">
        <v>684</v>
      </c>
      <c r="AR53" s="56">
        <f t="shared" ca="1" si="10"/>
        <v>133.32839799999999</v>
      </c>
      <c r="AS53" s="40" t="s">
        <v>686</v>
      </c>
      <c r="AT53" s="56">
        <f t="shared" ca="1" si="11"/>
        <v>35.430709999999998</v>
      </c>
      <c r="AU53" s="40" t="s">
        <v>684</v>
      </c>
      <c r="AV53" s="56">
        <f t="shared" ca="1" si="12"/>
        <v>133.329038</v>
      </c>
      <c r="AW53" s="40" t="s">
        <v>690</v>
      </c>
      <c r="AX53" s="40" t="str">
        <f t="shared" ca="1" si="13"/>
        <v xml:space="preserve">DarkSlateBlue </v>
      </c>
      <c r="AY53" s="40" t="s">
        <v>688</v>
      </c>
      <c r="AZ53" s="40" t="str">
        <f t="shared" ca="1" si="14"/>
        <v>,{"type":"polyline","latLngs":[{"lat":35.432693,"lng":133.328398},{"lat":35.43071,"lng":133.329038}],"color":"DarkSlateBlue "}</v>
      </c>
      <c r="BA53" s="40" t="s">
        <v>691</v>
      </c>
      <c r="BB53" s="56">
        <f t="shared" ca="1" si="15"/>
        <v>35.432693</v>
      </c>
      <c r="BC53" s="40" t="s">
        <v>684</v>
      </c>
      <c r="BD53" s="56">
        <f t="shared" ca="1" si="16"/>
        <v>133.32839799999999</v>
      </c>
      <c r="BE53" s="40" t="s">
        <v>692</v>
      </c>
      <c r="BF53" s="40" t="str">
        <f t="shared" ca="1" si="17"/>
        <v xml:space="preserve">DarkSlateBlue </v>
      </c>
      <c r="BG53" s="40" t="s">
        <v>688</v>
      </c>
      <c r="BH53" s="40" t="str">
        <f t="shared" ca="1" si="18"/>
        <v>,{"type":"marker","latLng":{"lat":35.432693,"lng":133.328398},"color":"DarkSlateBlue "}</v>
      </c>
      <c r="BI53" s="40" t="s">
        <v>693</v>
      </c>
      <c r="BJ53" s="40" t="s">
        <v>694</v>
      </c>
      <c r="BK53" s="267" t="str">
        <f t="shared" ca="1" si="19"/>
        <v>,{"type":"polyline","latLngs":[{"lat":35.432693,"lng":133.328398},{"lat":35.43071,"lng":133.329038}],"color":"DarkSlateBlue "}</v>
      </c>
      <c r="BL53" s="40"/>
      <c r="BM53" s="40"/>
      <c r="BN53" s="40"/>
    </row>
    <row r="54" spans="1:86" ht="17.5">
      <c r="A54" s="40"/>
      <c r="B54" s="260" t="str">
        <f ca="1">IFERROR(__xludf.DUMMYFUNCTION("""COMPUTED_VALUE"""),"P46")</f>
        <v>P46</v>
      </c>
      <c r="C54" s="273" t="str">
        <f ca="1">IFERROR(__xludf.DUMMYFUNCTION("""COMPUTED_VALUE"""),"米子市公会堂")</f>
        <v>米子市公会堂</v>
      </c>
      <c r="D54" s="273">
        <f ca="1">IFERROR(__xludf.DUMMYFUNCTION("""COMPUTED_VALUE"""),35.433387)</f>
        <v>35.433387000000003</v>
      </c>
      <c r="E54" s="273">
        <f ca="1">IFERROR(__xludf.DUMMYFUNCTION("""COMPUTED_VALUE"""),133.333012)</f>
        <v>133.333012</v>
      </c>
      <c r="F54" s="40"/>
      <c r="G54" s="261"/>
      <c r="H54" s="262" t="s">
        <v>672</v>
      </c>
      <c r="I54" s="271" t="str">
        <f ca="1">IFERROR(__xludf.DUMMYFUNCTION("""COMPUTED_VALUE"""),"Agent03")</f>
        <v>Agent03</v>
      </c>
      <c r="J54" s="271" t="str">
        <f ca="1">IFERROR(__xludf.DUMMYFUNCTION("""COMPUTED_VALUE"""),"P40")</f>
        <v>P40</v>
      </c>
      <c r="K54" s="271" t="str">
        <f ca="1">IFERROR(__xludf.DUMMYFUNCTION("""COMPUTED_VALUE"""),"P30")</f>
        <v>P30</v>
      </c>
      <c r="L54" s="242" t="s">
        <v>681</v>
      </c>
      <c r="M54" s="263" t="str">
        <f t="shared" ca="1" si="0"/>
        <v xml:space="preserve">DarkSlateBlue </v>
      </c>
      <c r="N54" s="264" t="str">
        <f ca="1">IFERROR(__xludf.DUMMYFUNCTION("FILTER(C:E,B:B=J54)"),"涼善寺 本堂")</f>
        <v>涼善寺 本堂</v>
      </c>
      <c r="O54" s="265">
        <f ca="1">IFERROR(__xludf.DUMMYFUNCTION("""COMPUTED_VALUE"""),35.432693)</f>
        <v>35.432693</v>
      </c>
      <c r="P54" s="265">
        <f ca="1">IFERROR(__xludf.DUMMYFUNCTION("""COMPUTED_VALUE"""),133.328398)</f>
        <v>133.32839799999999</v>
      </c>
      <c r="Q54" s="264" t="str">
        <f ca="1">IFERROR(__xludf.DUMMYFUNCTION("FILTER(C:E,B:B=K54)"),"今井書店創業の地")</f>
        <v>今井書店創業の地</v>
      </c>
      <c r="R54" s="265">
        <f ca="1">IFERROR(__xludf.DUMMYFUNCTION("""COMPUTED_VALUE"""),35.431619)</f>
        <v>35.431618999999998</v>
      </c>
      <c r="S54" s="265">
        <f ca="1">IFERROR(__xludf.DUMMYFUNCTION("""COMPUTED_VALUE"""),133.328789)</f>
        <v>133.328789</v>
      </c>
      <c r="T54" s="264" t="str">
        <f ca="1">IFERROR(__xludf.DUMMYFUNCTION("FILTER(C:E,B:B=L54)")," ")</f>
        <v xml:space="preserve"> </v>
      </c>
      <c r="U54" s="40" t="str">
        <f ca="1">IFERROR(__xludf.DUMMYFUNCTION("""COMPUTED_VALUE""")," ")</f>
        <v xml:space="preserve"> </v>
      </c>
      <c r="V54" s="40" t="str">
        <f ca="1">IFERROR(__xludf.DUMMYFUNCTION("""COMPUTED_VALUE""")," ")</f>
        <v xml:space="preserve"> </v>
      </c>
      <c r="W54" s="40" t="str">
        <f t="shared" ca="1" si="21"/>
        <v>,</v>
      </c>
      <c r="X54" s="40" t="s">
        <v>682</v>
      </c>
      <c r="Y54" s="40" t="s">
        <v>683</v>
      </c>
      <c r="Z54" s="264">
        <f t="shared" ca="1" si="1"/>
        <v>35.432693</v>
      </c>
      <c r="AA54" s="40" t="s">
        <v>684</v>
      </c>
      <c r="AB54" s="264">
        <f t="shared" ca="1" si="2"/>
        <v>133.32839799999999</v>
      </c>
      <c r="AC54" s="40" t="s">
        <v>685</v>
      </c>
      <c r="AD54" s="264">
        <f t="shared" ca="1" si="3"/>
        <v>35.431618999999998</v>
      </c>
      <c r="AE54" s="40" t="s">
        <v>684</v>
      </c>
      <c r="AF54" s="264">
        <f t="shared" ca="1" si="4"/>
        <v>133.328789</v>
      </c>
      <c r="AG54" s="40" t="s">
        <v>686</v>
      </c>
      <c r="AH54" s="264" t="str">
        <f t="shared" ca="1" si="5"/>
        <v xml:space="preserve"> </v>
      </c>
      <c r="AI54" s="40" t="s">
        <v>684</v>
      </c>
      <c r="AJ54" s="264" t="str">
        <f t="shared" ca="1" si="6"/>
        <v xml:space="preserve"> </v>
      </c>
      <c r="AK54" s="40" t="s">
        <v>687</v>
      </c>
      <c r="AL54" s="264" t="str">
        <f t="shared" ca="1" si="7"/>
        <v xml:space="preserve">DarkSlateBlue </v>
      </c>
      <c r="AM54" s="40" t="s">
        <v>688</v>
      </c>
      <c r="AN54" s="40" t="str">
        <f t="shared" ca="1" si="8"/>
        <v>,{"type":"polygon","latLngs":[ {"lat":35.432693,"lng":133.328398}, {"lat":35.431619,"lng":133.328789},{"lat": ,"lng": }], "color":"DarkSlateBlue "}</v>
      </c>
      <c r="AO54" s="266" t="s">
        <v>689</v>
      </c>
      <c r="AP54" s="56">
        <f t="shared" ca="1" si="9"/>
        <v>35.432693</v>
      </c>
      <c r="AQ54" s="40" t="s">
        <v>684</v>
      </c>
      <c r="AR54" s="56">
        <f t="shared" ca="1" si="10"/>
        <v>133.32839799999999</v>
      </c>
      <c r="AS54" s="40" t="s">
        <v>686</v>
      </c>
      <c r="AT54" s="56">
        <f t="shared" ca="1" si="11"/>
        <v>35.431618999999998</v>
      </c>
      <c r="AU54" s="40" t="s">
        <v>684</v>
      </c>
      <c r="AV54" s="56">
        <f t="shared" ca="1" si="12"/>
        <v>133.328789</v>
      </c>
      <c r="AW54" s="40" t="s">
        <v>690</v>
      </c>
      <c r="AX54" s="40" t="str">
        <f t="shared" ca="1" si="13"/>
        <v xml:space="preserve">DarkSlateBlue </v>
      </c>
      <c r="AY54" s="40" t="s">
        <v>688</v>
      </c>
      <c r="AZ54" s="40" t="str">
        <f t="shared" ca="1" si="14"/>
        <v>,{"type":"polyline","latLngs":[{"lat":35.432693,"lng":133.328398},{"lat":35.431619,"lng":133.328789}],"color":"DarkSlateBlue "}</v>
      </c>
      <c r="BA54" s="40" t="s">
        <v>691</v>
      </c>
      <c r="BB54" s="56">
        <f t="shared" ca="1" si="15"/>
        <v>35.432693</v>
      </c>
      <c r="BC54" s="40" t="s">
        <v>684</v>
      </c>
      <c r="BD54" s="56">
        <f t="shared" ca="1" si="16"/>
        <v>133.32839799999999</v>
      </c>
      <c r="BE54" s="40" t="s">
        <v>692</v>
      </c>
      <c r="BF54" s="40" t="str">
        <f t="shared" ca="1" si="17"/>
        <v xml:space="preserve">DarkSlateBlue </v>
      </c>
      <c r="BG54" s="40" t="s">
        <v>688</v>
      </c>
      <c r="BH54" s="40" t="str">
        <f t="shared" ca="1" si="18"/>
        <v>,{"type":"marker","latLng":{"lat":35.432693,"lng":133.328398},"color":"DarkSlateBlue "}</v>
      </c>
      <c r="BI54" s="40" t="s">
        <v>693</v>
      </c>
      <c r="BJ54" s="40" t="s">
        <v>694</v>
      </c>
      <c r="BK54" s="267" t="str">
        <f t="shared" ca="1" si="19"/>
        <v>,{"type":"polyline","latLngs":[{"lat":35.432693,"lng":133.328398},{"lat":35.431619,"lng":133.328789}],"color":"DarkSlateBlue "}</v>
      </c>
      <c r="BL54" s="40"/>
      <c r="BM54" s="275"/>
      <c r="BN54" s="40"/>
    </row>
    <row r="55" spans="1:86" ht="17.5">
      <c r="A55" s="40"/>
      <c r="B55" s="260" t="str">
        <f ca="1">IFERROR(__xludf.DUMMYFUNCTION("""COMPUTED_VALUE"""),"P47")</f>
        <v>P47</v>
      </c>
      <c r="C55" s="273" t="str">
        <f ca="1">IFERROR(__xludf.DUMMYFUNCTION("""COMPUTED_VALUE"""),"与太郎地蔵")</f>
        <v>与太郎地蔵</v>
      </c>
      <c r="D55" s="273">
        <f ca="1">IFERROR(__xludf.DUMMYFUNCTION("""COMPUTED_VALUE"""),35.433555)</f>
        <v>35.433554999999998</v>
      </c>
      <c r="E55" s="273">
        <f ca="1">IFERROR(__xludf.DUMMYFUNCTION("""COMPUTED_VALUE"""),133.327631)</f>
        <v>133.327631</v>
      </c>
      <c r="F55" s="40"/>
      <c r="G55" s="261"/>
      <c r="H55" s="262" t="s">
        <v>672</v>
      </c>
      <c r="I55" s="271" t="str">
        <f ca="1">IFERROR(__xludf.DUMMYFUNCTION("""COMPUTED_VALUE"""),"Agent03")</f>
        <v>Agent03</v>
      </c>
      <c r="J55" s="271" t="str">
        <f ca="1">IFERROR(__xludf.DUMMYFUNCTION("""COMPUTED_VALUE"""),"P29")</f>
        <v>P29</v>
      </c>
      <c r="K55" s="271" t="str">
        <f ca="1">IFERROR(__xludf.DUMMYFUNCTION("""COMPUTED_VALUE"""),"P25")</f>
        <v>P25</v>
      </c>
      <c r="L55" s="242" t="s">
        <v>681</v>
      </c>
      <c r="M55" s="263" t="str">
        <f t="shared" ca="1" si="0"/>
        <v xml:space="preserve">DarkSlateBlue </v>
      </c>
      <c r="N55" s="264" t="str">
        <f ca="1">IFERROR(__xludf.DUMMYFUNCTION("FILTER(C:E,B:B=J55)"),"川守り地蔵")</f>
        <v>川守り地蔵</v>
      </c>
      <c r="O55" s="265">
        <f ca="1">IFERROR(__xludf.DUMMYFUNCTION("""COMPUTED_VALUE"""),35.431469)</f>
        <v>35.431469</v>
      </c>
      <c r="P55" s="265">
        <f ca="1">IFERROR(__xludf.DUMMYFUNCTION("""COMPUTED_VALUE"""),133.329779)</f>
        <v>133.329779</v>
      </c>
      <c r="Q55" s="264" t="str">
        <f ca="1">IFERROR(__xludf.DUMMYFUNCTION("FILTER(C:E,B:B=K55)"),"カッパのコンちゃん")</f>
        <v>カッパのコンちゃん</v>
      </c>
      <c r="R55" s="265">
        <f ca="1">IFERROR(__xludf.DUMMYFUNCTION("""COMPUTED_VALUE"""),35.43071)</f>
        <v>35.430709999999998</v>
      </c>
      <c r="S55" s="265">
        <f ca="1">IFERROR(__xludf.DUMMYFUNCTION("""COMPUTED_VALUE"""),133.329038)</f>
        <v>133.329038</v>
      </c>
      <c r="T55" s="264" t="str">
        <f ca="1">IFERROR(__xludf.DUMMYFUNCTION("FILTER(C:E,B:B=L55)")," ")</f>
        <v xml:space="preserve"> </v>
      </c>
      <c r="U55" s="40" t="str">
        <f ca="1">IFERROR(__xludf.DUMMYFUNCTION("""COMPUTED_VALUE""")," ")</f>
        <v xml:space="preserve"> </v>
      </c>
      <c r="V55" s="40" t="str">
        <f ca="1">IFERROR(__xludf.DUMMYFUNCTION("""COMPUTED_VALUE""")," ")</f>
        <v xml:space="preserve"> </v>
      </c>
      <c r="W55" s="40" t="str">
        <f t="shared" ca="1" si="21"/>
        <v>,</v>
      </c>
      <c r="X55" s="40" t="s">
        <v>682</v>
      </c>
      <c r="Y55" s="40" t="s">
        <v>683</v>
      </c>
      <c r="Z55" s="264">
        <f t="shared" ca="1" si="1"/>
        <v>35.431469</v>
      </c>
      <c r="AA55" s="40" t="s">
        <v>684</v>
      </c>
      <c r="AB55" s="264">
        <f t="shared" ca="1" si="2"/>
        <v>133.329779</v>
      </c>
      <c r="AC55" s="40" t="s">
        <v>685</v>
      </c>
      <c r="AD55" s="264">
        <f t="shared" ca="1" si="3"/>
        <v>35.430709999999998</v>
      </c>
      <c r="AE55" s="40" t="s">
        <v>684</v>
      </c>
      <c r="AF55" s="264">
        <f t="shared" ca="1" si="4"/>
        <v>133.329038</v>
      </c>
      <c r="AG55" s="40" t="s">
        <v>686</v>
      </c>
      <c r="AH55" s="264" t="str">
        <f t="shared" ca="1" si="5"/>
        <v xml:space="preserve"> </v>
      </c>
      <c r="AI55" s="40" t="s">
        <v>684</v>
      </c>
      <c r="AJ55" s="264" t="str">
        <f t="shared" ca="1" si="6"/>
        <v xml:space="preserve"> </v>
      </c>
      <c r="AK55" s="40" t="s">
        <v>687</v>
      </c>
      <c r="AL55" s="264" t="str">
        <f t="shared" ca="1" si="7"/>
        <v xml:space="preserve">DarkSlateBlue </v>
      </c>
      <c r="AM55" s="40" t="s">
        <v>688</v>
      </c>
      <c r="AN55" s="40" t="str">
        <f t="shared" ca="1" si="8"/>
        <v>,{"type":"polygon","latLngs":[ {"lat":35.431469,"lng":133.329779}, {"lat":35.43071,"lng":133.329038},{"lat": ,"lng": }], "color":"DarkSlateBlue "}</v>
      </c>
      <c r="AO55" s="266" t="s">
        <v>689</v>
      </c>
      <c r="AP55" s="56">
        <f t="shared" ca="1" si="9"/>
        <v>35.431469</v>
      </c>
      <c r="AQ55" s="40" t="s">
        <v>684</v>
      </c>
      <c r="AR55" s="56">
        <f t="shared" ca="1" si="10"/>
        <v>133.329779</v>
      </c>
      <c r="AS55" s="40" t="s">
        <v>686</v>
      </c>
      <c r="AT55" s="56">
        <f t="shared" ca="1" si="11"/>
        <v>35.430709999999998</v>
      </c>
      <c r="AU55" s="40" t="s">
        <v>684</v>
      </c>
      <c r="AV55" s="56">
        <f t="shared" ca="1" si="12"/>
        <v>133.329038</v>
      </c>
      <c r="AW55" s="40" t="s">
        <v>690</v>
      </c>
      <c r="AX55" s="40" t="str">
        <f t="shared" ca="1" si="13"/>
        <v xml:space="preserve">DarkSlateBlue </v>
      </c>
      <c r="AY55" s="40" t="s">
        <v>688</v>
      </c>
      <c r="AZ55" s="40" t="str">
        <f t="shared" ca="1" si="14"/>
        <v>,{"type":"polyline","latLngs":[{"lat":35.431469,"lng":133.329779},{"lat":35.43071,"lng":133.329038}],"color":"DarkSlateBlue "}</v>
      </c>
      <c r="BA55" s="40" t="s">
        <v>691</v>
      </c>
      <c r="BB55" s="56">
        <f t="shared" ca="1" si="15"/>
        <v>35.431469</v>
      </c>
      <c r="BC55" s="40" t="s">
        <v>684</v>
      </c>
      <c r="BD55" s="56">
        <f t="shared" ca="1" si="16"/>
        <v>133.329779</v>
      </c>
      <c r="BE55" s="40" t="s">
        <v>692</v>
      </c>
      <c r="BF55" s="40" t="str">
        <f t="shared" ca="1" si="17"/>
        <v xml:space="preserve">DarkSlateBlue </v>
      </c>
      <c r="BG55" s="40" t="s">
        <v>688</v>
      </c>
      <c r="BH55" s="40" t="str">
        <f t="shared" ca="1" si="18"/>
        <v>,{"type":"marker","latLng":{"lat":35.431469,"lng":133.329779},"color":"DarkSlateBlue "}</v>
      </c>
      <c r="BI55" s="40" t="s">
        <v>693</v>
      </c>
      <c r="BJ55" s="40" t="s">
        <v>694</v>
      </c>
      <c r="BK55" s="267" t="str">
        <f t="shared" ca="1" si="19"/>
        <v>,{"type":"polyline","latLngs":[{"lat":35.431469,"lng":133.329779},{"lat":35.43071,"lng":133.329038}],"color":"DarkSlateBlue "}</v>
      </c>
      <c r="BL55" s="40"/>
      <c r="BM55" s="275"/>
      <c r="BN55" s="40"/>
    </row>
    <row r="56" spans="1:86" ht="17.5">
      <c r="A56" s="40"/>
      <c r="B56" s="260" t="str">
        <f ca="1">IFERROR(__xludf.DUMMYFUNCTION("""COMPUTED_VALUE"""),"P48")</f>
        <v>P48</v>
      </c>
      <c r="C56" s="273" t="str">
        <f ca="1">IFERROR(__xludf.DUMMYFUNCTION("""COMPUTED_VALUE"""),"囚われの馬")</f>
        <v>囚われの馬</v>
      </c>
      <c r="D56" s="273">
        <f ca="1">IFERROR(__xludf.DUMMYFUNCTION("""COMPUTED_VALUE"""),35.433869)</f>
        <v>35.433869000000001</v>
      </c>
      <c r="E56" s="273">
        <f ca="1">IFERROR(__xludf.DUMMYFUNCTION("""COMPUTED_VALUE"""),133.336341)</f>
        <v>133.336341</v>
      </c>
      <c r="F56" s="40"/>
      <c r="G56" s="261"/>
      <c r="H56" s="262" t="s">
        <v>672</v>
      </c>
      <c r="I56" s="271" t="str">
        <f ca="1">IFERROR(__xludf.DUMMYFUNCTION("""COMPUTED_VALUE"""),"Agent03")</f>
        <v>Agent03</v>
      </c>
      <c r="J56" s="271" t="str">
        <f ca="1">IFERROR(__xludf.DUMMYFUNCTION("""COMPUTED_VALUE"""),"P39")</f>
        <v>P39</v>
      </c>
      <c r="K56" s="271" t="str">
        <f ca="1">IFERROR(__xludf.DUMMYFUNCTION("""COMPUTED_VALUE"""),"P40")</f>
        <v>P40</v>
      </c>
      <c r="L56" s="242" t="s">
        <v>681</v>
      </c>
      <c r="M56" s="263" t="str">
        <f t="shared" ca="1" si="0"/>
        <v xml:space="preserve">DarkSlateBlue </v>
      </c>
      <c r="N56" s="264" t="str">
        <f ca="1">IFERROR(__xludf.DUMMYFUNCTION("FILTER(C:E,B:B=J56)"),"朝日公園")</f>
        <v>朝日公園</v>
      </c>
      <c r="O56" s="265">
        <f ca="1">IFERROR(__xludf.DUMMYFUNCTION("""COMPUTED_VALUE"""),35.432595)</f>
        <v>35.432594999999999</v>
      </c>
      <c r="P56" s="265">
        <f ca="1">IFERROR(__xludf.DUMMYFUNCTION("""COMPUTED_VALUE"""),133.329787)</f>
        <v>133.32978700000001</v>
      </c>
      <c r="Q56" s="264" t="str">
        <f ca="1">IFERROR(__xludf.DUMMYFUNCTION("FILTER(C:E,B:B=K56)"),"涼善寺 本堂")</f>
        <v>涼善寺 本堂</v>
      </c>
      <c r="R56" s="265">
        <f ca="1">IFERROR(__xludf.DUMMYFUNCTION("""COMPUTED_VALUE"""),35.432693)</f>
        <v>35.432693</v>
      </c>
      <c r="S56" s="265">
        <f ca="1">IFERROR(__xludf.DUMMYFUNCTION("""COMPUTED_VALUE"""),133.328398)</f>
        <v>133.32839799999999</v>
      </c>
      <c r="T56" s="264" t="str">
        <f ca="1">IFERROR(__xludf.DUMMYFUNCTION("FILTER(C:E,B:B=L56)")," ")</f>
        <v xml:space="preserve"> </v>
      </c>
      <c r="U56" s="40" t="str">
        <f ca="1">IFERROR(__xludf.DUMMYFUNCTION("""COMPUTED_VALUE""")," ")</f>
        <v xml:space="preserve"> </v>
      </c>
      <c r="V56" s="40" t="str">
        <f ca="1">IFERROR(__xludf.DUMMYFUNCTION("""COMPUTED_VALUE""")," ")</f>
        <v xml:space="preserve"> </v>
      </c>
      <c r="W56" s="40" t="str">
        <f t="shared" ca="1" si="21"/>
        <v>,</v>
      </c>
      <c r="X56" s="40" t="s">
        <v>682</v>
      </c>
      <c r="Y56" s="40" t="s">
        <v>683</v>
      </c>
      <c r="Z56" s="264">
        <f t="shared" ca="1" si="1"/>
        <v>35.432594999999999</v>
      </c>
      <c r="AA56" s="40" t="s">
        <v>684</v>
      </c>
      <c r="AB56" s="264">
        <f t="shared" ca="1" si="2"/>
        <v>133.32978700000001</v>
      </c>
      <c r="AC56" s="40" t="s">
        <v>685</v>
      </c>
      <c r="AD56" s="264">
        <f t="shared" ca="1" si="3"/>
        <v>35.432693</v>
      </c>
      <c r="AE56" s="40" t="s">
        <v>684</v>
      </c>
      <c r="AF56" s="264">
        <f t="shared" ca="1" si="4"/>
        <v>133.32839799999999</v>
      </c>
      <c r="AG56" s="40" t="s">
        <v>686</v>
      </c>
      <c r="AH56" s="264" t="str">
        <f t="shared" ca="1" si="5"/>
        <v xml:space="preserve"> </v>
      </c>
      <c r="AI56" s="40" t="s">
        <v>684</v>
      </c>
      <c r="AJ56" s="264" t="str">
        <f t="shared" ca="1" si="6"/>
        <v xml:space="preserve"> </v>
      </c>
      <c r="AK56" s="40" t="s">
        <v>687</v>
      </c>
      <c r="AL56" s="264" t="str">
        <f t="shared" ca="1" si="7"/>
        <v xml:space="preserve">DarkSlateBlue </v>
      </c>
      <c r="AM56" s="40" t="s">
        <v>688</v>
      </c>
      <c r="AN56" s="40" t="str">
        <f t="shared" ca="1" si="8"/>
        <v>,{"type":"polygon","latLngs":[ {"lat":35.432595,"lng":133.329787}, {"lat":35.432693,"lng":133.328398},{"lat": ,"lng": }], "color":"DarkSlateBlue "}</v>
      </c>
      <c r="AO56" s="266" t="s">
        <v>689</v>
      </c>
      <c r="AP56" s="56">
        <f t="shared" ca="1" si="9"/>
        <v>35.432594999999999</v>
      </c>
      <c r="AQ56" s="40" t="s">
        <v>684</v>
      </c>
      <c r="AR56" s="56">
        <f t="shared" ca="1" si="10"/>
        <v>133.32978700000001</v>
      </c>
      <c r="AS56" s="40" t="s">
        <v>686</v>
      </c>
      <c r="AT56" s="56">
        <f t="shared" ca="1" si="11"/>
        <v>35.432693</v>
      </c>
      <c r="AU56" s="40" t="s">
        <v>684</v>
      </c>
      <c r="AV56" s="56">
        <f t="shared" ca="1" si="12"/>
        <v>133.32839799999999</v>
      </c>
      <c r="AW56" s="40" t="s">
        <v>690</v>
      </c>
      <c r="AX56" s="40" t="str">
        <f t="shared" ca="1" si="13"/>
        <v xml:space="preserve">DarkSlateBlue </v>
      </c>
      <c r="AY56" s="40" t="s">
        <v>688</v>
      </c>
      <c r="AZ56" s="40" t="str">
        <f t="shared" ca="1" si="14"/>
        <v>,{"type":"polyline","latLngs":[{"lat":35.432595,"lng":133.329787},{"lat":35.432693,"lng":133.328398}],"color":"DarkSlateBlue "}</v>
      </c>
      <c r="BA56" s="40" t="s">
        <v>691</v>
      </c>
      <c r="BB56" s="56">
        <f t="shared" ca="1" si="15"/>
        <v>35.432594999999999</v>
      </c>
      <c r="BC56" s="40" t="s">
        <v>684</v>
      </c>
      <c r="BD56" s="56">
        <f t="shared" ca="1" si="16"/>
        <v>133.32978700000001</v>
      </c>
      <c r="BE56" s="40" t="s">
        <v>692</v>
      </c>
      <c r="BF56" s="40" t="str">
        <f t="shared" ca="1" si="17"/>
        <v xml:space="preserve">DarkSlateBlue </v>
      </c>
      <c r="BG56" s="40" t="s">
        <v>688</v>
      </c>
      <c r="BH56" s="40" t="str">
        <f t="shared" ca="1" si="18"/>
        <v>,{"type":"marker","latLng":{"lat":35.432595,"lng":133.329787},"color":"DarkSlateBlue "}</v>
      </c>
      <c r="BI56" s="40" t="s">
        <v>693</v>
      </c>
      <c r="BJ56" s="40" t="s">
        <v>694</v>
      </c>
      <c r="BK56" s="267" t="str">
        <f t="shared" ca="1" si="19"/>
        <v>,{"type":"polyline","latLngs":[{"lat":35.432595,"lng":133.329787},{"lat":35.432693,"lng":133.328398}],"color":"DarkSlateBlue "}</v>
      </c>
      <c r="BL56" s="40"/>
      <c r="BM56" s="275"/>
      <c r="BN56" s="40"/>
    </row>
    <row r="57" spans="1:86" ht="17.5">
      <c r="A57" s="40"/>
      <c r="B57" s="260" t="str">
        <f ca="1">IFERROR(__xludf.DUMMYFUNCTION("""COMPUTED_VALUE"""),"P49")</f>
        <v>P49</v>
      </c>
      <c r="C57" s="273" t="str">
        <f ca="1">IFERROR(__xludf.DUMMYFUNCTION("""COMPUTED_VALUE"""),"天理教米府分教会")</f>
        <v>天理教米府分教会</v>
      </c>
      <c r="D57" s="273">
        <f ca="1">IFERROR(__xludf.DUMMYFUNCTION("""COMPUTED_VALUE"""),35.434015)</f>
        <v>35.434015000000002</v>
      </c>
      <c r="E57" s="273">
        <f ca="1">IFERROR(__xludf.DUMMYFUNCTION("""COMPUTED_VALUE"""),133.335263)</f>
        <v>133.335263</v>
      </c>
      <c r="F57" s="40"/>
      <c r="G57" s="261"/>
      <c r="H57" s="262" t="s">
        <v>672</v>
      </c>
      <c r="I57" s="271" t="str">
        <f ca="1">IFERROR(__xludf.DUMMYFUNCTION("""COMPUTED_VALUE"""),"Agent03")</f>
        <v>Agent03</v>
      </c>
      <c r="J57" s="271" t="str">
        <f ca="1">IFERROR(__xludf.DUMMYFUNCTION("""COMPUTED_VALUE"""),"P39")</f>
        <v>P39</v>
      </c>
      <c r="K57" s="271" t="str">
        <f ca="1">IFERROR(__xludf.DUMMYFUNCTION("""COMPUTED_VALUE"""),"P30")</f>
        <v>P30</v>
      </c>
      <c r="L57" s="242" t="s">
        <v>681</v>
      </c>
      <c r="M57" s="263" t="str">
        <f t="shared" ca="1" si="0"/>
        <v xml:space="preserve">DarkSlateBlue </v>
      </c>
      <c r="N57" s="264" t="str">
        <f ca="1">IFERROR(__xludf.DUMMYFUNCTION("FILTER(C:E,B:B=J57)"),"朝日公園")</f>
        <v>朝日公園</v>
      </c>
      <c r="O57" s="265">
        <f ca="1">IFERROR(__xludf.DUMMYFUNCTION("""COMPUTED_VALUE"""),35.432595)</f>
        <v>35.432594999999999</v>
      </c>
      <c r="P57" s="265">
        <f ca="1">IFERROR(__xludf.DUMMYFUNCTION("""COMPUTED_VALUE"""),133.329787)</f>
        <v>133.32978700000001</v>
      </c>
      <c r="Q57" s="264" t="str">
        <f ca="1">IFERROR(__xludf.DUMMYFUNCTION("FILTER(C:E,B:B=K57)"),"今井書店創業の地")</f>
        <v>今井書店創業の地</v>
      </c>
      <c r="R57" s="265">
        <f ca="1">IFERROR(__xludf.DUMMYFUNCTION("""COMPUTED_VALUE"""),35.431619)</f>
        <v>35.431618999999998</v>
      </c>
      <c r="S57" s="265">
        <f ca="1">IFERROR(__xludf.DUMMYFUNCTION("""COMPUTED_VALUE"""),133.328789)</f>
        <v>133.328789</v>
      </c>
      <c r="T57" s="264" t="str">
        <f ca="1">IFERROR(__xludf.DUMMYFUNCTION("FILTER(C:E,B:B=L57)")," ")</f>
        <v xml:space="preserve"> </v>
      </c>
      <c r="U57" s="40" t="str">
        <f ca="1">IFERROR(__xludf.DUMMYFUNCTION("""COMPUTED_VALUE""")," ")</f>
        <v xml:space="preserve"> </v>
      </c>
      <c r="V57" s="40" t="str">
        <f ca="1">IFERROR(__xludf.DUMMYFUNCTION("""COMPUTED_VALUE""")," ")</f>
        <v xml:space="preserve"> </v>
      </c>
      <c r="W57" s="40" t="str">
        <f t="shared" ca="1" si="21"/>
        <v>,</v>
      </c>
      <c r="X57" s="40" t="s">
        <v>682</v>
      </c>
      <c r="Y57" s="40" t="s">
        <v>683</v>
      </c>
      <c r="Z57" s="264">
        <f t="shared" ca="1" si="1"/>
        <v>35.432594999999999</v>
      </c>
      <c r="AA57" s="40" t="s">
        <v>684</v>
      </c>
      <c r="AB57" s="264">
        <f t="shared" ca="1" si="2"/>
        <v>133.32978700000001</v>
      </c>
      <c r="AC57" s="40" t="s">
        <v>685</v>
      </c>
      <c r="AD57" s="264">
        <f t="shared" ca="1" si="3"/>
        <v>35.431618999999998</v>
      </c>
      <c r="AE57" s="40" t="s">
        <v>684</v>
      </c>
      <c r="AF57" s="264">
        <f t="shared" ca="1" si="4"/>
        <v>133.328789</v>
      </c>
      <c r="AG57" s="40" t="s">
        <v>686</v>
      </c>
      <c r="AH57" s="264" t="str">
        <f t="shared" ca="1" si="5"/>
        <v xml:space="preserve"> </v>
      </c>
      <c r="AI57" s="40" t="s">
        <v>684</v>
      </c>
      <c r="AJ57" s="264" t="str">
        <f t="shared" ca="1" si="6"/>
        <v xml:space="preserve"> </v>
      </c>
      <c r="AK57" s="40" t="s">
        <v>687</v>
      </c>
      <c r="AL57" s="264" t="str">
        <f t="shared" ca="1" si="7"/>
        <v xml:space="preserve">DarkSlateBlue </v>
      </c>
      <c r="AM57" s="40" t="s">
        <v>688</v>
      </c>
      <c r="AN57" s="40" t="str">
        <f t="shared" ca="1" si="8"/>
        <v>,{"type":"polygon","latLngs":[ {"lat":35.432595,"lng":133.329787}, {"lat":35.431619,"lng":133.328789},{"lat": ,"lng": }], "color":"DarkSlateBlue "}</v>
      </c>
      <c r="AO57" s="266" t="s">
        <v>689</v>
      </c>
      <c r="AP57" s="56">
        <f t="shared" ca="1" si="9"/>
        <v>35.432594999999999</v>
      </c>
      <c r="AQ57" s="40" t="s">
        <v>684</v>
      </c>
      <c r="AR57" s="56">
        <f t="shared" ca="1" si="10"/>
        <v>133.32978700000001</v>
      </c>
      <c r="AS57" s="40" t="s">
        <v>686</v>
      </c>
      <c r="AT57" s="56">
        <f t="shared" ca="1" si="11"/>
        <v>35.431618999999998</v>
      </c>
      <c r="AU57" s="40" t="s">
        <v>684</v>
      </c>
      <c r="AV57" s="56">
        <f t="shared" ca="1" si="12"/>
        <v>133.328789</v>
      </c>
      <c r="AW57" s="40" t="s">
        <v>690</v>
      </c>
      <c r="AX57" s="40" t="str">
        <f t="shared" ca="1" si="13"/>
        <v xml:space="preserve">DarkSlateBlue </v>
      </c>
      <c r="AY57" s="40" t="s">
        <v>688</v>
      </c>
      <c r="AZ57" s="40" t="str">
        <f t="shared" ca="1" si="14"/>
        <v>,{"type":"polyline","latLngs":[{"lat":35.432595,"lng":133.329787},{"lat":35.431619,"lng":133.328789}],"color":"DarkSlateBlue "}</v>
      </c>
      <c r="BA57" s="40" t="s">
        <v>691</v>
      </c>
      <c r="BB57" s="56">
        <f t="shared" ca="1" si="15"/>
        <v>35.432594999999999</v>
      </c>
      <c r="BC57" s="40" t="s">
        <v>684</v>
      </c>
      <c r="BD57" s="56">
        <f t="shared" ca="1" si="16"/>
        <v>133.32978700000001</v>
      </c>
      <c r="BE57" s="40" t="s">
        <v>692</v>
      </c>
      <c r="BF57" s="40" t="str">
        <f t="shared" ca="1" si="17"/>
        <v xml:space="preserve">DarkSlateBlue </v>
      </c>
      <c r="BG57" s="40" t="s">
        <v>688</v>
      </c>
      <c r="BH57" s="40" t="str">
        <f t="shared" ca="1" si="18"/>
        <v>,{"type":"marker","latLng":{"lat":35.432595,"lng":133.329787},"color":"DarkSlateBlue "}</v>
      </c>
      <c r="BI57" s="40" t="s">
        <v>693</v>
      </c>
      <c r="BJ57" s="40" t="s">
        <v>694</v>
      </c>
      <c r="BK57" s="267" t="str">
        <f t="shared" ca="1" si="19"/>
        <v>,{"type":"polyline","latLngs":[{"lat":35.432595,"lng":133.329787},{"lat":35.431619,"lng":133.328789}],"color":"DarkSlateBlue "}</v>
      </c>
      <c r="BL57" s="40"/>
      <c r="BM57" s="275"/>
      <c r="BN57" s="40"/>
      <c r="BO57" s="40"/>
      <c r="BP57" s="40"/>
      <c r="BQ57" s="40"/>
      <c r="BR57" s="40"/>
      <c r="BS57" s="40"/>
      <c r="BT57" s="40"/>
      <c r="BU57" s="40"/>
      <c r="BV57" s="40"/>
      <c r="BW57" s="40"/>
      <c r="BX57" s="40"/>
      <c r="BY57" s="40"/>
      <c r="BZ57" s="40"/>
      <c r="CA57" s="40"/>
      <c r="CB57" s="40"/>
      <c r="CC57" s="40"/>
      <c r="CD57" s="40"/>
      <c r="CE57" s="40"/>
      <c r="CF57" s="40"/>
      <c r="CG57" s="40"/>
      <c r="CH57" s="40"/>
    </row>
    <row r="58" spans="1:86" ht="17.5">
      <c r="A58" s="40"/>
      <c r="B58" s="260" t="str">
        <f ca="1">IFERROR(__xludf.DUMMYFUNCTION("""COMPUTED_VALUE"""),"P50")</f>
        <v>P50</v>
      </c>
      <c r="C58" s="273" t="str">
        <f ca="1">IFERROR(__xludf.DUMMYFUNCTION("""COMPUTED_VALUE"""),"福厳院六地蔵")</f>
        <v>福厳院六地蔵</v>
      </c>
      <c r="D58" s="273">
        <f ca="1">IFERROR(__xludf.DUMMYFUNCTION("""COMPUTED_VALUE"""),35.434084)</f>
        <v>35.434083999999999</v>
      </c>
      <c r="E58" s="273">
        <f ca="1">IFERROR(__xludf.DUMMYFUNCTION("""COMPUTED_VALUE"""),133.329349)</f>
        <v>133.32934900000001</v>
      </c>
      <c r="F58" s="40"/>
      <c r="G58" s="261"/>
      <c r="H58" s="262" t="s">
        <v>672</v>
      </c>
      <c r="I58" s="271" t="str">
        <f ca="1">IFERROR(__xludf.DUMMYFUNCTION("""COMPUTED_VALUE"""),"Agent03")</f>
        <v>Agent03</v>
      </c>
      <c r="J58" s="271" t="str">
        <f ca="1">IFERROR(__xludf.DUMMYFUNCTION("""COMPUTED_VALUE"""),"P39")</f>
        <v>P39</v>
      </c>
      <c r="K58" s="271" t="str">
        <f ca="1">IFERROR(__xludf.DUMMYFUNCTION("""COMPUTED_VALUE"""),"P25")</f>
        <v>P25</v>
      </c>
      <c r="L58" s="242" t="s">
        <v>681</v>
      </c>
      <c r="M58" s="263" t="str">
        <f t="shared" ca="1" si="0"/>
        <v xml:space="preserve">DarkSlateBlue </v>
      </c>
      <c r="N58" s="264" t="str">
        <f ca="1">IFERROR(__xludf.DUMMYFUNCTION("FILTER(C:E,B:B=J58)"),"朝日公園")</f>
        <v>朝日公園</v>
      </c>
      <c r="O58" s="265">
        <f ca="1">IFERROR(__xludf.DUMMYFUNCTION("""COMPUTED_VALUE"""),35.432595)</f>
        <v>35.432594999999999</v>
      </c>
      <c r="P58" s="265">
        <f ca="1">IFERROR(__xludf.DUMMYFUNCTION("""COMPUTED_VALUE"""),133.329787)</f>
        <v>133.32978700000001</v>
      </c>
      <c r="Q58" s="264" t="str">
        <f ca="1">IFERROR(__xludf.DUMMYFUNCTION("FILTER(C:E,B:B=K58)"),"カッパのコンちゃん")</f>
        <v>カッパのコンちゃん</v>
      </c>
      <c r="R58" s="265">
        <f ca="1">IFERROR(__xludf.DUMMYFUNCTION("""COMPUTED_VALUE"""),35.43071)</f>
        <v>35.430709999999998</v>
      </c>
      <c r="S58" s="265">
        <f ca="1">IFERROR(__xludf.DUMMYFUNCTION("""COMPUTED_VALUE"""),133.329038)</f>
        <v>133.329038</v>
      </c>
      <c r="T58" s="264" t="str">
        <f ca="1">IFERROR(__xludf.DUMMYFUNCTION("FILTER(C:E,B:B=L58)")," ")</f>
        <v xml:space="preserve"> </v>
      </c>
      <c r="U58" s="40" t="str">
        <f ca="1">IFERROR(__xludf.DUMMYFUNCTION("""COMPUTED_VALUE""")," ")</f>
        <v xml:space="preserve"> </v>
      </c>
      <c r="V58" s="40" t="str">
        <f ca="1">IFERROR(__xludf.DUMMYFUNCTION("""COMPUTED_VALUE""")," ")</f>
        <v xml:space="preserve"> </v>
      </c>
      <c r="W58" s="40" t="str">
        <f t="shared" ca="1" si="21"/>
        <v>,</v>
      </c>
      <c r="X58" s="40" t="s">
        <v>682</v>
      </c>
      <c r="Y58" s="40" t="s">
        <v>683</v>
      </c>
      <c r="Z58" s="264">
        <f t="shared" ca="1" si="1"/>
        <v>35.432594999999999</v>
      </c>
      <c r="AA58" s="40" t="s">
        <v>684</v>
      </c>
      <c r="AB58" s="264">
        <f t="shared" ca="1" si="2"/>
        <v>133.32978700000001</v>
      </c>
      <c r="AC58" s="40" t="s">
        <v>685</v>
      </c>
      <c r="AD58" s="264">
        <f t="shared" ca="1" si="3"/>
        <v>35.430709999999998</v>
      </c>
      <c r="AE58" s="40" t="s">
        <v>684</v>
      </c>
      <c r="AF58" s="264">
        <f t="shared" ca="1" si="4"/>
        <v>133.329038</v>
      </c>
      <c r="AG58" s="40" t="s">
        <v>686</v>
      </c>
      <c r="AH58" s="264" t="str">
        <f t="shared" ca="1" si="5"/>
        <v xml:space="preserve"> </v>
      </c>
      <c r="AI58" s="40" t="s">
        <v>684</v>
      </c>
      <c r="AJ58" s="264" t="str">
        <f t="shared" ca="1" si="6"/>
        <v xml:space="preserve"> </v>
      </c>
      <c r="AK58" s="40" t="s">
        <v>687</v>
      </c>
      <c r="AL58" s="264" t="str">
        <f t="shared" ca="1" si="7"/>
        <v xml:space="preserve">DarkSlateBlue </v>
      </c>
      <c r="AM58" s="40" t="s">
        <v>688</v>
      </c>
      <c r="AN58" s="40" t="str">
        <f t="shared" ca="1" si="8"/>
        <v>,{"type":"polygon","latLngs":[ {"lat":35.432595,"lng":133.329787}, {"lat":35.43071,"lng":133.329038},{"lat": ,"lng": }], "color":"DarkSlateBlue "}</v>
      </c>
      <c r="AO58" s="266" t="s">
        <v>689</v>
      </c>
      <c r="AP58" s="56">
        <f t="shared" ca="1" si="9"/>
        <v>35.432594999999999</v>
      </c>
      <c r="AQ58" s="40" t="s">
        <v>684</v>
      </c>
      <c r="AR58" s="56">
        <f t="shared" ca="1" si="10"/>
        <v>133.32978700000001</v>
      </c>
      <c r="AS58" s="40" t="s">
        <v>686</v>
      </c>
      <c r="AT58" s="56">
        <f t="shared" ca="1" si="11"/>
        <v>35.430709999999998</v>
      </c>
      <c r="AU58" s="40" t="s">
        <v>684</v>
      </c>
      <c r="AV58" s="56">
        <f t="shared" ca="1" si="12"/>
        <v>133.329038</v>
      </c>
      <c r="AW58" s="40" t="s">
        <v>690</v>
      </c>
      <c r="AX58" s="40" t="str">
        <f t="shared" ca="1" si="13"/>
        <v xml:space="preserve">DarkSlateBlue </v>
      </c>
      <c r="AY58" s="40" t="s">
        <v>688</v>
      </c>
      <c r="AZ58" s="40" t="str">
        <f t="shared" ca="1" si="14"/>
        <v>,{"type":"polyline","latLngs":[{"lat":35.432595,"lng":133.329787},{"lat":35.43071,"lng":133.329038}],"color":"DarkSlateBlue "}</v>
      </c>
      <c r="BA58" s="40" t="s">
        <v>691</v>
      </c>
      <c r="BB58" s="56">
        <f t="shared" ca="1" si="15"/>
        <v>35.432594999999999</v>
      </c>
      <c r="BC58" s="40" t="s">
        <v>684</v>
      </c>
      <c r="BD58" s="56">
        <f t="shared" ca="1" si="16"/>
        <v>133.32978700000001</v>
      </c>
      <c r="BE58" s="40" t="s">
        <v>692</v>
      </c>
      <c r="BF58" s="40" t="str">
        <f t="shared" ca="1" si="17"/>
        <v xml:space="preserve">DarkSlateBlue </v>
      </c>
      <c r="BG58" s="40" t="s">
        <v>688</v>
      </c>
      <c r="BH58" s="40" t="str">
        <f t="shared" ca="1" si="18"/>
        <v>,{"type":"marker","latLng":{"lat":35.432595,"lng":133.329787},"color":"DarkSlateBlue "}</v>
      </c>
      <c r="BI58" s="40" t="s">
        <v>693</v>
      </c>
      <c r="BJ58" s="40" t="s">
        <v>694</v>
      </c>
      <c r="BK58" s="267" t="str">
        <f t="shared" ca="1" si="19"/>
        <v>,{"type":"polyline","latLngs":[{"lat":35.432595,"lng":133.329787},{"lat":35.43071,"lng":133.329038}],"color":"DarkSlateBlue "}</v>
      </c>
      <c r="BL58" s="40"/>
      <c r="BM58" s="275"/>
      <c r="BN58" s="40"/>
      <c r="BO58" s="40"/>
      <c r="BP58" s="40"/>
      <c r="BQ58" s="40"/>
      <c r="BR58" s="40"/>
      <c r="BS58" s="40"/>
      <c r="BT58" s="40"/>
      <c r="BU58" s="40"/>
      <c r="BV58" s="40"/>
      <c r="BW58" s="40"/>
      <c r="BX58" s="40"/>
      <c r="BY58" s="40"/>
      <c r="BZ58" s="40"/>
      <c r="CA58" s="40"/>
      <c r="CB58" s="40"/>
      <c r="CC58" s="40"/>
      <c r="CD58" s="40"/>
      <c r="CE58" s="40"/>
      <c r="CF58" s="40"/>
      <c r="CG58" s="40"/>
      <c r="CH58" s="40"/>
    </row>
    <row r="59" spans="1:86" ht="17.5">
      <c r="A59" s="40"/>
      <c r="B59" s="260" t="str">
        <f ca="1">IFERROR(__xludf.DUMMYFUNCTION("""COMPUTED_VALUE"""),"P51")</f>
        <v>P51</v>
      </c>
      <c r="C59" s="273" t="str">
        <f ca="1">IFERROR(__xludf.DUMMYFUNCTION("""COMPUTED_VALUE"""),"吉祥院地蔵")</f>
        <v>吉祥院地蔵</v>
      </c>
      <c r="D59" s="273">
        <f ca="1">IFERROR(__xludf.DUMMYFUNCTION("""COMPUTED_VALUE"""),35.434429)</f>
        <v>35.434429000000002</v>
      </c>
      <c r="E59" s="273">
        <f ca="1">IFERROR(__xludf.DUMMYFUNCTION("""COMPUTED_VALUE"""),133.323813)</f>
        <v>133.323813</v>
      </c>
      <c r="F59" s="40"/>
      <c r="G59" s="261"/>
      <c r="H59" s="262" t="s">
        <v>672</v>
      </c>
      <c r="I59" s="271" t="str">
        <f ca="1">IFERROR(__xludf.DUMMYFUNCTION("""COMPUTED_VALUE"""),"Agent03")</f>
        <v>Agent03</v>
      </c>
      <c r="J59" s="271" t="str">
        <f ca="1">IFERROR(__xludf.DUMMYFUNCTION("""COMPUTED_VALUE"""),"P39")</f>
        <v>P39</v>
      </c>
      <c r="K59" s="271" t="str">
        <f ca="1">IFERROR(__xludf.DUMMYFUNCTION("""COMPUTED_VALUE"""),"P29")</f>
        <v>P29</v>
      </c>
      <c r="L59" s="242" t="s">
        <v>681</v>
      </c>
      <c r="M59" s="263" t="str">
        <f t="shared" ca="1" si="0"/>
        <v xml:space="preserve">DarkSlateBlue </v>
      </c>
      <c r="N59" s="264" t="str">
        <f ca="1">IFERROR(__xludf.DUMMYFUNCTION("FILTER(C:E,B:B=J59)"),"朝日公園")</f>
        <v>朝日公園</v>
      </c>
      <c r="O59" s="265">
        <f ca="1">IFERROR(__xludf.DUMMYFUNCTION("""COMPUTED_VALUE"""),35.432595)</f>
        <v>35.432594999999999</v>
      </c>
      <c r="P59" s="265">
        <f ca="1">IFERROR(__xludf.DUMMYFUNCTION("""COMPUTED_VALUE"""),133.329787)</f>
        <v>133.32978700000001</v>
      </c>
      <c r="Q59" s="264" t="str">
        <f ca="1">IFERROR(__xludf.DUMMYFUNCTION("FILTER(C:E,B:B=K59)"),"川守り地蔵")</f>
        <v>川守り地蔵</v>
      </c>
      <c r="R59" s="265">
        <f ca="1">IFERROR(__xludf.DUMMYFUNCTION("""COMPUTED_VALUE"""),35.431469)</f>
        <v>35.431469</v>
      </c>
      <c r="S59" s="265">
        <f ca="1">IFERROR(__xludf.DUMMYFUNCTION("""COMPUTED_VALUE"""),133.329779)</f>
        <v>133.329779</v>
      </c>
      <c r="T59" s="264" t="str">
        <f ca="1">IFERROR(__xludf.DUMMYFUNCTION("FILTER(C:E,B:B=L59)")," ")</f>
        <v xml:space="preserve"> </v>
      </c>
      <c r="U59" s="40" t="str">
        <f ca="1">IFERROR(__xludf.DUMMYFUNCTION("""COMPUTED_VALUE""")," ")</f>
        <v xml:space="preserve"> </v>
      </c>
      <c r="V59" s="40" t="str">
        <f ca="1">IFERROR(__xludf.DUMMYFUNCTION("""COMPUTED_VALUE""")," ")</f>
        <v xml:space="preserve"> </v>
      </c>
      <c r="W59" s="40" t="str">
        <f t="shared" ca="1" si="21"/>
        <v>,</v>
      </c>
      <c r="X59" s="40" t="s">
        <v>682</v>
      </c>
      <c r="Y59" s="40" t="s">
        <v>683</v>
      </c>
      <c r="Z59" s="264">
        <f t="shared" ca="1" si="1"/>
        <v>35.432594999999999</v>
      </c>
      <c r="AA59" s="40" t="s">
        <v>684</v>
      </c>
      <c r="AB59" s="264">
        <f t="shared" ca="1" si="2"/>
        <v>133.32978700000001</v>
      </c>
      <c r="AC59" s="40" t="s">
        <v>685</v>
      </c>
      <c r="AD59" s="264">
        <f t="shared" ca="1" si="3"/>
        <v>35.431469</v>
      </c>
      <c r="AE59" s="40" t="s">
        <v>684</v>
      </c>
      <c r="AF59" s="264">
        <f t="shared" ca="1" si="4"/>
        <v>133.329779</v>
      </c>
      <c r="AG59" s="40" t="s">
        <v>686</v>
      </c>
      <c r="AH59" s="264" t="str">
        <f t="shared" ca="1" si="5"/>
        <v xml:space="preserve"> </v>
      </c>
      <c r="AI59" s="40" t="s">
        <v>684</v>
      </c>
      <c r="AJ59" s="264" t="str">
        <f t="shared" ca="1" si="6"/>
        <v xml:space="preserve"> </v>
      </c>
      <c r="AK59" s="40" t="s">
        <v>687</v>
      </c>
      <c r="AL59" s="264" t="str">
        <f t="shared" ca="1" si="7"/>
        <v xml:space="preserve">DarkSlateBlue </v>
      </c>
      <c r="AM59" s="40" t="s">
        <v>688</v>
      </c>
      <c r="AN59" s="40" t="str">
        <f t="shared" ca="1" si="8"/>
        <v>,{"type":"polygon","latLngs":[ {"lat":35.432595,"lng":133.329787}, {"lat":35.431469,"lng":133.329779},{"lat": ,"lng": }], "color":"DarkSlateBlue "}</v>
      </c>
      <c r="AO59" s="266" t="s">
        <v>689</v>
      </c>
      <c r="AP59" s="56">
        <f t="shared" ca="1" si="9"/>
        <v>35.432594999999999</v>
      </c>
      <c r="AQ59" s="40" t="s">
        <v>684</v>
      </c>
      <c r="AR59" s="56">
        <f t="shared" ca="1" si="10"/>
        <v>133.32978700000001</v>
      </c>
      <c r="AS59" s="40" t="s">
        <v>686</v>
      </c>
      <c r="AT59" s="56">
        <f t="shared" ca="1" si="11"/>
        <v>35.431469</v>
      </c>
      <c r="AU59" s="40" t="s">
        <v>684</v>
      </c>
      <c r="AV59" s="56">
        <f t="shared" ca="1" si="12"/>
        <v>133.329779</v>
      </c>
      <c r="AW59" s="40" t="s">
        <v>690</v>
      </c>
      <c r="AX59" s="40" t="str">
        <f t="shared" ca="1" si="13"/>
        <v xml:space="preserve">DarkSlateBlue </v>
      </c>
      <c r="AY59" s="40" t="s">
        <v>688</v>
      </c>
      <c r="AZ59" s="40" t="str">
        <f t="shared" ca="1" si="14"/>
        <v>,{"type":"polyline","latLngs":[{"lat":35.432595,"lng":133.329787},{"lat":35.431469,"lng":133.329779}],"color":"DarkSlateBlue "}</v>
      </c>
      <c r="BA59" s="40" t="s">
        <v>691</v>
      </c>
      <c r="BB59" s="56">
        <f t="shared" ca="1" si="15"/>
        <v>35.432594999999999</v>
      </c>
      <c r="BC59" s="40" t="s">
        <v>684</v>
      </c>
      <c r="BD59" s="56">
        <f t="shared" ca="1" si="16"/>
        <v>133.32978700000001</v>
      </c>
      <c r="BE59" s="40" t="s">
        <v>692</v>
      </c>
      <c r="BF59" s="40" t="str">
        <f t="shared" ca="1" si="17"/>
        <v xml:space="preserve">DarkSlateBlue </v>
      </c>
      <c r="BG59" s="40" t="s">
        <v>688</v>
      </c>
      <c r="BH59" s="40" t="str">
        <f t="shared" ca="1" si="18"/>
        <v>,{"type":"marker","latLng":{"lat":35.432595,"lng":133.329787},"color":"DarkSlateBlue "}</v>
      </c>
      <c r="BI59" s="40" t="s">
        <v>693</v>
      </c>
      <c r="BJ59" s="40" t="s">
        <v>694</v>
      </c>
      <c r="BK59" s="267" t="str">
        <f t="shared" ca="1" si="19"/>
        <v>,{"type":"polyline","latLngs":[{"lat":35.432595,"lng":133.329787},{"lat":35.431469,"lng":133.329779}],"color":"DarkSlateBlue "}</v>
      </c>
      <c r="BL59" s="40"/>
      <c r="BM59" s="275"/>
      <c r="BN59" s="40"/>
      <c r="BO59" s="40"/>
      <c r="BP59" s="40"/>
      <c r="BQ59" s="40"/>
      <c r="BR59" s="40"/>
      <c r="BS59" s="40"/>
      <c r="BT59" s="40"/>
      <c r="BU59" s="40"/>
      <c r="BV59" s="40"/>
      <c r="BW59" s="40"/>
      <c r="BX59" s="40"/>
      <c r="BY59" s="40"/>
      <c r="BZ59" s="40"/>
      <c r="CA59" s="40"/>
      <c r="CB59" s="40"/>
      <c r="CC59" s="40"/>
      <c r="CD59" s="40"/>
      <c r="CE59" s="40"/>
      <c r="CF59" s="40"/>
      <c r="CG59" s="40"/>
      <c r="CH59" s="40"/>
    </row>
    <row r="60" spans="1:86" ht="17.5">
      <c r="A60" s="40"/>
      <c r="B60" s="260" t="str">
        <f ca="1">IFERROR(__xludf.DUMMYFUNCTION("""COMPUTED_VALUE"""),"P52")</f>
        <v>P52</v>
      </c>
      <c r="C60" s="273" t="str">
        <f ca="1">IFERROR(__xludf.DUMMYFUNCTION("""COMPUTED_VALUE"""),"博労町公園")</f>
        <v>博労町公園</v>
      </c>
      <c r="D60" s="273">
        <f ca="1">IFERROR(__xludf.DUMMYFUNCTION("""COMPUTED_VALUE"""),35.434543)</f>
        <v>35.434542999999998</v>
      </c>
      <c r="E60" s="273">
        <f ca="1">IFERROR(__xludf.DUMMYFUNCTION("""COMPUTED_VALUE"""),133.33716)</f>
        <v>133.33716000000001</v>
      </c>
      <c r="F60" s="40"/>
      <c r="G60" s="261"/>
      <c r="H60" s="262" t="s">
        <v>672</v>
      </c>
      <c r="I60" s="271" t="str">
        <f ca="1">IFERROR(__xludf.DUMMYFUNCTION("""COMPUTED_VALUE"""),"Agent03")</f>
        <v>Agent03</v>
      </c>
      <c r="J60" s="271" t="str">
        <f ca="1">IFERROR(__xludf.DUMMYFUNCTION("""COMPUTED_VALUE"""),"P47")</f>
        <v>P47</v>
      </c>
      <c r="K60" s="271" t="str">
        <f ca="1">IFERROR(__xludf.DUMMYFUNCTION("""COMPUTED_VALUE"""),"P39")</f>
        <v>P39</v>
      </c>
      <c r="L60" s="242" t="s">
        <v>681</v>
      </c>
      <c r="M60" s="263" t="str">
        <f t="shared" ca="1" si="0"/>
        <v xml:space="preserve">DarkSlateBlue </v>
      </c>
      <c r="N60" s="264" t="str">
        <f ca="1">IFERROR(__xludf.DUMMYFUNCTION("FILTER(C:E,B:B=J60)"),"与太郎地蔵")</f>
        <v>与太郎地蔵</v>
      </c>
      <c r="O60" s="265">
        <f ca="1">IFERROR(__xludf.DUMMYFUNCTION("""COMPUTED_VALUE"""),35.433555)</f>
        <v>35.433554999999998</v>
      </c>
      <c r="P60" s="265">
        <f ca="1">IFERROR(__xludf.DUMMYFUNCTION("""COMPUTED_VALUE"""),133.327631)</f>
        <v>133.327631</v>
      </c>
      <c r="Q60" s="264" t="str">
        <f ca="1">IFERROR(__xludf.DUMMYFUNCTION("FILTER(C:E,B:B=K60)"),"朝日公園")</f>
        <v>朝日公園</v>
      </c>
      <c r="R60" s="265">
        <f ca="1">IFERROR(__xludf.DUMMYFUNCTION("""COMPUTED_VALUE"""),35.432595)</f>
        <v>35.432594999999999</v>
      </c>
      <c r="S60" s="265">
        <f ca="1">IFERROR(__xludf.DUMMYFUNCTION("""COMPUTED_VALUE"""),133.329787)</f>
        <v>133.32978700000001</v>
      </c>
      <c r="T60" s="264" t="str">
        <f ca="1">IFERROR(__xludf.DUMMYFUNCTION("FILTER(C:E,B:B=L60)")," ")</f>
        <v xml:space="preserve"> </v>
      </c>
      <c r="U60" s="40" t="str">
        <f ca="1">IFERROR(__xludf.DUMMYFUNCTION("""COMPUTED_VALUE""")," ")</f>
        <v xml:space="preserve"> </v>
      </c>
      <c r="V60" s="40" t="str">
        <f ca="1">IFERROR(__xludf.DUMMYFUNCTION("""COMPUTED_VALUE""")," ")</f>
        <v xml:space="preserve"> </v>
      </c>
      <c r="W60" s="40" t="str">
        <f t="shared" ca="1" si="21"/>
        <v>,</v>
      </c>
      <c r="X60" s="40" t="s">
        <v>682</v>
      </c>
      <c r="Y60" s="40" t="s">
        <v>683</v>
      </c>
      <c r="Z60" s="264">
        <f t="shared" ca="1" si="1"/>
        <v>35.433554999999998</v>
      </c>
      <c r="AA60" s="40" t="s">
        <v>684</v>
      </c>
      <c r="AB60" s="264">
        <f t="shared" ca="1" si="2"/>
        <v>133.327631</v>
      </c>
      <c r="AC60" s="40" t="s">
        <v>685</v>
      </c>
      <c r="AD60" s="264">
        <f t="shared" ca="1" si="3"/>
        <v>35.432594999999999</v>
      </c>
      <c r="AE60" s="40" t="s">
        <v>684</v>
      </c>
      <c r="AF60" s="264">
        <f t="shared" ca="1" si="4"/>
        <v>133.32978700000001</v>
      </c>
      <c r="AG60" s="40" t="s">
        <v>686</v>
      </c>
      <c r="AH60" s="264" t="str">
        <f t="shared" ca="1" si="5"/>
        <v xml:space="preserve"> </v>
      </c>
      <c r="AI60" s="40" t="s">
        <v>684</v>
      </c>
      <c r="AJ60" s="264" t="str">
        <f t="shared" ca="1" si="6"/>
        <v xml:space="preserve"> </v>
      </c>
      <c r="AK60" s="40" t="s">
        <v>687</v>
      </c>
      <c r="AL60" s="264" t="str">
        <f t="shared" ca="1" si="7"/>
        <v xml:space="preserve">DarkSlateBlue </v>
      </c>
      <c r="AM60" s="40" t="s">
        <v>688</v>
      </c>
      <c r="AN60" s="40" t="str">
        <f t="shared" ca="1" si="8"/>
        <v>,{"type":"polygon","latLngs":[ {"lat":35.433555,"lng":133.327631}, {"lat":35.432595,"lng":133.329787},{"lat": ,"lng": }], "color":"DarkSlateBlue "}</v>
      </c>
      <c r="AO60" s="266" t="s">
        <v>689</v>
      </c>
      <c r="AP60" s="56">
        <f t="shared" ca="1" si="9"/>
        <v>35.433554999999998</v>
      </c>
      <c r="AQ60" s="40" t="s">
        <v>684</v>
      </c>
      <c r="AR60" s="56">
        <f t="shared" ca="1" si="10"/>
        <v>133.327631</v>
      </c>
      <c r="AS60" s="40" t="s">
        <v>686</v>
      </c>
      <c r="AT60" s="56">
        <f t="shared" ca="1" si="11"/>
        <v>35.432594999999999</v>
      </c>
      <c r="AU60" s="40" t="s">
        <v>684</v>
      </c>
      <c r="AV60" s="56">
        <f t="shared" ca="1" si="12"/>
        <v>133.32978700000001</v>
      </c>
      <c r="AW60" s="40" t="s">
        <v>690</v>
      </c>
      <c r="AX60" s="40" t="str">
        <f t="shared" ca="1" si="13"/>
        <v xml:space="preserve">DarkSlateBlue </v>
      </c>
      <c r="AY60" s="40" t="s">
        <v>688</v>
      </c>
      <c r="AZ60" s="40" t="str">
        <f t="shared" ca="1" si="14"/>
        <v>,{"type":"polyline","latLngs":[{"lat":35.433555,"lng":133.327631},{"lat":35.432595,"lng":133.329787}],"color":"DarkSlateBlue "}</v>
      </c>
      <c r="BA60" s="40" t="s">
        <v>691</v>
      </c>
      <c r="BB60" s="56">
        <f t="shared" ca="1" si="15"/>
        <v>35.433554999999998</v>
      </c>
      <c r="BC60" s="40" t="s">
        <v>684</v>
      </c>
      <c r="BD60" s="56">
        <f t="shared" ca="1" si="16"/>
        <v>133.327631</v>
      </c>
      <c r="BE60" s="40" t="s">
        <v>692</v>
      </c>
      <c r="BF60" s="40" t="str">
        <f t="shared" ca="1" si="17"/>
        <v xml:space="preserve">DarkSlateBlue </v>
      </c>
      <c r="BG60" s="40" t="s">
        <v>688</v>
      </c>
      <c r="BH60" s="40" t="str">
        <f t="shared" ca="1" si="18"/>
        <v>,{"type":"marker","latLng":{"lat":35.433555,"lng":133.327631},"color":"DarkSlateBlue "}</v>
      </c>
      <c r="BI60" s="40" t="s">
        <v>693</v>
      </c>
      <c r="BJ60" s="40" t="s">
        <v>694</v>
      </c>
      <c r="BK60" s="267" t="str">
        <f t="shared" ca="1" si="19"/>
        <v>,{"type":"polyline","latLngs":[{"lat":35.433555,"lng":133.327631},{"lat":35.432595,"lng":133.329787}],"color":"DarkSlateBlue "}</v>
      </c>
      <c r="BL60" s="40"/>
      <c r="BM60" s="275"/>
      <c r="BN60" s="40"/>
      <c r="BO60" s="40"/>
      <c r="BP60" s="40"/>
      <c r="BQ60" s="40"/>
      <c r="BR60" s="40"/>
      <c r="BS60" s="40"/>
      <c r="BT60" s="40"/>
      <c r="BU60" s="40"/>
      <c r="BV60" s="40"/>
      <c r="BW60" s="40"/>
      <c r="BX60" s="40"/>
      <c r="BY60" s="40"/>
      <c r="BZ60" s="40"/>
      <c r="CA60" s="40"/>
      <c r="CB60" s="40"/>
      <c r="CC60" s="40"/>
      <c r="CD60" s="40"/>
      <c r="CE60" s="40"/>
      <c r="CF60" s="40"/>
      <c r="CG60" s="40"/>
      <c r="CH60" s="40"/>
    </row>
    <row r="61" spans="1:86" ht="17.5">
      <c r="A61" s="40"/>
      <c r="B61" s="260" t="str">
        <f ca="1">IFERROR(__xludf.DUMMYFUNCTION("""COMPUTED_VALUE"""),"P53")</f>
        <v>P53</v>
      </c>
      <c r="C61" s="273" t="str">
        <f ca="1">IFERROR(__xludf.DUMMYFUNCTION("""COMPUTED_VALUE"""),"法蔵寺地蔵尊(みそなめ地蔵)")</f>
        <v>法蔵寺地蔵尊(みそなめ地蔵)</v>
      </c>
      <c r="D61" s="273">
        <f ca="1">IFERROR(__xludf.DUMMYFUNCTION("""COMPUTED_VALUE"""),35.434592)</f>
        <v>35.434592000000002</v>
      </c>
      <c r="E61" s="273">
        <f ca="1">IFERROR(__xludf.DUMMYFUNCTION("""COMPUTED_VALUE"""),133.326238)</f>
        <v>133.32623799999999</v>
      </c>
      <c r="F61" s="40"/>
      <c r="G61" s="261"/>
      <c r="H61" s="262" t="s">
        <v>672</v>
      </c>
      <c r="I61" s="271" t="str">
        <f ca="1">IFERROR(__xludf.DUMMYFUNCTION("""COMPUTED_VALUE"""),"Agent03")</f>
        <v>Agent03</v>
      </c>
      <c r="J61" s="271" t="str">
        <f ca="1">IFERROR(__xludf.DUMMYFUNCTION("""COMPUTED_VALUE"""),"P47")</f>
        <v>P47</v>
      </c>
      <c r="K61" s="271" t="str">
        <f ca="1">IFERROR(__xludf.DUMMYFUNCTION("""COMPUTED_VALUE"""),"P37")</f>
        <v>P37</v>
      </c>
      <c r="L61" s="242" t="s">
        <v>681</v>
      </c>
      <c r="M61" s="263" t="str">
        <f t="shared" ca="1" si="0"/>
        <v xml:space="preserve">DarkSlateBlue </v>
      </c>
      <c r="N61" s="264" t="str">
        <f ca="1">IFERROR(__xludf.DUMMYFUNCTION("FILTER(C:E,B:B=J61)"),"与太郎地蔵")</f>
        <v>与太郎地蔵</v>
      </c>
      <c r="O61" s="265">
        <f ca="1">IFERROR(__xludf.DUMMYFUNCTION("""COMPUTED_VALUE"""),35.433555)</f>
        <v>35.433554999999998</v>
      </c>
      <c r="P61" s="265">
        <f ca="1">IFERROR(__xludf.DUMMYFUNCTION("""COMPUTED_VALUE"""),133.327631)</f>
        <v>133.327631</v>
      </c>
      <c r="Q61" s="264" t="str">
        <f ca="1">IFERROR(__xludf.DUMMYFUNCTION("FILTER(C:E,B:B=K61)"),"中ノ棚橋地蔵")</f>
        <v>中ノ棚橋地蔵</v>
      </c>
      <c r="R61" s="265">
        <f ca="1">IFERROR(__xludf.DUMMYFUNCTION("""COMPUTED_VALUE"""),35.432339)</f>
        <v>35.432338999999999</v>
      </c>
      <c r="S61" s="265">
        <f ca="1">IFERROR(__xludf.DUMMYFUNCTION("""COMPUTED_VALUE"""),133.326372)</f>
        <v>133.32637199999999</v>
      </c>
      <c r="T61" s="264" t="str">
        <f ca="1">IFERROR(__xludf.DUMMYFUNCTION("FILTER(C:E,B:B=L61)")," ")</f>
        <v xml:space="preserve"> </v>
      </c>
      <c r="U61" s="40" t="str">
        <f ca="1">IFERROR(__xludf.DUMMYFUNCTION("""COMPUTED_VALUE""")," ")</f>
        <v xml:space="preserve"> </v>
      </c>
      <c r="V61" s="40" t="str">
        <f ca="1">IFERROR(__xludf.DUMMYFUNCTION("""COMPUTED_VALUE""")," ")</f>
        <v xml:space="preserve"> </v>
      </c>
      <c r="W61" s="40" t="str">
        <f t="shared" ca="1" si="21"/>
        <v>,</v>
      </c>
      <c r="X61" s="40" t="s">
        <v>682</v>
      </c>
      <c r="Y61" s="40" t="s">
        <v>683</v>
      </c>
      <c r="Z61" s="264">
        <f t="shared" ca="1" si="1"/>
        <v>35.433554999999998</v>
      </c>
      <c r="AA61" s="40" t="s">
        <v>684</v>
      </c>
      <c r="AB61" s="264">
        <f t="shared" ca="1" si="2"/>
        <v>133.327631</v>
      </c>
      <c r="AC61" s="40" t="s">
        <v>685</v>
      </c>
      <c r="AD61" s="264">
        <f t="shared" ca="1" si="3"/>
        <v>35.432338999999999</v>
      </c>
      <c r="AE61" s="40" t="s">
        <v>684</v>
      </c>
      <c r="AF61" s="264">
        <f t="shared" ca="1" si="4"/>
        <v>133.32637199999999</v>
      </c>
      <c r="AG61" s="40" t="s">
        <v>686</v>
      </c>
      <c r="AH61" s="264" t="str">
        <f t="shared" ca="1" si="5"/>
        <v xml:space="preserve"> </v>
      </c>
      <c r="AI61" s="40" t="s">
        <v>684</v>
      </c>
      <c r="AJ61" s="264" t="str">
        <f t="shared" ca="1" si="6"/>
        <v xml:space="preserve"> </v>
      </c>
      <c r="AK61" s="40" t="s">
        <v>687</v>
      </c>
      <c r="AL61" s="264" t="str">
        <f t="shared" ca="1" si="7"/>
        <v xml:space="preserve">DarkSlateBlue </v>
      </c>
      <c r="AM61" s="40" t="s">
        <v>688</v>
      </c>
      <c r="AN61" s="40" t="str">
        <f t="shared" ca="1" si="8"/>
        <v>,{"type":"polygon","latLngs":[ {"lat":35.433555,"lng":133.327631}, {"lat":35.432339,"lng":133.326372},{"lat": ,"lng": }], "color":"DarkSlateBlue "}</v>
      </c>
      <c r="AO61" s="266" t="s">
        <v>689</v>
      </c>
      <c r="AP61" s="56">
        <f t="shared" ca="1" si="9"/>
        <v>35.433554999999998</v>
      </c>
      <c r="AQ61" s="40" t="s">
        <v>684</v>
      </c>
      <c r="AR61" s="56">
        <f t="shared" ca="1" si="10"/>
        <v>133.327631</v>
      </c>
      <c r="AS61" s="40" t="s">
        <v>686</v>
      </c>
      <c r="AT61" s="56">
        <f t="shared" ca="1" si="11"/>
        <v>35.432338999999999</v>
      </c>
      <c r="AU61" s="40" t="s">
        <v>684</v>
      </c>
      <c r="AV61" s="56">
        <f t="shared" ca="1" si="12"/>
        <v>133.32637199999999</v>
      </c>
      <c r="AW61" s="40" t="s">
        <v>690</v>
      </c>
      <c r="AX61" s="40" t="str">
        <f t="shared" ca="1" si="13"/>
        <v xml:space="preserve">DarkSlateBlue </v>
      </c>
      <c r="AY61" s="40" t="s">
        <v>688</v>
      </c>
      <c r="AZ61" s="40" t="str">
        <f t="shared" ca="1" si="14"/>
        <v>,{"type":"polyline","latLngs":[{"lat":35.433555,"lng":133.327631},{"lat":35.432339,"lng":133.326372}],"color":"DarkSlateBlue "}</v>
      </c>
      <c r="BA61" s="40" t="s">
        <v>691</v>
      </c>
      <c r="BB61" s="56">
        <f t="shared" ca="1" si="15"/>
        <v>35.433554999999998</v>
      </c>
      <c r="BC61" s="40" t="s">
        <v>684</v>
      </c>
      <c r="BD61" s="56">
        <f t="shared" ca="1" si="16"/>
        <v>133.327631</v>
      </c>
      <c r="BE61" s="40" t="s">
        <v>692</v>
      </c>
      <c r="BF61" s="40" t="str">
        <f t="shared" ca="1" si="17"/>
        <v xml:space="preserve">DarkSlateBlue </v>
      </c>
      <c r="BG61" s="40" t="s">
        <v>688</v>
      </c>
      <c r="BH61" s="40" t="str">
        <f t="shared" ca="1" si="18"/>
        <v>,{"type":"marker","latLng":{"lat":35.433555,"lng":133.327631},"color":"DarkSlateBlue "}</v>
      </c>
      <c r="BI61" s="40" t="s">
        <v>693</v>
      </c>
      <c r="BJ61" s="40" t="s">
        <v>694</v>
      </c>
      <c r="BK61" s="267" t="str">
        <f t="shared" ca="1" si="19"/>
        <v>,{"type":"polyline","latLngs":[{"lat":35.433555,"lng":133.327631},{"lat":35.432339,"lng":133.326372}],"color":"DarkSlateBlue "}</v>
      </c>
      <c r="BL61" s="40"/>
      <c r="BM61" s="275"/>
      <c r="BN61" s="40"/>
      <c r="BO61" s="40"/>
      <c r="BP61" s="40"/>
      <c r="BQ61" s="40"/>
      <c r="BR61" s="40"/>
      <c r="BS61" s="40"/>
      <c r="BT61" s="40"/>
      <c r="BU61" s="40"/>
      <c r="BV61" s="40"/>
      <c r="BW61" s="40"/>
      <c r="BX61" s="40"/>
      <c r="BY61" s="40"/>
      <c r="BZ61" s="40"/>
      <c r="CA61" s="40"/>
      <c r="CB61" s="40"/>
      <c r="CC61" s="40"/>
      <c r="CD61" s="40"/>
      <c r="CE61" s="40"/>
      <c r="CF61" s="40"/>
      <c r="CG61" s="40"/>
      <c r="CH61" s="40"/>
    </row>
    <row r="62" spans="1:86" ht="17.5">
      <c r="A62" s="40"/>
      <c r="B62" s="260" t="str">
        <f ca="1">IFERROR(__xludf.DUMMYFUNCTION("""COMPUTED_VALUE"""),"P54")</f>
        <v>P54</v>
      </c>
      <c r="C62" s="273" t="str">
        <f ca="1">IFERROR(__xludf.DUMMYFUNCTION("""COMPUTED_VALUE"""),"心光寺 山門")</f>
        <v>心光寺 山門</v>
      </c>
      <c r="D62" s="273">
        <f ca="1">IFERROR(__xludf.DUMMYFUNCTION("""COMPUTED_VALUE"""),35.434594)</f>
        <v>35.434593999999997</v>
      </c>
      <c r="E62" s="273">
        <f ca="1">IFERROR(__xludf.DUMMYFUNCTION("""COMPUTED_VALUE"""),133.325975)</f>
        <v>133.325975</v>
      </c>
      <c r="F62" s="40"/>
      <c r="G62" s="261"/>
      <c r="H62" s="262" t="s">
        <v>672</v>
      </c>
      <c r="I62" s="271" t="str">
        <f ca="1">IFERROR(__xludf.DUMMYFUNCTION("""COMPUTED_VALUE"""),"Agent03")</f>
        <v>Agent03</v>
      </c>
      <c r="J62" s="271" t="str">
        <f ca="1">IFERROR(__xludf.DUMMYFUNCTION("""COMPUTED_VALUE"""),"P47")</f>
        <v>P47</v>
      </c>
      <c r="K62" s="271" t="str">
        <f ca="1">IFERROR(__xludf.DUMMYFUNCTION("""COMPUTED_VALUE"""),"P53")</f>
        <v>P53</v>
      </c>
      <c r="L62" s="242" t="s">
        <v>681</v>
      </c>
      <c r="M62" s="263" t="str">
        <f t="shared" ca="1" si="0"/>
        <v xml:space="preserve">DarkSlateBlue </v>
      </c>
      <c r="N62" s="264" t="str">
        <f ca="1">IFERROR(__xludf.DUMMYFUNCTION("FILTER(C:E,B:B=J62)"),"与太郎地蔵")</f>
        <v>与太郎地蔵</v>
      </c>
      <c r="O62" s="265">
        <f ca="1">IFERROR(__xludf.DUMMYFUNCTION("""COMPUTED_VALUE"""),35.433555)</f>
        <v>35.433554999999998</v>
      </c>
      <c r="P62" s="265">
        <f ca="1">IFERROR(__xludf.DUMMYFUNCTION("""COMPUTED_VALUE"""),133.327631)</f>
        <v>133.327631</v>
      </c>
      <c r="Q62" s="264" t="str">
        <f ca="1">IFERROR(__xludf.DUMMYFUNCTION("FILTER(C:E,B:B=K62)"),"法蔵寺地蔵尊(みそなめ地蔵)")</f>
        <v>法蔵寺地蔵尊(みそなめ地蔵)</v>
      </c>
      <c r="R62" s="265">
        <f ca="1">IFERROR(__xludf.DUMMYFUNCTION("""COMPUTED_VALUE"""),35.434592)</f>
        <v>35.434592000000002</v>
      </c>
      <c r="S62" s="265">
        <f ca="1">IFERROR(__xludf.DUMMYFUNCTION("""COMPUTED_VALUE"""),133.326238)</f>
        <v>133.32623799999999</v>
      </c>
      <c r="T62" s="264" t="str">
        <f ca="1">IFERROR(__xludf.DUMMYFUNCTION("FILTER(C:E,B:B=L62)")," ")</f>
        <v xml:space="preserve"> </v>
      </c>
      <c r="U62" s="40" t="str">
        <f ca="1">IFERROR(__xludf.DUMMYFUNCTION("""COMPUTED_VALUE""")," ")</f>
        <v xml:space="preserve"> </v>
      </c>
      <c r="V62" s="40" t="str">
        <f ca="1">IFERROR(__xludf.DUMMYFUNCTION("""COMPUTED_VALUE""")," ")</f>
        <v xml:space="preserve"> </v>
      </c>
      <c r="W62" s="40" t="str">
        <f t="shared" ca="1" si="21"/>
        <v>,</v>
      </c>
      <c r="X62" s="40" t="s">
        <v>682</v>
      </c>
      <c r="Y62" s="40" t="s">
        <v>683</v>
      </c>
      <c r="Z62" s="264">
        <f t="shared" ca="1" si="1"/>
        <v>35.433554999999998</v>
      </c>
      <c r="AA62" s="40" t="s">
        <v>684</v>
      </c>
      <c r="AB62" s="264">
        <f t="shared" ca="1" si="2"/>
        <v>133.327631</v>
      </c>
      <c r="AC62" s="40" t="s">
        <v>685</v>
      </c>
      <c r="AD62" s="264">
        <f t="shared" ca="1" si="3"/>
        <v>35.434592000000002</v>
      </c>
      <c r="AE62" s="40" t="s">
        <v>684</v>
      </c>
      <c r="AF62" s="264">
        <f t="shared" ca="1" si="4"/>
        <v>133.32623799999999</v>
      </c>
      <c r="AG62" s="40" t="s">
        <v>686</v>
      </c>
      <c r="AH62" s="264" t="str">
        <f t="shared" ca="1" si="5"/>
        <v xml:space="preserve"> </v>
      </c>
      <c r="AI62" s="40" t="s">
        <v>684</v>
      </c>
      <c r="AJ62" s="264" t="str">
        <f t="shared" ca="1" si="6"/>
        <v xml:space="preserve"> </v>
      </c>
      <c r="AK62" s="40" t="s">
        <v>687</v>
      </c>
      <c r="AL62" s="264" t="str">
        <f t="shared" ca="1" si="7"/>
        <v xml:space="preserve">DarkSlateBlue </v>
      </c>
      <c r="AM62" s="40" t="s">
        <v>688</v>
      </c>
      <c r="AN62" s="40" t="str">
        <f t="shared" ca="1" si="8"/>
        <v>,{"type":"polygon","latLngs":[ {"lat":35.433555,"lng":133.327631}, {"lat":35.434592,"lng":133.326238},{"lat": ,"lng": }], "color":"DarkSlateBlue "}</v>
      </c>
      <c r="AO62" s="266" t="s">
        <v>689</v>
      </c>
      <c r="AP62" s="56">
        <f t="shared" ca="1" si="9"/>
        <v>35.433554999999998</v>
      </c>
      <c r="AQ62" s="40" t="s">
        <v>684</v>
      </c>
      <c r="AR62" s="56">
        <f t="shared" ca="1" si="10"/>
        <v>133.327631</v>
      </c>
      <c r="AS62" s="40" t="s">
        <v>686</v>
      </c>
      <c r="AT62" s="56">
        <f t="shared" ca="1" si="11"/>
        <v>35.434592000000002</v>
      </c>
      <c r="AU62" s="40" t="s">
        <v>684</v>
      </c>
      <c r="AV62" s="56">
        <f t="shared" ca="1" si="12"/>
        <v>133.32623799999999</v>
      </c>
      <c r="AW62" s="40" t="s">
        <v>690</v>
      </c>
      <c r="AX62" s="40" t="str">
        <f t="shared" ca="1" si="13"/>
        <v xml:space="preserve">DarkSlateBlue </v>
      </c>
      <c r="AY62" s="40" t="s">
        <v>688</v>
      </c>
      <c r="AZ62" s="40" t="str">
        <f t="shared" ca="1" si="14"/>
        <v>,{"type":"polyline","latLngs":[{"lat":35.433555,"lng":133.327631},{"lat":35.434592,"lng":133.326238}],"color":"DarkSlateBlue "}</v>
      </c>
      <c r="BA62" s="40" t="s">
        <v>691</v>
      </c>
      <c r="BB62" s="56">
        <f t="shared" ca="1" si="15"/>
        <v>35.433554999999998</v>
      </c>
      <c r="BC62" s="40" t="s">
        <v>684</v>
      </c>
      <c r="BD62" s="56">
        <f t="shared" ca="1" si="16"/>
        <v>133.327631</v>
      </c>
      <c r="BE62" s="40" t="s">
        <v>692</v>
      </c>
      <c r="BF62" s="40" t="str">
        <f t="shared" ca="1" si="17"/>
        <v xml:space="preserve">DarkSlateBlue </v>
      </c>
      <c r="BG62" s="40" t="s">
        <v>688</v>
      </c>
      <c r="BH62" s="40" t="str">
        <f t="shared" ca="1" si="18"/>
        <v>,{"type":"marker","latLng":{"lat":35.433555,"lng":133.327631},"color":"DarkSlateBlue "}</v>
      </c>
      <c r="BI62" s="40" t="s">
        <v>693</v>
      </c>
      <c r="BJ62" s="40" t="s">
        <v>694</v>
      </c>
      <c r="BK62" s="267" t="str">
        <f t="shared" ca="1" si="19"/>
        <v>,{"type":"polyline","latLngs":[{"lat":35.433555,"lng":133.327631},{"lat":35.434592,"lng":133.326238}],"color":"DarkSlateBlue "}</v>
      </c>
      <c r="BL62" s="40"/>
      <c r="BM62" s="275"/>
      <c r="BN62" s="40"/>
      <c r="BO62" s="40"/>
      <c r="BP62" s="40"/>
      <c r="BQ62" s="40"/>
      <c r="BR62" s="40"/>
      <c r="BS62" s="40"/>
      <c r="BT62" s="40"/>
      <c r="BU62" s="40"/>
      <c r="BV62" s="40"/>
      <c r="BW62" s="40"/>
      <c r="BX62" s="40"/>
      <c r="BY62" s="40"/>
      <c r="BZ62" s="40"/>
      <c r="CA62" s="40"/>
      <c r="CB62" s="40"/>
      <c r="CC62" s="40"/>
      <c r="CD62" s="40"/>
      <c r="CE62" s="40"/>
      <c r="CF62" s="40"/>
      <c r="CG62" s="40"/>
      <c r="CH62" s="40"/>
    </row>
    <row r="63" spans="1:86" ht="17.5">
      <c r="A63" s="40"/>
      <c r="B63" s="260" t="str">
        <f ca="1">IFERROR(__xludf.DUMMYFUNCTION("""COMPUTED_VALUE"""),"P55")</f>
        <v>P55</v>
      </c>
      <c r="C63" s="273" t="str">
        <f ca="1">IFERROR(__xludf.DUMMYFUNCTION("""COMPUTED_VALUE"""),"小公園")</f>
        <v>小公園</v>
      </c>
      <c r="D63" s="273">
        <f ca="1">IFERROR(__xludf.DUMMYFUNCTION("""COMPUTED_VALUE"""),35.434654)</f>
        <v>35.434654000000002</v>
      </c>
      <c r="E63" s="273">
        <f ca="1">IFERROR(__xludf.DUMMYFUNCTION("""COMPUTED_VALUE"""),133.333434)</f>
        <v>133.33343400000001</v>
      </c>
      <c r="F63" s="40"/>
      <c r="G63" s="261"/>
      <c r="H63" s="262" t="s">
        <v>672</v>
      </c>
      <c r="I63" s="271" t="str">
        <f ca="1">IFERROR(__xludf.DUMMYFUNCTION("""COMPUTED_VALUE"""),"Agent03")</f>
        <v>Agent03</v>
      </c>
      <c r="J63" s="271" t="str">
        <f ca="1">IFERROR(__xludf.DUMMYFUNCTION("""COMPUTED_VALUE"""),"P42")</f>
        <v>P42</v>
      </c>
      <c r="K63" s="271" t="str">
        <f ca="1">IFERROR(__xludf.DUMMYFUNCTION("""COMPUTED_VALUE"""),"P39")</f>
        <v>P39</v>
      </c>
      <c r="L63" s="242" t="s">
        <v>681</v>
      </c>
      <c r="M63" s="263" t="str">
        <f t="shared" ca="1" si="0"/>
        <v xml:space="preserve">DarkSlateBlue </v>
      </c>
      <c r="N63" s="264" t="str">
        <f ca="1">IFERROR(__xludf.DUMMYFUNCTION("FILTER(C:E,B:B=J63)"),"本教寺")</f>
        <v>本教寺</v>
      </c>
      <c r="O63" s="265">
        <f ca="1">IFERROR(__xludf.DUMMYFUNCTION("""COMPUTED_VALUE"""),35.433129)</f>
        <v>35.433129000000001</v>
      </c>
      <c r="P63" s="265">
        <f ca="1">IFERROR(__xludf.DUMMYFUNCTION("""COMPUTED_VALUE"""),133.327572)</f>
        <v>133.327572</v>
      </c>
      <c r="Q63" s="264" t="str">
        <f ca="1">IFERROR(__xludf.DUMMYFUNCTION("FILTER(C:E,B:B=K63)"),"朝日公園")</f>
        <v>朝日公園</v>
      </c>
      <c r="R63" s="265">
        <f ca="1">IFERROR(__xludf.DUMMYFUNCTION("""COMPUTED_VALUE"""),35.432595)</f>
        <v>35.432594999999999</v>
      </c>
      <c r="S63" s="265">
        <f ca="1">IFERROR(__xludf.DUMMYFUNCTION("""COMPUTED_VALUE"""),133.329787)</f>
        <v>133.32978700000001</v>
      </c>
      <c r="T63" s="264" t="str">
        <f ca="1">IFERROR(__xludf.DUMMYFUNCTION("FILTER(C:E,B:B=L63)")," ")</f>
        <v xml:space="preserve"> </v>
      </c>
      <c r="U63" s="40" t="str">
        <f ca="1">IFERROR(__xludf.DUMMYFUNCTION("""COMPUTED_VALUE""")," ")</f>
        <v xml:space="preserve"> </v>
      </c>
      <c r="V63" s="40" t="str">
        <f ca="1">IFERROR(__xludf.DUMMYFUNCTION("""COMPUTED_VALUE""")," ")</f>
        <v xml:space="preserve"> </v>
      </c>
      <c r="W63" s="40" t="str">
        <f t="shared" ca="1" si="21"/>
        <v>,</v>
      </c>
      <c r="X63" s="40" t="s">
        <v>682</v>
      </c>
      <c r="Y63" s="40" t="s">
        <v>683</v>
      </c>
      <c r="Z63" s="264">
        <f t="shared" ca="1" si="1"/>
        <v>35.433129000000001</v>
      </c>
      <c r="AA63" s="40" t="s">
        <v>684</v>
      </c>
      <c r="AB63" s="264">
        <f t="shared" ca="1" si="2"/>
        <v>133.327572</v>
      </c>
      <c r="AC63" s="40" t="s">
        <v>685</v>
      </c>
      <c r="AD63" s="264">
        <f t="shared" ca="1" si="3"/>
        <v>35.432594999999999</v>
      </c>
      <c r="AE63" s="40" t="s">
        <v>684</v>
      </c>
      <c r="AF63" s="264">
        <f t="shared" ca="1" si="4"/>
        <v>133.32978700000001</v>
      </c>
      <c r="AG63" s="40" t="s">
        <v>686</v>
      </c>
      <c r="AH63" s="264" t="str">
        <f t="shared" ca="1" si="5"/>
        <v xml:space="preserve"> </v>
      </c>
      <c r="AI63" s="40" t="s">
        <v>684</v>
      </c>
      <c r="AJ63" s="264" t="str">
        <f t="shared" ca="1" si="6"/>
        <v xml:space="preserve"> </v>
      </c>
      <c r="AK63" s="40" t="s">
        <v>687</v>
      </c>
      <c r="AL63" s="264" t="str">
        <f t="shared" ca="1" si="7"/>
        <v xml:space="preserve">DarkSlateBlue </v>
      </c>
      <c r="AM63" s="40" t="s">
        <v>688</v>
      </c>
      <c r="AN63" s="40" t="str">
        <f t="shared" ca="1" si="8"/>
        <v>,{"type":"polygon","latLngs":[ {"lat":35.433129,"lng":133.327572}, {"lat":35.432595,"lng":133.329787},{"lat": ,"lng": }], "color":"DarkSlateBlue "}</v>
      </c>
      <c r="AO63" s="266" t="s">
        <v>689</v>
      </c>
      <c r="AP63" s="56">
        <f t="shared" ca="1" si="9"/>
        <v>35.433129000000001</v>
      </c>
      <c r="AQ63" s="40" t="s">
        <v>684</v>
      </c>
      <c r="AR63" s="56">
        <f t="shared" ca="1" si="10"/>
        <v>133.327572</v>
      </c>
      <c r="AS63" s="40" t="s">
        <v>686</v>
      </c>
      <c r="AT63" s="56">
        <f t="shared" ca="1" si="11"/>
        <v>35.432594999999999</v>
      </c>
      <c r="AU63" s="40" t="s">
        <v>684</v>
      </c>
      <c r="AV63" s="56">
        <f t="shared" ca="1" si="12"/>
        <v>133.32978700000001</v>
      </c>
      <c r="AW63" s="40" t="s">
        <v>690</v>
      </c>
      <c r="AX63" s="40" t="str">
        <f t="shared" ca="1" si="13"/>
        <v xml:space="preserve">DarkSlateBlue </v>
      </c>
      <c r="AY63" s="40" t="s">
        <v>688</v>
      </c>
      <c r="AZ63" s="40" t="str">
        <f t="shared" ca="1" si="14"/>
        <v>,{"type":"polyline","latLngs":[{"lat":35.433129,"lng":133.327572},{"lat":35.432595,"lng":133.329787}],"color":"DarkSlateBlue "}</v>
      </c>
      <c r="BA63" s="40" t="s">
        <v>691</v>
      </c>
      <c r="BB63" s="56">
        <f t="shared" ca="1" si="15"/>
        <v>35.433129000000001</v>
      </c>
      <c r="BC63" s="40" t="s">
        <v>684</v>
      </c>
      <c r="BD63" s="56">
        <f t="shared" ca="1" si="16"/>
        <v>133.327572</v>
      </c>
      <c r="BE63" s="40" t="s">
        <v>692</v>
      </c>
      <c r="BF63" s="40" t="str">
        <f t="shared" ca="1" si="17"/>
        <v xml:space="preserve">DarkSlateBlue </v>
      </c>
      <c r="BG63" s="40" t="s">
        <v>688</v>
      </c>
      <c r="BH63" s="40" t="str">
        <f t="shared" ca="1" si="18"/>
        <v>,{"type":"marker","latLng":{"lat":35.433129,"lng":133.327572},"color":"DarkSlateBlue "}</v>
      </c>
      <c r="BI63" s="40" t="s">
        <v>693</v>
      </c>
      <c r="BJ63" s="40" t="s">
        <v>694</v>
      </c>
      <c r="BK63" s="267" t="str">
        <f t="shared" ca="1" si="19"/>
        <v>,{"type":"polyline","latLngs":[{"lat":35.433129,"lng":133.327572},{"lat":35.432595,"lng":133.329787}],"color":"DarkSlateBlue "}</v>
      </c>
      <c r="BL63" s="40"/>
      <c r="BM63" s="275"/>
      <c r="BN63" s="40"/>
      <c r="BO63" s="40"/>
      <c r="BP63" s="40"/>
      <c r="BQ63" s="40"/>
      <c r="BR63" s="40"/>
      <c r="BS63" s="40"/>
      <c r="BT63" s="40"/>
      <c r="BU63" s="40"/>
      <c r="BV63" s="40"/>
      <c r="BW63" s="40"/>
      <c r="BX63" s="40"/>
      <c r="BY63" s="40"/>
      <c r="BZ63" s="40"/>
      <c r="CA63" s="40"/>
      <c r="CB63" s="40"/>
      <c r="CC63" s="40"/>
      <c r="CD63" s="40"/>
      <c r="CE63" s="40"/>
      <c r="CF63" s="40"/>
      <c r="CG63" s="40"/>
      <c r="CH63" s="40"/>
    </row>
    <row r="64" spans="1:86" ht="17.5">
      <c r="A64" s="40"/>
      <c r="B64" s="260" t="str">
        <f ca="1">IFERROR(__xludf.DUMMYFUNCTION("""COMPUTED_VALUE"""),"P56")</f>
        <v>P56</v>
      </c>
      <c r="C64" s="273" t="str">
        <f ca="1">IFERROR(__xludf.DUMMYFUNCTION("""COMPUTED_VALUE"""),"蝉丸神社")</f>
        <v>蝉丸神社</v>
      </c>
      <c r="D64" s="273">
        <f ca="1">IFERROR(__xludf.DUMMYFUNCTION("""COMPUTED_VALUE"""),35.434739)</f>
        <v>35.434739</v>
      </c>
      <c r="E64" s="273">
        <f ca="1">IFERROR(__xludf.DUMMYFUNCTION("""COMPUTED_VALUE"""),133.338407)</f>
        <v>133.33840699999999</v>
      </c>
      <c r="F64" s="40"/>
      <c r="G64" s="261"/>
      <c r="H64" s="262" t="s">
        <v>672</v>
      </c>
      <c r="I64" s="271" t="str">
        <f ca="1">IFERROR(__xludf.DUMMYFUNCTION("""COMPUTED_VALUE"""),"Agent03")</f>
        <v>Agent03</v>
      </c>
      <c r="J64" s="271" t="str">
        <f ca="1">IFERROR(__xludf.DUMMYFUNCTION("""COMPUTED_VALUE"""),"P42")</f>
        <v>P42</v>
      </c>
      <c r="K64" s="271" t="str">
        <f ca="1">IFERROR(__xludf.DUMMYFUNCTION("""COMPUTED_VALUE"""),"P37")</f>
        <v>P37</v>
      </c>
      <c r="L64" s="242" t="s">
        <v>681</v>
      </c>
      <c r="M64" s="263" t="str">
        <f t="shared" ca="1" si="0"/>
        <v xml:space="preserve">DarkSlateBlue </v>
      </c>
      <c r="N64" s="264" t="str">
        <f ca="1">IFERROR(__xludf.DUMMYFUNCTION("FILTER(C:E,B:B=J64)"),"本教寺")</f>
        <v>本教寺</v>
      </c>
      <c r="O64" s="265">
        <f ca="1">IFERROR(__xludf.DUMMYFUNCTION("""COMPUTED_VALUE"""),35.433129)</f>
        <v>35.433129000000001</v>
      </c>
      <c r="P64" s="265">
        <f ca="1">IFERROR(__xludf.DUMMYFUNCTION("""COMPUTED_VALUE"""),133.327572)</f>
        <v>133.327572</v>
      </c>
      <c r="Q64" s="264" t="str">
        <f ca="1">IFERROR(__xludf.DUMMYFUNCTION("FILTER(C:E,B:B=K64)"),"中ノ棚橋地蔵")</f>
        <v>中ノ棚橋地蔵</v>
      </c>
      <c r="R64" s="265">
        <f ca="1">IFERROR(__xludf.DUMMYFUNCTION("""COMPUTED_VALUE"""),35.432339)</f>
        <v>35.432338999999999</v>
      </c>
      <c r="S64" s="265">
        <f ca="1">IFERROR(__xludf.DUMMYFUNCTION("""COMPUTED_VALUE"""),133.326372)</f>
        <v>133.32637199999999</v>
      </c>
      <c r="T64" s="264" t="str">
        <f ca="1">IFERROR(__xludf.DUMMYFUNCTION("FILTER(C:E,B:B=L64)")," ")</f>
        <v xml:space="preserve"> </v>
      </c>
      <c r="U64" s="40" t="str">
        <f ca="1">IFERROR(__xludf.DUMMYFUNCTION("""COMPUTED_VALUE""")," ")</f>
        <v xml:space="preserve"> </v>
      </c>
      <c r="V64" s="40" t="str">
        <f ca="1">IFERROR(__xludf.DUMMYFUNCTION("""COMPUTED_VALUE""")," ")</f>
        <v xml:space="preserve"> </v>
      </c>
      <c r="W64" s="40" t="str">
        <f t="shared" ca="1" si="21"/>
        <v>,</v>
      </c>
      <c r="X64" s="40" t="s">
        <v>682</v>
      </c>
      <c r="Y64" s="40" t="s">
        <v>683</v>
      </c>
      <c r="Z64" s="264">
        <f t="shared" ca="1" si="1"/>
        <v>35.433129000000001</v>
      </c>
      <c r="AA64" s="40" t="s">
        <v>684</v>
      </c>
      <c r="AB64" s="264">
        <f t="shared" ca="1" si="2"/>
        <v>133.327572</v>
      </c>
      <c r="AC64" s="40" t="s">
        <v>685</v>
      </c>
      <c r="AD64" s="264">
        <f t="shared" ca="1" si="3"/>
        <v>35.432338999999999</v>
      </c>
      <c r="AE64" s="40" t="s">
        <v>684</v>
      </c>
      <c r="AF64" s="264">
        <f t="shared" ca="1" si="4"/>
        <v>133.32637199999999</v>
      </c>
      <c r="AG64" s="40" t="s">
        <v>686</v>
      </c>
      <c r="AH64" s="264" t="str">
        <f t="shared" ca="1" si="5"/>
        <v xml:space="preserve"> </v>
      </c>
      <c r="AI64" s="40" t="s">
        <v>684</v>
      </c>
      <c r="AJ64" s="264" t="str">
        <f t="shared" ca="1" si="6"/>
        <v xml:space="preserve"> </v>
      </c>
      <c r="AK64" s="40" t="s">
        <v>687</v>
      </c>
      <c r="AL64" s="264" t="str">
        <f t="shared" ca="1" si="7"/>
        <v xml:space="preserve">DarkSlateBlue </v>
      </c>
      <c r="AM64" s="40" t="s">
        <v>688</v>
      </c>
      <c r="AN64" s="40" t="str">
        <f t="shared" ca="1" si="8"/>
        <v>,{"type":"polygon","latLngs":[ {"lat":35.433129,"lng":133.327572}, {"lat":35.432339,"lng":133.326372},{"lat": ,"lng": }], "color":"DarkSlateBlue "}</v>
      </c>
      <c r="AO64" s="266" t="s">
        <v>689</v>
      </c>
      <c r="AP64" s="56">
        <f t="shared" ca="1" si="9"/>
        <v>35.433129000000001</v>
      </c>
      <c r="AQ64" s="40" t="s">
        <v>684</v>
      </c>
      <c r="AR64" s="56">
        <f t="shared" ca="1" si="10"/>
        <v>133.327572</v>
      </c>
      <c r="AS64" s="40" t="s">
        <v>686</v>
      </c>
      <c r="AT64" s="56">
        <f t="shared" ca="1" si="11"/>
        <v>35.432338999999999</v>
      </c>
      <c r="AU64" s="40" t="s">
        <v>684</v>
      </c>
      <c r="AV64" s="56">
        <f t="shared" ca="1" si="12"/>
        <v>133.32637199999999</v>
      </c>
      <c r="AW64" s="40" t="s">
        <v>690</v>
      </c>
      <c r="AX64" s="40" t="str">
        <f t="shared" ca="1" si="13"/>
        <v xml:space="preserve">DarkSlateBlue </v>
      </c>
      <c r="AY64" s="40" t="s">
        <v>688</v>
      </c>
      <c r="AZ64" s="40" t="str">
        <f t="shared" ca="1" si="14"/>
        <v>,{"type":"polyline","latLngs":[{"lat":35.433129,"lng":133.327572},{"lat":35.432339,"lng":133.326372}],"color":"DarkSlateBlue "}</v>
      </c>
      <c r="BA64" s="40" t="s">
        <v>691</v>
      </c>
      <c r="BB64" s="56">
        <f t="shared" ca="1" si="15"/>
        <v>35.433129000000001</v>
      </c>
      <c r="BC64" s="40" t="s">
        <v>684</v>
      </c>
      <c r="BD64" s="56">
        <f t="shared" ca="1" si="16"/>
        <v>133.327572</v>
      </c>
      <c r="BE64" s="40" t="s">
        <v>692</v>
      </c>
      <c r="BF64" s="40" t="str">
        <f t="shared" ca="1" si="17"/>
        <v xml:space="preserve">DarkSlateBlue </v>
      </c>
      <c r="BG64" s="40" t="s">
        <v>688</v>
      </c>
      <c r="BH64" s="40" t="str">
        <f t="shared" ca="1" si="18"/>
        <v>,{"type":"marker","latLng":{"lat":35.433129,"lng":133.327572},"color":"DarkSlateBlue "}</v>
      </c>
      <c r="BI64" s="40" t="s">
        <v>693</v>
      </c>
      <c r="BJ64" s="40" t="s">
        <v>694</v>
      </c>
      <c r="BK64" s="267" t="str">
        <f t="shared" ca="1" si="19"/>
        <v>,{"type":"polyline","latLngs":[{"lat":35.433129,"lng":133.327572},{"lat":35.432339,"lng":133.326372}],"color":"DarkSlateBlue "}</v>
      </c>
      <c r="BL64" s="40"/>
      <c r="BM64" s="275"/>
      <c r="BN64" s="40"/>
      <c r="BO64" s="40"/>
      <c r="BP64" s="40"/>
      <c r="BQ64" s="40"/>
      <c r="BR64" s="40"/>
      <c r="BS64" s="40"/>
      <c r="BT64" s="40"/>
      <c r="BU64" s="40"/>
      <c r="BV64" s="40"/>
      <c r="BW64" s="40"/>
      <c r="BX64" s="40"/>
      <c r="BY64" s="40"/>
      <c r="BZ64" s="40"/>
      <c r="CA64" s="40"/>
      <c r="CB64" s="40"/>
      <c r="CC64" s="40"/>
      <c r="CD64" s="40"/>
      <c r="CE64" s="40"/>
      <c r="CF64" s="40"/>
      <c r="CG64" s="40"/>
      <c r="CH64" s="40"/>
    </row>
    <row r="65" spans="1:86" ht="17.5">
      <c r="A65" s="40"/>
      <c r="B65" s="260" t="str">
        <f ca="1">IFERROR(__xludf.DUMMYFUNCTION("""COMPUTED_VALUE"""),"P57")</f>
        <v>P57</v>
      </c>
      <c r="C65" s="273" t="str">
        <f ca="1">IFERROR(__xludf.DUMMYFUNCTION("""COMPUTED_VALUE"""),"JR富士見町駅")</f>
        <v>JR富士見町駅</v>
      </c>
      <c r="D65" s="273">
        <f ca="1">IFERROR(__xludf.DUMMYFUNCTION("""COMPUTED_VALUE"""),35.434744)</f>
        <v>35.434744000000002</v>
      </c>
      <c r="E65" s="273">
        <f ca="1">IFERROR(__xludf.DUMMYFUNCTION("""COMPUTED_VALUE"""),133.33648)</f>
        <v>133.33647999999999</v>
      </c>
      <c r="F65" s="40"/>
      <c r="G65" s="261"/>
      <c r="H65" s="262" t="s">
        <v>672</v>
      </c>
      <c r="I65" s="271" t="str">
        <f ca="1">IFERROR(__xludf.DUMMYFUNCTION("""COMPUTED_VALUE"""),"Agent03")</f>
        <v>Agent03</v>
      </c>
      <c r="J65" s="271" t="str">
        <f ca="1">IFERROR(__xludf.DUMMYFUNCTION("""COMPUTED_VALUE"""),"P42")</f>
        <v>P42</v>
      </c>
      <c r="K65" s="271" t="str">
        <f ca="1">IFERROR(__xludf.DUMMYFUNCTION("""COMPUTED_VALUE"""),"P47")</f>
        <v>P47</v>
      </c>
      <c r="L65" s="242" t="s">
        <v>681</v>
      </c>
      <c r="M65" s="263" t="str">
        <f t="shared" ca="1" si="0"/>
        <v xml:space="preserve">DarkSlateBlue </v>
      </c>
      <c r="N65" s="264" t="str">
        <f ca="1">IFERROR(__xludf.DUMMYFUNCTION("FILTER(C:E,B:B=J65)"),"本教寺")</f>
        <v>本教寺</v>
      </c>
      <c r="O65" s="265">
        <f ca="1">IFERROR(__xludf.DUMMYFUNCTION("""COMPUTED_VALUE"""),35.433129)</f>
        <v>35.433129000000001</v>
      </c>
      <c r="P65" s="265">
        <f ca="1">IFERROR(__xludf.DUMMYFUNCTION("""COMPUTED_VALUE"""),133.327572)</f>
        <v>133.327572</v>
      </c>
      <c r="Q65" s="264" t="str">
        <f ca="1">IFERROR(__xludf.DUMMYFUNCTION("FILTER(C:E,B:B=K65)"),"与太郎地蔵")</f>
        <v>与太郎地蔵</v>
      </c>
      <c r="R65" s="265">
        <f ca="1">IFERROR(__xludf.DUMMYFUNCTION("""COMPUTED_VALUE"""),35.433555)</f>
        <v>35.433554999999998</v>
      </c>
      <c r="S65" s="265">
        <f ca="1">IFERROR(__xludf.DUMMYFUNCTION("""COMPUTED_VALUE"""),133.327631)</f>
        <v>133.327631</v>
      </c>
      <c r="T65" s="264" t="str">
        <f ca="1">IFERROR(__xludf.DUMMYFUNCTION("FILTER(C:E,B:B=L65)")," ")</f>
        <v xml:space="preserve"> </v>
      </c>
      <c r="U65" s="40" t="str">
        <f ca="1">IFERROR(__xludf.DUMMYFUNCTION("""COMPUTED_VALUE""")," ")</f>
        <v xml:space="preserve"> </v>
      </c>
      <c r="V65" s="40" t="str">
        <f ca="1">IFERROR(__xludf.DUMMYFUNCTION("""COMPUTED_VALUE""")," ")</f>
        <v xml:space="preserve"> </v>
      </c>
      <c r="W65" s="40" t="str">
        <f t="shared" ca="1" si="21"/>
        <v>,</v>
      </c>
      <c r="X65" s="40" t="s">
        <v>682</v>
      </c>
      <c r="Y65" s="40" t="s">
        <v>683</v>
      </c>
      <c r="Z65" s="264">
        <f t="shared" ca="1" si="1"/>
        <v>35.433129000000001</v>
      </c>
      <c r="AA65" s="40" t="s">
        <v>684</v>
      </c>
      <c r="AB65" s="264">
        <f t="shared" ca="1" si="2"/>
        <v>133.327572</v>
      </c>
      <c r="AC65" s="40" t="s">
        <v>685</v>
      </c>
      <c r="AD65" s="264">
        <f t="shared" ca="1" si="3"/>
        <v>35.433554999999998</v>
      </c>
      <c r="AE65" s="40" t="s">
        <v>684</v>
      </c>
      <c r="AF65" s="264">
        <f t="shared" ca="1" si="4"/>
        <v>133.327631</v>
      </c>
      <c r="AG65" s="40" t="s">
        <v>686</v>
      </c>
      <c r="AH65" s="264" t="str">
        <f t="shared" ca="1" si="5"/>
        <v xml:space="preserve"> </v>
      </c>
      <c r="AI65" s="40" t="s">
        <v>684</v>
      </c>
      <c r="AJ65" s="264" t="str">
        <f t="shared" ca="1" si="6"/>
        <v xml:space="preserve"> </v>
      </c>
      <c r="AK65" s="40" t="s">
        <v>687</v>
      </c>
      <c r="AL65" s="264" t="str">
        <f t="shared" ca="1" si="7"/>
        <v xml:space="preserve">DarkSlateBlue </v>
      </c>
      <c r="AM65" s="40" t="s">
        <v>688</v>
      </c>
      <c r="AN65" s="40" t="str">
        <f t="shared" ca="1" si="8"/>
        <v>,{"type":"polygon","latLngs":[ {"lat":35.433129,"lng":133.327572}, {"lat":35.433555,"lng":133.327631},{"lat": ,"lng": }], "color":"DarkSlateBlue "}</v>
      </c>
      <c r="AO65" s="266" t="s">
        <v>689</v>
      </c>
      <c r="AP65" s="56">
        <f t="shared" ca="1" si="9"/>
        <v>35.433129000000001</v>
      </c>
      <c r="AQ65" s="40" t="s">
        <v>684</v>
      </c>
      <c r="AR65" s="56">
        <f t="shared" ca="1" si="10"/>
        <v>133.327572</v>
      </c>
      <c r="AS65" s="40" t="s">
        <v>686</v>
      </c>
      <c r="AT65" s="56">
        <f t="shared" ca="1" si="11"/>
        <v>35.433554999999998</v>
      </c>
      <c r="AU65" s="40" t="s">
        <v>684</v>
      </c>
      <c r="AV65" s="56">
        <f t="shared" ca="1" si="12"/>
        <v>133.327631</v>
      </c>
      <c r="AW65" s="40" t="s">
        <v>690</v>
      </c>
      <c r="AX65" s="40" t="str">
        <f t="shared" ca="1" si="13"/>
        <v xml:space="preserve">DarkSlateBlue </v>
      </c>
      <c r="AY65" s="40" t="s">
        <v>688</v>
      </c>
      <c r="AZ65" s="40" t="str">
        <f t="shared" ca="1" si="14"/>
        <v>,{"type":"polyline","latLngs":[{"lat":35.433129,"lng":133.327572},{"lat":35.433555,"lng":133.327631}],"color":"DarkSlateBlue "}</v>
      </c>
      <c r="BA65" s="40" t="s">
        <v>691</v>
      </c>
      <c r="BB65" s="56">
        <f t="shared" ca="1" si="15"/>
        <v>35.433129000000001</v>
      </c>
      <c r="BC65" s="40" t="s">
        <v>684</v>
      </c>
      <c r="BD65" s="56">
        <f t="shared" ca="1" si="16"/>
        <v>133.327572</v>
      </c>
      <c r="BE65" s="40" t="s">
        <v>692</v>
      </c>
      <c r="BF65" s="40" t="str">
        <f t="shared" ca="1" si="17"/>
        <v xml:space="preserve">DarkSlateBlue </v>
      </c>
      <c r="BG65" s="40" t="s">
        <v>688</v>
      </c>
      <c r="BH65" s="40" t="str">
        <f t="shared" ca="1" si="18"/>
        <v>,{"type":"marker","latLng":{"lat":35.433129,"lng":133.327572},"color":"DarkSlateBlue "}</v>
      </c>
      <c r="BI65" s="40" t="s">
        <v>693</v>
      </c>
      <c r="BJ65" s="40" t="s">
        <v>694</v>
      </c>
      <c r="BK65" s="267" t="str">
        <f t="shared" ca="1" si="19"/>
        <v>,{"type":"polyline","latLngs":[{"lat":35.433129,"lng":133.327572},{"lat":35.433555,"lng":133.327631}],"color":"DarkSlateBlue "}</v>
      </c>
      <c r="BL65" s="40"/>
      <c r="BM65" s="275"/>
      <c r="BN65" s="40"/>
      <c r="BO65" s="40"/>
      <c r="BP65" s="40"/>
      <c r="BQ65" s="40"/>
      <c r="BR65" s="40"/>
      <c r="BS65" s="40"/>
      <c r="BT65" s="40"/>
      <c r="BU65" s="40"/>
      <c r="BV65" s="40"/>
      <c r="BW65" s="40"/>
      <c r="BX65" s="40"/>
      <c r="BY65" s="40"/>
      <c r="BZ65" s="40"/>
      <c r="CA65" s="40"/>
      <c r="CB65" s="40"/>
      <c r="CC65" s="40"/>
      <c r="CD65" s="40"/>
      <c r="CE65" s="40"/>
      <c r="CF65" s="40"/>
      <c r="CG65" s="40"/>
      <c r="CH65" s="40"/>
    </row>
    <row r="66" spans="1:86" ht="17.5">
      <c r="A66" s="40"/>
      <c r="B66" s="260" t="str">
        <f ca="1">IFERROR(__xludf.DUMMYFUNCTION("""COMPUTED_VALUE"""),"P58")</f>
        <v>P58</v>
      </c>
      <c r="C66" s="273" t="str">
        <f ca="1">IFERROR(__xludf.DUMMYFUNCTION("""COMPUTED_VALUE"""),"一心延命助地蔵尊")</f>
        <v>一心延命助地蔵尊</v>
      </c>
      <c r="D66" s="273">
        <f ca="1">IFERROR(__xludf.DUMMYFUNCTION("""COMPUTED_VALUE"""),35.434964)</f>
        <v>35.434964000000001</v>
      </c>
      <c r="E66" s="273">
        <f ca="1">IFERROR(__xludf.DUMMYFUNCTION("""COMPUTED_VALUE"""),133.334625)</f>
        <v>133.33462499999999</v>
      </c>
      <c r="F66" s="40"/>
      <c r="G66" s="261"/>
      <c r="H66" s="262" t="s">
        <v>672</v>
      </c>
      <c r="I66" s="271" t="str">
        <f ca="1">IFERROR(__xludf.DUMMYFUNCTION("""COMPUTED_VALUE"""),"Agent03")</f>
        <v>Agent03</v>
      </c>
      <c r="J66" s="271" t="str">
        <f ca="1">IFERROR(__xludf.DUMMYFUNCTION("""COMPUTED_VALUE"""),"P60")</f>
        <v>P60</v>
      </c>
      <c r="K66" s="271" t="str">
        <f ca="1">IFERROR(__xludf.DUMMYFUNCTION("""COMPUTED_VALUE"""),"P50")</f>
        <v>P50</v>
      </c>
      <c r="L66" s="242" t="s">
        <v>681</v>
      </c>
      <c r="M66" s="263" t="str">
        <f t="shared" ca="1" si="0"/>
        <v xml:space="preserve">DarkSlateBlue </v>
      </c>
      <c r="N66" s="264" t="str">
        <f ca="1">IFERROR(__xludf.DUMMYFUNCTION("FILTER(C:E,B:B=J66)"),"恒久平和 戦没者慰霊碑")</f>
        <v>恒久平和 戦没者慰霊碑</v>
      </c>
      <c r="O66" s="265">
        <f ca="1">IFERROR(__xludf.DUMMYFUNCTION("""COMPUTED_VALUE"""),35.43563)</f>
        <v>35.435630000000003</v>
      </c>
      <c r="P66" s="265">
        <f ca="1">IFERROR(__xludf.DUMMYFUNCTION("""COMPUTED_VALUE"""),133.332946)</f>
        <v>133.33294599999999</v>
      </c>
      <c r="Q66" s="264" t="str">
        <f ca="1">IFERROR(__xludf.DUMMYFUNCTION("FILTER(C:E,B:B=K66)"),"福厳院六地蔵")</f>
        <v>福厳院六地蔵</v>
      </c>
      <c r="R66" s="265">
        <f ca="1">IFERROR(__xludf.DUMMYFUNCTION("""COMPUTED_VALUE"""),35.434084)</f>
        <v>35.434083999999999</v>
      </c>
      <c r="S66" s="265">
        <f ca="1">IFERROR(__xludf.DUMMYFUNCTION("""COMPUTED_VALUE"""),133.329349)</f>
        <v>133.32934900000001</v>
      </c>
      <c r="T66" s="264" t="str">
        <f ca="1">IFERROR(__xludf.DUMMYFUNCTION("FILTER(C:E,B:B=L66)")," ")</f>
        <v xml:space="preserve"> </v>
      </c>
      <c r="U66" s="40" t="str">
        <f ca="1">IFERROR(__xludf.DUMMYFUNCTION("""COMPUTED_VALUE""")," ")</f>
        <v xml:space="preserve"> </v>
      </c>
      <c r="V66" s="40" t="str">
        <f ca="1">IFERROR(__xludf.DUMMYFUNCTION("""COMPUTED_VALUE""")," ")</f>
        <v xml:space="preserve"> </v>
      </c>
      <c r="W66" s="40" t="str">
        <f t="shared" ca="1" si="21"/>
        <v>,</v>
      </c>
      <c r="X66" s="40" t="s">
        <v>682</v>
      </c>
      <c r="Y66" s="40" t="s">
        <v>683</v>
      </c>
      <c r="Z66" s="264">
        <f t="shared" ca="1" si="1"/>
        <v>35.435630000000003</v>
      </c>
      <c r="AA66" s="40" t="s">
        <v>684</v>
      </c>
      <c r="AB66" s="264">
        <f t="shared" ca="1" si="2"/>
        <v>133.33294599999999</v>
      </c>
      <c r="AC66" s="40" t="s">
        <v>685</v>
      </c>
      <c r="AD66" s="264">
        <f t="shared" ca="1" si="3"/>
        <v>35.434083999999999</v>
      </c>
      <c r="AE66" s="40" t="s">
        <v>684</v>
      </c>
      <c r="AF66" s="264">
        <f t="shared" ca="1" si="4"/>
        <v>133.32934900000001</v>
      </c>
      <c r="AG66" s="40" t="s">
        <v>686</v>
      </c>
      <c r="AH66" s="264" t="str">
        <f t="shared" ca="1" si="5"/>
        <v xml:space="preserve"> </v>
      </c>
      <c r="AI66" s="40" t="s">
        <v>684</v>
      </c>
      <c r="AJ66" s="264" t="str">
        <f t="shared" ca="1" si="6"/>
        <v xml:space="preserve"> </v>
      </c>
      <c r="AK66" s="40" t="s">
        <v>687</v>
      </c>
      <c r="AL66" s="264" t="str">
        <f t="shared" ca="1" si="7"/>
        <v xml:space="preserve">DarkSlateBlue </v>
      </c>
      <c r="AM66" s="40" t="s">
        <v>688</v>
      </c>
      <c r="AN66" s="40" t="str">
        <f t="shared" ca="1" si="8"/>
        <v>,{"type":"polygon","latLngs":[ {"lat":35.43563,"lng":133.332946}, {"lat":35.434084,"lng":133.329349},{"lat": ,"lng": }], "color":"DarkSlateBlue "}</v>
      </c>
      <c r="AO66" s="266" t="s">
        <v>689</v>
      </c>
      <c r="AP66" s="56">
        <f t="shared" ca="1" si="9"/>
        <v>35.435630000000003</v>
      </c>
      <c r="AQ66" s="40" t="s">
        <v>684</v>
      </c>
      <c r="AR66" s="56">
        <f t="shared" ca="1" si="10"/>
        <v>133.33294599999999</v>
      </c>
      <c r="AS66" s="40" t="s">
        <v>686</v>
      </c>
      <c r="AT66" s="56">
        <f t="shared" ca="1" si="11"/>
        <v>35.434083999999999</v>
      </c>
      <c r="AU66" s="40" t="s">
        <v>684</v>
      </c>
      <c r="AV66" s="56">
        <f t="shared" ca="1" si="12"/>
        <v>133.32934900000001</v>
      </c>
      <c r="AW66" s="40" t="s">
        <v>690</v>
      </c>
      <c r="AX66" s="40" t="str">
        <f t="shared" ca="1" si="13"/>
        <v xml:space="preserve">DarkSlateBlue </v>
      </c>
      <c r="AY66" s="40" t="s">
        <v>688</v>
      </c>
      <c r="AZ66" s="40" t="str">
        <f t="shared" ca="1" si="14"/>
        <v>,{"type":"polyline","latLngs":[{"lat":35.43563,"lng":133.332946},{"lat":35.434084,"lng":133.329349}],"color":"DarkSlateBlue "}</v>
      </c>
      <c r="BA66" s="40" t="s">
        <v>691</v>
      </c>
      <c r="BB66" s="56">
        <f t="shared" ca="1" si="15"/>
        <v>35.435630000000003</v>
      </c>
      <c r="BC66" s="40" t="s">
        <v>684</v>
      </c>
      <c r="BD66" s="56">
        <f t="shared" ca="1" si="16"/>
        <v>133.33294599999999</v>
      </c>
      <c r="BE66" s="40" t="s">
        <v>692</v>
      </c>
      <c r="BF66" s="40" t="str">
        <f t="shared" ca="1" si="17"/>
        <v xml:space="preserve">DarkSlateBlue </v>
      </c>
      <c r="BG66" s="40" t="s">
        <v>688</v>
      </c>
      <c r="BH66" s="40" t="str">
        <f t="shared" ca="1" si="18"/>
        <v>,{"type":"marker","latLng":{"lat":35.43563,"lng":133.332946},"color":"DarkSlateBlue "}</v>
      </c>
      <c r="BI66" s="40" t="s">
        <v>693</v>
      </c>
      <c r="BJ66" s="40" t="s">
        <v>694</v>
      </c>
      <c r="BK66" s="267" t="str">
        <f t="shared" ca="1" si="19"/>
        <v>,{"type":"polyline","latLngs":[{"lat":35.43563,"lng":133.332946},{"lat":35.434084,"lng":133.329349}],"color":"DarkSlateBlue "}</v>
      </c>
      <c r="BL66" s="40"/>
      <c r="BM66" s="275"/>
      <c r="BN66" s="40"/>
      <c r="BO66" s="40"/>
      <c r="BP66" s="40"/>
      <c r="BQ66" s="40"/>
      <c r="BR66" s="40"/>
      <c r="BS66" s="40"/>
      <c r="BT66" s="40"/>
      <c r="BU66" s="40"/>
      <c r="BV66" s="40"/>
      <c r="BW66" s="40"/>
      <c r="BX66" s="40"/>
      <c r="BY66" s="40"/>
      <c r="BZ66" s="40"/>
      <c r="CA66" s="40"/>
      <c r="CB66" s="40"/>
      <c r="CC66" s="40"/>
      <c r="CD66" s="40"/>
      <c r="CE66" s="40"/>
      <c r="CF66" s="40"/>
      <c r="CG66" s="40"/>
      <c r="CH66" s="40"/>
    </row>
    <row r="67" spans="1:86" ht="17.5">
      <c r="A67" s="40"/>
      <c r="B67" s="260" t="str">
        <f ca="1">IFERROR(__xludf.DUMMYFUNCTION("""COMPUTED_VALUE"""),"P59")</f>
        <v>P59</v>
      </c>
      <c r="C67" s="273" t="str">
        <f ca="1">IFERROR(__xludf.DUMMYFUNCTION("""COMPUTED_VALUE"""),"YSP ボウル")</f>
        <v>YSP ボウル</v>
      </c>
      <c r="D67" s="273">
        <f ca="1">IFERROR(__xludf.DUMMYFUNCTION("""COMPUTED_VALUE"""),35.435423)</f>
        <v>35.435423</v>
      </c>
      <c r="E67" s="273">
        <f ca="1">IFERROR(__xludf.DUMMYFUNCTION("""COMPUTED_VALUE"""),133.337067)</f>
        <v>133.33706699999999</v>
      </c>
      <c r="F67" s="40"/>
      <c r="G67" s="261"/>
      <c r="H67" s="262" t="s">
        <v>672</v>
      </c>
      <c r="I67" s="271" t="str">
        <f ca="1">IFERROR(__xludf.DUMMYFUNCTION("""COMPUTED_VALUE"""),"Agent03")</f>
        <v>Agent03</v>
      </c>
      <c r="J67" s="271" t="str">
        <f ca="1">IFERROR(__xludf.DUMMYFUNCTION("""COMPUTED_VALUE"""),"P60")</f>
        <v>P60</v>
      </c>
      <c r="K67" s="271" t="str">
        <f ca="1">IFERROR(__xludf.DUMMYFUNCTION("""COMPUTED_VALUE"""),"P81")</f>
        <v>P81</v>
      </c>
      <c r="L67" s="242" t="s">
        <v>681</v>
      </c>
      <c r="M67" s="263" t="str">
        <f t="shared" ca="1" si="0"/>
        <v xml:space="preserve">DarkSlateBlue </v>
      </c>
      <c r="N67" s="264" t="str">
        <f ca="1">IFERROR(__xludf.DUMMYFUNCTION("FILTER(C:E,B:B=J67)"),"恒久平和 戦没者慰霊碑")</f>
        <v>恒久平和 戦没者慰霊碑</v>
      </c>
      <c r="O67" s="265">
        <f ca="1">IFERROR(__xludf.DUMMYFUNCTION("""COMPUTED_VALUE"""),35.43563)</f>
        <v>35.435630000000003</v>
      </c>
      <c r="P67" s="265">
        <f ca="1">IFERROR(__xludf.DUMMYFUNCTION("""COMPUTED_VALUE"""),133.332946)</f>
        <v>133.33294599999999</v>
      </c>
      <c r="Q67" s="264" t="str">
        <f ca="1">IFERROR(__xludf.DUMMYFUNCTION("FILTER(C:E,B:B=K67)"),"米原南土地区画整理竣工記念碑")</f>
        <v>米原南土地区画整理竣工記念碑</v>
      </c>
      <c r="R67" s="265">
        <f ca="1">IFERROR(__xludf.DUMMYFUNCTION("""COMPUTED_VALUE"""),35.439759)</f>
        <v>35.439759000000002</v>
      </c>
      <c r="S67" s="265">
        <f ca="1">IFERROR(__xludf.DUMMYFUNCTION("""COMPUTED_VALUE"""),133.334644)</f>
        <v>133.334644</v>
      </c>
      <c r="T67" s="264" t="str">
        <f ca="1">IFERROR(__xludf.DUMMYFUNCTION("FILTER(C:E,B:B=L67)")," ")</f>
        <v xml:space="preserve"> </v>
      </c>
      <c r="U67" s="40" t="str">
        <f ca="1">IFERROR(__xludf.DUMMYFUNCTION("""COMPUTED_VALUE""")," ")</f>
        <v xml:space="preserve"> </v>
      </c>
      <c r="V67" s="40" t="str">
        <f ca="1">IFERROR(__xludf.DUMMYFUNCTION("""COMPUTED_VALUE""")," ")</f>
        <v xml:space="preserve"> </v>
      </c>
      <c r="W67" s="40" t="str">
        <f t="shared" ca="1" si="21"/>
        <v>,</v>
      </c>
      <c r="X67" s="40" t="s">
        <v>682</v>
      </c>
      <c r="Y67" s="40" t="s">
        <v>683</v>
      </c>
      <c r="Z67" s="264">
        <f t="shared" ca="1" si="1"/>
        <v>35.435630000000003</v>
      </c>
      <c r="AA67" s="40" t="s">
        <v>684</v>
      </c>
      <c r="AB67" s="264">
        <f t="shared" ca="1" si="2"/>
        <v>133.33294599999999</v>
      </c>
      <c r="AC67" s="40" t="s">
        <v>685</v>
      </c>
      <c r="AD67" s="264">
        <f t="shared" ca="1" si="3"/>
        <v>35.439759000000002</v>
      </c>
      <c r="AE67" s="40" t="s">
        <v>684</v>
      </c>
      <c r="AF67" s="264">
        <f t="shared" ca="1" si="4"/>
        <v>133.334644</v>
      </c>
      <c r="AG67" s="40" t="s">
        <v>686</v>
      </c>
      <c r="AH67" s="264" t="str">
        <f t="shared" ca="1" si="5"/>
        <v xml:space="preserve"> </v>
      </c>
      <c r="AI67" s="40" t="s">
        <v>684</v>
      </c>
      <c r="AJ67" s="264" t="str">
        <f t="shared" ca="1" si="6"/>
        <v xml:space="preserve"> </v>
      </c>
      <c r="AK67" s="40" t="s">
        <v>687</v>
      </c>
      <c r="AL67" s="264" t="str">
        <f t="shared" ca="1" si="7"/>
        <v xml:space="preserve">DarkSlateBlue </v>
      </c>
      <c r="AM67" s="40" t="s">
        <v>688</v>
      </c>
      <c r="AN67" s="40" t="str">
        <f t="shared" ca="1" si="8"/>
        <v>,{"type":"polygon","latLngs":[ {"lat":35.43563,"lng":133.332946}, {"lat":35.439759,"lng":133.334644},{"lat": ,"lng": }], "color":"DarkSlateBlue "}</v>
      </c>
      <c r="AO67" s="266" t="s">
        <v>689</v>
      </c>
      <c r="AP67" s="56">
        <f t="shared" ca="1" si="9"/>
        <v>35.435630000000003</v>
      </c>
      <c r="AQ67" s="40" t="s">
        <v>684</v>
      </c>
      <c r="AR67" s="56">
        <f t="shared" ca="1" si="10"/>
        <v>133.33294599999999</v>
      </c>
      <c r="AS67" s="40" t="s">
        <v>686</v>
      </c>
      <c r="AT67" s="56">
        <f t="shared" ca="1" si="11"/>
        <v>35.439759000000002</v>
      </c>
      <c r="AU67" s="40" t="s">
        <v>684</v>
      </c>
      <c r="AV67" s="56">
        <f t="shared" ca="1" si="12"/>
        <v>133.334644</v>
      </c>
      <c r="AW67" s="40" t="s">
        <v>690</v>
      </c>
      <c r="AX67" s="40" t="str">
        <f t="shared" ca="1" si="13"/>
        <v xml:space="preserve">DarkSlateBlue </v>
      </c>
      <c r="AY67" s="40" t="s">
        <v>688</v>
      </c>
      <c r="AZ67" s="40" t="str">
        <f t="shared" ca="1" si="14"/>
        <v>,{"type":"polyline","latLngs":[{"lat":35.43563,"lng":133.332946},{"lat":35.439759,"lng":133.334644}],"color":"DarkSlateBlue "}</v>
      </c>
      <c r="BA67" s="40" t="s">
        <v>691</v>
      </c>
      <c r="BB67" s="56">
        <f t="shared" ca="1" si="15"/>
        <v>35.435630000000003</v>
      </c>
      <c r="BC67" s="40" t="s">
        <v>684</v>
      </c>
      <c r="BD67" s="56">
        <f t="shared" ca="1" si="16"/>
        <v>133.33294599999999</v>
      </c>
      <c r="BE67" s="40" t="s">
        <v>692</v>
      </c>
      <c r="BF67" s="40" t="str">
        <f t="shared" ca="1" si="17"/>
        <v xml:space="preserve">DarkSlateBlue </v>
      </c>
      <c r="BG67" s="40" t="s">
        <v>688</v>
      </c>
      <c r="BH67" s="40" t="str">
        <f t="shared" ca="1" si="18"/>
        <v>,{"type":"marker","latLng":{"lat":35.43563,"lng":133.332946},"color":"DarkSlateBlue "}</v>
      </c>
      <c r="BI67" s="40" t="s">
        <v>693</v>
      </c>
      <c r="BJ67" s="40" t="s">
        <v>694</v>
      </c>
      <c r="BK67" s="267" t="str">
        <f t="shared" ca="1" si="19"/>
        <v>,{"type":"polyline","latLngs":[{"lat":35.43563,"lng":133.332946},{"lat":35.439759,"lng":133.334644}],"color":"DarkSlateBlue "}</v>
      </c>
      <c r="BL67" s="40"/>
      <c r="BM67" s="275"/>
      <c r="BN67" s="40"/>
      <c r="BO67" s="40"/>
      <c r="BP67" s="40"/>
      <c r="BQ67" s="40"/>
      <c r="BR67" s="40"/>
      <c r="BS67" s="40"/>
      <c r="BT67" s="40"/>
      <c r="BU67" s="40"/>
      <c r="BV67" s="40"/>
      <c r="BW67" s="40"/>
      <c r="BX67" s="40"/>
      <c r="BY67" s="40"/>
      <c r="BZ67" s="40"/>
      <c r="CA67" s="40"/>
      <c r="CB67" s="40"/>
      <c r="CC67" s="40"/>
      <c r="CD67" s="40"/>
      <c r="CE67" s="40"/>
      <c r="CF67" s="40"/>
      <c r="CG67" s="40"/>
      <c r="CH67" s="40"/>
    </row>
    <row r="68" spans="1:86" ht="17.5">
      <c r="A68" s="40"/>
      <c r="B68" s="260" t="str">
        <f ca="1">IFERROR(__xludf.DUMMYFUNCTION("""COMPUTED_VALUE"""),"P60")</f>
        <v>P60</v>
      </c>
      <c r="C68" s="273" t="str">
        <f ca="1">IFERROR(__xludf.DUMMYFUNCTION("""COMPUTED_VALUE"""),"恒久平和 戦没者慰霊碑")</f>
        <v>恒久平和 戦没者慰霊碑</v>
      </c>
      <c r="D68" s="273">
        <f ca="1">IFERROR(__xludf.DUMMYFUNCTION("""COMPUTED_VALUE"""),35.43563)</f>
        <v>35.435630000000003</v>
      </c>
      <c r="E68" s="273">
        <f ca="1">IFERROR(__xludf.DUMMYFUNCTION("""COMPUTED_VALUE"""),133.332946)</f>
        <v>133.33294599999999</v>
      </c>
      <c r="F68" s="40"/>
      <c r="G68" s="261"/>
      <c r="H68" s="262" t="s">
        <v>672</v>
      </c>
      <c r="I68" s="200" t="str">
        <f ca="1">IFERROR(__xludf.DUMMYFUNCTION("""COMPUTED_VALUE"""),"Agent03")</f>
        <v>Agent03</v>
      </c>
      <c r="J68" s="200" t="str">
        <f ca="1">IFERROR(__xludf.DUMMYFUNCTION("""COMPUTED_VALUE"""),"P65")</f>
        <v>P65</v>
      </c>
      <c r="K68" s="200" t="str">
        <f ca="1">IFERROR(__xludf.DUMMYFUNCTION("""COMPUTED_VALUE"""),"P60")</f>
        <v>P60</v>
      </c>
      <c r="L68" s="242" t="s">
        <v>681</v>
      </c>
      <c r="M68" s="263" t="str">
        <f t="shared" ca="1" si="0"/>
        <v xml:space="preserve">DarkSlateBlue </v>
      </c>
      <c r="N68" s="264" t="str">
        <f ca="1">IFERROR(__xludf.DUMMYFUNCTION("FILTER(C:E,B:B=J68)"),"錦町２丁目１区自治会掲示板")</f>
        <v>錦町２丁目１区自治会掲示板</v>
      </c>
      <c r="O68" s="265">
        <f ca="1">IFERROR(__xludf.DUMMYFUNCTION("""COMPUTED_VALUE"""),35.436628)</f>
        <v>35.436627999999999</v>
      </c>
      <c r="P68" s="265">
        <f ca="1">IFERROR(__xludf.DUMMYFUNCTION("""COMPUTED_VALUE"""),133.332884)</f>
        <v>133.33288400000001</v>
      </c>
      <c r="Q68" s="264" t="str">
        <f ca="1">IFERROR(__xludf.DUMMYFUNCTION("FILTER(C:E,B:B=K68)"),"恒久平和 戦没者慰霊碑")</f>
        <v>恒久平和 戦没者慰霊碑</v>
      </c>
      <c r="R68" s="265">
        <f ca="1">IFERROR(__xludf.DUMMYFUNCTION("""COMPUTED_VALUE"""),35.43563)</f>
        <v>35.435630000000003</v>
      </c>
      <c r="S68" s="265">
        <f ca="1">IFERROR(__xludf.DUMMYFUNCTION("""COMPUTED_VALUE"""),133.332946)</f>
        <v>133.33294599999999</v>
      </c>
      <c r="T68" s="264" t="str">
        <f ca="1">IFERROR(__xludf.DUMMYFUNCTION("FILTER(C:E,B:B=L68)")," ")</f>
        <v xml:space="preserve"> </v>
      </c>
      <c r="U68" s="40" t="str">
        <f ca="1">IFERROR(__xludf.DUMMYFUNCTION("""COMPUTED_VALUE""")," ")</f>
        <v xml:space="preserve"> </v>
      </c>
      <c r="V68" s="40" t="str">
        <f ca="1">IFERROR(__xludf.DUMMYFUNCTION("""COMPUTED_VALUE""")," ")</f>
        <v xml:space="preserve"> </v>
      </c>
      <c r="W68" s="266" t="str">
        <f t="shared" ca="1" si="21"/>
        <v>,</v>
      </c>
      <c r="X68" s="266" t="s">
        <v>682</v>
      </c>
      <c r="Y68" s="266" t="s">
        <v>683</v>
      </c>
      <c r="Z68" s="264">
        <f t="shared" ca="1" si="1"/>
        <v>35.436627999999999</v>
      </c>
      <c r="AA68" s="266" t="s">
        <v>684</v>
      </c>
      <c r="AB68" s="264">
        <f t="shared" ca="1" si="2"/>
        <v>133.33288400000001</v>
      </c>
      <c r="AC68" s="266" t="s">
        <v>685</v>
      </c>
      <c r="AD68" s="264">
        <f t="shared" ca="1" si="3"/>
        <v>35.435630000000003</v>
      </c>
      <c r="AE68" s="266" t="s">
        <v>684</v>
      </c>
      <c r="AF68" s="264">
        <f t="shared" ca="1" si="4"/>
        <v>133.33294599999999</v>
      </c>
      <c r="AG68" s="266" t="s">
        <v>686</v>
      </c>
      <c r="AH68" s="264" t="str">
        <f t="shared" ca="1" si="5"/>
        <v xml:space="preserve"> </v>
      </c>
      <c r="AI68" s="266" t="s">
        <v>684</v>
      </c>
      <c r="AJ68" s="264" t="str">
        <f t="shared" ca="1" si="6"/>
        <v xml:space="preserve"> </v>
      </c>
      <c r="AK68" s="266" t="s">
        <v>687</v>
      </c>
      <c r="AL68" s="264" t="str">
        <f t="shared" ca="1" si="7"/>
        <v xml:space="preserve">DarkSlateBlue </v>
      </c>
      <c r="AM68" s="266" t="s">
        <v>688</v>
      </c>
      <c r="AN68" s="266" t="str">
        <f t="shared" ca="1" si="8"/>
        <v>,{"type":"polygon","latLngs":[ {"lat":35.436628,"lng":133.332884}, {"lat":35.43563,"lng":133.332946},{"lat": ,"lng": }], "color":"DarkSlateBlue "}</v>
      </c>
      <c r="AO68" s="266" t="s">
        <v>689</v>
      </c>
      <c r="AP68" s="278">
        <f t="shared" ca="1" si="9"/>
        <v>35.436627999999999</v>
      </c>
      <c r="AQ68" s="266" t="s">
        <v>684</v>
      </c>
      <c r="AR68" s="278">
        <f t="shared" ca="1" si="10"/>
        <v>133.33288400000001</v>
      </c>
      <c r="AS68" s="266" t="s">
        <v>686</v>
      </c>
      <c r="AT68" s="278">
        <f t="shared" ca="1" si="11"/>
        <v>35.435630000000003</v>
      </c>
      <c r="AU68" s="266" t="s">
        <v>684</v>
      </c>
      <c r="AV68" s="278">
        <f t="shared" ca="1" si="12"/>
        <v>133.33294599999999</v>
      </c>
      <c r="AW68" s="266" t="s">
        <v>690</v>
      </c>
      <c r="AX68" s="266" t="str">
        <f t="shared" ca="1" si="13"/>
        <v xml:space="preserve">DarkSlateBlue </v>
      </c>
      <c r="AY68" s="266" t="s">
        <v>688</v>
      </c>
      <c r="AZ68" s="266" t="str">
        <f t="shared" ca="1" si="14"/>
        <v>,{"type":"polyline","latLngs":[{"lat":35.436628,"lng":133.332884},{"lat":35.43563,"lng":133.332946}],"color":"DarkSlateBlue "}</v>
      </c>
      <c r="BA68" s="266" t="s">
        <v>691</v>
      </c>
      <c r="BB68" s="278">
        <f t="shared" ca="1" si="15"/>
        <v>35.436627999999999</v>
      </c>
      <c r="BC68" s="266" t="s">
        <v>684</v>
      </c>
      <c r="BD68" s="278">
        <f t="shared" ca="1" si="16"/>
        <v>133.33288400000001</v>
      </c>
      <c r="BE68" s="266" t="s">
        <v>692</v>
      </c>
      <c r="BF68" s="266" t="str">
        <f t="shared" ca="1" si="17"/>
        <v xml:space="preserve">DarkSlateBlue </v>
      </c>
      <c r="BG68" s="266" t="s">
        <v>688</v>
      </c>
      <c r="BH68" s="266" t="str">
        <f t="shared" ca="1" si="18"/>
        <v>,{"type":"marker","latLng":{"lat":35.436628,"lng":133.332884},"color":"DarkSlateBlue "}</v>
      </c>
      <c r="BI68" s="266" t="s">
        <v>693</v>
      </c>
      <c r="BJ68" s="266" t="s">
        <v>694</v>
      </c>
      <c r="BK68" s="267" t="str">
        <f t="shared" ca="1" si="19"/>
        <v>,{"type":"polyline","latLngs":[{"lat":35.436628,"lng":133.332884},{"lat":35.43563,"lng":133.332946}],"color":"DarkSlateBlue "}</v>
      </c>
      <c r="BL68" s="40"/>
      <c r="BM68" s="275"/>
      <c r="BN68" s="40"/>
      <c r="BO68" s="40"/>
      <c r="BP68" s="40"/>
      <c r="BQ68" s="40"/>
      <c r="BR68" s="40"/>
      <c r="BS68" s="40"/>
      <c r="BT68" s="40"/>
      <c r="BU68" s="40"/>
      <c r="BV68" s="40"/>
      <c r="BW68" s="40"/>
      <c r="BX68" s="40"/>
      <c r="BY68" s="40"/>
      <c r="BZ68" s="40"/>
      <c r="CA68" s="40"/>
      <c r="CB68" s="40"/>
      <c r="CC68" s="40"/>
      <c r="CD68" s="40"/>
      <c r="CE68" s="40"/>
      <c r="CF68" s="40"/>
      <c r="CG68" s="40"/>
      <c r="CH68" s="40"/>
    </row>
    <row r="69" spans="1:86" ht="17.5">
      <c r="A69" s="40"/>
      <c r="B69" s="260" t="str">
        <f ca="1">IFERROR(__xludf.DUMMYFUNCTION("""COMPUTED_VALUE"""),"P61")</f>
        <v>P61</v>
      </c>
      <c r="C69" s="273" t="str">
        <f ca="1">IFERROR(__xludf.DUMMYFUNCTION("""COMPUTED_VALUE"""),"どらやき神社")</f>
        <v>どらやき神社</v>
      </c>
      <c r="D69" s="273">
        <f ca="1">IFERROR(__xludf.DUMMYFUNCTION("""COMPUTED_VALUE"""),35.435771)</f>
        <v>35.435771000000003</v>
      </c>
      <c r="E69" s="273">
        <f ca="1">IFERROR(__xludf.DUMMYFUNCTION("""COMPUTED_VALUE"""),133.323536)</f>
        <v>133.32353599999999</v>
      </c>
      <c r="F69" s="40"/>
      <c r="G69" s="261"/>
      <c r="H69" s="262" t="s">
        <v>672</v>
      </c>
      <c r="I69" s="200" t="str">
        <f ca="1">IFERROR(__xludf.DUMMYFUNCTION("""COMPUTED_VALUE"""),"Agent03")</f>
        <v>Agent03</v>
      </c>
      <c r="J69" s="200" t="str">
        <f ca="1">IFERROR(__xludf.DUMMYFUNCTION("""COMPUTED_VALUE"""),"P65")</f>
        <v>P65</v>
      </c>
      <c r="K69" s="200" t="str">
        <f ca="1">IFERROR(__xludf.DUMMYFUNCTION("""COMPUTED_VALUE"""),"P50")</f>
        <v>P50</v>
      </c>
      <c r="L69" s="242" t="s">
        <v>681</v>
      </c>
      <c r="M69" s="263" t="str">
        <f t="shared" ca="1" si="0"/>
        <v xml:space="preserve">DarkSlateBlue </v>
      </c>
      <c r="N69" s="264" t="str">
        <f ca="1">IFERROR(__xludf.DUMMYFUNCTION("FILTER(C:E,B:B=J69)"),"錦町２丁目１区自治会掲示板")</f>
        <v>錦町２丁目１区自治会掲示板</v>
      </c>
      <c r="O69" s="265">
        <f ca="1">IFERROR(__xludf.DUMMYFUNCTION("""COMPUTED_VALUE"""),35.436628)</f>
        <v>35.436627999999999</v>
      </c>
      <c r="P69" s="265">
        <f ca="1">IFERROR(__xludf.DUMMYFUNCTION("""COMPUTED_VALUE"""),133.332884)</f>
        <v>133.33288400000001</v>
      </c>
      <c r="Q69" s="264" t="str">
        <f ca="1">IFERROR(__xludf.DUMMYFUNCTION("FILTER(C:E,B:B=K69)"),"福厳院六地蔵")</f>
        <v>福厳院六地蔵</v>
      </c>
      <c r="R69" s="265">
        <f ca="1">IFERROR(__xludf.DUMMYFUNCTION("""COMPUTED_VALUE"""),35.434084)</f>
        <v>35.434083999999999</v>
      </c>
      <c r="S69" s="265">
        <f ca="1">IFERROR(__xludf.DUMMYFUNCTION("""COMPUTED_VALUE"""),133.329349)</f>
        <v>133.32934900000001</v>
      </c>
      <c r="T69" s="264" t="str">
        <f ca="1">IFERROR(__xludf.DUMMYFUNCTION("FILTER(C:E,B:B=L69)")," ")</f>
        <v xml:space="preserve"> </v>
      </c>
      <c r="U69" s="40" t="str">
        <f ca="1">IFERROR(__xludf.DUMMYFUNCTION("""COMPUTED_VALUE""")," ")</f>
        <v xml:space="preserve"> </v>
      </c>
      <c r="V69" s="40" t="str">
        <f ca="1">IFERROR(__xludf.DUMMYFUNCTION("""COMPUTED_VALUE""")," ")</f>
        <v xml:space="preserve"> </v>
      </c>
      <c r="W69" s="40" t="str">
        <f t="shared" ca="1" si="21"/>
        <v>,</v>
      </c>
      <c r="X69" s="40" t="s">
        <v>682</v>
      </c>
      <c r="Y69" s="40" t="s">
        <v>683</v>
      </c>
      <c r="Z69" s="264">
        <f t="shared" ca="1" si="1"/>
        <v>35.436627999999999</v>
      </c>
      <c r="AA69" s="40" t="s">
        <v>684</v>
      </c>
      <c r="AB69" s="264">
        <f t="shared" ca="1" si="2"/>
        <v>133.33288400000001</v>
      </c>
      <c r="AC69" s="40" t="s">
        <v>685</v>
      </c>
      <c r="AD69" s="264">
        <f t="shared" ca="1" si="3"/>
        <v>35.434083999999999</v>
      </c>
      <c r="AE69" s="40" t="s">
        <v>684</v>
      </c>
      <c r="AF69" s="264">
        <f t="shared" ca="1" si="4"/>
        <v>133.32934900000001</v>
      </c>
      <c r="AG69" s="40" t="s">
        <v>686</v>
      </c>
      <c r="AH69" s="264" t="str">
        <f t="shared" ca="1" si="5"/>
        <v xml:space="preserve"> </v>
      </c>
      <c r="AI69" s="40" t="s">
        <v>684</v>
      </c>
      <c r="AJ69" s="264" t="str">
        <f t="shared" ca="1" si="6"/>
        <v xml:space="preserve"> </v>
      </c>
      <c r="AK69" s="40" t="s">
        <v>687</v>
      </c>
      <c r="AL69" s="264" t="str">
        <f t="shared" ca="1" si="7"/>
        <v xml:space="preserve">DarkSlateBlue </v>
      </c>
      <c r="AM69" s="40" t="s">
        <v>688</v>
      </c>
      <c r="AN69" s="40" t="str">
        <f t="shared" ca="1" si="8"/>
        <v>,{"type":"polygon","latLngs":[ {"lat":35.436628,"lng":133.332884}, {"lat":35.434084,"lng":133.329349},{"lat": ,"lng": }], "color":"DarkSlateBlue "}</v>
      </c>
      <c r="AO69" s="266" t="s">
        <v>689</v>
      </c>
      <c r="AP69" s="56">
        <f t="shared" ca="1" si="9"/>
        <v>35.436627999999999</v>
      </c>
      <c r="AQ69" s="40" t="s">
        <v>684</v>
      </c>
      <c r="AR69" s="56">
        <f t="shared" ca="1" si="10"/>
        <v>133.33288400000001</v>
      </c>
      <c r="AS69" s="40" t="s">
        <v>686</v>
      </c>
      <c r="AT69" s="56">
        <f t="shared" ca="1" si="11"/>
        <v>35.434083999999999</v>
      </c>
      <c r="AU69" s="40" t="s">
        <v>684</v>
      </c>
      <c r="AV69" s="56">
        <f t="shared" ca="1" si="12"/>
        <v>133.32934900000001</v>
      </c>
      <c r="AW69" s="40" t="s">
        <v>690</v>
      </c>
      <c r="AX69" s="40" t="str">
        <f t="shared" ca="1" si="13"/>
        <v xml:space="preserve">DarkSlateBlue </v>
      </c>
      <c r="AY69" s="40" t="s">
        <v>688</v>
      </c>
      <c r="AZ69" s="40" t="str">
        <f t="shared" ca="1" si="14"/>
        <v>,{"type":"polyline","latLngs":[{"lat":35.436628,"lng":133.332884},{"lat":35.434084,"lng":133.329349}],"color":"DarkSlateBlue "}</v>
      </c>
      <c r="BA69" s="40" t="s">
        <v>691</v>
      </c>
      <c r="BB69" s="56">
        <f t="shared" ca="1" si="15"/>
        <v>35.436627999999999</v>
      </c>
      <c r="BC69" s="40" t="s">
        <v>684</v>
      </c>
      <c r="BD69" s="56">
        <f t="shared" ca="1" si="16"/>
        <v>133.33288400000001</v>
      </c>
      <c r="BE69" s="40" t="s">
        <v>692</v>
      </c>
      <c r="BF69" s="40" t="str">
        <f t="shared" ca="1" si="17"/>
        <v xml:space="preserve">DarkSlateBlue </v>
      </c>
      <c r="BG69" s="40" t="s">
        <v>688</v>
      </c>
      <c r="BH69" s="40" t="str">
        <f t="shared" ca="1" si="18"/>
        <v>,{"type":"marker","latLng":{"lat":35.436628,"lng":133.332884},"color":"DarkSlateBlue "}</v>
      </c>
      <c r="BI69" s="40" t="s">
        <v>693</v>
      </c>
      <c r="BJ69" s="40" t="s">
        <v>694</v>
      </c>
      <c r="BK69" s="267" t="str">
        <f t="shared" ca="1" si="19"/>
        <v>,{"type":"polyline","latLngs":[{"lat":35.436628,"lng":133.332884},{"lat":35.434084,"lng":133.329349}],"color":"DarkSlateBlue "}</v>
      </c>
      <c r="BL69" s="40"/>
      <c r="BM69" s="275"/>
      <c r="BN69" s="40"/>
      <c r="BO69" s="40"/>
      <c r="BP69" s="40"/>
      <c r="BQ69" s="40"/>
      <c r="BR69" s="40"/>
      <c r="BS69" s="40"/>
      <c r="BT69" s="40"/>
      <c r="BU69" s="40"/>
      <c r="BV69" s="40"/>
      <c r="BW69" s="40"/>
      <c r="BX69" s="40"/>
      <c r="BY69" s="40"/>
      <c r="BZ69" s="40"/>
      <c r="CA69" s="40"/>
      <c r="CB69" s="40"/>
      <c r="CC69" s="40"/>
      <c r="CD69" s="40"/>
      <c r="CE69" s="40"/>
      <c r="CF69" s="40"/>
      <c r="CG69" s="40"/>
      <c r="CH69" s="40"/>
    </row>
    <row r="70" spans="1:86" ht="17.5">
      <c r="A70" s="40"/>
      <c r="B70" s="260" t="str">
        <f ca="1">IFERROR(__xludf.DUMMYFUNCTION("""COMPUTED_VALUE"""),"P62")</f>
        <v>P62</v>
      </c>
      <c r="C70" s="273" t="str">
        <f ca="1">IFERROR(__xludf.DUMMYFUNCTION("""COMPUTED_VALUE"""),"米子市役所博労町庁舎")</f>
        <v>米子市役所博労町庁舎</v>
      </c>
      <c r="D70" s="273">
        <f ca="1">IFERROR(__xludf.DUMMYFUNCTION("""COMPUTED_VALUE"""),35.435943)</f>
        <v>35.435943000000002</v>
      </c>
      <c r="E70" s="273">
        <f ca="1">IFERROR(__xludf.DUMMYFUNCTION("""COMPUTED_VALUE"""),133.34314)</f>
        <v>133.34314000000001</v>
      </c>
      <c r="F70" s="40"/>
      <c r="G70" s="261"/>
      <c r="H70" s="262" t="s">
        <v>672</v>
      </c>
      <c r="I70" s="200" t="str">
        <f ca="1">IFERROR(__xludf.DUMMYFUNCTION("""COMPUTED_VALUE"""),"Agent03")</f>
        <v>Agent03</v>
      </c>
      <c r="J70" s="200" t="str">
        <f ca="1">IFERROR(__xludf.DUMMYFUNCTION("""COMPUTED_VALUE"""),"P65")</f>
        <v>P65</v>
      </c>
      <c r="K70" s="200" t="str">
        <f ca="1">IFERROR(__xludf.DUMMYFUNCTION("""COMPUTED_VALUE"""),"P47")</f>
        <v>P47</v>
      </c>
      <c r="L70" s="242" t="s">
        <v>681</v>
      </c>
      <c r="M70" s="263" t="str">
        <f t="shared" ca="1" si="0"/>
        <v xml:space="preserve">DarkSlateBlue </v>
      </c>
      <c r="N70" s="264" t="str">
        <f ca="1">IFERROR(__xludf.DUMMYFUNCTION("FILTER(C:E,B:B=J70)"),"錦町２丁目１区自治会掲示板")</f>
        <v>錦町２丁目１区自治会掲示板</v>
      </c>
      <c r="O70" s="265">
        <f ca="1">IFERROR(__xludf.DUMMYFUNCTION("""COMPUTED_VALUE"""),35.436628)</f>
        <v>35.436627999999999</v>
      </c>
      <c r="P70" s="265">
        <f ca="1">IFERROR(__xludf.DUMMYFUNCTION("""COMPUTED_VALUE"""),133.332884)</f>
        <v>133.33288400000001</v>
      </c>
      <c r="Q70" s="264" t="str">
        <f ca="1">IFERROR(__xludf.DUMMYFUNCTION("FILTER(C:E,B:B=K70)"),"与太郎地蔵")</f>
        <v>与太郎地蔵</v>
      </c>
      <c r="R70" s="265">
        <f ca="1">IFERROR(__xludf.DUMMYFUNCTION("""COMPUTED_VALUE"""),35.433555)</f>
        <v>35.433554999999998</v>
      </c>
      <c r="S70" s="265">
        <f ca="1">IFERROR(__xludf.DUMMYFUNCTION("""COMPUTED_VALUE"""),133.327631)</f>
        <v>133.327631</v>
      </c>
      <c r="T70" s="264" t="str">
        <f ca="1">IFERROR(__xludf.DUMMYFUNCTION("FILTER(C:E,B:B=L70)")," ")</f>
        <v xml:space="preserve"> </v>
      </c>
      <c r="U70" s="40" t="str">
        <f ca="1">IFERROR(__xludf.DUMMYFUNCTION("""COMPUTED_VALUE""")," ")</f>
        <v xml:space="preserve"> </v>
      </c>
      <c r="V70" s="40" t="str">
        <f ca="1">IFERROR(__xludf.DUMMYFUNCTION("""COMPUTED_VALUE""")," ")</f>
        <v xml:space="preserve"> </v>
      </c>
      <c r="W70" s="40" t="str">
        <f t="shared" ca="1" si="21"/>
        <v>,</v>
      </c>
      <c r="X70" s="40" t="s">
        <v>682</v>
      </c>
      <c r="Y70" s="40" t="s">
        <v>683</v>
      </c>
      <c r="Z70" s="264">
        <f t="shared" ca="1" si="1"/>
        <v>35.436627999999999</v>
      </c>
      <c r="AA70" s="40" t="s">
        <v>684</v>
      </c>
      <c r="AB70" s="264">
        <f t="shared" ca="1" si="2"/>
        <v>133.33288400000001</v>
      </c>
      <c r="AC70" s="40" t="s">
        <v>685</v>
      </c>
      <c r="AD70" s="264">
        <f t="shared" ca="1" si="3"/>
        <v>35.433554999999998</v>
      </c>
      <c r="AE70" s="40" t="s">
        <v>684</v>
      </c>
      <c r="AF70" s="264">
        <f t="shared" ca="1" si="4"/>
        <v>133.327631</v>
      </c>
      <c r="AG70" s="40" t="s">
        <v>686</v>
      </c>
      <c r="AH70" s="264" t="str">
        <f t="shared" ca="1" si="5"/>
        <v xml:space="preserve"> </v>
      </c>
      <c r="AI70" s="40" t="s">
        <v>684</v>
      </c>
      <c r="AJ70" s="264" t="str">
        <f t="shared" ca="1" si="6"/>
        <v xml:space="preserve"> </v>
      </c>
      <c r="AK70" s="40" t="s">
        <v>687</v>
      </c>
      <c r="AL70" s="264" t="str">
        <f t="shared" ca="1" si="7"/>
        <v xml:space="preserve">DarkSlateBlue </v>
      </c>
      <c r="AM70" s="40" t="s">
        <v>688</v>
      </c>
      <c r="AN70" s="40" t="str">
        <f t="shared" ca="1" si="8"/>
        <v>,{"type":"polygon","latLngs":[ {"lat":35.436628,"lng":133.332884}, {"lat":35.433555,"lng":133.327631},{"lat": ,"lng": }], "color":"DarkSlateBlue "}</v>
      </c>
      <c r="AO70" s="266" t="s">
        <v>689</v>
      </c>
      <c r="AP70" s="56">
        <f t="shared" ca="1" si="9"/>
        <v>35.436627999999999</v>
      </c>
      <c r="AQ70" s="40" t="s">
        <v>684</v>
      </c>
      <c r="AR70" s="56">
        <f t="shared" ca="1" si="10"/>
        <v>133.33288400000001</v>
      </c>
      <c r="AS70" s="40" t="s">
        <v>686</v>
      </c>
      <c r="AT70" s="56">
        <f t="shared" ca="1" si="11"/>
        <v>35.433554999999998</v>
      </c>
      <c r="AU70" s="40" t="s">
        <v>684</v>
      </c>
      <c r="AV70" s="56">
        <f t="shared" ca="1" si="12"/>
        <v>133.327631</v>
      </c>
      <c r="AW70" s="40" t="s">
        <v>690</v>
      </c>
      <c r="AX70" s="40" t="str">
        <f t="shared" ca="1" si="13"/>
        <v xml:space="preserve">DarkSlateBlue </v>
      </c>
      <c r="AY70" s="40" t="s">
        <v>688</v>
      </c>
      <c r="AZ70" s="40" t="str">
        <f t="shared" ca="1" si="14"/>
        <v>,{"type":"polyline","latLngs":[{"lat":35.436628,"lng":133.332884},{"lat":35.433555,"lng":133.327631}],"color":"DarkSlateBlue "}</v>
      </c>
      <c r="BA70" s="40" t="s">
        <v>691</v>
      </c>
      <c r="BB70" s="56">
        <f t="shared" ca="1" si="15"/>
        <v>35.436627999999999</v>
      </c>
      <c r="BC70" s="40" t="s">
        <v>684</v>
      </c>
      <c r="BD70" s="56">
        <f t="shared" ca="1" si="16"/>
        <v>133.33288400000001</v>
      </c>
      <c r="BE70" s="40" t="s">
        <v>692</v>
      </c>
      <c r="BF70" s="40" t="str">
        <f t="shared" ca="1" si="17"/>
        <v xml:space="preserve">DarkSlateBlue </v>
      </c>
      <c r="BG70" s="40" t="s">
        <v>688</v>
      </c>
      <c r="BH70" s="40" t="str">
        <f t="shared" ca="1" si="18"/>
        <v>,{"type":"marker","latLng":{"lat":35.436628,"lng":133.332884},"color":"DarkSlateBlue "}</v>
      </c>
      <c r="BI70" s="40" t="s">
        <v>693</v>
      </c>
      <c r="BJ70" s="40" t="s">
        <v>694</v>
      </c>
      <c r="BK70" s="267" t="str">
        <f t="shared" ca="1" si="19"/>
        <v>,{"type":"polyline","latLngs":[{"lat":35.436628,"lng":133.332884},{"lat":35.433555,"lng":133.327631}],"color":"DarkSlateBlue "}</v>
      </c>
      <c r="BL70" s="40"/>
      <c r="BM70" s="275"/>
      <c r="BN70" s="40"/>
      <c r="BO70" s="40"/>
      <c r="BP70" s="40"/>
      <c r="BQ70" s="40"/>
      <c r="BR70" s="40"/>
      <c r="BS70" s="40"/>
      <c r="BT70" s="40"/>
      <c r="BU70" s="40"/>
      <c r="BV70" s="40"/>
      <c r="BW70" s="40"/>
      <c r="BX70" s="40"/>
      <c r="BY70" s="40"/>
      <c r="BZ70" s="40"/>
      <c r="CA70" s="40"/>
      <c r="CB70" s="40"/>
      <c r="CC70" s="40"/>
      <c r="CD70" s="40"/>
      <c r="CE70" s="40"/>
      <c r="CF70" s="40"/>
      <c r="CG70" s="40"/>
      <c r="CH70" s="40"/>
    </row>
    <row r="71" spans="1:86" ht="17.5">
      <c r="A71" s="40"/>
      <c r="B71" s="260" t="str">
        <f ca="1">IFERROR(__xludf.DUMMYFUNCTION("""COMPUTED_VALUE"""),"P63")</f>
        <v>P63</v>
      </c>
      <c r="C71" s="273" t="str">
        <f ca="1">IFERROR(__xludf.DUMMYFUNCTION("""COMPUTED_VALUE"""),"Rochelle Antique")</f>
        <v>Rochelle Antique</v>
      </c>
      <c r="D71" s="273">
        <f ca="1">IFERROR(__xludf.DUMMYFUNCTION("""COMPUTED_VALUE"""),35.436062)</f>
        <v>35.436062</v>
      </c>
      <c r="E71" s="273">
        <f ca="1">IFERROR(__xludf.DUMMYFUNCTION("""COMPUTED_VALUE"""),133.324187)</f>
        <v>133.32418699999999</v>
      </c>
      <c r="F71" s="40"/>
      <c r="G71" s="261"/>
      <c r="H71" s="262" t="s">
        <v>672</v>
      </c>
      <c r="I71" s="271" t="str">
        <f ca="1">IFERROR(__xludf.DUMMYFUNCTION("""COMPUTED_VALUE"""),"Agent03")</f>
        <v>Agent03</v>
      </c>
      <c r="J71" s="271" t="str">
        <f ca="1">IFERROR(__xludf.DUMMYFUNCTION("""COMPUTED_VALUE"""),"P65")</f>
        <v>P65</v>
      </c>
      <c r="K71" s="271" t="str">
        <f ca="1">IFERROR(__xludf.DUMMYFUNCTION("""COMPUTED_VALUE"""),"P53")</f>
        <v>P53</v>
      </c>
      <c r="L71" s="242" t="s">
        <v>681</v>
      </c>
      <c r="M71" s="263" t="str">
        <f t="shared" ca="1" si="0"/>
        <v xml:space="preserve">DarkSlateBlue </v>
      </c>
      <c r="N71" s="264" t="str">
        <f ca="1">IFERROR(__xludf.DUMMYFUNCTION("FILTER(C:E,B:B=J71)"),"錦町２丁目１区自治会掲示板")</f>
        <v>錦町２丁目１区自治会掲示板</v>
      </c>
      <c r="O71" s="265">
        <f ca="1">IFERROR(__xludf.DUMMYFUNCTION("""COMPUTED_VALUE"""),35.436628)</f>
        <v>35.436627999999999</v>
      </c>
      <c r="P71" s="265">
        <f ca="1">IFERROR(__xludf.DUMMYFUNCTION("""COMPUTED_VALUE"""),133.332884)</f>
        <v>133.33288400000001</v>
      </c>
      <c r="Q71" s="264" t="str">
        <f ca="1">IFERROR(__xludf.DUMMYFUNCTION("FILTER(C:E,B:B=K71)"),"法蔵寺地蔵尊(みそなめ地蔵)")</f>
        <v>法蔵寺地蔵尊(みそなめ地蔵)</v>
      </c>
      <c r="R71" s="265">
        <f ca="1">IFERROR(__xludf.DUMMYFUNCTION("""COMPUTED_VALUE"""),35.434592)</f>
        <v>35.434592000000002</v>
      </c>
      <c r="S71" s="265">
        <f ca="1">IFERROR(__xludf.DUMMYFUNCTION("""COMPUTED_VALUE"""),133.326238)</f>
        <v>133.32623799999999</v>
      </c>
      <c r="T71" s="264" t="str">
        <f ca="1">IFERROR(__xludf.DUMMYFUNCTION("FILTER(C:E,B:B=L71)")," ")</f>
        <v xml:space="preserve"> </v>
      </c>
      <c r="U71" s="40" t="str">
        <f ca="1">IFERROR(__xludf.DUMMYFUNCTION("""COMPUTED_VALUE""")," ")</f>
        <v xml:space="preserve"> </v>
      </c>
      <c r="V71" s="40" t="str">
        <f ca="1">IFERROR(__xludf.DUMMYFUNCTION("""COMPUTED_VALUE""")," ")</f>
        <v xml:space="preserve"> </v>
      </c>
      <c r="W71" s="40" t="str">
        <f t="shared" ca="1" si="21"/>
        <v>,</v>
      </c>
      <c r="X71" s="40" t="s">
        <v>682</v>
      </c>
      <c r="Y71" s="40" t="s">
        <v>683</v>
      </c>
      <c r="Z71" s="264">
        <f t="shared" ca="1" si="1"/>
        <v>35.436627999999999</v>
      </c>
      <c r="AA71" s="40" t="s">
        <v>684</v>
      </c>
      <c r="AB71" s="264">
        <f t="shared" ca="1" si="2"/>
        <v>133.33288400000001</v>
      </c>
      <c r="AC71" s="40" t="s">
        <v>685</v>
      </c>
      <c r="AD71" s="264">
        <f t="shared" ca="1" si="3"/>
        <v>35.434592000000002</v>
      </c>
      <c r="AE71" s="40" t="s">
        <v>684</v>
      </c>
      <c r="AF71" s="264">
        <f t="shared" ca="1" si="4"/>
        <v>133.32623799999999</v>
      </c>
      <c r="AG71" s="40" t="s">
        <v>686</v>
      </c>
      <c r="AH71" s="264" t="str">
        <f t="shared" ca="1" si="5"/>
        <v xml:space="preserve"> </v>
      </c>
      <c r="AI71" s="40" t="s">
        <v>684</v>
      </c>
      <c r="AJ71" s="264" t="str">
        <f t="shared" ca="1" si="6"/>
        <v xml:space="preserve"> </v>
      </c>
      <c r="AK71" s="40" t="s">
        <v>687</v>
      </c>
      <c r="AL71" s="264" t="str">
        <f t="shared" ca="1" si="7"/>
        <v xml:space="preserve">DarkSlateBlue </v>
      </c>
      <c r="AM71" s="40" t="s">
        <v>688</v>
      </c>
      <c r="AN71" s="40" t="str">
        <f t="shared" ca="1" si="8"/>
        <v>,{"type":"polygon","latLngs":[ {"lat":35.436628,"lng":133.332884}, {"lat":35.434592,"lng":133.326238},{"lat": ,"lng": }], "color":"DarkSlateBlue "}</v>
      </c>
      <c r="AO71" s="266" t="s">
        <v>689</v>
      </c>
      <c r="AP71" s="56">
        <f t="shared" ca="1" si="9"/>
        <v>35.436627999999999</v>
      </c>
      <c r="AQ71" s="40" t="s">
        <v>684</v>
      </c>
      <c r="AR71" s="56">
        <f t="shared" ca="1" si="10"/>
        <v>133.33288400000001</v>
      </c>
      <c r="AS71" s="40" t="s">
        <v>686</v>
      </c>
      <c r="AT71" s="56">
        <f t="shared" ca="1" si="11"/>
        <v>35.434592000000002</v>
      </c>
      <c r="AU71" s="40" t="s">
        <v>684</v>
      </c>
      <c r="AV71" s="56">
        <f t="shared" ca="1" si="12"/>
        <v>133.32623799999999</v>
      </c>
      <c r="AW71" s="40" t="s">
        <v>690</v>
      </c>
      <c r="AX71" s="40" t="str">
        <f t="shared" ca="1" si="13"/>
        <v xml:space="preserve">DarkSlateBlue </v>
      </c>
      <c r="AY71" s="40" t="s">
        <v>688</v>
      </c>
      <c r="AZ71" s="40" t="str">
        <f t="shared" ca="1" si="14"/>
        <v>,{"type":"polyline","latLngs":[{"lat":35.436628,"lng":133.332884},{"lat":35.434592,"lng":133.326238}],"color":"DarkSlateBlue "}</v>
      </c>
      <c r="BA71" s="40" t="s">
        <v>691</v>
      </c>
      <c r="BB71" s="56">
        <f t="shared" ca="1" si="15"/>
        <v>35.436627999999999</v>
      </c>
      <c r="BC71" s="40" t="s">
        <v>684</v>
      </c>
      <c r="BD71" s="56">
        <f t="shared" ca="1" si="16"/>
        <v>133.33288400000001</v>
      </c>
      <c r="BE71" s="40" t="s">
        <v>692</v>
      </c>
      <c r="BF71" s="40" t="str">
        <f t="shared" ca="1" si="17"/>
        <v xml:space="preserve">DarkSlateBlue </v>
      </c>
      <c r="BG71" s="40" t="s">
        <v>688</v>
      </c>
      <c r="BH71" s="40" t="str">
        <f t="shared" ca="1" si="18"/>
        <v>,{"type":"marker","latLng":{"lat":35.436628,"lng":133.332884},"color":"DarkSlateBlue "}</v>
      </c>
      <c r="BI71" s="40" t="s">
        <v>693</v>
      </c>
      <c r="BJ71" s="40" t="s">
        <v>694</v>
      </c>
      <c r="BK71" s="267" t="str">
        <f t="shared" ca="1" si="19"/>
        <v>,{"type":"polyline","latLngs":[{"lat":35.436628,"lng":133.332884},{"lat":35.434592,"lng":133.326238}],"color":"DarkSlateBlue "}</v>
      </c>
      <c r="BL71" s="40"/>
      <c r="BM71" s="40"/>
      <c r="BN71" s="40"/>
      <c r="BO71" s="40"/>
      <c r="BP71" s="40"/>
      <c r="BQ71" s="40"/>
      <c r="BR71" s="40"/>
      <c r="BS71" s="40"/>
      <c r="BT71" s="40"/>
      <c r="BU71" s="40"/>
      <c r="BV71" s="40"/>
      <c r="BW71" s="40"/>
      <c r="BX71" s="40"/>
      <c r="BY71" s="40"/>
      <c r="BZ71" s="40"/>
      <c r="CA71" s="40"/>
      <c r="CB71" s="40"/>
      <c r="CC71" s="40"/>
      <c r="CD71" s="40"/>
      <c r="CE71" s="40"/>
      <c r="CF71" s="40"/>
      <c r="CG71" s="40"/>
      <c r="CH71" s="40"/>
    </row>
    <row r="72" spans="1:86" ht="17.5">
      <c r="A72" s="40"/>
      <c r="B72" s="260" t="str">
        <f ca="1">IFERROR(__xludf.DUMMYFUNCTION("""COMPUTED_VALUE"""),"P64")</f>
        <v>P64</v>
      </c>
      <c r="C72" s="273" t="str">
        <f ca="1">IFERROR(__xludf.DUMMYFUNCTION("""COMPUTED_VALUE"""),"日ノ出公園")</f>
        <v>日ノ出公園</v>
      </c>
      <c r="D72" s="273">
        <f ca="1">IFERROR(__xludf.DUMMYFUNCTION("""COMPUTED_VALUE"""),35.436211)</f>
        <v>35.436211</v>
      </c>
      <c r="E72" s="273">
        <f ca="1">IFERROR(__xludf.DUMMYFUNCTION("""COMPUTED_VALUE"""),133.33606)</f>
        <v>133.33606</v>
      </c>
      <c r="F72" s="40"/>
      <c r="G72" s="261"/>
      <c r="H72" s="262" t="s">
        <v>672</v>
      </c>
      <c r="I72" s="271" t="str">
        <f ca="1">IFERROR(__xludf.DUMMYFUNCTION("""COMPUTED_VALUE"""),"Agent03")</f>
        <v>Agent03</v>
      </c>
      <c r="J72" s="271" t="str">
        <f ca="1">IFERROR(__xludf.DUMMYFUNCTION("""COMPUTED_VALUE"""),"P65")</f>
        <v>P65</v>
      </c>
      <c r="K72" s="271" t="str">
        <f ca="1">IFERROR(__xludf.DUMMYFUNCTION("""COMPUTED_VALUE"""),"P78")</f>
        <v>P78</v>
      </c>
      <c r="L72" s="242" t="s">
        <v>681</v>
      </c>
      <c r="M72" s="263" t="str">
        <f t="shared" ca="1" si="0"/>
        <v xml:space="preserve">DarkSlateBlue </v>
      </c>
      <c r="N72" s="264" t="str">
        <f ca="1">IFERROR(__xludf.DUMMYFUNCTION("FILTER(C:E,B:B=J72)"),"錦町２丁目１区自治会掲示板")</f>
        <v>錦町２丁目１区自治会掲示板</v>
      </c>
      <c r="O72" s="265">
        <f ca="1">IFERROR(__xludf.DUMMYFUNCTION("""COMPUTED_VALUE"""),35.436628)</f>
        <v>35.436627999999999</v>
      </c>
      <c r="P72" s="265">
        <f ca="1">IFERROR(__xludf.DUMMYFUNCTION("""COMPUTED_VALUE"""),133.332884)</f>
        <v>133.33288400000001</v>
      </c>
      <c r="Q72" s="264" t="str">
        <f ca="1">IFERROR(__xludf.DUMMYFUNCTION("FILTER(C:E,B:B=K72)"),"米子市中心市街地地図")</f>
        <v>米子市中心市街地地図</v>
      </c>
      <c r="R72" s="265">
        <f ca="1">IFERROR(__xludf.DUMMYFUNCTION("""COMPUTED_VALUE"""),35.439288)</f>
        <v>35.439287999999998</v>
      </c>
      <c r="S72" s="265">
        <f ca="1">IFERROR(__xludf.DUMMYFUNCTION("""COMPUTED_VALUE"""),133.331418)</f>
        <v>133.33141800000001</v>
      </c>
      <c r="T72" s="264" t="str">
        <f ca="1">IFERROR(__xludf.DUMMYFUNCTION("FILTER(C:E,B:B=L72)")," ")</f>
        <v xml:space="preserve"> </v>
      </c>
      <c r="U72" s="40" t="str">
        <f ca="1">IFERROR(__xludf.DUMMYFUNCTION("""COMPUTED_VALUE""")," ")</f>
        <v xml:space="preserve"> </v>
      </c>
      <c r="V72" s="40" t="str">
        <f ca="1">IFERROR(__xludf.DUMMYFUNCTION("""COMPUTED_VALUE""")," ")</f>
        <v xml:space="preserve"> </v>
      </c>
      <c r="W72" s="40" t="str">
        <f t="shared" ca="1" si="21"/>
        <v>,</v>
      </c>
      <c r="X72" s="40" t="s">
        <v>682</v>
      </c>
      <c r="Y72" s="40" t="s">
        <v>683</v>
      </c>
      <c r="Z72" s="264">
        <f t="shared" ca="1" si="1"/>
        <v>35.436627999999999</v>
      </c>
      <c r="AA72" s="40" t="s">
        <v>684</v>
      </c>
      <c r="AB72" s="264">
        <f t="shared" ca="1" si="2"/>
        <v>133.33288400000001</v>
      </c>
      <c r="AC72" s="40" t="s">
        <v>685</v>
      </c>
      <c r="AD72" s="264">
        <f t="shared" ca="1" si="3"/>
        <v>35.439287999999998</v>
      </c>
      <c r="AE72" s="40" t="s">
        <v>684</v>
      </c>
      <c r="AF72" s="264">
        <f t="shared" ca="1" si="4"/>
        <v>133.33141800000001</v>
      </c>
      <c r="AG72" s="40" t="s">
        <v>686</v>
      </c>
      <c r="AH72" s="264" t="str">
        <f t="shared" ca="1" si="5"/>
        <v xml:space="preserve"> </v>
      </c>
      <c r="AI72" s="40" t="s">
        <v>684</v>
      </c>
      <c r="AJ72" s="264" t="str">
        <f t="shared" ca="1" si="6"/>
        <v xml:space="preserve"> </v>
      </c>
      <c r="AK72" s="40" t="s">
        <v>687</v>
      </c>
      <c r="AL72" s="264" t="str">
        <f t="shared" ca="1" si="7"/>
        <v xml:space="preserve">DarkSlateBlue </v>
      </c>
      <c r="AM72" s="40" t="s">
        <v>688</v>
      </c>
      <c r="AN72" s="40" t="str">
        <f t="shared" ca="1" si="8"/>
        <v>,{"type":"polygon","latLngs":[ {"lat":35.436628,"lng":133.332884}, {"lat":35.439288,"lng":133.331418},{"lat": ,"lng": }], "color":"DarkSlateBlue "}</v>
      </c>
      <c r="AO72" s="266" t="s">
        <v>689</v>
      </c>
      <c r="AP72" s="56">
        <f t="shared" ca="1" si="9"/>
        <v>35.436627999999999</v>
      </c>
      <c r="AQ72" s="40" t="s">
        <v>684</v>
      </c>
      <c r="AR72" s="56">
        <f t="shared" ca="1" si="10"/>
        <v>133.33288400000001</v>
      </c>
      <c r="AS72" s="40" t="s">
        <v>686</v>
      </c>
      <c r="AT72" s="56">
        <f t="shared" ca="1" si="11"/>
        <v>35.439287999999998</v>
      </c>
      <c r="AU72" s="40" t="s">
        <v>684</v>
      </c>
      <c r="AV72" s="56">
        <f t="shared" ca="1" si="12"/>
        <v>133.33141800000001</v>
      </c>
      <c r="AW72" s="40" t="s">
        <v>690</v>
      </c>
      <c r="AX72" s="40" t="str">
        <f t="shared" ca="1" si="13"/>
        <v xml:space="preserve">DarkSlateBlue </v>
      </c>
      <c r="AY72" s="40" t="s">
        <v>688</v>
      </c>
      <c r="AZ72" s="40" t="str">
        <f t="shared" ca="1" si="14"/>
        <v>,{"type":"polyline","latLngs":[{"lat":35.436628,"lng":133.332884},{"lat":35.439288,"lng":133.331418}],"color":"DarkSlateBlue "}</v>
      </c>
      <c r="BA72" s="40" t="s">
        <v>691</v>
      </c>
      <c r="BB72" s="56">
        <f t="shared" ca="1" si="15"/>
        <v>35.436627999999999</v>
      </c>
      <c r="BC72" s="40" t="s">
        <v>684</v>
      </c>
      <c r="BD72" s="56">
        <f t="shared" ca="1" si="16"/>
        <v>133.33288400000001</v>
      </c>
      <c r="BE72" s="40" t="s">
        <v>692</v>
      </c>
      <c r="BF72" s="40" t="str">
        <f t="shared" ca="1" si="17"/>
        <v xml:space="preserve">DarkSlateBlue </v>
      </c>
      <c r="BG72" s="40" t="s">
        <v>688</v>
      </c>
      <c r="BH72" s="40" t="str">
        <f t="shared" ca="1" si="18"/>
        <v>,{"type":"marker","latLng":{"lat":35.436628,"lng":133.332884},"color":"DarkSlateBlue "}</v>
      </c>
      <c r="BI72" s="40" t="s">
        <v>693</v>
      </c>
      <c r="BJ72" s="40" t="s">
        <v>694</v>
      </c>
      <c r="BK72" s="267" t="str">
        <f t="shared" ca="1" si="19"/>
        <v>,{"type":"polyline","latLngs":[{"lat":35.436628,"lng":133.332884},{"lat":35.439288,"lng":133.331418}],"color":"DarkSlateBlue "}</v>
      </c>
      <c r="BL72" s="40"/>
      <c r="BM72" s="40"/>
      <c r="BN72" s="40"/>
      <c r="BO72" s="40"/>
      <c r="BP72" s="40"/>
      <c r="BQ72" s="40"/>
      <c r="BR72" s="40"/>
      <c r="BS72" s="40"/>
      <c r="BT72" s="40"/>
      <c r="BU72" s="40"/>
      <c r="BV72" s="40"/>
      <c r="BW72" s="40"/>
      <c r="BX72" s="40"/>
      <c r="BY72" s="40"/>
      <c r="BZ72" s="40"/>
      <c r="CA72" s="40"/>
      <c r="CB72" s="40"/>
      <c r="CC72" s="40"/>
      <c r="CD72" s="40"/>
      <c r="CE72" s="40"/>
      <c r="CF72" s="40"/>
      <c r="CG72" s="40"/>
      <c r="CH72" s="40"/>
    </row>
    <row r="73" spans="1:86" ht="17.5">
      <c r="A73" s="40"/>
      <c r="B73" s="260" t="str">
        <f ca="1">IFERROR(__xludf.DUMMYFUNCTION("""COMPUTED_VALUE"""),"P65")</f>
        <v>P65</v>
      </c>
      <c r="C73" s="273" t="str">
        <f ca="1">IFERROR(__xludf.DUMMYFUNCTION("""COMPUTED_VALUE"""),"錦町２丁目１区自治会掲示板")</f>
        <v>錦町２丁目１区自治会掲示板</v>
      </c>
      <c r="D73" s="273">
        <f ca="1">IFERROR(__xludf.DUMMYFUNCTION("""COMPUTED_VALUE"""),35.436628)</f>
        <v>35.436627999999999</v>
      </c>
      <c r="E73" s="273">
        <f ca="1">IFERROR(__xludf.DUMMYFUNCTION("""COMPUTED_VALUE"""),133.332884)</f>
        <v>133.33288400000001</v>
      </c>
      <c r="F73" s="40"/>
      <c r="G73" s="261"/>
      <c r="H73" s="262" t="s">
        <v>672</v>
      </c>
      <c r="I73" s="271" t="str">
        <f ca="1">IFERROR(__xludf.DUMMYFUNCTION("""COMPUTED_VALUE"""),"Agent03")</f>
        <v>Agent03</v>
      </c>
      <c r="J73" s="271" t="str">
        <f ca="1">IFERROR(__xludf.DUMMYFUNCTION("""COMPUTED_VALUE"""),"P65")</f>
        <v>P65</v>
      </c>
      <c r="K73" s="271" t="str">
        <f ca="1">IFERROR(__xludf.DUMMYFUNCTION("""COMPUTED_VALUE"""),"P94")</f>
        <v>P94</v>
      </c>
      <c r="L73" s="242" t="s">
        <v>681</v>
      </c>
      <c r="M73" s="263" t="str">
        <f t="shared" ca="1" si="0"/>
        <v xml:space="preserve">DarkSlateBlue </v>
      </c>
      <c r="N73" s="264" t="str">
        <f ca="1">IFERROR(__xludf.DUMMYFUNCTION("FILTER(C:E,B:B=J73)"),"錦町２丁目１区自治会掲示板")</f>
        <v>錦町２丁目１区自治会掲示板</v>
      </c>
      <c r="O73" s="265">
        <f ca="1">IFERROR(__xludf.DUMMYFUNCTION("""COMPUTED_VALUE"""),35.436628)</f>
        <v>35.436627999999999</v>
      </c>
      <c r="P73" s="265">
        <f ca="1">IFERROR(__xludf.DUMMYFUNCTION("""COMPUTED_VALUE"""),133.332884)</f>
        <v>133.33288400000001</v>
      </c>
      <c r="Q73" s="264" t="str">
        <f ca="1">IFERROR(__xludf.DUMMYFUNCTION("FILTER(C:E,B:B=K73)"),"住居表示街区案内図 米子市米原3丁目")</f>
        <v>住居表示街区案内図 米子市米原3丁目</v>
      </c>
      <c r="R73" s="265">
        <f ca="1">IFERROR(__xludf.DUMMYFUNCTION("""COMPUTED_VALUE"""),35.440964)</f>
        <v>35.440964000000001</v>
      </c>
      <c r="S73" s="265">
        <f ca="1">IFERROR(__xludf.DUMMYFUNCTION("""COMPUTED_VALUE"""),133.334346)</f>
        <v>133.33434600000001</v>
      </c>
      <c r="T73" s="264" t="str">
        <f ca="1">IFERROR(__xludf.DUMMYFUNCTION("FILTER(C:E,B:B=L73)")," ")</f>
        <v xml:space="preserve"> </v>
      </c>
      <c r="U73" s="40" t="str">
        <f ca="1">IFERROR(__xludf.DUMMYFUNCTION("""COMPUTED_VALUE""")," ")</f>
        <v xml:space="preserve"> </v>
      </c>
      <c r="V73" s="40" t="str">
        <f ca="1">IFERROR(__xludf.DUMMYFUNCTION("""COMPUTED_VALUE""")," ")</f>
        <v xml:space="preserve"> </v>
      </c>
      <c r="W73" s="40" t="str">
        <f t="shared" ca="1" si="21"/>
        <v>,</v>
      </c>
      <c r="X73" s="40" t="s">
        <v>682</v>
      </c>
      <c r="Y73" s="40" t="s">
        <v>683</v>
      </c>
      <c r="Z73" s="264">
        <f t="shared" ca="1" si="1"/>
        <v>35.436627999999999</v>
      </c>
      <c r="AA73" s="40" t="s">
        <v>684</v>
      </c>
      <c r="AB73" s="264">
        <f t="shared" ca="1" si="2"/>
        <v>133.33288400000001</v>
      </c>
      <c r="AC73" s="40" t="s">
        <v>685</v>
      </c>
      <c r="AD73" s="264">
        <f t="shared" ca="1" si="3"/>
        <v>35.440964000000001</v>
      </c>
      <c r="AE73" s="40" t="s">
        <v>684</v>
      </c>
      <c r="AF73" s="264">
        <f t="shared" ca="1" si="4"/>
        <v>133.33434600000001</v>
      </c>
      <c r="AG73" s="40" t="s">
        <v>686</v>
      </c>
      <c r="AH73" s="264" t="str">
        <f t="shared" ca="1" si="5"/>
        <v xml:space="preserve"> </v>
      </c>
      <c r="AI73" s="40" t="s">
        <v>684</v>
      </c>
      <c r="AJ73" s="264" t="str">
        <f t="shared" ca="1" si="6"/>
        <v xml:space="preserve"> </v>
      </c>
      <c r="AK73" s="40" t="s">
        <v>687</v>
      </c>
      <c r="AL73" s="264" t="str">
        <f t="shared" ca="1" si="7"/>
        <v xml:space="preserve">DarkSlateBlue </v>
      </c>
      <c r="AM73" s="40" t="s">
        <v>688</v>
      </c>
      <c r="AN73" s="40" t="str">
        <f t="shared" ca="1" si="8"/>
        <v>,{"type":"polygon","latLngs":[ {"lat":35.436628,"lng":133.332884}, {"lat":35.440964,"lng":133.334346},{"lat": ,"lng": }], "color":"DarkSlateBlue "}</v>
      </c>
      <c r="AO73" s="266" t="s">
        <v>689</v>
      </c>
      <c r="AP73" s="56">
        <f t="shared" ca="1" si="9"/>
        <v>35.436627999999999</v>
      </c>
      <c r="AQ73" s="40" t="s">
        <v>684</v>
      </c>
      <c r="AR73" s="56">
        <f t="shared" ca="1" si="10"/>
        <v>133.33288400000001</v>
      </c>
      <c r="AS73" s="40" t="s">
        <v>686</v>
      </c>
      <c r="AT73" s="56">
        <f t="shared" ca="1" si="11"/>
        <v>35.440964000000001</v>
      </c>
      <c r="AU73" s="40" t="s">
        <v>684</v>
      </c>
      <c r="AV73" s="56">
        <f t="shared" ca="1" si="12"/>
        <v>133.33434600000001</v>
      </c>
      <c r="AW73" s="40" t="s">
        <v>690</v>
      </c>
      <c r="AX73" s="40" t="str">
        <f t="shared" ca="1" si="13"/>
        <v xml:space="preserve">DarkSlateBlue </v>
      </c>
      <c r="AY73" s="40" t="s">
        <v>688</v>
      </c>
      <c r="AZ73" s="40" t="str">
        <f t="shared" ca="1" si="14"/>
        <v>,{"type":"polyline","latLngs":[{"lat":35.436628,"lng":133.332884},{"lat":35.440964,"lng":133.334346}],"color":"DarkSlateBlue "}</v>
      </c>
      <c r="BA73" s="40" t="s">
        <v>691</v>
      </c>
      <c r="BB73" s="56">
        <f t="shared" ca="1" si="15"/>
        <v>35.436627999999999</v>
      </c>
      <c r="BC73" s="40" t="s">
        <v>684</v>
      </c>
      <c r="BD73" s="56">
        <f t="shared" ca="1" si="16"/>
        <v>133.33288400000001</v>
      </c>
      <c r="BE73" s="40" t="s">
        <v>692</v>
      </c>
      <c r="BF73" s="40" t="str">
        <f t="shared" ca="1" si="17"/>
        <v xml:space="preserve">DarkSlateBlue </v>
      </c>
      <c r="BG73" s="40" t="s">
        <v>688</v>
      </c>
      <c r="BH73" s="40" t="str">
        <f t="shared" ca="1" si="18"/>
        <v>,{"type":"marker","latLng":{"lat":35.436628,"lng":133.332884},"color":"DarkSlateBlue "}</v>
      </c>
      <c r="BI73" s="40" t="s">
        <v>693</v>
      </c>
      <c r="BJ73" s="40" t="s">
        <v>694</v>
      </c>
      <c r="BK73" s="267" t="str">
        <f t="shared" ca="1" si="19"/>
        <v>,{"type":"polyline","latLngs":[{"lat":35.436628,"lng":133.332884},{"lat":35.440964,"lng":133.334346}],"color":"DarkSlateBlue "}</v>
      </c>
      <c r="BL73" s="40"/>
      <c r="BM73" s="40"/>
      <c r="BN73" s="40"/>
      <c r="BO73" s="40"/>
      <c r="BP73" s="40"/>
      <c r="BQ73" s="40"/>
      <c r="BR73" s="40"/>
      <c r="BS73" s="40"/>
      <c r="BT73" s="40"/>
      <c r="BU73" s="40"/>
      <c r="BV73" s="40"/>
      <c r="BW73" s="40"/>
      <c r="BX73" s="40"/>
      <c r="BY73" s="40"/>
      <c r="BZ73" s="40"/>
      <c r="CA73" s="40"/>
      <c r="CB73" s="40"/>
      <c r="CC73" s="40"/>
      <c r="CD73" s="40"/>
      <c r="CE73" s="40"/>
      <c r="CF73" s="40"/>
      <c r="CG73" s="40"/>
      <c r="CH73" s="40"/>
    </row>
    <row r="74" spans="1:86" ht="17.5">
      <c r="A74" s="40"/>
      <c r="B74" s="260" t="str">
        <f ca="1">IFERROR(__xludf.DUMMYFUNCTION("""COMPUTED_VALUE"""),"P66")</f>
        <v>P66</v>
      </c>
      <c r="C74" s="273" t="str">
        <f ca="1">IFERROR(__xludf.DUMMYFUNCTION("""COMPUTED_VALUE"""),"真如苑 米子支部")</f>
        <v>真如苑 米子支部</v>
      </c>
      <c r="D74" s="273">
        <f ca="1">IFERROR(__xludf.DUMMYFUNCTION("""COMPUTED_VALUE"""),35.43696)</f>
        <v>35.436959999999999</v>
      </c>
      <c r="E74" s="273">
        <f ca="1">IFERROR(__xludf.DUMMYFUNCTION("""COMPUTED_VALUE"""),133.337768)</f>
        <v>133.33776800000001</v>
      </c>
      <c r="F74" s="40"/>
      <c r="G74" s="261"/>
      <c r="H74" s="262" t="s">
        <v>672</v>
      </c>
      <c r="I74" s="271" t="str">
        <f ca="1">IFERROR(__xludf.DUMMYFUNCTION("""COMPUTED_VALUE"""),"Agent03")</f>
        <v>Agent03</v>
      </c>
      <c r="J74" s="271" t="str">
        <f ca="1">IFERROR(__xludf.DUMMYFUNCTION("""COMPUTED_VALUE"""),"P65")</f>
        <v>P65</v>
      </c>
      <c r="K74" s="271" t="str">
        <f ca="1">IFERROR(__xludf.DUMMYFUNCTION("""COMPUTED_VALUE"""),"P81")</f>
        <v>P81</v>
      </c>
      <c r="L74" s="242" t="s">
        <v>681</v>
      </c>
      <c r="M74" s="263" t="str">
        <f t="shared" ca="1" si="0"/>
        <v xml:space="preserve">DarkSlateBlue </v>
      </c>
      <c r="N74" s="264" t="str">
        <f ca="1">IFERROR(__xludf.DUMMYFUNCTION("FILTER(C:E,B:B=J74)"),"錦町２丁目１区自治会掲示板")</f>
        <v>錦町２丁目１区自治会掲示板</v>
      </c>
      <c r="O74" s="265">
        <f ca="1">IFERROR(__xludf.DUMMYFUNCTION("""COMPUTED_VALUE"""),35.436628)</f>
        <v>35.436627999999999</v>
      </c>
      <c r="P74" s="265">
        <f ca="1">IFERROR(__xludf.DUMMYFUNCTION("""COMPUTED_VALUE"""),133.332884)</f>
        <v>133.33288400000001</v>
      </c>
      <c r="Q74" s="264" t="str">
        <f ca="1">IFERROR(__xludf.DUMMYFUNCTION("FILTER(C:E,B:B=K74)"),"米原南土地区画整理竣工記念碑")</f>
        <v>米原南土地区画整理竣工記念碑</v>
      </c>
      <c r="R74" s="265">
        <f ca="1">IFERROR(__xludf.DUMMYFUNCTION("""COMPUTED_VALUE"""),35.439759)</f>
        <v>35.439759000000002</v>
      </c>
      <c r="S74" s="265">
        <f ca="1">IFERROR(__xludf.DUMMYFUNCTION("""COMPUTED_VALUE"""),133.334644)</f>
        <v>133.334644</v>
      </c>
      <c r="T74" s="264" t="str">
        <f ca="1">IFERROR(__xludf.DUMMYFUNCTION("FILTER(C:E,B:B=L74)")," ")</f>
        <v xml:space="preserve"> </v>
      </c>
      <c r="U74" s="40" t="str">
        <f ca="1">IFERROR(__xludf.DUMMYFUNCTION("""COMPUTED_VALUE""")," ")</f>
        <v xml:space="preserve"> </v>
      </c>
      <c r="V74" s="40" t="str">
        <f ca="1">IFERROR(__xludf.DUMMYFUNCTION("""COMPUTED_VALUE""")," ")</f>
        <v xml:space="preserve"> </v>
      </c>
      <c r="W74" s="40" t="str">
        <f t="shared" ca="1" si="21"/>
        <v>,</v>
      </c>
      <c r="X74" s="40" t="s">
        <v>682</v>
      </c>
      <c r="Y74" s="40" t="s">
        <v>683</v>
      </c>
      <c r="Z74" s="264">
        <f t="shared" ca="1" si="1"/>
        <v>35.436627999999999</v>
      </c>
      <c r="AA74" s="40" t="s">
        <v>684</v>
      </c>
      <c r="AB74" s="264">
        <f t="shared" ca="1" si="2"/>
        <v>133.33288400000001</v>
      </c>
      <c r="AC74" s="40" t="s">
        <v>685</v>
      </c>
      <c r="AD74" s="264">
        <f t="shared" ca="1" si="3"/>
        <v>35.439759000000002</v>
      </c>
      <c r="AE74" s="40" t="s">
        <v>684</v>
      </c>
      <c r="AF74" s="264">
        <f t="shared" ca="1" si="4"/>
        <v>133.334644</v>
      </c>
      <c r="AG74" s="40" t="s">
        <v>686</v>
      </c>
      <c r="AH74" s="264" t="str">
        <f t="shared" ca="1" si="5"/>
        <v xml:space="preserve"> </v>
      </c>
      <c r="AI74" s="40" t="s">
        <v>684</v>
      </c>
      <c r="AJ74" s="264" t="str">
        <f t="shared" ca="1" si="6"/>
        <v xml:space="preserve"> </v>
      </c>
      <c r="AK74" s="40" t="s">
        <v>687</v>
      </c>
      <c r="AL74" s="264" t="str">
        <f t="shared" ca="1" si="7"/>
        <v xml:space="preserve">DarkSlateBlue </v>
      </c>
      <c r="AM74" s="40" t="s">
        <v>688</v>
      </c>
      <c r="AN74" s="40" t="str">
        <f t="shared" ca="1" si="8"/>
        <v>,{"type":"polygon","latLngs":[ {"lat":35.436628,"lng":133.332884}, {"lat":35.439759,"lng":133.334644},{"lat": ,"lng": }], "color":"DarkSlateBlue "}</v>
      </c>
      <c r="AO74" s="266" t="s">
        <v>689</v>
      </c>
      <c r="AP74" s="56">
        <f t="shared" ca="1" si="9"/>
        <v>35.436627999999999</v>
      </c>
      <c r="AQ74" s="40" t="s">
        <v>684</v>
      </c>
      <c r="AR74" s="56">
        <f t="shared" ca="1" si="10"/>
        <v>133.33288400000001</v>
      </c>
      <c r="AS74" s="40" t="s">
        <v>686</v>
      </c>
      <c r="AT74" s="56">
        <f t="shared" ca="1" si="11"/>
        <v>35.439759000000002</v>
      </c>
      <c r="AU74" s="40" t="s">
        <v>684</v>
      </c>
      <c r="AV74" s="56">
        <f t="shared" ca="1" si="12"/>
        <v>133.334644</v>
      </c>
      <c r="AW74" s="40" t="s">
        <v>690</v>
      </c>
      <c r="AX74" s="40" t="str">
        <f t="shared" ca="1" si="13"/>
        <v xml:space="preserve">DarkSlateBlue </v>
      </c>
      <c r="AY74" s="40" t="s">
        <v>688</v>
      </c>
      <c r="AZ74" s="40" t="str">
        <f t="shared" ca="1" si="14"/>
        <v>,{"type":"polyline","latLngs":[{"lat":35.436628,"lng":133.332884},{"lat":35.439759,"lng":133.334644}],"color":"DarkSlateBlue "}</v>
      </c>
      <c r="BA74" s="40" t="s">
        <v>691</v>
      </c>
      <c r="BB74" s="56">
        <f t="shared" ca="1" si="15"/>
        <v>35.436627999999999</v>
      </c>
      <c r="BC74" s="40" t="s">
        <v>684</v>
      </c>
      <c r="BD74" s="56">
        <f t="shared" ca="1" si="16"/>
        <v>133.33288400000001</v>
      </c>
      <c r="BE74" s="40" t="s">
        <v>692</v>
      </c>
      <c r="BF74" s="40" t="str">
        <f t="shared" ca="1" si="17"/>
        <v xml:space="preserve">DarkSlateBlue </v>
      </c>
      <c r="BG74" s="40" t="s">
        <v>688</v>
      </c>
      <c r="BH74" s="40" t="str">
        <f t="shared" ca="1" si="18"/>
        <v>,{"type":"marker","latLng":{"lat":35.436628,"lng":133.332884},"color":"DarkSlateBlue "}</v>
      </c>
      <c r="BI74" s="40" t="s">
        <v>693</v>
      </c>
      <c r="BJ74" s="40" t="s">
        <v>694</v>
      </c>
      <c r="BK74" s="267" t="str">
        <f t="shared" ca="1" si="19"/>
        <v>,{"type":"polyline","latLngs":[{"lat":35.436628,"lng":133.332884},{"lat":35.439759,"lng":133.334644}],"color":"DarkSlateBlue "}</v>
      </c>
      <c r="BL74" s="40"/>
      <c r="BM74" s="40"/>
      <c r="BN74" s="40"/>
      <c r="BO74" s="40"/>
      <c r="BP74" s="40"/>
      <c r="BQ74" s="40"/>
      <c r="BR74" s="40"/>
      <c r="BS74" s="40"/>
      <c r="BT74" s="40"/>
      <c r="BU74" s="40"/>
      <c r="BV74" s="40"/>
      <c r="BW74" s="40"/>
      <c r="BX74" s="40"/>
      <c r="BY74" s="40"/>
      <c r="BZ74" s="40"/>
      <c r="CA74" s="40"/>
      <c r="CB74" s="40"/>
      <c r="CC74" s="40"/>
      <c r="CD74" s="40"/>
      <c r="CE74" s="40"/>
      <c r="CF74" s="40"/>
      <c r="CG74" s="40"/>
      <c r="CH74" s="40"/>
    </row>
    <row r="75" spans="1:86" ht="17.5">
      <c r="A75" s="40"/>
      <c r="B75" s="260" t="str">
        <f ca="1">IFERROR(__xludf.DUMMYFUNCTION("""COMPUTED_VALUE"""),"P67")</f>
        <v>P67</v>
      </c>
      <c r="C75" s="273" t="str">
        <f ca="1">IFERROR(__xludf.DUMMYFUNCTION("""COMPUTED_VALUE"""),"ちとせ")</f>
        <v>ちとせ</v>
      </c>
      <c r="D75" s="273">
        <f ca="1">IFERROR(__xludf.DUMMYFUNCTION("""COMPUTED_VALUE"""),35.437179)</f>
        <v>35.437179</v>
      </c>
      <c r="E75" s="273">
        <f ca="1">IFERROR(__xludf.DUMMYFUNCTION("""COMPUTED_VALUE"""),133.327081)</f>
        <v>133.32708099999999</v>
      </c>
      <c r="F75" s="40"/>
      <c r="G75" s="261"/>
      <c r="H75" s="262" t="s">
        <v>672</v>
      </c>
      <c r="I75" s="271" t="str">
        <f ca="1">IFERROR(__xludf.DUMMYFUNCTION("""COMPUTED_VALUE"""),"Agent04")</f>
        <v>Agent04</v>
      </c>
      <c r="J75" s="271" t="str">
        <f ca="1">IFERROR(__xludf.DUMMYFUNCTION("""COMPUTED_VALUE"""),"P54")</f>
        <v>P54</v>
      </c>
      <c r="K75" s="271" t="str">
        <f ca="1">IFERROR(__xludf.DUMMYFUNCTION("""COMPUTED_VALUE"""),"P37")</f>
        <v>P37</v>
      </c>
      <c r="L75" s="242" t="s">
        <v>681</v>
      </c>
      <c r="M75" s="263" t="str">
        <f t="shared" ca="1" si="0"/>
        <v>coral</v>
      </c>
      <c r="N75" s="264" t="str">
        <f ca="1">IFERROR(__xludf.DUMMYFUNCTION("FILTER(C:E,B:B=J75)"),"心光寺 山門")</f>
        <v>心光寺 山門</v>
      </c>
      <c r="O75" s="265">
        <f ca="1">IFERROR(__xludf.DUMMYFUNCTION("""COMPUTED_VALUE"""),35.434594)</f>
        <v>35.434593999999997</v>
      </c>
      <c r="P75" s="265">
        <f ca="1">IFERROR(__xludf.DUMMYFUNCTION("""COMPUTED_VALUE"""),133.325975)</f>
        <v>133.325975</v>
      </c>
      <c r="Q75" s="264" t="str">
        <f ca="1">IFERROR(__xludf.DUMMYFUNCTION("FILTER(C:E,B:B=K75)"),"中ノ棚橋地蔵")</f>
        <v>中ノ棚橋地蔵</v>
      </c>
      <c r="R75" s="265">
        <f ca="1">IFERROR(__xludf.DUMMYFUNCTION("""COMPUTED_VALUE"""),35.432339)</f>
        <v>35.432338999999999</v>
      </c>
      <c r="S75" s="265">
        <f ca="1">IFERROR(__xludf.DUMMYFUNCTION("""COMPUTED_VALUE"""),133.326372)</f>
        <v>133.32637199999999</v>
      </c>
      <c r="T75" s="264" t="str">
        <f ca="1">IFERROR(__xludf.DUMMYFUNCTION("FILTER(C:E,B:B=L75)")," ")</f>
        <v xml:space="preserve"> </v>
      </c>
      <c r="U75" s="40" t="str">
        <f ca="1">IFERROR(__xludf.DUMMYFUNCTION("""COMPUTED_VALUE""")," ")</f>
        <v xml:space="preserve"> </v>
      </c>
      <c r="V75" s="40" t="str">
        <f ca="1">IFERROR(__xludf.DUMMYFUNCTION("""COMPUTED_VALUE""")," ")</f>
        <v xml:space="preserve"> </v>
      </c>
      <c r="W75" s="40" t="str">
        <f t="shared" ca="1" si="21"/>
        <v>,</v>
      </c>
      <c r="X75" s="40" t="s">
        <v>682</v>
      </c>
      <c r="Y75" s="40" t="s">
        <v>683</v>
      </c>
      <c r="Z75" s="264">
        <f t="shared" ca="1" si="1"/>
        <v>35.434593999999997</v>
      </c>
      <c r="AA75" s="40" t="s">
        <v>684</v>
      </c>
      <c r="AB75" s="264">
        <f t="shared" ca="1" si="2"/>
        <v>133.325975</v>
      </c>
      <c r="AC75" s="40" t="s">
        <v>685</v>
      </c>
      <c r="AD75" s="264">
        <f t="shared" ca="1" si="3"/>
        <v>35.432338999999999</v>
      </c>
      <c r="AE75" s="40" t="s">
        <v>684</v>
      </c>
      <c r="AF75" s="264">
        <f t="shared" ca="1" si="4"/>
        <v>133.32637199999999</v>
      </c>
      <c r="AG75" s="40" t="s">
        <v>686</v>
      </c>
      <c r="AH75" s="264" t="str">
        <f t="shared" ca="1" si="5"/>
        <v xml:space="preserve"> </v>
      </c>
      <c r="AI75" s="40" t="s">
        <v>684</v>
      </c>
      <c r="AJ75" s="264" t="str">
        <f t="shared" ca="1" si="6"/>
        <v xml:space="preserve"> </v>
      </c>
      <c r="AK75" s="40" t="s">
        <v>687</v>
      </c>
      <c r="AL75" s="264" t="str">
        <f t="shared" ca="1" si="7"/>
        <v>coral</v>
      </c>
      <c r="AM75" s="40" t="s">
        <v>688</v>
      </c>
      <c r="AN75" s="40" t="str">
        <f t="shared" ca="1" si="8"/>
        <v>,{"type":"polygon","latLngs":[ {"lat":35.434594,"lng":133.325975}, {"lat":35.432339,"lng":133.326372},{"lat": ,"lng": }], "color":"coral"}</v>
      </c>
      <c r="AO75" s="266" t="s">
        <v>689</v>
      </c>
      <c r="AP75" s="56">
        <f t="shared" ca="1" si="9"/>
        <v>35.434593999999997</v>
      </c>
      <c r="AQ75" s="40" t="s">
        <v>684</v>
      </c>
      <c r="AR75" s="56">
        <f t="shared" ca="1" si="10"/>
        <v>133.325975</v>
      </c>
      <c r="AS75" s="40" t="s">
        <v>686</v>
      </c>
      <c r="AT75" s="56">
        <f t="shared" ca="1" si="11"/>
        <v>35.432338999999999</v>
      </c>
      <c r="AU75" s="40" t="s">
        <v>684</v>
      </c>
      <c r="AV75" s="56">
        <f t="shared" ca="1" si="12"/>
        <v>133.32637199999999</v>
      </c>
      <c r="AW75" s="40" t="s">
        <v>690</v>
      </c>
      <c r="AX75" s="40" t="str">
        <f t="shared" ca="1" si="13"/>
        <v>coral</v>
      </c>
      <c r="AY75" s="40" t="s">
        <v>688</v>
      </c>
      <c r="AZ75" s="40" t="str">
        <f t="shared" ca="1" si="14"/>
        <v>,{"type":"polyline","latLngs":[{"lat":35.434594,"lng":133.325975},{"lat":35.432339,"lng":133.326372}],"color":"coral"}</v>
      </c>
      <c r="BA75" s="40" t="s">
        <v>691</v>
      </c>
      <c r="BB75" s="56">
        <f t="shared" ca="1" si="15"/>
        <v>35.434593999999997</v>
      </c>
      <c r="BC75" s="40" t="s">
        <v>684</v>
      </c>
      <c r="BD75" s="56">
        <f t="shared" ca="1" si="16"/>
        <v>133.325975</v>
      </c>
      <c r="BE75" s="40" t="s">
        <v>692</v>
      </c>
      <c r="BF75" s="40" t="str">
        <f t="shared" ca="1" si="17"/>
        <v>coral</v>
      </c>
      <c r="BG75" s="40" t="s">
        <v>688</v>
      </c>
      <c r="BH75" s="40" t="str">
        <f t="shared" ca="1" si="18"/>
        <v>,{"type":"marker","latLng":{"lat":35.434594,"lng":133.325975},"color":"coral"}</v>
      </c>
      <c r="BI75" s="40" t="s">
        <v>693</v>
      </c>
      <c r="BJ75" s="40" t="s">
        <v>694</v>
      </c>
      <c r="BK75" s="267" t="str">
        <f t="shared" ca="1" si="19"/>
        <v>,{"type":"polyline","latLngs":[{"lat":35.434594,"lng":133.325975},{"lat":35.432339,"lng":133.326372}],"color":"coral"}</v>
      </c>
      <c r="BL75" s="40"/>
      <c r="BM75" s="40"/>
      <c r="BN75" s="40"/>
      <c r="BO75" s="40"/>
      <c r="BP75" s="40"/>
      <c r="BQ75" s="40"/>
      <c r="BR75" s="40"/>
      <c r="BS75" s="40"/>
      <c r="BT75" s="40"/>
      <c r="BU75" s="40"/>
      <c r="BV75" s="40"/>
      <c r="BW75" s="40"/>
      <c r="BX75" s="40"/>
      <c r="BY75" s="40"/>
      <c r="BZ75" s="40"/>
      <c r="CA75" s="40"/>
      <c r="CB75" s="40"/>
      <c r="CC75" s="40"/>
      <c r="CD75" s="40"/>
      <c r="CE75" s="40"/>
      <c r="CF75" s="40"/>
      <c r="CG75" s="40"/>
      <c r="CH75" s="40"/>
    </row>
    <row r="76" spans="1:86" ht="17.5">
      <c r="A76" s="40"/>
      <c r="B76" s="260" t="str">
        <f ca="1">IFERROR(__xludf.DUMMYFUNCTION("""COMPUTED_VALUE"""),"P68")</f>
        <v>P68</v>
      </c>
      <c r="C76" s="273" t="str">
        <f ca="1">IFERROR(__xludf.DUMMYFUNCTION("""COMPUTED_VALUE"""),"住居表示街区案内図 米子市旗ヶ崎1丁目")</f>
        <v>住居表示街区案内図 米子市旗ヶ崎1丁目</v>
      </c>
      <c r="D76" s="273">
        <f ca="1">IFERROR(__xludf.DUMMYFUNCTION("""COMPUTED_VALUE"""),35.437263)</f>
        <v>35.437263000000002</v>
      </c>
      <c r="E76" s="273">
        <f ca="1">IFERROR(__xludf.DUMMYFUNCTION("""COMPUTED_VALUE"""),133.322232)</f>
        <v>133.32223200000001</v>
      </c>
      <c r="F76" s="40"/>
      <c r="G76" s="261"/>
      <c r="H76" s="262" t="s">
        <v>672</v>
      </c>
      <c r="I76" s="271" t="str">
        <f ca="1">IFERROR(__xludf.DUMMYFUNCTION("""COMPUTED_VALUE"""),"Agent04")</f>
        <v>Agent04</v>
      </c>
      <c r="J76" s="271" t="str">
        <f ca="1">IFERROR(__xludf.DUMMYFUNCTION("""COMPUTED_VALUE"""),"P63")</f>
        <v>P63</v>
      </c>
      <c r="K76" s="271" t="str">
        <f ca="1">IFERROR(__xludf.DUMMYFUNCTION("""COMPUTED_VALUE"""),"P54")</f>
        <v>P54</v>
      </c>
      <c r="L76" s="242" t="s">
        <v>681</v>
      </c>
      <c r="M76" s="263" t="str">
        <f t="shared" ca="1" si="0"/>
        <v>coral</v>
      </c>
      <c r="N76" s="264" t="str">
        <f ca="1">IFERROR(__xludf.DUMMYFUNCTION("FILTER(C:E,B:B=J76)"),"Rochelle Antique")</f>
        <v>Rochelle Antique</v>
      </c>
      <c r="O76" s="265">
        <f ca="1">IFERROR(__xludf.DUMMYFUNCTION("""COMPUTED_VALUE"""),35.436062)</f>
        <v>35.436062</v>
      </c>
      <c r="P76" s="265">
        <f ca="1">IFERROR(__xludf.DUMMYFUNCTION("""COMPUTED_VALUE"""),133.324187)</f>
        <v>133.32418699999999</v>
      </c>
      <c r="Q76" s="264" t="str">
        <f ca="1">IFERROR(__xludf.DUMMYFUNCTION("FILTER(C:E,B:B=K76)"),"心光寺 山門")</f>
        <v>心光寺 山門</v>
      </c>
      <c r="R76" s="265">
        <f ca="1">IFERROR(__xludf.DUMMYFUNCTION("""COMPUTED_VALUE"""),35.434594)</f>
        <v>35.434593999999997</v>
      </c>
      <c r="S76" s="265">
        <f ca="1">IFERROR(__xludf.DUMMYFUNCTION("""COMPUTED_VALUE"""),133.325975)</f>
        <v>133.325975</v>
      </c>
      <c r="T76" s="264" t="str">
        <f ca="1">IFERROR(__xludf.DUMMYFUNCTION("FILTER(C:E,B:B=L76)")," ")</f>
        <v xml:space="preserve"> </v>
      </c>
      <c r="U76" s="40" t="str">
        <f ca="1">IFERROR(__xludf.DUMMYFUNCTION("""COMPUTED_VALUE""")," ")</f>
        <v xml:space="preserve"> </v>
      </c>
      <c r="V76" s="40" t="str">
        <f ca="1">IFERROR(__xludf.DUMMYFUNCTION("""COMPUTED_VALUE""")," ")</f>
        <v xml:space="preserve"> </v>
      </c>
      <c r="W76" s="40" t="str">
        <f t="shared" ca="1" si="21"/>
        <v>,</v>
      </c>
      <c r="X76" s="40" t="s">
        <v>682</v>
      </c>
      <c r="Y76" s="40" t="s">
        <v>683</v>
      </c>
      <c r="Z76" s="264">
        <f t="shared" ca="1" si="1"/>
        <v>35.436062</v>
      </c>
      <c r="AA76" s="40" t="s">
        <v>684</v>
      </c>
      <c r="AB76" s="264">
        <f t="shared" ca="1" si="2"/>
        <v>133.32418699999999</v>
      </c>
      <c r="AC76" s="40" t="s">
        <v>685</v>
      </c>
      <c r="AD76" s="264">
        <f t="shared" ca="1" si="3"/>
        <v>35.434593999999997</v>
      </c>
      <c r="AE76" s="40" t="s">
        <v>684</v>
      </c>
      <c r="AF76" s="264">
        <f t="shared" ca="1" si="4"/>
        <v>133.325975</v>
      </c>
      <c r="AG76" s="40" t="s">
        <v>686</v>
      </c>
      <c r="AH76" s="264" t="str">
        <f t="shared" ca="1" si="5"/>
        <v xml:space="preserve"> </v>
      </c>
      <c r="AI76" s="40" t="s">
        <v>684</v>
      </c>
      <c r="AJ76" s="264" t="str">
        <f t="shared" ca="1" si="6"/>
        <v xml:space="preserve"> </v>
      </c>
      <c r="AK76" s="40" t="s">
        <v>687</v>
      </c>
      <c r="AL76" s="264" t="str">
        <f t="shared" ca="1" si="7"/>
        <v>coral</v>
      </c>
      <c r="AM76" s="40" t="s">
        <v>688</v>
      </c>
      <c r="AN76" s="40" t="str">
        <f t="shared" ca="1" si="8"/>
        <v>,{"type":"polygon","latLngs":[ {"lat":35.436062,"lng":133.324187}, {"lat":35.434594,"lng":133.325975},{"lat": ,"lng": }], "color":"coral"}</v>
      </c>
      <c r="AO76" s="266" t="s">
        <v>689</v>
      </c>
      <c r="AP76" s="56">
        <f t="shared" ca="1" si="9"/>
        <v>35.436062</v>
      </c>
      <c r="AQ76" s="40" t="s">
        <v>684</v>
      </c>
      <c r="AR76" s="56">
        <f t="shared" ca="1" si="10"/>
        <v>133.32418699999999</v>
      </c>
      <c r="AS76" s="40" t="s">
        <v>686</v>
      </c>
      <c r="AT76" s="56">
        <f t="shared" ca="1" si="11"/>
        <v>35.434593999999997</v>
      </c>
      <c r="AU76" s="40" t="s">
        <v>684</v>
      </c>
      <c r="AV76" s="56">
        <f t="shared" ca="1" si="12"/>
        <v>133.325975</v>
      </c>
      <c r="AW76" s="40" t="s">
        <v>690</v>
      </c>
      <c r="AX76" s="40" t="str">
        <f t="shared" ca="1" si="13"/>
        <v>coral</v>
      </c>
      <c r="AY76" s="40" t="s">
        <v>688</v>
      </c>
      <c r="AZ76" s="40" t="str">
        <f t="shared" ca="1" si="14"/>
        <v>,{"type":"polyline","latLngs":[{"lat":35.436062,"lng":133.324187},{"lat":35.434594,"lng":133.325975}],"color":"coral"}</v>
      </c>
      <c r="BA76" s="40" t="s">
        <v>691</v>
      </c>
      <c r="BB76" s="56">
        <f t="shared" ca="1" si="15"/>
        <v>35.436062</v>
      </c>
      <c r="BC76" s="40" t="s">
        <v>684</v>
      </c>
      <c r="BD76" s="56">
        <f t="shared" ca="1" si="16"/>
        <v>133.32418699999999</v>
      </c>
      <c r="BE76" s="40" t="s">
        <v>692</v>
      </c>
      <c r="BF76" s="40" t="str">
        <f t="shared" ca="1" si="17"/>
        <v>coral</v>
      </c>
      <c r="BG76" s="40" t="s">
        <v>688</v>
      </c>
      <c r="BH76" s="40" t="str">
        <f t="shared" ca="1" si="18"/>
        <v>,{"type":"marker","latLng":{"lat":35.436062,"lng":133.324187},"color":"coral"}</v>
      </c>
      <c r="BI76" s="40" t="s">
        <v>693</v>
      </c>
      <c r="BJ76" s="40" t="s">
        <v>694</v>
      </c>
      <c r="BK76" s="267" t="str">
        <f t="shared" ca="1" si="19"/>
        <v>,{"type":"polyline","latLngs":[{"lat":35.436062,"lng":133.324187},{"lat":35.434594,"lng":133.325975}],"color":"coral"}</v>
      </c>
      <c r="BL76" s="40"/>
      <c r="BM76" s="40"/>
      <c r="BN76" s="40"/>
      <c r="BO76" s="40"/>
      <c r="BP76" s="40"/>
      <c r="BQ76" s="40"/>
      <c r="BR76" s="40"/>
      <c r="BS76" s="40"/>
      <c r="BT76" s="40"/>
      <c r="BU76" s="40"/>
      <c r="BV76" s="40"/>
      <c r="BW76" s="40"/>
      <c r="BX76" s="40"/>
      <c r="BY76" s="40"/>
      <c r="BZ76" s="40"/>
      <c r="CA76" s="40"/>
      <c r="CB76" s="40"/>
      <c r="CC76" s="40"/>
      <c r="CD76" s="40"/>
      <c r="CE76" s="40"/>
      <c r="CF76" s="40"/>
      <c r="CG76" s="40"/>
      <c r="CH76" s="40"/>
    </row>
    <row r="77" spans="1:86" ht="17.5">
      <c r="A77" s="40"/>
      <c r="B77" s="260" t="str">
        <f ca="1">IFERROR(__xludf.DUMMYFUNCTION("""COMPUTED_VALUE"""),"P69")</f>
        <v>P69</v>
      </c>
      <c r="C77" s="273" t="str">
        <f ca="1">IFERROR(__xludf.DUMMYFUNCTION("""COMPUTED_VALUE"""),"住居表示街区案内図 米子市東福原1丁目")</f>
        <v>住居表示街区案内図 米子市東福原1丁目</v>
      </c>
      <c r="D77" s="273">
        <f ca="1">IFERROR(__xludf.DUMMYFUNCTION("""COMPUTED_VALUE"""),35.437492)</f>
        <v>35.437491999999999</v>
      </c>
      <c r="E77" s="273">
        <f ca="1">IFERROR(__xludf.DUMMYFUNCTION("""COMPUTED_VALUE"""),133.340979)</f>
        <v>133.340979</v>
      </c>
      <c r="F77" s="40"/>
      <c r="G77" s="261"/>
      <c r="H77" s="262" t="s">
        <v>672</v>
      </c>
      <c r="I77" s="271" t="str">
        <f ca="1">IFERROR(__xludf.DUMMYFUNCTION("""COMPUTED_VALUE"""),"Agent04")</f>
        <v>Agent04</v>
      </c>
      <c r="J77" s="271" t="str">
        <f ca="1">IFERROR(__xludf.DUMMYFUNCTION("""COMPUTED_VALUE"""),"P61")</f>
        <v>P61</v>
      </c>
      <c r="K77" s="271" t="str">
        <f ca="1">IFERROR(__xludf.DUMMYFUNCTION("""COMPUTED_VALUE"""),"P63")</f>
        <v>P63</v>
      </c>
      <c r="L77" s="242" t="s">
        <v>681</v>
      </c>
      <c r="M77" s="263" t="str">
        <f t="shared" ca="1" si="0"/>
        <v>coral</v>
      </c>
      <c r="N77" s="264" t="str">
        <f ca="1">IFERROR(__xludf.DUMMYFUNCTION("FILTER(C:E,B:B=J77)"),"どらやき神社")</f>
        <v>どらやき神社</v>
      </c>
      <c r="O77" s="265">
        <f ca="1">IFERROR(__xludf.DUMMYFUNCTION("""COMPUTED_VALUE"""),35.435771)</f>
        <v>35.435771000000003</v>
      </c>
      <c r="P77" s="265">
        <f ca="1">IFERROR(__xludf.DUMMYFUNCTION("""COMPUTED_VALUE"""),133.323536)</f>
        <v>133.32353599999999</v>
      </c>
      <c r="Q77" s="264" t="str">
        <f ca="1">IFERROR(__xludf.DUMMYFUNCTION("FILTER(C:E,B:B=K77)"),"Rochelle Antique")</f>
        <v>Rochelle Antique</v>
      </c>
      <c r="R77" s="265">
        <f ca="1">IFERROR(__xludf.DUMMYFUNCTION("""COMPUTED_VALUE"""),35.436062)</f>
        <v>35.436062</v>
      </c>
      <c r="S77" s="265">
        <f ca="1">IFERROR(__xludf.DUMMYFUNCTION("""COMPUTED_VALUE"""),133.324187)</f>
        <v>133.32418699999999</v>
      </c>
      <c r="T77" s="264" t="str">
        <f ca="1">IFERROR(__xludf.DUMMYFUNCTION("FILTER(C:E,B:B=L77)")," ")</f>
        <v xml:space="preserve"> </v>
      </c>
      <c r="U77" s="40" t="str">
        <f ca="1">IFERROR(__xludf.DUMMYFUNCTION("""COMPUTED_VALUE""")," ")</f>
        <v xml:space="preserve"> </v>
      </c>
      <c r="V77" s="40" t="str">
        <f ca="1">IFERROR(__xludf.DUMMYFUNCTION("""COMPUTED_VALUE""")," ")</f>
        <v xml:space="preserve"> </v>
      </c>
      <c r="W77" s="40" t="str">
        <f t="shared" ca="1" si="21"/>
        <v>,</v>
      </c>
      <c r="X77" s="40" t="s">
        <v>682</v>
      </c>
      <c r="Y77" s="40" t="s">
        <v>683</v>
      </c>
      <c r="Z77" s="264">
        <f t="shared" ca="1" si="1"/>
        <v>35.435771000000003</v>
      </c>
      <c r="AA77" s="40" t="s">
        <v>684</v>
      </c>
      <c r="AB77" s="264">
        <f t="shared" ca="1" si="2"/>
        <v>133.32353599999999</v>
      </c>
      <c r="AC77" s="40" t="s">
        <v>685</v>
      </c>
      <c r="AD77" s="264">
        <f t="shared" ca="1" si="3"/>
        <v>35.436062</v>
      </c>
      <c r="AE77" s="40" t="s">
        <v>684</v>
      </c>
      <c r="AF77" s="264">
        <f t="shared" ca="1" si="4"/>
        <v>133.32418699999999</v>
      </c>
      <c r="AG77" s="40" t="s">
        <v>686</v>
      </c>
      <c r="AH77" s="264" t="str">
        <f t="shared" ca="1" si="5"/>
        <v xml:space="preserve"> </v>
      </c>
      <c r="AI77" s="40" t="s">
        <v>684</v>
      </c>
      <c r="AJ77" s="264" t="str">
        <f t="shared" ca="1" si="6"/>
        <v xml:space="preserve"> </v>
      </c>
      <c r="AK77" s="40" t="s">
        <v>687</v>
      </c>
      <c r="AL77" s="264" t="str">
        <f t="shared" ca="1" si="7"/>
        <v>coral</v>
      </c>
      <c r="AM77" s="40" t="s">
        <v>688</v>
      </c>
      <c r="AN77" s="40" t="str">
        <f t="shared" ca="1" si="8"/>
        <v>,{"type":"polygon","latLngs":[ {"lat":35.435771,"lng":133.323536}, {"lat":35.436062,"lng":133.324187},{"lat": ,"lng": }], "color":"coral"}</v>
      </c>
      <c r="AO77" s="266" t="s">
        <v>689</v>
      </c>
      <c r="AP77" s="56">
        <f t="shared" ca="1" si="9"/>
        <v>35.435771000000003</v>
      </c>
      <c r="AQ77" s="40" t="s">
        <v>684</v>
      </c>
      <c r="AR77" s="56">
        <f t="shared" ca="1" si="10"/>
        <v>133.32353599999999</v>
      </c>
      <c r="AS77" s="40" t="s">
        <v>686</v>
      </c>
      <c r="AT77" s="56">
        <f t="shared" ca="1" si="11"/>
        <v>35.436062</v>
      </c>
      <c r="AU77" s="40" t="s">
        <v>684</v>
      </c>
      <c r="AV77" s="56">
        <f t="shared" ca="1" si="12"/>
        <v>133.32418699999999</v>
      </c>
      <c r="AW77" s="40" t="s">
        <v>690</v>
      </c>
      <c r="AX77" s="40" t="str">
        <f t="shared" ca="1" si="13"/>
        <v>coral</v>
      </c>
      <c r="AY77" s="40" t="s">
        <v>688</v>
      </c>
      <c r="AZ77" s="40" t="str">
        <f t="shared" ca="1" si="14"/>
        <v>,{"type":"polyline","latLngs":[{"lat":35.435771,"lng":133.323536},{"lat":35.436062,"lng":133.324187}],"color":"coral"}</v>
      </c>
      <c r="BA77" s="40" t="s">
        <v>691</v>
      </c>
      <c r="BB77" s="56">
        <f t="shared" ca="1" si="15"/>
        <v>35.435771000000003</v>
      </c>
      <c r="BC77" s="40" t="s">
        <v>684</v>
      </c>
      <c r="BD77" s="56">
        <f t="shared" ca="1" si="16"/>
        <v>133.32353599999999</v>
      </c>
      <c r="BE77" s="40" t="s">
        <v>692</v>
      </c>
      <c r="BF77" s="40" t="str">
        <f t="shared" ca="1" si="17"/>
        <v>coral</v>
      </c>
      <c r="BG77" s="40" t="s">
        <v>688</v>
      </c>
      <c r="BH77" s="40" t="str">
        <f t="shared" ca="1" si="18"/>
        <v>,{"type":"marker","latLng":{"lat":35.435771,"lng":133.323536},"color":"coral"}</v>
      </c>
      <c r="BI77" s="40" t="s">
        <v>693</v>
      </c>
      <c r="BJ77" s="40" t="s">
        <v>694</v>
      </c>
      <c r="BK77" s="267" t="str">
        <f t="shared" ca="1" si="19"/>
        <v>,{"type":"polyline","latLngs":[{"lat":35.435771,"lng":133.323536},{"lat":35.436062,"lng":133.324187}],"color":"coral"}</v>
      </c>
      <c r="BL77" s="40"/>
      <c r="BM77" s="40"/>
      <c r="BN77" s="40"/>
      <c r="BO77" s="40"/>
      <c r="BP77" s="40"/>
      <c r="BQ77" s="40"/>
      <c r="BR77" s="40"/>
      <c r="BS77" s="40"/>
      <c r="BT77" s="40"/>
      <c r="BU77" s="40"/>
      <c r="BV77" s="40"/>
      <c r="BW77" s="40"/>
      <c r="BX77" s="40"/>
      <c r="BY77" s="40"/>
      <c r="BZ77" s="40"/>
      <c r="CA77" s="40"/>
      <c r="CB77" s="40"/>
      <c r="CC77" s="40"/>
      <c r="CD77" s="40"/>
      <c r="CE77" s="40"/>
      <c r="CF77" s="40"/>
      <c r="CG77" s="40"/>
      <c r="CH77" s="40"/>
    </row>
    <row r="78" spans="1:86" ht="17.5">
      <c r="A78" s="40"/>
      <c r="B78" s="260" t="str">
        <f ca="1">IFERROR(__xludf.DUMMYFUNCTION("""COMPUTED_VALUE"""),"P70")</f>
        <v>P70</v>
      </c>
      <c r="C78" s="273" t="str">
        <f ca="1">IFERROR(__xludf.DUMMYFUNCTION("""COMPUTED_VALUE"""),"米川堤防のつつじ")</f>
        <v>米川堤防のつつじ</v>
      </c>
      <c r="D78" s="273">
        <f ca="1">IFERROR(__xludf.DUMMYFUNCTION("""COMPUTED_VALUE"""),35.437507)</f>
        <v>35.437506999999997</v>
      </c>
      <c r="E78" s="273">
        <f ca="1">IFERROR(__xludf.DUMMYFUNCTION("""COMPUTED_VALUE"""),133.340544)</f>
        <v>133.34054399999999</v>
      </c>
      <c r="F78" s="40"/>
      <c r="G78" s="261"/>
      <c r="H78" s="262" t="s">
        <v>672</v>
      </c>
      <c r="I78" s="271" t="str">
        <f ca="1">IFERROR(__xludf.DUMMYFUNCTION("""COMPUTED_VALUE"""),"Agent04")</f>
        <v>Agent04</v>
      </c>
      <c r="J78" s="271" t="str">
        <f ca="1">IFERROR(__xludf.DUMMYFUNCTION("""COMPUTED_VALUE"""),"P68")</f>
        <v>P68</v>
      </c>
      <c r="K78" s="271" t="str">
        <f ca="1">IFERROR(__xludf.DUMMYFUNCTION("""COMPUTED_VALUE"""),"P63")</f>
        <v>P63</v>
      </c>
      <c r="L78" s="242" t="s">
        <v>681</v>
      </c>
      <c r="M78" s="263" t="str">
        <f t="shared" ca="1" si="0"/>
        <v>coral</v>
      </c>
      <c r="N78" s="264" t="str">
        <f ca="1">IFERROR(__xludf.DUMMYFUNCTION("FILTER(C:E,B:B=J78)"),"住居表示街区案内図 米子市旗ヶ崎1丁目")</f>
        <v>住居表示街区案内図 米子市旗ヶ崎1丁目</v>
      </c>
      <c r="O78" s="265">
        <f ca="1">IFERROR(__xludf.DUMMYFUNCTION("""COMPUTED_VALUE"""),35.437263)</f>
        <v>35.437263000000002</v>
      </c>
      <c r="P78" s="265">
        <f ca="1">IFERROR(__xludf.DUMMYFUNCTION("""COMPUTED_VALUE"""),133.322232)</f>
        <v>133.32223200000001</v>
      </c>
      <c r="Q78" s="264" t="str">
        <f ca="1">IFERROR(__xludf.DUMMYFUNCTION("FILTER(C:E,B:B=K78)"),"Rochelle Antique")</f>
        <v>Rochelle Antique</v>
      </c>
      <c r="R78" s="265">
        <f ca="1">IFERROR(__xludf.DUMMYFUNCTION("""COMPUTED_VALUE"""),35.436062)</f>
        <v>35.436062</v>
      </c>
      <c r="S78" s="265">
        <f ca="1">IFERROR(__xludf.DUMMYFUNCTION("""COMPUTED_VALUE"""),133.324187)</f>
        <v>133.32418699999999</v>
      </c>
      <c r="T78" s="264" t="str">
        <f ca="1">IFERROR(__xludf.DUMMYFUNCTION("FILTER(C:E,B:B=L78)")," ")</f>
        <v xml:space="preserve"> </v>
      </c>
      <c r="U78" s="40" t="str">
        <f ca="1">IFERROR(__xludf.DUMMYFUNCTION("""COMPUTED_VALUE""")," ")</f>
        <v xml:space="preserve"> </v>
      </c>
      <c r="V78" s="40" t="str">
        <f ca="1">IFERROR(__xludf.DUMMYFUNCTION("""COMPUTED_VALUE""")," ")</f>
        <v xml:space="preserve"> </v>
      </c>
      <c r="W78" s="40" t="str">
        <f t="shared" ca="1" si="21"/>
        <v>,</v>
      </c>
      <c r="X78" s="40" t="s">
        <v>682</v>
      </c>
      <c r="Y78" s="40" t="s">
        <v>683</v>
      </c>
      <c r="Z78" s="264">
        <f t="shared" ca="1" si="1"/>
        <v>35.437263000000002</v>
      </c>
      <c r="AA78" s="40" t="s">
        <v>684</v>
      </c>
      <c r="AB78" s="264">
        <f t="shared" ca="1" si="2"/>
        <v>133.32223200000001</v>
      </c>
      <c r="AC78" s="40" t="s">
        <v>685</v>
      </c>
      <c r="AD78" s="264">
        <f t="shared" ca="1" si="3"/>
        <v>35.436062</v>
      </c>
      <c r="AE78" s="40" t="s">
        <v>684</v>
      </c>
      <c r="AF78" s="264">
        <f t="shared" ca="1" si="4"/>
        <v>133.32418699999999</v>
      </c>
      <c r="AG78" s="40" t="s">
        <v>686</v>
      </c>
      <c r="AH78" s="264" t="str">
        <f t="shared" ca="1" si="5"/>
        <v xml:space="preserve"> </v>
      </c>
      <c r="AI78" s="40" t="s">
        <v>684</v>
      </c>
      <c r="AJ78" s="264" t="str">
        <f t="shared" ca="1" si="6"/>
        <v xml:space="preserve"> </v>
      </c>
      <c r="AK78" s="40" t="s">
        <v>687</v>
      </c>
      <c r="AL78" s="264" t="str">
        <f t="shared" ca="1" si="7"/>
        <v>coral</v>
      </c>
      <c r="AM78" s="40" t="s">
        <v>688</v>
      </c>
      <c r="AN78" s="40" t="str">
        <f t="shared" ca="1" si="8"/>
        <v>,{"type":"polygon","latLngs":[ {"lat":35.437263,"lng":133.322232}, {"lat":35.436062,"lng":133.324187},{"lat": ,"lng": }], "color":"coral"}</v>
      </c>
      <c r="AO78" s="266" t="s">
        <v>689</v>
      </c>
      <c r="AP78" s="56">
        <f t="shared" ca="1" si="9"/>
        <v>35.437263000000002</v>
      </c>
      <c r="AQ78" s="40" t="s">
        <v>684</v>
      </c>
      <c r="AR78" s="56">
        <f t="shared" ca="1" si="10"/>
        <v>133.32223200000001</v>
      </c>
      <c r="AS78" s="40" t="s">
        <v>686</v>
      </c>
      <c r="AT78" s="56">
        <f t="shared" ca="1" si="11"/>
        <v>35.436062</v>
      </c>
      <c r="AU78" s="40" t="s">
        <v>684</v>
      </c>
      <c r="AV78" s="56">
        <f t="shared" ca="1" si="12"/>
        <v>133.32418699999999</v>
      </c>
      <c r="AW78" s="40" t="s">
        <v>690</v>
      </c>
      <c r="AX78" s="40" t="str">
        <f t="shared" ca="1" si="13"/>
        <v>coral</v>
      </c>
      <c r="AY78" s="40" t="s">
        <v>688</v>
      </c>
      <c r="AZ78" s="40" t="str">
        <f t="shared" ca="1" si="14"/>
        <v>,{"type":"polyline","latLngs":[{"lat":35.437263,"lng":133.322232},{"lat":35.436062,"lng":133.324187}],"color":"coral"}</v>
      </c>
      <c r="BA78" s="40" t="s">
        <v>691</v>
      </c>
      <c r="BB78" s="56">
        <f t="shared" ca="1" si="15"/>
        <v>35.437263000000002</v>
      </c>
      <c r="BC78" s="40" t="s">
        <v>684</v>
      </c>
      <c r="BD78" s="56">
        <f t="shared" ca="1" si="16"/>
        <v>133.32223200000001</v>
      </c>
      <c r="BE78" s="40" t="s">
        <v>692</v>
      </c>
      <c r="BF78" s="40" t="str">
        <f t="shared" ca="1" si="17"/>
        <v>coral</v>
      </c>
      <c r="BG78" s="40" t="s">
        <v>688</v>
      </c>
      <c r="BH78" s="40" t="str">
        <f t="shared" ca="1" si="18"/>
        <v>,{"type":"marker","latLng":{"lat":35.437263,"lng":133.322232},"color":"coral"}</v>
      </c>
      <c r="BI78" s="40" t="s">
        <v>693</v>
      </c>
      <c r="BJ78" s="40" t="s">
        <v>694</v>
      </c>
      <c r="BK78" s="267" t="str">
        <f t="shared" ca="1" si="19"/>
        <v>,{"type":"polyline","latLngs":[{"lat":35.437263,"lng":133.322232},{"lat":35.436062,"lng":133.324187}],"color":"coral"}</v>
      </c>
      <c r="BL78" s="40"/>
      <c r="BM78" s="40"/>
      <c r="BN78" s="40"/>
      <c r="BO78" s="40"/>
      <c r="BP78" s="40"/>
      <c r="BQ78" s="40"/>
      <c r="BR78" s="40"/>
      <c r="BS78" s="40"/>
      <c r="BT78" s="40"/>
      <c r="BU78" s="40"/>
      <c r="BV78" s="40"/>
      <c r="BW78" s="40"/>
      <c r="BX78" s="40"/>
      <c r="BY78" s="40"/>
      <c r="BZ78" s="40"/>
      <c r="CA78" s="40"/>
      <c r="CB78" s="40"/>
      <c r="CC78" s="40"/>
      <c r="CD78" s="40"/>
      <c r="CE78" s="40"/>
      <c r="CF78" s="40"/>
      <c r="CG78" s="40"/>
      <c r="CH78" s="40"/>
    </row>
    <row r="79" spans="1:86" ht="17.5">
      <c r="A79" s="40"/>
      <c r="B79" s="260" t="str">
        <f ca="1">IFERROR(__xludf.DUMMYFUNCTION("""COMPUTED_VALUE"""),"P71")</f>
        <v>P71</v>
      </c>
      <c r="C79" s="273" t="str">
        <f ca="1">IFERROR(__xludf.DUMMYFUNCTION("""COMPUTED_VALUE"""),"義方公民館")</f>
        <v>義方公民館</v>
      </c>
      <c r="D79" s="273">
        <f ca="1">IFERROR(__xludf.DUMMYFUNCTION("""COMPUTED_VALUE"""),35.43765)</f>
        <v>35.437649999999998</v>
      </c>
      <c r="E79" s="273">
        <f ca="1">IFERROR(__xludf.DUMMYFUNCTION("""COMPUTED_VALUE"""),133.323411)</f>
        <v>133.32341099999999</v>
      </c>
      <c r="F79" s="40"/>
      <c r="G79" s="261"/>
      <c r="H79" s="262" t="s">
        <v>672</v>
      </c>
      <c r="I79" s="271" t="str">
        <f ca="1">IFERROR(__xludf.DUMMYFUNCTION("""COMPUTED_VALUE"""),"Agent04")</f>
        <v>Agent04</v>
      </c>
      <c r="J79" s="271" t="str">
        <f ca="1">IFERROR(__xludf.DUMMYFUNCTION("""COMPUTED_VALUE"""),"P68")</f>
        <v>P68</v>
      </c>
      <c r="K79" s="271" t="str">
        <f ca="1">IFERROR(__xludf.DUMMYFUNCTION("""COMPUTED_VALUE"""),"P61")</f>
        <v>P61</v>
      </c>
      <c r="L79" s="242" t="s">
        <v>681</v>
      </c>
      <c r="M79" s="263" t="str">
        <f t="shared" ca="1" si="0"/>
        <v>coral</v>
      </c>
      <c r="N79" s="264" t="str">
        <f ca="1">IFERROR(__xludf.DUMMYFUNCTION("FILTER(C:E,B:B=J79)"),"住居表示街区案内図 米子市旗ヶ崎1丁目")</f>
        <v>住居表示街区案内図 米子市旗ヶ崎1丁目</v>
      </c>
      <c r="O79" s="265">
        <f ca="1">IFERROR(__xludf.DUMMYFUNCTION("""COMPUTED_VALUE"""),35.437263)</f>
        <v>35.437263000000002</v>
      </c>
      <c r="P79" s="265">
        <f ca="1">IFERROR(__xludf.DUMMYFUNCTION("""COMPUTED_VALUE"""),133.322232)</f>
        <v>133.32223200000001</v>
      </c>
      <c r="Q79" s="264" t="str">
        <f ca="1">IFERROR(__xludf.DUMMYFUNCTION("FILTER(C:E,B:B=K79)"),"どらやき神社")</f>
        <v>どらやき神社</v>
      </c>
      <c r="R79" s="265">
        <f ca="1">IFERROR(__xludf.DUMMYFUNCTION("""COMPUTED_VALUE"""),35.435771)</f>
        <v>35.435771000000003</v>
      </c>
      <c r="S79" s="265">
        <f ca="1">IFERROR(__xludf.DUMMYFUNCTION("""COMPUTED_VALUE"""),133.323536)</f>
        <v>133.32353599999999</v>
      </c>
      <c r="T79" s="264" t="str">
        <f ca="1">IFERROR(__xludf.DUMMYFUNCTION("FILTER(C:E,B:B=L79)")," ")</f>
        <v xml:space="preserve"> </v>
      </c>
      <c r="U79" s="40" t="str">
        <f ca="1">IFERROR(__xludf.DUMMYFUNCTION("""COMPUTED_VALUE""")," ")</f>
        <v xml:space="preserve"> </v>
      </c>
      <c r="V79" s="40" t="str">
        <f ca="1">IFERROR(__xludf.DUMMYFUNCTION("""COMPUTED_VALUE""")," ")</f>
        <v xml:space="preserve"> </v>
      </c>
      <c r="W79" s="40" t="str">
        <f t="shared" ca="1" si="21"/>
        <v>,</v>
      </c>
      <c r="X79" s="40" t="s">
        <v>682</v>
      </c>
      <c r="Y79" s="40" t="s">
        <v>683</v>
      </c>
      <c r="Z79" s="264">
        <f t="shared" ca="1" si="1"/>
        <v>35.437263000000002</v>
      </c>
      <c r="AA79" s="40" t="s">
        <v>684</v>
      </c>
      <c r="AB79" s="264">
        <f t="shared" ca="1" si="2"/>
        <v>133.32223200000001</v>
      </c>
      <c r="AC79" s="40" t="s">
        <v>685</v>
      </c>
      <c r="AD79" s="264">
        <f t="shared" ca="1" si="3"/>
        <v>35.435771000000003</v>
      </c>
      <c r="AE79" s="40" t="s">
        <v>684</v>
      </c>
      <c r="AF79" s="264">
        <f t="shared" ca="1" si="4"/>
        <v>133.32353599999999</v>
      </c>
      <c r="AG79" s="40" t="s">
        <v>686</v>
      </c>
      <c r="AH79" s="264" t="str">
        <f t="shared" ca="1" si="5"/>
        <v xml:space="preserve"> </v>
      </c>
      <c r="AI79" s="40" t="s">
        <v>684</v>
      </c>
      <c r="AJ79" s="264" t="str">
        <f t="shared" ca="1" si="6"/>
        <v xml:space="preserve"> </v>
      </c>
      <c r="AK79" s="40" t="s">
        <v>687</v>
      </c>
      <c r="AL79" s="264" t="str">
        <f t="shared" ca="1" si="7"/>
        <v>coral</v>
      </c>
      <c r="AM79" s="40" t="s">
        <v>688</v>
      </c>
      <c r="AN79" s="40" t="str">
        <f t="shared" ca="1" si="8"/>
        <v>,{"type":"polygon","latLngs":[ {"lat":35.437263,"lng":133.322232}, {"lat":35.435771,"lng":133.323536},{"lat": ,"lng": }], "color":"coral"}</v>
      </c>
      <c r="AO79" s="266" t="s">
        <v>689</v>
      </c>
      <c r="AP79" s="56">
        <f t="shared" ca="1" si="9"/>
        <v>35.437263000000002</v>
      </c>
      <c r="AQ79" s="40" t="s">
        <v>684</v>
      </c>
      <c r="AR79" s="56">
        <f t="shared" ca="1" si="10"/>
        <v>133.32223200000001</v>
      </c>
      <c r="AS79" s="40" t="s">
        <v>686</v>
      </c>
      <c r="AT79" s="56">
        <f t="shared" ca="1" si="11"/>
        <v>35.435771000000003</v>
      </c>
      <c r="AU79" s="40" t="s">
        <v>684</v>
      </c>
      <c r="AV79" s="56">
        <f t="shared" ca="1" si="12"/>
        <v>133.32353599999999</v>
      </c>
      <c r="AW79" s="40" t="s">
        <v>690</v>
      </c>
      <c r="AX79" s="40" t="str">
        <f t="shared" ca="1" si="13"/>
        <v>coral</v>
      </c>
      <c r="AY79" s="40" t="s">
        <v>688</v>
      </c>
      <c r="AZ79" s="40" t="str">
        <f t="shared" ca="1" si="14"/>
        <v>,{"type":"polyline","latLngs":[{"lat":35.437263,"lng":133.322232},{"lat":35.435771,"lng":133.323536}],"color":"coral"}</v>
      </c>
      <c r="BA79" s="40" t="s">
        <v>691</v>
      </c>
      <c r="BB79" s="56">
        <f t="shared" ca="1" si="15"/>
        <v>35.437263000000002</v>
      </c>
      <c r="BC79" s="40" t="s">
        <v>684</v>
      </c>
      <c r="BD79" s="56">
        <f t="shared" ca="1" si="16"/>
        <v>133.32223200000001</v>
      </c>
      <c r="BE79" s="40" t="s">
        <v>692</v>
      </c>
      <c r="BF79" s="40" t="str">
        <f t="shared" ca="1" si="17"/>
        <v>coral</v>
      </c>
      <c r="BG79" s="40" t="s">
        <v>688</v>
      </c>
      <c r="BH79" s="40" t="str">
        <f t="shared" ca="1" si="18"/>
        <v>,{"type":"marker","latLng":{"lat":35.437263,"lng":133.322232},"color":"coral"}</v>
      </c>
      <c r="BI79" s="40" t="s">
        <v>693</v>
      </c>
      <c r="BJ79" s="40" t="s">
        <v>694</v>
      </c>
      <c r="BK79" s="267" t="str">
        <f t="shared" ca="1" si="19"/>
        <v>,{"type":"polyline","latLngs":[{"lat":35.437263,"lng":133.322232},{"lat":35.435771,"lng":133.323536}],"color":"coral"}</v>
      </c>
      <c r="BL79" s="40"/>
      <c r="BM79" s="40"/>
      <c r="BN79" s="40"/>
      <c r="BO79" s="40"/>
      <c r="BP79" s="40"/>
      <c r="BQ79" s="40"/>
      <c r="BR79" s="40"/>
      <c r="BS79" s="40"/>
      <c r="BT79" s="40"/>
      <c r="BU79" s="40"/>
      <c r="BV79" s="40"/>
      <c r="BW79" s="40"/>
      <c r="BX79" s="40"/>
      <c r="BY79" s="40"/>
      <c r="BZ79" s="40"/>
      <c r="CA79" s="40"/>
      <c r="CB79" s="40"/>
      <c r="CC79" s="40"/>
      <c r="CD79" s="40"/>
      <c r="CE79" s="40"/>
      <c r="CF79" s="40"/>
      <c r="CG79" s="40"/>
      <c r="CH79" s="40"/>
    </row>
    <row r="80" spans="1:86" ht="17.5">
      <c r="A80" s="40"/>
      <c r="B80" s="260" t="str">
        <f ca="1">IFERROR(__xludf.DUMMYFUNCTION("""COMPUTED_VALUE"""),"P72")</f>
        <v>P72</v>
      </c>
      <c r="C80" s="273" t="str">
        <f ca="1">IFERROR(__xludf.DUMMYFUNCTION("""COMPUTED_VALUE"""),"糺神社 本殿")</f>
        <v>糺神社 本殿</v>
      </c>
      <c r="D80" s="273">
        <f ca="1">IFERROR(__xludf.DUMMYFUNCTION("""COMPUTED_VALUE"""),35.437674)</f>
        <v>35.437674000000001</v>
      </c>
      <c r="E80" s="273">
        <f ca="1">IFERROR(__xludf.DUMMYFUNCTION("""COMPUTED_VALUE"""),133.324838)</f>
        <v>133.324838</v>
      </c>
      <c r="F80" s="40"/>
      <c r="G80" s="261"/>
      <c r="H80" s="262" t="s">
        <v>672</v>
      </c>
      <c r="I80" s="271" t="str">
        <f ca="1">IFERROR(__xludf.DUMMYFUNCTION("""COMPUTED_VALUE"""),"Agent04")</f>
        <v>Agent04</v>
      </c>
      <c r="J80" s="271" t="str">
        <f ca="1">IFERROR(__xludf.DUMMYFUNCTION("""COMPUTED_VALUE"""),"P83")</f>
        <v>P83</v>
      </c>
      <c r="K80" s="271" t="str">
        <f ca="1">IFERROR(__xludf.DUMMYFUNCTION("""COMPUTED_VALUE"""),"P92")</f>
        <v>P92</v>
      </c>
      <c r="L80" s="242" t="s">
        <v>681</v>
      </c>
      <c r="M80" s="263" t="str">
        <f t="shared" ca="1" si="0"/>
        <v>coral</v>
      </c>
      <c r="N80" s="264" t="str">
        <f ca="1">IFERROR(__xludf.DUMMYFUNCTION("FILTER(C:E,B:B=J80)"),"エースドライ")</f>
        <v>エースドライ</v>
      </c>
      <c r="O80" s="265">
        <f ca="1">IFERROR(__xludf.DUMMYFUNCTION("""COMPUTED_VALUE"""),35.43982)</f>
        <v>35.439819999999997</v>
      </c>
      <c r="P80" s="265">
        <f ca="1">IFERROR(__xludf.DUMMYFUNCTION("""COMPUTED_VALUE"""),133.322327)</f>
        <v>133.322327</v>
      </c>
      <c r="Q80" s="264" t="str">
        <f ca="1">IFERROR(__xludf.DUMMYFUNCTION("FILTER(C:E,B:B=K80)"),"米子福音ルーテル教会")</f>
        <v>米子福音ルーテル教会</v>
      </c>
      <c r="R80" s="265">
        <f ca="1">IFERROR(__xludf.DUMMYFUNCTION("""COMPUTED_VALUE"""),35.440517)</f>
        <v>35.440517</v>
      </c>
      <c r="S80" s="265">
        <f ca="1">IFERROR(__xludf.DUMMYFUNCTION("""COMPUTED_VALUE"""),133.325712)</f>
        <v>133.32571200000001</v>
      </c>
      <c r="T80" s="264" t="str">
        <f ca="1">IFERROR(__xludf.DUMMYFUNCTION("FILTER(C:E,B:B=L80)")," ")</f>
        <v xml:space="preserve"> </v>
      </c>
      <c r="U80" s="40" t="str">
        <f ca="1">IFERROR(__xludf.DUMMYFUNCTION("""COMPUTED_VALUE""")," ")</f>
        <v xml:space="preserve"> </v>
      </c>
      <c r="V80" s="40" t="str">
        <f ca="1">IFERROR(__xludf.DUMMYFUNCTION("""COMPUTED_VALUE""")," ")</f>
        <v xml:space="preserve"> </v>
      </c>
      <c r="W80" s="40" t="str">
        <f t="shared" ca="1" si="21"/>
        <v>,</v>
      </c>
      <c r="X80" s="40" t="s">
        <v>682</v>
      </c>
      <c r="Y80" s="40" t="s">
        <v>683</v>
      </c>
      <c r="Z80" s="264">
        <f t="shared" ca="1" si="1"/>
        <v>35.439819999999997</v>
      </c>
      <c r="AA80" s="40" t="s">
        <v>684</v>
      </c>
      <c r="AB80" s="264">
        <f t="shared" ca="1" si="2"/>
        <v>133.322327</v>
      </c>
      <c r="AC80" s="40" t="s">
        <v>685</v>
      </c>
      <c r="AD80" s="264">
        <f t="shared" ca="1" si="3"/>
        <v>35.440517</v>
      </c>
      <c r="AE80" s="40" t="s">
        <v>684</v>
      </c>
      <c r="AF80" s="264">
        <f t="shared" ca="1" si="4"/>
        <v>133.32571200000001</v>
      </c>
      <c r="AG80" s="40" t="s">
        <v>686</v>
      </c>
      <c r="AH80" s="264" t="str">
        <f t="shared" ca="1" si="5"/>
        <v xml:space="preserve"> </v>
      </c>
      <c r="AI80" s="40" t="s">
        <v>684</v>
      </c>
      <c r="AJ80" s="264" t="str">
        <f t="shared" ca="1" si="6"/>
        <v xml:space="preserve"> </v>
      </c>
      <c r="AK80" s="40" t="s">
        <v>687</v>
      </c>
      <c r="AL80" s="264" t="str">
        <f t="shared" ca="1" si="7"/>
        <v>coral</v>
      </c>
      <c r="AM80" s="40" t="s">
        <v>688</v>
      </c>
      <c r="AN80" s="40" t="str">
        <f t="shared" ca="1" si="8"/>
        <v>,{"type":"polygon","latLngs":[ {"lat":35.43982,"lng":133.322327}, {"lat":35.440517,"lng":133.325712},{"lat": ,"lng": }], "color":"coral"}</v>
      </c>
      <c r="AO80" s="266" t="s">
        <v>689</v>
      </c>
      <c r="AP80" s="56">
        <f t="shared" ca="1" si="9"/>
        <v>35.439819999999997</v>
      </c>
      <c r="AQ80" s="40" t="s">
        <v>684</v>
      </c>
      <c r="AR80" s="56">
        <f t="shared" ca="1" si="10"/>
        <v>133.322327</v>
      </c>
      <c r="AS80" s="40" t="s">
        <v>686</v>
      </c>
      <c r="AT80" s="56">
        <f t="shared" ca="1" si="11"/>
        <v>35.440517</v>
      </c>
      <c r="AU80" s="40" t="s">
        <v>684</v>
      </c>
      <c r="AV80" s="56">
        <f t="shared" ca="1" si="12"/>
        <v>133.32571200000001</v>
      </c>
      <c r="AW80" s="40" t="s">
        <v>690</v>
      </c>
      <c r="AX80" s="40" t="str">
        <f t="shared" ca="1" si="13"/>
        <v>coral</v>
      </c>
      <c r="AY80" s="40" t="s">
        <v>688</v>
      </c>
      <c r="AZ80" s="40" t="str">
        <f t="shared" ca="1" si="14"/>
        <v>,{"type":"polyline","latLngs":[{"lat":35.43982,"lng":133.322327},{"lat":35.440517,"lng":133.325712}],"color":"coral"}</v>
      </c>
      <c r="BA80" s="40" t="s">
        <v>691</v>
      </c>
      <c r="BB80" s="56">
        <f t="shared" ca="1" si="15"/>
        <v>35.439819999999997</v>
      </c>
      <c r="BC80" s="40" t="s">
        <v>684</v>
      </c>
      <c r="BD80" s="56">
        <f t="shared" ca="1" si="16"/>
        <v>133.322327</v>
      </c>
      <c r="BE80" s="40" t="s">
        <v>692</v>
      </c>
      <c r="BF80" s="40" t="str">
        <f t="shared" ca="1" si="17"/>
        <v>coral</v>
      </c>
      <c r="BG80" s="40" t="s">
        <v>688</v>
      </c>
      <c r="BH80" s="40" t="str">
        <f t="shared" ca="1" si="18"/>
        <v>,{"type":"marker","latLng":{"lat":35.43982,"lng":133.322327},"color":"coral"}</v>
      </c>
      <c r="BI80" s="40" t="s">
        <v>693</v>
      </c>
      <c r="BJ80" s="40" t="s">
        <v>694</v>
      </c>
      <c r="BK80" s="267" t="str">
        <f t="shared" ca="1" si="19"/>
        <v>,{"type":"polyline","latLngs":[{"lat":35.43982,"lng":133.322327},{"lat":35.440517,"lng":133.325712}],"color":"coral"}</v>
      </c>
      <c r="BL80" s="40"/>
      <c r="BM80" s="40"/>
      <c r="BN80" s="40"/>
      <c r="BO80" s="40"/>
      <c r="BP80" s="40"/>
      <c r="BQ80" s="40"/>
      <c r="BR80" s="40"/>
      <c r="BS80" s="40"/>
      <c r="BT80" s="40"/>
      <c r="BU80" s="40"/>
      <c r="BV80" s="40"/>
      <c r="BW80" s="40"/>
      <c r="BX80" s="40"/>
      <c r="BY80" s="40"/>
      <c r="BZ80" s="40"/>
      <c r="CA80" s="40"/>
      <c r="CB80" s="40"/>
      <c r="CC80" s="40"/>
      <c r="CD80" s="40"/>
      <c r="CE80" s="40"/>
      <c r="CF80" s="40"/>
      <c r="CG80" s="40"/>
      <c r="CH80" s="40"/>
    </row>
    <row r="81" spans="1:86" ht="17.5">
      <c r="A81" s="40"/>
      <c r="B81" s="260" t="str">
        <f ca="1">IFERROR(__xludf.DUMMYFUNCTION("""COMPUTED_VALUE"""),"P73")</f>
        <v>P73</v>
      </c>
      <c r="C81" s="273" t="str">
        <f ca="1">IFERROR(__xludf.DUMMYFUNCTION("""COMPUTED_VALUE"""),"三界萬霊塔")</f>
        <v>三界萬霊塔</v>
      </c>
      <c r="D81" s="273">
        <f ca="1">IFERROR(__xludf.DUMMYFUNCTION("""COMPUTED_VALUE"""),35.438051)</f>
        <v>35.438051000000002</v>
      </c>
      <c r="E81" s="273">
        <f ca="1">IFERROR(__xludf.DUMMYFUNCTION("""COMPUTED_VALUE"""),133.324409)</f>
        <v>133.324409</v>
      </c>
      <c r="F81" s="40"/>
      <c r="G81" s="261"/>
      <c r="H81" s="262" t="s">
        <v>672</v>
      </c>
      <c r="I81" s="271" t="str">
        <f ca="1">IFERROR(__xludf.DUMMYFUNCTION("""COMPUTED_VALUE"""),"Agent04")</f>
        <v>Agent04</v>
      </c>
      <c r="J81" s="271" t="str">
        <f ca="1">IFERROR(__xludf.DUMMYFUNCTION("""COMPUTED_VALUE"""),"P83")</f>
        <v>P83</v>
      </c>
      <c r="K81" s="271" t="str">
        <f ca="1">IFERROR(__xludf.DUMMYFUNCTION("""COMPUTED_VALUE"""),"P77")</f>
        <v>P77</v>
      </c>
      <c r="L81" s="242" t="s">
        <v>681</v>
      </c>
      <c r="M81" s="263" t="str">
        <f t="shared" ca="1" si="0"/>
        <v>coral</v>
      </c>
      <c r="N81" s="264" t="str">
        <f ca="1">IFERROR(__xludf.DUMMYFUNCTION("FILTER(C:E,B:B=J81)"),"エースドライ")</f>
        <v>エースドライ</v>
      </c>
      <c r="O81" s="265">
        <f ca="1">IFERROR(__xludf.DUMMYFUNCTION("""COMPUTED_VALUE"""),35.43982)</f>
        <v>35.439819999999997</v>
      </c>
      <c r="P81" s="265">
        <f ca="1">IFERROR(__xludf.DUMMYFUNCTION("""COMPUTED_VALUE"""),133.322327)</f>
        <v>133.322327</v>
      </c>
      <c r="Q81" s="264" t="str">
        <f ca="1">IFERROR(__xludf.DUMMYFUNCTION("FILTER(C:E,B:B=K81)"),"理想教 米子法堂")</f>
        <v>理想教 米子法堂</v>
      </c>
      <c r="R81" s="265">
        <f ca="1">IFERROR(__xludf.DUMMYFUNCTION("""COMPUTED_VALUE"""),35.439227)</f>
        <v>35.439227000000002</v>
      </c>
      <c r="S81" s="265">
        <f ca="1">IFERROR(__xludf.DUMMYFUNCTION("""COMPUTED_VALUE"""),133.324762)</f>
        <v>133.32476199999999</v>
      </c>
      <c r="T81" s="264" t="str">
        <f ca="1">IFERROR(__xludf.DUMMYFUNCTION("FILTER(C:E,B:B=L81)")," ")</f>
        <v xml:space="preserve"> </v>
      </c>
      <c r="U81" s="40" t="str">
        <f ca="1">IFERROR(__xludf.DUMMYFUNCTION("""COMPUTED_VALUE""")," ")</f>
        <v xml:space="preserve"> </v>
      </c>
      <c r="V81" s="40" t="str">
        <f ca="1">IFERROR(__xludf.DUMMYFUNCTION("""COMPUTED_VALUE""")," ")</f>
        <v xml:space="preserve"> </v>
      </c>
      <c r="W81" s="40" t="str">
        <f t="shared" ca="1" si="21"/>
        <v>,</v>
      </c>
      <c r="X81" s="40" t="s">
        <v>682</v>
      </c>
      <c r="Y81" s="40" t="s">
        <v>683</v>
      </c>
      <c r="Z81" s="264">
        <f t="shared" ca="1" si="1"/>
        <v>35.439819999999997</v>
      </c>
      <c r="AA81" s="40" t="s">
        <v>684</v>
      </c>
      <c r="AB81" s="264">
        <f t="shared" ca="1" si="2"/>
        <v>133.322327</v>
      </c>
      <c r="AC81" s="40" t="s">
        <v>685</v>
      </c>
      <c r="AD81" s="264">
        <f t="shared" ca="1" si="3"/>
        <v>35.439227000000002</v>
      </c>
      <c r="AE81" s="40" t="s">
        <v>684</v>
      </c>
      <c r="AF81" s="264">
        <f t="shared" ca="1" si="4"/>
        <v>133.32476199999999</v>
      </c>
      <c r="AG81" s="40" t="s">
        <v>686</v>
      </c>
      <c r="AH81" s="264" t="str">
        <f t="shared" ca="1" si="5"/>
        <v xml:space="preserve"> </v>
      </c>
      <c r="AI81" s="40" t="s">
        <v>684</v>
      </c>
      <c r="AJ81" s="264" t="str">
        <f t="shared" ca="1" si="6"/>
        <v xml:space="preserve"> </v>
      </c>
      <c r="AK81" s="40" t="s">
        <v>687</v>
      </c>
      <c r="AL81" s="264" t="str">
        <f t="shared" ca="1" si="7"/>
        <v>coral</v>
      </c>
      <c r="AM81" s="40" t="s">
        <v>688</v>
      </c>
      <c r="AN81" s="40" t="str">
        <f t="shared" ca="1" si="8"/>
        <v>,{"type":"polygon","latLngs":[ {"lat":35.43982,"lng":133.322327}, {"lat":35.439227,"lng":133.324762},{"lat": ,"lng": }], "color":"coral"}</v>
      </c>
      <c r="AO81" s="266" t="s">
        <v>689</v>
      </c>
      <c r="AP81" s="56">
        <f t="shared" ca="1" si="9"/>
        <v>35.439819999999997</v>
      </c>
      <c r="AQ81" s="40" t="s">
        <v>684</v>
      </c>
      <c r="AR81" s="56">
        <f t="shared" ca="1" si="10"/>
        <v>133.322327</v>
      </c>
      <c r="AS81" s="40" t="s">
        <v>686</v>
      </c>
      <c r="AT81" s="56">
        <f t="shared" ca="1" si="11"/>
        <v>35.439227000000002</v>
      </c>
      <c r="AU81" s="40" t="s">
        <v>684</v>
      </c>
      <c r="AV81" s="56">
        <f t="shared" ca="1" si="12"/>
        <v>133.32476199999999</v>
      </c>
      <c r="AW81" s="40" t="s">
        <v>690</v>
      </c>
      <c r="AX81" s="40" t="str">
        <f t="shared" ca="1" si="13"/>
        <v>coral</v>
      </c>
      <c r="AY81" s="40" t="s">
        <v>688</v>
      </c>
      <c r="AZ81" s="40" t="str">
        <f t="shared" ca="1" si="14"/>
        <v>,{"type":"polyline","latLngs":[{"lat":35.43982,"lng":133.322327},{"lat":35.439227,"lng":133.324762}],"color":"coral"}</v>
      </c>
      <c r="BA81" s="40" t="s">
        <v>691</v>
      </c>
      <c r="BB81" s="56">
        <f t="shared" ca="1" si="15"/>
        <v>35.439819999999997</v>
      </c>
      <c r="BC81" s="40" t="s">
        <v>684</v>
      </c>
      <c r="BD81" s="56">
        <f t="shared" ca="1" si="16"/>
        <v>133.322327</v>
      </c>
      <c r="BE81" s="40" t="s">
        <v>692</v>
      </c>
      <c r="BF81" s="40" t="str">
        <f t="shared" ca="1" si="17"/>
        <v>coral</v>
      </c>
      <c r="BG81" s="40" t="s">
        <v>688</v>
      </c>
      <c r="BH81" s="40" t="str">
        <f t="shared" ca="1" si="18"/>
        <v>,{"type":"marker","latLng":{"lat":35.43982,"lng":133.322327},"color":"coral"}</v>
      </c>
      <c r="BI81" s="40" t="s">
        <v>693</v>
      </c>
      <c r="BJ81" s="40" t="s">
        <v>694</v>
      </c>
      <c r="BK81" s="267" t="str">
        <f t="shared" ca="1" si="19"/>
        <v>,{"type":"polyline","latLngs":[{"lat":35.43982,"lng":133.322327},{"lat":35.439227,"lng":133.324762}],"color":"coral"}</v>
      </c>
      <c r="BL81" s="40"/>
      <c r="BM81" s="40"/>
      <c r="BN81" s="40"/>
      <c r="BO81" s="40"/>
      <c r="BP81" s="40"/>
      <c r="BQ81" s="40"/>
      <c r="BR81" s="40"/>
      <c r="BS81" s="40"/>
      <c r="BT81" s="40"/>
      <c r="BU81" s="40"/>
      <c r="BV81" s="40"/>
      <c r="BW81" s="40"/>
      <c r="BX81" s="40"/>
      <c r="BY81" s="40"/>
      <c r="BZ81" s="40"/>
      <c r="CA81" s="40"/>
      <c r="CB81" s="40"/>
      <c r="CC81" s="40"/>
      <c r="CD81" s="40"/>
      <c r="CE81" s="40"/>
      <c r="CF81" s="40"/>
      <c r="CG81" s="40"/>
      <c r="CH81" s="40"/>
    </row>
    <row r="82" spans="1:86" ht="17.5">
      <c r="A82" s="40"/>
      <c r="B82" s="260" t="str">
        <f ca="1">IFERROR(__xludf.DUMMYFUNCTION("""COMPUTED_VALUE"""),"P74")</f>
        <v>P74</v>
      </c>
      <c r="C82" s="273" t="str">
        <f ca="1">IFERROR(__xludf.DUMMYFUNCTION("""COMPUTED_VALUE"""),"ラッテちゃんボランティアロード")</f>
        <v>ラッテちゃんボランティアロード</v>
      </c>
      <c r="D82" s="273">
        <f ca="1">IFERROR(__xludf.DUMMYFUNCTION("""COMPUTED_VALUE"""),35.438389)</f>
        <v>35.438389000000001</v>
      </c>
      <c r="E82" s="273">
        <f ca="1">IFERROR(__xludf.DUMMYFUNCTION("""COMPUTED_VALUE"""),133.340377)</f>
        <v>133.34037699999999</v>
      </c>
      <c r="F82" s="40"/>
      <c r="G82" s="261"/>
      <c r="H82" s="262" t="s">
        <v>672</v>
      </c>
      <c r="I82" s="271" t="str">
        <f ca="1">IFERROR(__xludf.DUMMYFUNCTION("""COMPUTED_VALUE"""),"Agent04")</f>
        <v>Agent04</v>
      </c>
      <c r="J82" s="271" t="str">
        <f ca="1">IFERROR(__xludf.DUMMYFUNCTION("""COMPUTED_VALUE"""),"P71")</f>
        <v>P71</v>
      </c>
      <c r="K82" s="271" t="str">
        <f ca="1">IFERROR(__xludf.DUMMYFUNCTION("""COMPUTED_VALUE"""),"P68")</f>
        <v>P68</v>
      </c>
      <c r="L82" s="242" t="s">
        <v>681</v>
      </c>
      <c r="M82" s="263" t="str">
        <f t="shared" ca="1" si="0"/>
        <v>coral</v>
      </c>
      <c r="N82" s="264" t="str">
        <f ca="1">IFERROR(__xludf.DUMMYFUNCTION("FILTER(C:E,B:B=J82)"),"義方公民館")</f>
        <v>義方公民館</v>
      </c>
      <c r="O82" s="265">
        <f ca="1">IFERROR(__xludf.DUMMYFUNCTION("""COMPUTED_VALUE"""),35.43765)</f>
        <v>35.437649999999998</v>
      </c>
      <c r="P82" s="265">
        <f ca="1">IFERROR(__xludf.DUMMYFUNCTION("""COMPUTED_VALUE"""),133.323411)</f>
        <v>133.32341099999999</v>
      </c>
      <c r="Q82" s="264" t="str">
        <f ca="1">IFERROR(__xludf.DUMMYFUNCTION("FILTER(C:E,B:B=K82)"),"住居表示街区案内図 米子市旗ヶ崎1丁目")</f>
        <v>住居表示街区案内図 米子市旗ヶ崎1丁目</v>
      </c>
      <c r="R82" s="265">
        <f ca="1">IFERROR(__xludf.DUMMYFUNCTION("""COMPUTED_VALUE"""),35.437263)</f>
        <v>35.437263000000002</v>
      </c>
      <c r="S82" s="265">
        <f ca="1">IFERROR(__xludf.DUMMYFUNCTION("""COMPUTED_VALUE"""),133.322232)</f>
        <v>133.32223200000001</v>
      </c>
      <c r="T82" s="264" t="str">
        <f ca="1">IFERROR(__xludf.DUMMYFUNCTION("FILTER(C:E,B:B=L82)")," ")</f>
        <v xml:space="preserve"> </v>
      </c>
      <c r="U82" s="40" t="str">
        <f ca="1">IFERROR(__xludf.DUMMYFUNCTION("""COMPUTED_VALUE""")," ")</f>
        <v xml:space="preserve"> </v>
      </c>
      <c r="V82" s="40" t="str">
        <f ca="1">IFERROR(__xludf.DUMMYFUNCTION("""COMPUTED_VALUE""")," ")</f>
        <v xml:space="preserve"> </v>
      </c>
      <c r="W82" s="40" t="str">
        <f t="shared" ca="1" si="21"/>
        <v>,</v>
      </c>
      <c r="X82" s="40" t="s">
        <v>682</v>
      </c>
      <c r="Y82" s="40" t="s">
        <v>683</v>
      </c>
      <c r="Z82" s="264">
        <f t="shared" ca="1" si="1"/>
        <v>35.437649999999998</v>
      </c>
      <c r="AA82" s="40" t="s">
        <v>684</v>
      </c>
      <c r="AB82" s="264">
        <f t="shared" ca="1" si="2"/>
        <v>133.32341099999999</v>
      </c>
      <c r="AC82" s="40" t="s">
        <v>685</v>
      </c>
      <c r="AD82" s="264">
        <f t="shared" ca="1" si="3"/>
        <v>35.437263000000002</v>
      </c>
      <c r="AE82" s="40" t="s">
        <v>684</v>
      </c>
      <c r="AF82" s="264">
        <f t="shared" ca="1" si="4"/>
        <v>133.32223200000001</v>
      </c>
      <c r="AG82" s="40" t="s">
        <v>686</v>
      </c>
      <c r="AH82" s="264" t="str">
        <f t="shared" ca="1" si="5"/>
        <v xml:space="preserve"> </v>
      </c>
      <c r="AI82" s="40" t="s">
        <v>684</v>
      </c>
      <c r="AJ82" s="264" t="str">
        <f t="shared" ca="1" si="6"/>
        <v xml:space="preserve"> </v>
      </c>
      <c r="AK82" s="40" t="s">
        <v>687</v>
      </c>
      <c r="AL82" s="264" t="str">
        <f t="shared" ca="1" si="7"/>
        <v>coral</v>
      </c>
      <c r="AM82" s="40" t="s">
        <v>688</v>
      </c>
      <c r="AN82" s="40" t="str">
        <f t="shared" ca="1" si="8"/>
        <v>,{"type":"polygon","latLngs":[ {"lat":35.43765,"lng":133.323411}, {"lat":35.437263,"lng":133.322232},{"lat": ,"lng": }], "color":"coral"}</v>
      </c>
      <c r="AO82" s="266" t="s">
        <v>689</v>
      </c>
      <c r="AP82" s="56">
        <f t="shared" ca="1" si="9"/>
        <v>35.437649999999998</v>
      </c>
      <c r="AQ82" s="40" t="s">
        <v>684</v>
      </c>
      <c r="AR82" s="56">
        <f t="shared" ca="1" si="10"/>
        <v>133.32341099999999</v>
      </c>
      <c r="AS82" s="40" t="s">
        <v>686</v>
      </c>
      <c r="AT82" s="56">
        <f t="shared" ca="1" si="11"/>
        <v>35.437263000000002</v>
      </c>
      <c r="AU82" s="40" t="s">
        <v>684</v>
      </c>
      <c r="AV82" s="56">
        <f t="shared" ca="1" si="12"/>
        <v>133.32223200000001</v>
      </c>
      <c r="AW82" s="40" t="s">
        <v>690</v>
      </c>
      <c r="AX82" s="40" t="str">
        <f t="shared" ca="1" si="13"/>
        <v>coral</v>
      </c>
      <c r="AY82" s="40" t="s">
        <v>688</v>
      </c>
      <c r="AZ82" s="40" t="str">
        <f t="shared" ca="1" si="14"/>
        <v>,{"type":"polyline","latLngs":[{"lat":35.43765,"lng":133.323411},{"lat":35.437263,"lng":133.322232}],"color":"coral"}</v>
      </c>
      <c r="BA82" s="40" t="s">
        <v>691</v>
      </c>
      <c r="BB82" s="56">
        <f t="shared" ca="1" si="15"/>
        <v>35.437649999999998</v>
      </c>
      <c r="BC82" s="40" t="s">
        <v>684</v>
      </c>
      <c r="BD82" s="56">
        <f t="shared" ca="1" si="16"/>
        <v>133.32341099999999</v>
      </c>
      <c r="BE82" s="40" t="s">
        <v>692</v>
      </c>
      <c r="BF82" s="40" t="str">
        <f t="shared" ca="1" si="17"/>
        <v>coral</v>
      </c>
      <c r="BG82" s="40" t="s">
        <v>688</v>
      </c>
      <c r="BH82" s="40" t="str">
        <f t="shared" ca="1" si="18"/>
        <v>,{"type":"marker","latLng":{"lat":35.43765,"lng":133.323411},"color":"coral"}</v>
      </c>
      <c r="BI82" s="40" t="s">
        <v>693</v>
      </c>
      <c r="BJ82" s="40" t="s">
        <v>694</v>
      </c>
      <c r="BK82" s="267" t="str">
        <f t="shared" ca="1" si="19"/>
        <v>,{"type":"polyline","latLngs":[{"lat":35.43765,"lng":133.323411},{"lat":35.437263,"lng":133.322232}],"color":"coral"}</v>
      </c>
      <c r="BL82" s="40"/>
      <c r="BM82" s="40"/>
      <c r="BN82" s="40"/>
      <c r="BO82" s="40"/>
      <c r="BP82" s="40"/>
      <c r="BQ82" s="40"/>
      <c r="BR82" s="40"/>
      <c r="BS82" s="40"/>
      <c r="BT82" s="40"/>
      <c r="BU82" s="40"/>
      <c r="BV82" s="40"/>
      <c r="BW82" s="40"/>
      <c r="BX82" s="40"/>
      <c r="BY82" s="40"/>
      <c r="BZ82" s="40"/>
      <c r="CA82" s="40"/>
      <c r="CB82" s="40"/>
      <c r="CC82" s="40"/>
      <c r="CD82" s="40"/>
      <c r="CE82" s="40"/>
      <c r="CF82" s="40"/>
      <c r="CG82" s="40"/>
      <c r="CH82" s="40"/>
    </row>
    <row r="83" spans="1:86" ht="17.5">
      <c r="A83" s="40"/>
      <c r="B83" s="260" t="str">
        <f ca="1">IFERROR(__xludf.DUMMYFUNCTION("""COMPUTED_VALUE"""),"P75")</f>
        <v>P75</v>
      </c>
      <c r="C83" s="273" t="str">
        <f ca="1">IFERROR(__xludf.DUMMYFUNCTION("""COMPUTED_VALUE"""),"西部建設会館")</f>
        <v>西部建設会館</v>
      </c>
      <c r="D83" s="273">
        <f ca="1">IFERROR(__xludf.DUMMYFUNCTION("""COMPUTED_VALUE"""),35.438469)</f>
        <v>35.438468999999998</v>
      </c>
      <c r="E83" s="273">
        <f ca="1">IFERROR(__xludf.DUMMYFUNCTION("""COMPUTED_VALUE"""),133.338621)</f>
        <v>133.33862099999999</v>
      </c>
      <c r="F83" s="40"/>
      <c r="G83" s="261"/>
      <c r="H83" s="262" t="s">
        <v>672</v>
      </c>
      <c r="I83" s="271" t="str">
        <f ca="1">IFERROR(__xludf.DUMMYFUNCTION("""COMPUTED_VALUE"""),"Agent04")</f>
        <v>Agent04</v>
      </c>
      <c r="J83" s="271" t="str">
        <f ca="1">IFERROR(__xludf.DUMMYFUNCTION("""COMPUTED_VALUE"""),"P71")</f>
        <v>P71</v>
      </c>
      <c r="K83" s="271" t="str">
        <f ca="1">IFERROR(__xludf.DUMMYFUNCTION("""COMPUTED_VALUE"""),"P63")</f>
        <v>P63</v>
      </c>
      <c r="L83" s="242" t="s">
        <v>681</v>
      </c>
      <c r="M83" s="263" t="str">
        <f t="shared" ca="1" si="0"/>
        <v>coral</v>
      </c>
      <c r="N83" s="264" t="str">
        <f ca="1">IFERROR(__xludf.DUMMYFUNCTION("FILTER(C:E,B:B=J83)"),"義方公民館")</f>
        <v>義方公民館</v>
      </c>
      <c r="O83" s="265">
        <f ca="1">IFERROR(__xludf.DUMMYFUNCTION("""COMPUTED_VALUE"""),35.43765)</f>
        <v>35.437649999999998</v>
      </c>
      <c r="P83" s="265">
        <f ca="1">IFERROR(__xludf.DUMMYFUNCTION("""COMPUTED_VALUE"""),133.323411)</f>
        <v>133.32341099999999</v>
      </c>
      <c r="Q83" s="264" t="str">
        <f ca="1">IFERROR(__xludf.DUMMYFUNCTION("FILTER(C:E,B:B=K83)"),"Rochelle Antique")</f>
        <v>Rochelle Antique</v>
      </c>
      <c r="R83" s="265">
        <f ca="1">IFERROR(__xludf.DUMMYFUNCTION("""COMPUTED_VALUE"""),35.436062)</f>
        <v>35.436062</v>
      </c>
      <c r="S83" s="265">
        <f ca="1">IFERROR(__xludf.DUMMYFUNCTION("""COMPUTED_VALUE"""),133.324187)</f>
        <v>133.32418699999999</v>
      </c>
      <c r="T83" s="264" t="str">
        <f ca="1">IFERROR(__xludf.DUMMYFUNCTION("FILTER(C:E,B:B=L83)")," ")</f>
        <v xml:space="preserve"> </v>
      </c>
      <c r="U83" s="40" t="str">
        <f ca="1">IFERROR(__xludf.DUMMYFUNCTION("""COMPUTED_VALUE""")," ")</f>
        <v xml:space="preserve"> </v>
      </c>
      <c r="V83" s="40" t="str">
        <f ca="1">IFERROR(__xludf.DUMMYFUNCTION("""COMPUTED_VALUE""")," ")</f>
        <v xml:space="preserve"> </v>
      </c>
      <c r="W83" s="40" t="str">
        <f t="shared" ca="1" si="21"/>
        <v>,</v>
      </c>
      <c r="X83" s="40" t="s">
        <v>682</v>
      </c>
      <c r="Y83" s="40" t="s">
        <v>683</v>
      </c>
      <c r="Z83" s="264">
        <f t="shared" ca="1" si="1"/>
        <v>35.437649999999998</v>
      </c>
      <c r="AA83" s="40" t="s">
        <v>684</v>
      </c>
      <c r="AB83" s="264">
        <f t="shared" ca="1" si="2"/>
        <v>133.32341099999999</v>
      </c>
      <c r="AC83" s="40" t="s">
        <v>685</v>
      </c>
      <c r="AD83" s="264">
        <f t="shared" ca="1" si="3"/>
        <v>35.436062</v>
      </c>
      <c r="AE83" s="40" t="s">
        <v>684</v>
      </c>
      <c r="AF83" s="264">
        <f t="shared" ca="1" si="4"/>
        <v>133.32418699999999</v>
      </c>
      <c r="AG83" s="40" t="s">
        <v>686</v>
      </c>
      <c r="AH83" s="264" t="str">
        <f t="shared" ca="1" si="5"/>
        <v xml:space="preserve"> </v>
      </c>
      <c r="AI83" s="40" t="s">
        <v>684</v>
      </c>
      <c r="AJ83" s="264" t="str">
        <f t="shared" ca="1" si="6"/>
        <v xml:space="preserve"> </v>
      </c>
      <c r="AK83" s="40" t="s">
        <v>687</v>
      </c>
      <c r="AL83" s="264" t="str">
        <f t="shared" ca="1" si="7"/>
        <v>coral</v>
      </c>
      <c r="AM83" s="40" t="s">
        <v>688</v>
      </c>
      <c r="AN83" s="40" t="str">
        <f t="shared" ca="1" si="8"/>
        <v>,{"type":"polygon","latLngs":[ {"lat":35.43765,"lng":133.323411}, {"lat":35.436062,"lng":133.324187},{"lat": ,"lng": }], "color":"coral"}</v>
      </c>
      <c r="AO83" s="266" t="s">
        <v>689</v>
      </c>
      <c r="AP83" s="56">
        <f t="shared" ca="1" si="9"/>
        <v>35.437649999999998</v>
      </c>
      <c r="AQ83" s="40" t="s">
        <v>684</v>
      </c>
      <c r="AR83" s="56">
        <f t="shared" ca="1" si="10"/>
        <v>133.32341099999999</v>
      </c>
      <c r="AS83" s="40" t="s">
        <v>686</v>
      </c>
      <c r="AT83" s="56">
        <f t="shared" ca="1" si="11"/>
        <v>35.436062</v>
      </c>
      <c r="AU83" s="40" t="s">
        <v>684</v>
      </c>
      <c r="AV83" s="56">
        <f t="shared" ca="1" si="12"/>
        <v>133.32418699999999</v>
      </c>
      <c r="AW83" s="40" t="s">
        <v>690</v>
      </c>
      <c r="AX83" s="40" t="str">
        <f t="shared" ca="1" si="13"/>
        <v>coral</v>
      </c>
      <c r="AY83" s="40" t="s">
        <v>688</v>
      </c>
      <c r="AZ83" s="40" t="str">
        <f t="shared" ca="1" si="14"/>
        <v>,{"type":"polyline","latLngs":[{"lat":35.43765,"lng":133.323411},{"lat":35.436062,"lng":133.324187}],"color":"coral"}</v>
      </c>
      <c r="BA83" s="40" t="s">
        <v>691</v>
      </c>
      <c r="BB83" s="56">
        <f t="shared" ca="1" si="15"/>
        <v>35.437649999999998</v>
      </c>
      <c r="BC83" s="40" t="s">
        <v>684</v>
      </c>
      <c r="BD83" s="56">
        <f t="shared" ca="1" si="16"/>
        <v>133.32341099999999</v>
      </c>
      <c r="BE83" s="40" t="s">
        <v>692</v>
      </c>
      <c r="BF83" s="40" t="str">
        <f t="shared" ca="1" si="17"/>
        <v>coral</v>
      </c>
      <c r="BG83" s="40" t="s">
        <v>688</v>
      </c>
      <c r="BH83" s="40" t="str">
        <f t="shared" ca="1" si="18"/>
        <v>,{"type":"marker","latLng":{"lat":35.43765,"lng":133.323411},"color":"coral"}</v>
      </c>
      <c r="BI83" s="40" t="s">
        <v>693</v>
      </c>
      <c r="BJ83" s="40" t="s">
        <v>694</v>
      </c>
      <c r="BK83" s="267" t="str">
        <f t="shared" ca="1" si="19"/>
        <v>,{"type":"polyline","latLngs":[{"lat":35.43765,"lng":133.323411},{"lat":35.436062,"lng":133.324187}],"color":"coral"}</v>
      </c>
      <c r="BL83" s="40"/>
      <c r="BM83" s="40"/>
      <c r="BN83" s="40"/>
      <c r="BO83" s="40"/>
      <c r="BP83" s="40"/>
      <c r="BQ83" s="40"/>
      <c r="BR83" s="40"/>
      <c r="BS83" s="40"/>
      <c r="BT83" s="40"/>
      <c r="BU83" s="40"/>
      <c r="BV83" s="40"/>
      <c r="BW83" s="40"/>
      <c r="BX83" s="40"/>
      <c r="BY83" s="40"/>
      <c r="BZ83" s="40"/>
      <c r="CA83" s="40"/>
      <c r="CB83" s="40"/>
      <c r="CC83" s="40"/>
      <c r="CD83" s="40"/>
      <c r="CE83" s="40"/>
      <c r="CF83" s="40"/>
      <c r="CG83" s="40"/>
      <c r="CH83" s="40"/>
    </row>
    <row r="84" spans="1:86" ht="17.5">
      <c r="A84" s="40"/>
      <c r="B84" s="260" t="str">
        <f ca="1">IFERROR(__xludf.DUMMYFUNCTION("""COMPUTED_VALUE"""),"P76")</f>
        <v>P76</v>
      </c>
      <c r="C84" s="273" t="str">
        <f ca="1">IFERROR(__xludf.DUMMYFUNCTION("""COMPUTED_VALUE"""),"焼肉大門")</f>
        <v>焼肉大門</v>
      </c>
      <c r="D84" s="273">
        <f ca="1">IFERROR(__xludf.DUMMYFUNCTION("""COMPUTED_VALUE"""),35.438687)</f>
        <v>35.438687000000002</v>
      </c>
      <c r="E84" s="273">
        <f ca="1">IFERROR(__xludf.DUMMYFUNCTION("""COMPUTED_VALUE"""),133.325304)</f>
        <v>133.32530399999999</v>
      </c>
      <c r="F84" s="40"/>
      <c r="G84" s="261"/>
      <c r="H84" s="262" t="s">
        <v>672</v>
      </c>
      <c r="I84" s="271" t="str">
        <f ca="1">IFERROR(__xludf.DUMMYFUNCTION("""COMPUTED_VALUE"""),"Agent04")</f>
        <v>Agent04</v>
      </c>
      <c r="J84" s="271" t="str">
        <f ca="1">IFERROR(__xludf.DUMMYFUNCTION("""COMPUTED_VALUE"""),"P73")</f>
        <v>P73</v>
      </c>
      <c r="K84" s="271" t="str">
        <f ca="1">IFERROR(__xludf.DUMMYFUNCTION("""COMPUTED_VALUE"""),"P68")</f>
        <v>P68</v>
      </c>
      <c r="L84" s="242" t="s">
        <v>681</v>
      </c>
      <c r="M84" s="263" t="str">
        <f t="shared" ca="1" si="0"/>
        <v>coral</v>
      </c>
      <c r="N84" s="264" t="str">
        <f ca="1">IFERROR(__xludf.DUMMYFUNCTION("FILTER(C:E,B:B=J84)"),"三界萬霊塔")</f>
        <v>三界萬霊塔</v>
      </c>
      <c r="O84" s="265">
        <f ca="1">IFERROR(__xludf.DUMMYFUNCTION("""COMPUTED_VALUE"""),35.438051)</f>
        <v>35.438051000000002</v>
      </c>
      <c r="P84" s="265">
        <f ca="1">IFERROR(__xludf.DUMMYFUNCTION("""COMPUTED_VALUE"""),133.324409)</f>
        <v>133.324409</v>
      </c>
      <c r="Q84" s="264" t="str">
        <f ca="1">IFERROR(__xludf.DUMMYFUNCTION("FILTER(C:E,B:B=K84)"),"住居表示街区案内図 米子市旗ヶ崎1丁目")</f>
        <v>住居表示街区案内図 米子市旗ヶ崎1丁目</v>
      </c>
      <c r="R84" s="265">
        <f ca="1">IFERROR(__xludf.DUMMYFUNCTION("""COMPUTED_VALUE"""),35.437263)</f>
        <v>35.437263000000002</v>
      </c>
      <c r="S84" s="265">
        <f ca="1">IFERROR(__xludf.DUMMYFUNCTION("""COMPUTED_VALUE"""),133.322232)</f>
        <v>133.32223200000001</v>
      </c>
      <c r="T84" s="264" t="str">
        <f ca="1">IFERROR(__xludf.DUMMYFUNCTION("FILTER(C:E,B:B=L84)")," ")</f>
        <v xml:space="preserve"> </v>
      </c>
      <c r="U84" s="40" t="str">
        <f ca="1">IFERROR(__xludf.DUMMYFUNCTION("""COMPUTED_VALUE""")," ")</f>
        <v xml:space="preserve"> </v>
      </c>
      <c r="V84" s="40" t="str">
        <f ca="1">IFERROR(__xludf.DUMMYFUNCTION("""COMPUTED_VALUE""")," ")</f>
        <v xml:space="preserve"> </v>
      </c>
      <c r="W84" s="40" t="str">
        <f t="shared" ca="1" si="21"/>
        <v>,</v>
      </c>
      <c r="X84" s="40" t="s">
        <v>682</v>
      </c>
      <c r="Y84" s="40" t="s">
        <v>683</v>
      </c>
      <c r="Z84" s="264">
        <f t="shared" ca="1" si="1"/>
        <v>35.438051000000002</v>
      </c>
      <c r="AA84" s="40" t="s">
        <v>684</v>
      </c>
      <c r="AB84" s="264">
        <f t="shared" ca="1" si="2"/>
        <v>133.324409</v>
      </c>
      <c r="AC84" s="40" t="s">
        <v>685</v>
      </c>
      <c r="AD84" s="264">
        <f t="shared" ca="1" si="3"/>
        <v>35.437263000000002</v>
      </c>
      <c r="AE84" s="40" t="s">
        <v>684</v>
      </c>
      <c r="AF84" s="264">
        <f t="shared" ca="1" si="4"/>
        <v>133.32223200000001</v>
      </c>
      <c r="AG84" s="40" t="s">
        <v>686</v>
      </c>
      <c r="AH84" s="264" t="str">
        <f t="shared" ca="1" si="5"/>
        <v xml:space="preserve"> </v>
      </c>
      <c r="AI84" s="40" t="s">
        <v>684</v>
      </c>
      <c r="AJ84" s="264" t="str">
        <f t="shared" ca="1" si="6"/>
        <v xml:space="preserve"> </v>
      </c>
      <c r="AK84" s="40" t="s">
        <v>687</v>
      </c>
      <c r="AL84" s="264" t="str">
        <f t="shared" ca="1" si="7"/>
        <v>coral</v>
      </c>
      <c r="AM84" s="40" t="s">
        <v>688</v>
      </c>
      <c r="AN84" s="40" t="str">
        <f t="shared" ca="1" si="8"/>
        <v>,{"type":"polygon","latLngs":[ {"lat":35.438051,"lng":133.324409}, {"lat":35.437263,"lng":133.322232},{"lat": ,"lng": }], "color":"coral"}</v>
      </c>
      <c r="AO84" s="266" t="s">
        <v>689</v>
      </c>
      <c r="AP84" s="56">
        <f t="shared" ca="1" si="9"/>
        <v>35.438051000000002</v>
      </c>
      <c r="AQ84" s="40" t="s">
        <v>684</v>
      </c>
      <c r="AR84" s="56">
        <f t="shared" ca="1" si="10"/>
        <v>133.324409</v>
      </c>
      <c r="AS84" s="40" t="s">
        <v>686</v>
      </c>
      <c r="AT84" s="56">
        <f t="shared" ca="1" si="11"/>
        <v>35.437263000000002</v>
      </c>
      <c r="AU84" s="40" t="s">
        <v>684</v>
      </c>
      <c r="AV84" s="56">
        <f t="shared" ca="1" si="12"/>
        <v>133.32223200000001</v>
      </c>
      <c r="AW84" s="40" t="s">
        <v>690</v>
      </c>
      <c r="AX84" s="40" t="str">
        <f t="shared" ca="1" si="13"/>
        <v>coral</v>
      </c>
      <c r="AY84" s="40" t="s">
        <v>688</v>
      </c>
      <c r="AZ84" s="40" t="str">
        <f t="shared" ca="1" si="14"/>
        <v>,{"type":"polyline","latLngs":[{"lat":35.438051,"lng":133.324409},{"lat":35.437263,"lng":133.322232}],"color":"coral"}</v>
      </c>
      <c r="BA84" s="40" t="s">
        <v>691</v>
      </c>
      <c r="BB84" s="56">
        <f t="shared" ca="1" si="15"/>
        <v>35.438051000000002</v>
      </c>
      <c r="BC84" s="40" t="s">
        <v>684</v>
      </c>
      <c r="BD84" s="56">
        <f t="shared" ca="1" si="16"/>
        <v>133.324409</v>
      </c>
      <c r="BE84" s="40" t="s">
        <v>692</v>
      </c>
      <c r="BF84" s="40" t="str">
        <f t="shared" ca="1" si="17"/>
        <v>coral</v>
      </c>
      <c r="BG84" s="40" t="s">
        <v>688</v>
      </c>
      <c r="BH84" s="40" t="str">
        <f t="shared" ca="1" si="18"/>
        <v>,{"type":"marker","latLng":{"lat":35.438051,"lng":133.324409},"color":"coral"}</v>
      </c>
      <c r="BI84" s="40" t="s">
        <v>693</v>
      </c>
      <c r="BJ84" s="40" t="s">
        <v>694</v>
      </c>
      <c r="BK84" s="267" t="str">
        <f t="shared" ca="1" si="19"/>
        <v>,{"type":"polyline","latLngs":[{"lat":35.438051,"lng":133.324409},{"lat":35.437263,"lng":133.322232}],"color":"coral"}</v>
      </c>
      <c r="BL84" s="40"/>
      <c r="BM84" s="40"/>
      <c r="BN84" s="40"/>
      <c r="BO84" s="40"/>
      <c r="BP84" s="40"/>
      <c r="BQ84" s="40"/>
      <c r="BR84" s="40"/>
      <c r="BS84" s="40"/>
      <c r="BT84" s="40"/>
      <c r="BU84" s="40"/>
      <c r="BV84" s="40"/>
      <c r="BW84" s="40"/>
      <c r="BX84" s="40"/>
      <c r="BY84" s="40"/>
      <c r="BZ84" s="40"/>
      <c r="CA84" s="40"/>
      <c r="CB84" s="40"/>
      <c r="CC84" s="40"/>
      <c r="CD84" s="40"/>
      <c r="CE84" s="40"/>
      <c r="CF84" s="40"/>
      <c r="CG84" s="40"/>
      <c r="CH84" s="40"/>
    </row>
    <row r="85" spans="1:86" ht="17.5">
      <c r="A85" s="40"/>
      <c r="B85" s="260" t="str">
        <f ca="1">IFERROR(__xludf.DUMMYFUNCTION("""COMPUTED_VALUE"""),"P77")</f>
        <v>P77</v>
      </c>
      <c r="C85" s="273" t="str">
        <f ca="1">IFERROR(__xludf.DUMMYFUNCTION("""COMPUTED_VALUE"""),"理想教 米子法堂")</f>
        <v>理想教 米子法堂</v>
      </c>
      <c r="D85" s="273">
        <f ca="1">IFERROR(__xludf.DUMMYFUNCTION("""COMPUTED_VALUE"""),35.439227)</f>
        <v>35.439227000000002</v>
      </c>
      <c r="E85" s="273">
        <f ca="1">IFERROR(__xludf.DUMMYFUNCTION("""COMPUTED_VALUE"""),133.324762)</f>
        <v>133.32476199999999</v>
      </c>
      <c r="F85" s="40"/>
      <c r="G85" s="261"/>
      <c r="H85" s="262" t="s">
        <v>672</v>
      </c>
      <c r="I85" s="271" t="str">
        <f ca="1">IFERROR(__xludf.DUMMYFUNCTION("""COMPUTED_VALUE"""),"Agent04")</f>
        <v>Agent04</v>
      </c>
      <c r="J85" s="271" t="str">
        <f ca="1">IFERROR(__xludf.DUMMYFUNCTION("""COMPUTED_VALUE"""),"P73")</f>
        <v>P73</v>
      </c>
      <c r="K85" s="271" t="str">
        <f ca="1">IFERROR(__xludf.DUMMYFUNCTION("""COMPUTED_VALUE"""),"P63")</f>
        <v>P63</v>
      </c>
      <c r="L85" s="242" t="s">
        <v>681</v>
      </c>
      <c r="M85" s="263" t="str">
        <f t="shared" ca="1" si="0"/>
        <v>coral</v>
      </c>
      <c r="N85" s="264" t="str">
        <f ca="1">IFERROR(__xludf.DUMMYFUNCTION("FILTER(C:E,B:B=J85)"),"三界萬霊塔")</f>
        <v>三界萬霊塔</v>
      </c>
      <c r="O85" s="265">
        <f ca="1">IFERROR(__xludf.DUMMYFUNCTION("""COMPUTED_VALUE"""),35.438051)</f>
        <v>35.438051000000002</v>
      </c>
      <c r="P85" s="265">
        <f ca="1">IFERROR(__xludf.DUMMYFUNCTION("""COMPUTED_VALUE"""),133.324409)</f>
        <v>133.324409</v>
      </c>
      <c r="Q85" s="264" t="str">
        <f ca="1">IFERROR(__xludf.DUMMYFUNCTION("FILTER(C:E,B:B=K85)"),"Rochelle Antique")</f>
        <v>Rochelle Antique</v>
      </c>
      <c r="R85" s="265">
        <f ca="1">IFERROR(__xludf.DUMMYFUNCTION("""COMPUTED_VALUE"""),35.436062)</f>
        <v>35.436062</v>
      </c>
      <c r="S85" s="265">
        <f ca="1">IFERROR(__xludf.DUMMYFUNCTION("""COMPUTED_VALUE"""),133.324187)</f>
        <v>133.32418699999999</v>
      </c>
      <c r="T85" s="264" t="str">
        <f ca="1">IFERROR(__xludf.DUMMYFUNCTION("FILTER(C:E,B:B=L85)")," ")</f>
        <v xml:space="preserve"> </v>
      </c>
      <c r="U85" s="40" t="str">
        <f ca="1">IFERROR(__xludf.DUMMYFUNCTION("""COMPUTED_VALUE""")," ")</f>
        <v xml:space="preserve"> </v>
      </c>
      <c r="V85" s="40" t="str">
        <f ca="1">IFERROR(__xludf.DUMMYFUNCTION("""COMPUTED_VALUE""")," ")</f>
        <v xml:space="preserve"> </v>
      </c>
      <c r="W85" s="40" t="str">
        <f t="shared" ca="1" si="21"/>
        <v>,</v>
      </c>
      <c r="X85" s="40" t="s">
        <v>682</v>
      </c>
      <c r="Y85" s="40" t="s">
        <v>683</v>
      </c>
      <c r="Z85" s="264">
        <f t="shared" ca="1" si="1"/>
        <v>35.438051000000002</v>
      </c>
      <c r="AA85" s="40" t="s">
        <v>684</v>
      </c>
      <c r="AB85" s="264">
        <f t="shared" ca="1" si="2"/>
        <v>133.324409</v>
      </c>
      <c r="AC85" s="40" t="s">
        <v>685</v>
      </c>
      <c r="AD85" s="264">
        <f t="shared" ca="1" si="3"/>
        <v>35.436062</v>
      </c>
      <c r="AE85" s="40" t="s">
        <v>684</v>
      </c>
      <c r="AF85" s="264">
        <f t="shared" ca="1" si="4"/>
        <v>133.32418699999999</v>
      </c>
      <c r="AG85" s="40" t="s">
        <v>686</v>
      </c>
      <c r="AH85" s="264" t="str">
        <f t="shared" ca="1" si="5"/>
        <v xml:space="preserve"> </v>
      </c>
      <c r="AI85" s="40" t="s">
        <v>684</v>
      </c>
      <c r="AJ85" s="264" t="str">
        <f t="shared" ca="1" si="6"/>
        <v xml:space="preserve"> </v>
      </c>
      <c r="AK85" s="40" t="s">
        <v>687</v>
      </c>
      <c r="AL85" s="264" t="str">
        <f t="shared" ca="1" si="7"/>
        <v>coral</v>
      </c>
      <c r="AM85" s="40" t="s">
        <v>688</v>
      </c>
      <c r="AN85" s="40" t="str">
        <f t="shared" ca="1" si="8"/>
        <v>,{"type":"polygon","latLngs":[ {"lat":35.438051,"lng":133.324409}, {"lat":35.436062,"lng":133.324187},{"lat": ,"lng": }], "color":"coral"}</v>
      </c>
      <c r="AO85" s="266" t="s">
        <v>689</v>
      </c>
      <c r="AP85" s="56">
        <f t="shared" ca="1" si="9"/>
        <v>35.438051000000002</v>
      </c>
      <c r="AQ85" s="40" t="s">
        <v>684</v>
      </c>
      <c r="AR85" s="56">
        <f t="shared" ca="1" si="10"/>
        <v>133.324409</v>
      </c>
      <c r="AS85" s="40" t="s">
        <v>686</v>
      </c>
      <c r="AT85" s="56">
        <f t="shared" ca="1" si="11"/>
        <v>35.436062</v>
      </c>
      <c r="AU85" s="40" t="s">
        <v>684</v>
      </c>
      <c r="AV85" s="56">
        <f t="shared" ca="1" si="12"/>
        <v>133.32418699999999</v>
      </c>
      <c r="AW85" s="40" t="s">
        <v>690</v>
      </c>
      <c r="AX85" s="40" t="str">
        <f t="shared" ca="1" si="13"/>
        <v>coral</v>
      </c>
      <c r="AY85" s="40" t="s">
        <v>688</v>
      </c>
      <c r="AZ85" s="40" t="str">
        <f t="shared" ca="1" si="14"/>
        <v>,{"type":"polyline","latLngs":[{"lat":35.438051,"lng":133.324409},{"lat":35.436062,"lng":133.324187}],"color":"coral"}</v>
      </c>
      <c r="BA85" s="40" t="s">
        <v>691</v>
      </c>
      <c r="BB85" s="56">
        <f t="shared" ca="1" si="15"/>
        <v>35.438051000000002</v>
      </c>
      <c r="BC85" s="40" t="s">
        <v>684</v>
      </c>
      <c r="BD85" s="56">
        <f t="shared" ca="1" si="16"/>
        <v>133.324409</v>
      </c>
      <c r="BE85" s="40" t="s">
        <v>692</v>
      </c>
      <c r="BF85" s="40" t="str">
        <f t="shared" ca="1" si="17"/>
        <v>coral</v>
      </c>
      <c r="BG85" s="40" t="s">
        <v>688</v>
      </c>
      <c r="BH85" s="40" t="str">
        <f t="shared" ca="1" si="18"/>
        <v>,{"type":"marker","latLng":{"lat":35.438051,"lng":133.324409},"color":"coral"}</v>
      </c>
      <c r="BI85" s="40" t="s">
        <v>693</v>
      </c>
      <c r="BJ85" s="40" t="s">
        <v>694</v>
      </c>
      <c r="BK85" s="267" t="str">
        <f t="shared" ca="1" si="19"/>
        <v>,{"type":"polyline","latLngs":[{"lat":35.438051,"lng":133.324409},{"lat":35.436062,"lng":133.324187}],"color":"coral"}</v>
      </c>
      <c r="BL85" s="40"/>
      <c r="BM85" s="40"/>
      <c r="BN85" s="40"/>
      <c r="BO85" s="40"/>
      <c r="BP85" s="40"/>
      <c r="BQ85" s="40"/>
      <c r="BR85" s="40"/>
      <c r="BS85" s="40"/>
      <c r="BT85" s="40"/>
      <c r="BU85" s="40"/>
      <c r="BV85" s="40"/>
      <c r="BW85" s="40"/>
      <c r="BX85" s="40"/>
      <c r="BY85" s="40"/>
      <c r="BZ85" s="40"/>
      <c r="CA85" s="40"/>
      <c r="CB85" s="40"/>
      <c r="CC85" s="40"/>
      <c r="CD85" s="40"/>
      <c r="CE85" s="40"/>
      <c r="CF85" s="40"/>
      <c r="CG85" s="40"/>
      <c r="CH85" s="40"/>
    </row>
    <row r="86" spans="1:86" ht="17.5">
      <c r="A86" s="40"/>
      <c r="B86" s="260" t="str">
        <f ca="1">IFERROR(__xludf.DUMMYFUNCTION("""COMPUTED_VALUE"""),"P78")</f>
        <v>P78</v>
      </c>
      <c r="C86" s="273" t="str">
        <f ca="1">IFERROR(__xludf.DUMMYFUNCTION("""COMPUTED_VALUE"""),"米子市中心市街地地図")</f>
        <v>米子市中心市街地地図</v>
      </c>
      <c r="D86" s="273">
        <f ca="1">IFERROR(__xludf.DUMMYFUNCTION("""COMPUTED_VALUE"""),35.439288)</f>
        <v>35.439287999999998</v>
      </c>
      <c r="E86" s="273">
        <f ca="1">IFERROR(__xludf.DUMMYFUNCTION("""COMPUTED_VALUE"""),133.331418)</f>
        <v>133.33141800000001</v>
      </c>
      <c r="F86" s="40"/>
      <c r="G86" s="261"/>
      <c r="H86" s="262" t="s">
        <v>672</v>
      </c>
      <c r="I86" s="271" t="str">
        <f ca="1">IFERROR(__xludf.DUMMYFUNCTION("""COMPUTED_VALUE"""),"Agent04")</f>
        <v>Agent04</v>
      </c>
      <c r="J86" s="271" t="str">
        <f ca="1">IFERROR(__xludf.DUMMYFUNCTION("""COMPUTED_VALUE"""),"P73")</f>
        <v>P73</v>
      </c>
      <c r="K86" s="271" t="str">
        <f ca="1">IFERROR(__xludf.DUMMYFUNCTION("""COMPUTED_VALUE"""),"P71")</f>
        <v>P71</v>
      </c>
      <c r="L86" s="242" t="s">
        <v>681</v>
      </c>
      <c r="M86" s="263" t="str">
        <f t="shared" ca="1" si="0"/>
        <v>coral</v>
      </c>
      <c r="N86" s="264" t="str">
        <f ca="1">IFERROR(__xludf.DUMMYFUNCTION("FILTER(C:E,B:B=J86)"),"三界萬霊塔")</f>
        <v>三界萬霊塔</v>
      </c>
      <c r="O86" s="265">
        <f ca="1">IFERROR(__xludf.DUMMYFUNCTION("""COMPUTED_VALUE"""),35.438051)</f>
        <v>35.438051000000002</v>
      </c>
      <c r="P86" s="265">
        <f ca="1">IFERROR(__xludf.DUMMYFUNCTION("""COMPUTED_VALUE"""),133.324409)</f>
        <v>133.324409</v>
      </c>
      <c r="Q86" s="264" t="str">
        <f ca="1">IFERROR(__xludf.DUMMYFUNCTION("FILTER(C:E,B:B=K86)"),"義方公民館")</f>
        <v>義方公民館</v>
      </c>
      <c r="R86" s="265">
        <f ca="1">IFERROR(__xludf.DUMMYFUNCTION("""COMPUTED_VALUE"""),35.43765)</f>
        <v>35.437649999999998</v>
      </c>
      <c r="S86" s="265">
        <f ca="1">IFERROR(__xludf.DUMMYFUNCTION("""COMPUTED_VALUE"""),133.323411)</f>
        <v>133.32341099999999</v>
      </c>
      <c r="T86" s="264" t="str">
        <f ca="1">IFERROR(__xludf.DUMMYFUNCTION("FILTER(C:E,B:B=L86)")," ")</f>
        <v xml:space="preserve"> </v>
      </c>
      <c r="U86" s="40" t="str">
        <f ca="1">IFERROR(__xludf.DUMMYFUNCTION("""COMPUTED_VALUE""")," ")</f>
        <v xml:space="preserve"> </v>
      </c>
      <c r="V86" s="40" t="str">
        <f ca="1">IFERROR(__xludf.DUMMYFUNCTION("""COMPUTED_VALUE""")," ")</f>
        <v xml:space="preserve"> </v>
      </c>
      <c r="W86" s="40" t="str">
        <f t="shared" ca="1" si="21"/>
        <v>,</v>
      </c>
      <c r="X86" s="40" t="s">
        <v>682</v>
      </c>
      <c r="Y86" s="40" t="s">
        <v>683</v>
      </c>
      <c r="Z86" s="264">
        <f t="shared" ca="1" si="1"/>
        <v>35.438051000000002</v>
      </c>
      <c r="AA86" s="40" t="s">
        <v>684</v>
      </c>
      <c r="AB86" s="264">
        <f t="shared" ca="1" si="2"/>
        <v>133.324409</v>
      </c>
      <c r="AC86" s="40" t="s">
        <v>685</v>
      </c>
      <c r="AD86" s="264">
        <f t="shared" ca="1" si="3"/>
        <v>35.437649999999998</v>
      </c>
      <c r="AE86" s="40" t="s">
        <v>684</v>
      </c>
      <c r="AF86" s="264">
        <f t="shared" ca="1" si="4"/>
        <v>133.32341099999999</v>
      </c>
      <c r="AG86" s="40" t="s">
        <v>686</v>
      </c>
      <c r="AH86" s="264" t="str">
        <f t="shared" ca="1" si="5"/>
        <v xml:space="preserve"> </v>
      </c>
      <c r="AI86" s="40" t="s">
        <v>684</v>
      </c>
      <c r="AJ86" s="264" t="str">
        <f t="shared" ca="1" si="6"/>
        <v xml:space="preserve"> </v>
      </c>
      <c r="AK86" s="40" t="s">
        <v>687</v>
      </c>
      <c r="AL86" s="264" t="str">
        <f t="shared" ca="1" si="7"/>
        <v>coral</v>
      </c>
      <c r="AM86" s="40" t="s">
        <v>688</v>
      </c>
      <c r="AN86" s="40" t="str">
        <f t="shared" ca="1" si="8"/>
        <v>,{"type":"polygon","latLngs":[ {"lat":35.438051,"lng":133.324409}, {"lat":35.43765,"lng":133.323411},{"lat": ,"lng": }], "color":"coral"}</v>
      </c>
      <c r="AO86" s="266" t="s">
        <v>689</v>
      </c>
      <c r="AP86" s="56">
        <f t="shared" ca="1" si="9"/>
        <v>35.438051000000002</v>
      </c>
      <c r="AQ86" s="40" t="s">
        <v>684</v>
      </c>
      <c r="AR86" s="56">
        <f t="shared" ca="1" si="10"/>
        <v>133.324409</v>
      </c>
      <c r="AS86" s="40" t="s">
        <v>686</v>
      </c>
      <c r="AT86" s="56">
        <f t="shared" ca="1" si="11"/>
        <v>35.437649999999998</v>
      </c>
      <c r="AU86" s="40" t="s">
        <v>684</v>
      </c>
      <c r="AV86" s="56">
        <f t="shared" ca="1" si="12"/>
        <v>133.32341099999999</v>
      </c>
      <c r="AW86" s="40" t="s">
        <v>690</v>
      </c>
      <c r="AX86" s="40" t="str">
        <f t="shared" ca="1" si="13"/>
        <v>coral</v>
      </c>
      <c r="AY86" s="40" t="s">
        <v>688</v>
      </c>
      <c r="AZ86" s="40" t="str">
        <f t="shared" ca="1" si="14"/>
        <v>,{"type":"polyline","latLngs":[{"lat":35.438051,"lng":133.324409},{"lat":35.43765,"lng":133.323411}],"color":"coral"}</v>
      </c>
      <c r="BA86" s="40" t="s">
        <v>691</v>
      </c>
      <c r="BB86" s="56">
        <f t="shared" ca="1" si="15"/>
        <v>35.438051000000002</v>
      </c>
      <c r="BC86" s="40" t="s">
        <v>684</v>
      </c>
      <c r="BD86" s="56">
        <f t="shared" ca="1" si="16"/>
        <v>133.324409</v>
      </c>
      <c r="BE86" s="40" t="s">
        <v>692</v>
      </c>
      <c r="BF86" s="40" t="str">
        <f t="shared" ca="1" si="17"/>
        <v>coral</v>
      </c>
      <c r="BG86" s="40" t="s">
        <v>688</v>
      </c>
      <c r="BH86" s="40" t="str">
        <f t="shared" ca="1" si="18"/>
        <v>,{"type":"marker","latLng":{"lat":35.438051,"lng":133.324409},"color":"coral"}</v>
      </c>
      <c r="BI86" s="40" t="s">
        <v>693</v>
      </c>
      <c r="BJ86" s="40" t="s">
        <v>694</v>
      </c>
      <c r="BK86" s="267" t="str">
        <f t="shared" ca="1" si="19"/>
        <v>,{"type":"polyline","latLngs":[{"lat":35.438051,"lng":133.324409},{"lat":35.43765,"lng":133.323411}],"color":"coral"}</v>
      </c>
      <c r="BL86" s="40"/>
      <c r="BM86" s="40"/>
      <c r="BN86" s="40"/>
      <c r="BO86" s="40"/>
      <c r="BP86" s="40"/>
      <c r="BQ86" s="40"/>
      <c r="BR86" s="40"/>
      <c r="BS86" s="40"/>
      <c r="BT86" s="40"/>
      <c r="BU86" s="40"/>
      <c r="BV86" s="40"/>
      <c r="BW86" s="40"/>
      <c r="BX86" s="40"/>
      <c r="BY86" s="40"/>
      <c r="BZ86" s="40"/>
      <c r="CA86" s="40"/>
      <c r="CB86" s="40"/>
      <c r="CC86" s="40"/>
      <c r="CD86" s="40"/>
      <c r="CE86" s="40"/>
      <c r="CF86" s="40"/>
      <c r="CG86" s="40"/>
      <c r="CH86" s="40"/>
    </row>
    <row r="87" spans="1:86" ht="17.5">
      <c r="A87" s="40"/>
      <c r="B87" s="260" t="str">
        <f ca="1">IFERROR(__xludf.DUMMYFUNCTION("""COMPUTED_VALUE"""),"P79")</f>
        <v>P79</v>
      </c>
      <c r="C87" s="273" t="str">
        <f ca="1">IFERROR(__xludf.DUMMYFUNCTION("""COMPUTED_VALUE"""),"住居表示街区案内図 西福原1丁目")</f>
        <v>住居表示街区案内図 西福原1丁目</v>
      </c>
      <c r="D87" s="273">
        <f ca="1">IFERROR(__xludf.DUMMYFUNCTION("""COMPUTED_VALUE"""),35.439365)</f>
        <v>35.439365000000002</v>
      </c>
      <c r="E87" s="273">
        <f ca="1">IFERROR(__xludf.DUMMYFUNCTION("""COMPUTED_VALUE"""),133.337143)</f>
        <v>133.337143</v>
      </c>
      <c r="F87" s="40"/>
      <c r="G87" s="261"/>
      <c r="H87" s="262" t="s">
        <v>672</v>
      </c>
      <c r="I87" s="271" t="str">
        <f ca="1">IFERROR(__xludf.DUMMYFUNCTION("""COMPUTED_VALUE"""),"Agent04")</f>
        <v>Agent04</v>
      </c>
      <c r="J87" s="271" t="str">
        <f ca="1">IFERROR(__xludf.DUMMYFUNCTION("""COMPUTED_VALUE"""),"P73")</f>
        <v>P73</v>
      </c>
      <c r="K87" s="271" t="str">
        <f ca="1">IFERROR(__xludf.DUMMYFUNCTION("""COMPUTED_VALUE"""),"P83")</f>
        <v>P83</v>
      </c>
      <c r="L87" s="242" t="s">
        <v>681</v>
      </c>
      <c r="M87" s="263" t="str">
        <f t="shared" ca="1" si="0"/>
        <v>coral</v>
      </c>
      <c r="N87" s="264" t="str">
        <f ca="1">IFERROR(__xludf.DUMMYFUNCTION("FILTER(C:E,B:B=J87)"),"三界萬霊塔")</f>
        <v>三界萬霊塔</v>
      </c>
      <c r="O87" s="265">
        <f ca="1">IFERROR(__xludf.DUMMYFUNCTION("""COMPUTED_VALUE"""),35.438051)</f>
        <v>35.438051000000002</v>
      </c>
      <c r="P87" s="265">
        <f ca="1">IFERROR(__xludf.DUMMYFUNCTION("""COMPUTED_VALUE"""),133.324409)</f>
        <v>133.324409</v>
      </c>
      <c r="Q87" s="264" t="str">
        <f ca="1">IFERROR(__xludf.DUMMYFUNCTION("FILTER(C:E,B:B=K87)"),"エースドライ")</f>
        <v>エースドライ</v>
      </c>
      <c r="R87" s="265">
        <f ca="1">IFERROR(__xludf.DUMMYFUNCTION("""COMPUTED_VALUE"""),35.43982)</f>
        <v>35.439819999999997</v>
      </c>
      <c r="S87" s="265">
        <f ca="1">IFERROR(__xludf.DUMMYFUNCTION("""COMPUTED_VALUE"""),133.322327)</f>
        <v>133.322327</v>
      </c>
      <c r="T87" s="264" t="str">
        <f ca="1">IFERROR(__xludf.DUMMYFUNCTION("FILTER(C:E,B:B=L87)")," ")</f>
        <v xml:space="preserve"> </v>
      </c>
      <c r="U87" s="40" t="str">
        <f ca="1">IFERROR(__xludf.DUMMYFUNCTION("""COMPUTED_VALUE""")," ")</f>
        <v xml:space="preserve"> </v>
      </c>
      <c r="V87" s="40" t="str">
        <f ca="1">IFERROR(__xludf.DUMMYFUNCTION("""COMPUTED_VALUE""")," ")</f>
        <v xml:space="preserve"> </v>
      </c>
      <c r="W87" s="40" t="str">
        <f t="shared" ca="1" si="21"/>
        <v>,</v>
      </c>
      <c r="X87" s="40" t="s">
        <v>682</v>
      </c>
      <c r="Y87" s="40" t="s">
        <v>683</v>
      </c>
      <c r="Z87" s="264">
        <f t="shared" ca="1" si="1"/>
        <v>35.438051000000002</v>
      </c>
      <c r="AA87" s="40" t="s">
        <v>684</v>
      </c>
      <c r="AB87" s="264">
        <f t="shared" ca="1" si="2"/>
        <v>133.324409</v>
      </c>
      <c r="AC87" s="40" t="s">
        <v>685</v>
      </c>
      <c r="AD87" s="264">
        <f t="shared" ca="1" si="3"/>
        <v>35.439819999999997</v>
      </c>
      <c r="AE87" s="40" t="s">
        <v>684</v>
      </c>
      <c r="AF87" s="264">
        <f t="shared" ca="1" si="4"/>
        <v>133.322327</v>
      </c>
      <c r="AG87" s="40" t="s">
        <v>686</v>
      </c>
      <c r="AH87" s="264" t="str">
        <f t="shared" ca="1" si="5"/>
        <v xml:space="preserve"> </v>
      </c>
      <c r="AI87" s="40" t="s">
        <v>684</v>
      </c>
      <c r="AJ87" s="264" t="str">
        <f t="shared" ca="1" si="6"/>
        <v xml:space="preserve"> </v>
      </c>
      <c r="AK87" s="40" t="s">
        <v>687</v>
      </c>
      <c r="AL87" s="264" t="str">
        <f t="shared" ca="1" si="7"/>
        <v>coral</v>
      </c>
      <c r="AM87" s="40" t="s">
        <v>688</v>
      </c>
      <c r="AN87" s="40" t="str">
        <f t="shared" ca="1" si="8"/>
        <v>,{"type":"polygon","latLngs":[ {"lat":35.438051,"lng":133.324409}, {"lat":35.43982,"lng":133.322327},{"lat": ,"lng": }], "color":"coral"}</v>
      </c>
      <c r="AO87" s="266" t="s">
        <v>689</v>
      </c>
      <c r="AP87" s="56">
        <f t="shared" ca="1" si="9"/>
        <v>35.438051000000002</v>
      </c>
      <c r="AQ87" s="40" t="s">
        <v>684</v>
      </c>
      <c r="AR87" s="56">
        <f t="shared" ca="1" si="10"/>
        <v>133.324409</v>
      </c>
      <c r="AS87" s="40" t="s">
        <v>686</v>
      </c>
      <c r="AT87" s="56">
        <f t="shared" ca="1" si="11"/>
        <v>35.439819999999997</v>
      </c>
      <c r="AU87" s="40" t="s">
        <v>684</v>
      </c>
      <c r="AV87" s="56">
        <f t="shared" ca="1" si="12"/>
        <v>133.322327</v>
      </c>
      <c r="AW87" s="40" t="s">
        <v>690</v>
      </c>
      <c r="AX87" s="40" t="str">
        <f t="shared" ca="1" si="13"/>
        <v>coral</v>
      </c>
      <c r="AY87" s="40" t="s">
        <v>688</v>
      </c>
      <c r="AZ87" s="40" t="str">
        <f t="shared" ca="1" si="14"/>
        <v>,{"type":"polyline","latLngs":[{"lat":35.438051,"lng":133.324409},{"lat":35.43982,"lng":133.322327}],"color":"coral"}</v>
      </c>
      <c r="BA87" s="40" t="s">
        <v>691</v>
      </c>
      <c r="BB87" s="56">
        <f t="shared" ca="1" si="15"/>
        <v>35.438051000000002</v>
      </c>
      <c r="BC87" s="40" t="s">
        <v>684</v>
      </c>
      <c r="BD87" s="56">
        <f t="shared" ca="1" si="16"/>
        <v>133.324409</v>
      </c>
      <c r="BE87" s="40" t="s">
        <v>692</v>
      </c>
      <c r="BF87" s="40" t="str">
        <f t="shared" ca="1" si="17"/>
        <v>coral</v>
      </c>
      <c r="BG87" s="40" t="s">
        <v>688</v>
      </c>
      <c r="BH87" s="40" t="str">
        <f t="shared" ca="1" si="18"/>
        <v>,{"type":"marker","latLng":{"lat":35.438051,"lng":133.324409},"color":"coral"}</v>
      </c>
      <c r="BI87" s="40" t="s">
        <v>693</v>
      </c>
      <c r="BJ87" s="40" t="s">
        <v>694</v>
      </c>
      <c r="BK87" s="267" t="str">
        <f t="shared" ca="1" si="19"/>
        <v>,{"type":"polyline","latLngs":[{"lat":35.438051,"lng":133.324409},{"lat":35.43982,"lng":133.322327}],"color":"coral"}</v>
      </c>
      <c r="BL87" s="40"/>
      <c r="BM87" s="40"/>
      <c r="BN87" s="40"/>
      <c r="BO87" s="40"/>
      <c r="BP87" s="40"/>
      <c r="BQ87" s="40"/>
      <c r="BR87" s="40"/>
      <c r="BS87" s="40"/>
      <c r="BT87" s="40"/>
      <c r="BU87" s="40"/>
      <c r="BV87" s="40"/>
      <c r="BW87" s="40"/>
      <c r="BX87" s="40"/>
      <c r="BY87" s="40"/>
      <c r="BZ87" s="40"/>
      <c r="CA87" s="40"/>
      <c r="CB87" s="40"/>
      <c r="CC87" s="40"/>
      <c r="CD87" s="40"/>
      <c r="CE87" s="40"/>
      <c r="CF87" s="40"/>
      <c r="CG87" s="40"/>
      <c r="CH87" s="40"/>
    </row>
    <row r="88" spans="1:86" ht="17.5">
      <c r="A88" s="40"/>
      <c r="B88" s="260" t="str">
        <f ca="1">IFERROR(__xludf.DUMMYFUNCTION("""COMPUTED_VALUE"""),"P80")</f>
        <v>P80</v>
      </c>
      <c r="C88" s="273" t="str">
        <f ca="1">IFERROR(__xludf.DUMMYFUNCTION("""COMPUTED_VALUE"""),"JR後藤駅")</f>
        <v>JR後藤駅</v>
      </c>
      <c r="D88" s="273">
        <f ca="1">IFERROR(__xludf.DUMMYFUNCTION("""COMPUTED_VALUE"""),35.439526)</f>
        <v>35.439526000000001</v>
      </c>
      <c r="E88" s="273">
        <f ca="1">IFERROR(__xludf.DUMMYFUNCTION("""COMPUTED_VALUE"""),133.331533)</f>
        <v>133.33153300000001</v>
      </c>
      <c r="F88" s="40"/>
      <c r="G88" s="261"/>
      <c r="H88" s="262" t="s">
        <v>672</v>
      </c>
      <c r="I88" s="271" t="str">
        <f ca="1">IFERROR(__xludf.DUMMYFUNCTION("""COMPUTED_VALUE"""),"Agent04")</f>
        <v>Agent04</v>
      </c>
      <c r="J88" s="271" t="str">
        <f ca="1">IFERROR(__xludf.DUMMYFUNCTION("""COMPUTED_VALUE"""),"P72")</f>
        <v>P72</v>
      </c>
      <c r="K88" s="271" t="str">
        <f ca="1">IFERROR(__xludf.DUMMYFUNCTION("""COMPUTED_VALUE"""),"P73")</f>
        <v>P73</v>
      </c>
      <c r="L88" s="242" t="s">
        <v>681</v>
      </c>
      <c r="M88" s="263" t="str">
        <f t="shared" ca="1" si="0"/>
        <v>coral</v>
      </c>
      <c r="N88" s="264" t="str">
        <f ca="1">IFERROR(__xludf.DUMMYFUNCTION("FILTER(C:E,B:B=J88)"),"糺神社 本殿")</f>
        <v>糺神社 本殿</v>
      </c>
      <c r="O88" s="265">
        <f ca="1">IFERROR(__xludf.DUMMYFUNCTION("""COMPUTED_VALUE"""),35.437674)</f>
        <v>35.437674000000001</v>
      </c>
      <c r="P88" s="265">
        <f ca="1">IFERROR(__xludf.DUMMYFUNCTION("""COMPUTED_VALUE"""),133.324838)</f>
        <v>133.324838</v>
      </c>
      <c r="Q88" s="264" t="str">
        <f ca="1">IFERROR(__xludf.DUMMYFUNCTION("FILTER(C:E,B:B=K88)"),"三界萬霊塔")</f>
        <v>三界萬霊塔</v>
      </c>
      <c r="R88" s="265">
        <f ca="1">IFERROR(__xludf.DUMMYFUNCTION("""COMPUTED_VALUE"""),35.438051)</f>
        <v>35.438051000000002</v>
      </c>
      <c r="S88" s="265">
        <f ca="1">IFERROR(__xludf.DUMMYFUNCTION("""COMPUTED_VALUE"""),133.324409)</f>
        <v>133.324409</v>
      </c>
      <c r="T88" s="264" t="str">
        <f ca="1">IFERROR(__xludf.DUMMYFUNCTION("FILTER(C:E,B:B=L88)")," ")</f>
        <v xml:space="preserve"> </v>
      </c>
      <c r="U88" s="40" t="str">
        <f ca="1">IFERROR(__xludf.DUMMYFUNCTION("""COMPUTED_VALUE""")," ")</f>
        <v xml:space="preserve"> </v>
      </c>
      <c r="V88" s="40" t="str">
        <f ca="1">IFERROR(__xludf.DUMMYFUNCTION("""COMPUTED_VALUE""")," ")</f>
        <v xml:space="preserve"> </v>
      </c>
      <c r="W88" s="40" t="str">
        <f t="shared" ca="1" si="21"/>
        <v>,</v>
      </c>
      <c r="X88" s="40" t="s">
        <v>682</v>
      </c>
      <c r="Y88" s="40" t="s">
        <v>683</v>
      </c>
      <c r="Z88" s="264">
        <f t="shared" ca="1" si="1"/>
        <v>35.437674000000001</v>
      </c>
      <c r="AA88" s="40" t="s">
        <v>684</v>
      </c>
      <c r="AB88" s="264">
        <f t="shared" ca="1" si="2"/>
        <v>133.324838</v>
      </c>
      <c r="AC88" s="40" t="s">
        <v>685</v>
      </c>
      <c r="AD88" s="264">
        <f t="shared" ca="1" si="3"/>
        <v>35.438051000000002</v>
      </c>
      <c r="AE88" s="40" t="s">
        <v>684</v>
      </c>
      <c r="AF88" s="264">
        <f t="shared" ca="1" si="4"/>
        <v>133.324409</v>
      </c>
      <c r="AG88" s="40" t="s">
        <v>686</v>
      </c>
      <c r="AH88" s="264" t="str">
        <f t="shared" ca="1" si="5"/>
        <v xml:space="preserve"> </v>
      </c>
      <c r="AI88" s="40" t="s">
        <v>684</v>
      </c>
      <c r="AJ88" s="264" t="str">
        <f t="shared" ca="1" si="6"/>
        <v xml:space="preserve"> </v>
      </c>
      <c r="AK88" s="40" t="s">
        <v>687</v>
      </c>
      <c r="AL88" s="264" t="str">
        <f t="shared" ca="1" si="7"/>
        <v>coral</v>
      </c>
      <c r="AM88" s="40" t="s">
        <v>688</v>
      </c>
      <c r="AN88" s="40" t="str">
        <f t="shared" ca="1" si="8"/>
        <v>,{"type":"polygon","latLngs":[ {"lat":35.437674,"lng":133.324838}, {"lat":35.438051,"lng":133.324409},{"lat": ,"lng": }], "color":"coral"}</v>
      </c>
      <c r="AO88" s="266" t="s">
        <v>689</v>
      </c>
      <c r="AP88" s="56">
        <f t="shared" ca="1" si="9"/>
        <v>35.437674000000001</v>
      </c>
      <c r="AQ88" s="40" t="s">
        <v>684</v>
      </c>
      <c r="AR88" s="56">
        <f t="shared" ca="1" si="10"/>
        <v>133.324838</v>
      </c>
      <c r="AS88" s="40" t="s">
        <v>686</v>
      </c>
      <c r="AT88" s="56">
        <f t="shared" ca="1" si="11"/>
        <v>35.438051000000002</v>
      </c>
      <c r="AU88" s="40" t="s">
        <v>684</v>
      </c>
      <c r="AV88" s="56">
        <f t="shared" ca="1" si="12"/>
        <v>133.324409</v>
      </c>
      <c r="AW88" s="40" t="s">
        <v>690</v>
      </c>
      <c r="AX88" s="40" t="str">
        <f t="shared" ca="1" si="13"/>
        <v>coral</v>
      </c>
      <c r="AY88" s="40" t="s">
        <v>688</v>
      </c>
      <c r="AZ88" s="40" t="str">
        <f t="shared" ca="1" si="14"/>
        <v>,{"type":"polyline","latLngs":[{"lat":35.437674,"lng":133.324838},{"lat":35.438051,"lng":133.324409}],"color":"coral"}</v>
      </c>
      <c r="BA88" s="40" t="s">
        <v>691</v>
      </c>
      <c r="BB88" s="56">
        <f t="shared" ca="1" si="15"/>
        <v>35.437674000000001</v>
      </c>
      <c r="BC88" s="40" t="s">
        <v>684</v>
      </c>
      <c r="BD88" s="56">
        <f t="shared" ca="1" si="16"/>
        <v>133.324838</v>
      </c>
      <c r="BE88" s="40" t="s">
        <v>692</v>
      </c>
      <c r="BF88" s="40" t="str">
        <f t="shared" ca="1" si="17"/>
        <v>coral</v>
      </c>
      <c r="BG88" s="40" t="s">
        <v>688</v>
      </c>
      <c r="BH88" s="40" t="str">
        <f t="shared" ca="1" si="18"/>
        <v>,{"type":"marker","latLng":{"lat":35.437674,"lng":133.324838},"color":"coral"}</v>
      </c>
      <c r="BI88" s="40" t="s">
        <v>693</v>
      </c>
      <c r="BJ88" s="40" t="s">
        <v>694</v>
      </c>
      <c r="BK88" s="267" t="str">
        <f t="shared" ca="1" si="19"/>
        <v>,{"type":"polyline","latLngs":[{"lat":35.437674,"lng":133.324838},{"lat":35.438051,"lng":133.324409}],"color":"coral"}</v>
      </c>
      <c r="BL88" s="40"/>
      <c r="BM88" s="40"/>
      <c r="BN88" s="40"/>
      <c r="BO88" s="40"/>
      <c r="BP88" s="40"/>
      <c r="BQ88" s="40"/>
      <c r="BR88" s="40"/>
      <c r="BS88" s="40"/>
      <c r="BT88" s="40"/>
      <c r="BU88" s="40"/>
      <c r="BV88" s="40"/>
      <c r="BW88" s="40"/>
      <c r="BX88" s="40"/>
      <c r="BY88" s="40"/>
      <c r="BZ88" s="40"/>
      <c r="CA88" s="40"/>
      <c r="CB88" s="40"/>
      <c r="CC88" s="40"/>
      <c r="CD88" s="40"/>
      <c r="CE88" s="40"/>
      <c r="CF88" s="40"/>
      <c r="CG88" s="40"/>
      <c r="CH88" s="40"/>
    </row>
    <row r="89" spans="1:86" ht="17.5">
      <c r="A89" s="40"/>
      <c r="B89" s="260" t="str">
        <f ca="1">IFERROR(__xludf.DUMMYFUNCTION("""COMPUTED_VALUE"""),"P81")</f>
        <v>P81</v>
      </c>
      <c r="C89" s="273" t="str">
        <f ca="1">IFERROR(__xludf.DUMMYFUNCTION("""COMPUTED_VALUE"""),"米原南土地区画整理竣工記念碑")</f>
        <v>米原南土地区画整理竣工記念碑</v>
      </c>
      <c r="D89" s="273">
        <f ca="1">IFERROR(__xludf.DUMMYFUNCTION("""COMPUTED_VALUE"""),35.439759)</f>
        <v>35.439759000000002</v>
      </c>
      <c r="E89" s="273">
        <f ca="1">IFERROR(__xludf.DUMMYFUNCTION("""COMPUTED_VALUE"""),133.334644)</f>
        <v>133.334644</v>
      </c>
      <c r="F89" s="40"/>
      <c r="G89" s="261"/>
      <c r="H89" s="262" t="s">
        <v>672</v>
      </c>
      <c r="I89" s="271" t="str">
        <f ca="1">IFERROR(__xludf.DUMMYFUNCTION("""COMPUTED_VALUE"""),"Agent04")</f>
        <v>Agent04</v>
      </c>
      <c r="J89" s="271" t="str">
        <f ca="1">IFERROR(__xludf.DUMMYFUNCTION("""COMPUTED_VALUE"""),"P72")</f>
        <v>P72</v>
      </c>
      <c r="K89" s="271" t="str">
        <f ca="1">IFERROR(__xludf.DUMMYFUNCTION("""COMPUTED_VALUE"""),"P63")</f>
        <v>P63</v>
      </c>
      <c r="L89" s="242" t="s">
        <v>681</v>
      </c>
      <c r="M89" s="263" t="str">
        <f t="shared" ca="1" si="0"/>
        <v>coral</v>
      </c>
      <c r="N89" s="264" t="str">
        <f ca="1">IFERROR(__xludf.DUMMYFUNCTION("FILTER(C:E,B:B=J89)"),"糺神社 本殿")</f>
        <v>糺神社 本殿</v>
      </c>
      <c r="O89" s="265">
        <f ca="1">IFERROR(__xludf.DUMMYFUNCTION("""COMPUTED_VALUE"""),35.437674)</f>
        <v>35.437674000000001</v>
      </c>
      <c r="P89" s="265">
        <f ca="1">IFERROR(__xludf.DUMMYFUNCTION("""COMPUTED_VALUE"""),133.324838)</f>
        <v>133.324838</v>
      </c>
      <c r="Q89" s="264" t="str">
        <f ca="1">IFERROR(__xludf.DUMMYFUNCTION("FILTER(C:E,B:B=K89)"),"Rochelle Antique")</f>
        <v>Rochelle Antique</v>
      </c>
      <c r="R89" s="265">
        <f ca="1">IFERROR(__xludf.DUMMYFUNCTION("""COMPUTED_VALUE"""),35.436062)</f>
        <v>35.436062</v>
      </c>
      <c r="S89" s="265">
        <f ca="1">IFERROR(__xludf.DUMMYFUNCTION("""COMPUTED_VALUE"""),133.324187)</f>
        <v>133.32418699999999</v>
      </c>
      <c r="T89" s="264" t="str">
        <f ca="1">IFERROR(__xludf.DUMMYFUNCTION("FILTER(C:E,B:B=L89)")," ")</f>
        <v xml:space="preserve"> </v>
      </c>
      <c r="U89" s="40" t="str">
        <f ca="1">IFERROR(__xludf.DUMMYFUNCTION("""COMPUTED_VALUE""")," ")</f>
        <v xml:space="preserve"> </v>
      </c>
      <c r="V89" s="40" t="str">
        <f ca="1">IFERROR(__xludf.DUMMYFUNCTION("""COMPUTED_VALUE""")," ")</f>
        <v xml:space="preserve"> </v>
      </c>
      <c r="W89" s="40" t="str">
        <f t="shared" ca="1" si="21"/>
        <v>,</v>
      </c>
      <c r="X89" s="40" t="s">
        <v>682</v>
      </c>
      <c r="Y89" s="40" t="s">
        <v>683</v>
      </c>
      <c r="Z89" s="264">
        <f t="shared" ca="1" si="1"/>
        <v>35.437674000000001</v>
      </c>
      <c r="AA89" s="40" t="s">
        <v>684</v>
      </c>
      <c r="AB89" s="264">
        <f t="shared" ca="1" si="2"/>
        <v>133.324838</v>
      </c>
      <c r="AC89" s="40" t="s">
        <v>685</v>
      </c>
      <c r="AD89" s="264">
        <f t="shared" ca="1" si="3"/>
        <v>35.436062</v>
      </c>
      <c r="AE89" s="40" t="s">
        <v>684</v>
      </c>
      <c r="AF89" s="264">
        <f t="shared" ca="1" si="4"/>
        <v>133.32418699999999</v>
      </c>
      <c r="AG89" s="40" t="s">
        <v>686</v>
      </c>
      <c r="AH89" s="264" t="str">
        <f t="shared" ca="1" si="5"/>
        <v xml:space="preserve"> </v>
      </c>
      <c r="AI89" s="40" t="s">
        <v>684</v>
      </c>
      <c r="AJ89" s="264" t="str">
        <f t="shared" ca="1" si="6"/>
        <v xml:space="preserve"> </v>
      </c>
      <c r="AK89" s="40" t="s">
        <v>687</v>
      </c>
      <c r="AL89" s="264" t="str">
        <f t="shared" ca="1" si="7"/>
        <v>coral</v>
      </c>
      <c r="AM89" s="40" t="s">
        <v>688</v>
      </c>
      <c r="AN89" s="40" t="str">
        <f t="shared" ca="1" si="8"/>
        <v>,{"type":"polygon","latLngs":[ {"lat":35.437674,"lng":133.324838}, {"lat":35.436062,"lng":133.324187},{"lat": ,"lng": }], "color":"coral"}</v>
      </c>
      <c r="AO89" s="266" t="s">
        <v>689</v>
      </c>
      <c r="AP89" s="56">
        <f t="shared" ca="1" si="9"/>
        <v>35.437674000000001</v>
      </c>
      <c r="AQ89" s="40" t="s">
        <v>684</v>
      </c>
      <c r="AR89" s="56">
        <f t="shared" ca="1" si="10"/>
        <v>133.324838</v>
      </c>
      <c r="AS89" s="40" t="s">
        <v>686</v>
      </c>
      <c r="AT89" s="56">
        <f t="shared" ca="1" si="11"/>
        <v>35.436062</v>
      </c>
      <c r="AU89" s="40" t="s">
        <v>684</v>
      </c>
      <c r="AV89" s="56">
        <f t="shared" ca="1" si="12"/>
        <v>133.32418699999999</v>
      </c>
      <c r="AW89" s="40" t="s">
        <v>690</v>
      </c>
      <c r="AX89" s="40" t="str">
        <f t="shared" ca="1" si="13"/>
        <v>coral</v>
      </c>
      <c r="AY89" s="40" t="s">
        <v>688</v>
      </c>
      <c r="AZ89" s="40" t="str">
        <f t="shared" ca="1" si="14"/>
        <v>,{"type":"polyline","latLngs":[{"lat":35.437674,"lng":133.324838},{"lat":35.436062,"lng":133.324187}],"color":"coral"}</v>
      </c>
      <c r="BA89" s="40" t="s">
        <v>691</v>
      </c>
      <c r="BB89" s="56">
        <f t="shared" ca="1" si="15"/>
        <v>35.437674000000001</v>
      </c>
      <c r="BC89" s="40" t="s">
        <v>684</v>
      </c>
      <c r="BD89" s="56">
        <f t="shared" ca="1" si="16"/>
        <v>133.324838</v>
      </c>
      <c r="BE89" s="40" t="s">
        <v>692</v>
      </c>
      <c r="BF89" s="40" t="str">
        <f t="shared" ca="1" si="17"/>
        <v>coral</v>
      </c>
      <c r="BG89" s="40" t="s">
        <v>688</v>
      </c>
      <c r="BH89" s="40" t="str">
        <f t="shared" ca="1" si="18"/>
        <v>,{"type":"marker","latLng":{"lat":35.437674,"lng":133.324838},"color":"coral"}</v>
      </c>
      <c r="BI89" s="40" t="s">
        <v>693</v>
      </c>
      <c r="BJ89" s="40" t="s">
        <v>694</v>
      </c>
      <c r="BK89" s="267" t="str">
        <f t="shared" ca="1" si="19"/>
        <v>,{"type":"polyline","latLngs":[{"lat":35.437674,"lng":133.324838},{"lat":35.436062,"lng":133.324187}],"color":"coral"}</v>
      </c>
      <c r="BL89" s="40"/>
      <c r="BM89" s="40"/>
      <c r="BN89" s="40"/>
      <c r="BO89" s="40"/>
      <c r="BP89" s="40"/>
      <c r="BQ89" s="40"/>
      <c r="BR89" s="40"/>
      <c r="BS89" s="40"/>
      <c r="BT89" s="40"/>
      <c r="BU89" s="40"/>
      <c r="BV89" s="40"/>
      <c r="BW89" s="40"/>
      <c r="BX89" s="40"/>
      <c r="BY89" s="40"/>
      <c r="BZ89" s="40"/>
      <c r="CA89" s="40"/>
      <c r="CB89" s="40"/>
      <c r="CC89" s="40"/>
      <c r="CD89" s="40"/>
      <c r="CE89" s="40"/>
      <c r="CF89" s="40"/>
      <c r="CG89" s="40"/>
      <c r="CH89" s="40"/>
    </row>
    <row r="90" spans="1:86" ht="17.5">
      <c r="A90" s="40"/>
      <c r="B90" s="260" t="str">
        <f ca="1">IFERROR(__xludf.DUMMYFUNCTION("""COMPUTED_VALUE"""),"P82")</f>
        <v>P82</v>
      </c>
      <c r="C90" s="273" t="str">
        <f ca="1">IFERROR(__xludf.DUMMYFUNCTION("""COMPUTED_VALUE"""),"集会所はなみずき")</f>
        <v>集会所はなみずき</v>
      </c>
      <c r="D90" s="273">
        <f ca="1">IFERROR(__xludf.DUMMYFUNCTION("""COMPUTED_VALUE"""),35.439798)</f>
        <v>35.439798000000003</v>
      </c>
      <c r="E90" s="273">
        <f ca="1">IFERROR(__xludf.DUMMYFUNCTION("""COMPUTED_VALUE"""),133.335915)</f>
        <v>133.335915</v>
      </c>
      <c r="F90" s="40"/>
      <c r="G90" s="261"/>
      <c r="H90" s="262" t="s">
        <v>672</v>
      </c>
      <c r="I90" s="271" t="str">
        <f ca="1">IFERROR(__xludf.DUMMYFUNCTION("""COMPUTED_VALUE"""),"Agent04")</f>
        <v>Agent04</v>
      </c>
      <c r="J90" s="271" t="str">
        <f ca="1">IFERROR(__xludf.DUMMYFUNCTION("""COMPUTED_VALUE"""),"P76")</f>
        <v>P76</v>
      </c>
      <c r="K90" s="271" t="str">
        <f ca="1">IFERROR(__xludf.DUMMYFUNCTION("""COMPUTED_VALUE"""),"P73")</f>
        <v>P73</v>
      </c>
      <c r="L90" s="242" t="s">
        <v>681</v>
      </c>
      <c r="M90" s="263" t="str">
        <f t="shared" ca="1" si="0"/>
        <v>coral</v>
      </c>
      <c r="N90" s="264" t="str">
        <f ca="1">IFERROR(__xludf.DUMMYFUNCTION("FILTER(C:E,B:B=J90)"),"焼肉大門")</f>
        <v>焼肉大門</v>
      </c>
      <c r="O90" s="265">
        <f ca="1">IFERROR(__xludf.DUMMYFUNCTION("""COMPUTED_VALUE"""),35.438687)</f>
        <v>35.438687000000002</v>
      </c>
      <c r="P90" s="265">
        <f ca="1">IFERROR(__xludf.DUMMYFUNCTION("""COMPUTED_VALUE"""),133.325304)</f>
        <v>133.32530399999999</v>
      </c>
      <c r="Q90" s="264" t="str">
        <f ca="1">IFERROR(__xludf.DUMMYFUNCTION("FILTER(C:E,B:B=K90)"),"三界萬霊塔")</f>
        <v>三界萬霊塔</v>
      </c>
      <c r="R90" s="265">
        <f ca="1">IFERROR(__xludf.DUMMYFUNCTION("""COMPUTED_VALUE"""),35.438051)</f>
        <v>35.438051000000002</v>
      </c>
      <c r="S90" s="265">
        <f ca="1">IFERROR(__xludf.DUMMYFUNCTION("""COMPUTED_VALUE"""),133.324409)</f>
        <v>133.324409</v>
      </c>
      <c r="T90" s="264" t="str">
        <f ca="1">IFERROR(__xludf.DUMMYFUNCTION("FILTER(C:E,B:B=L90)")," ")</f>
        <v xml:space="preserve"> </v>
      </c>
      <c r="U90" s="40" t="str">
        <f ca="1">IFERROR(__xludf.DUMMYFUNCTION("""COMPUTED_VALUE""")," ")</f>
        <v xml:space="preserve"> </v>
      </c>
      <c r="V90" s="40" t="str">
        <f ca="1">IFERROR(__xludf.DUMMYFUNCTION("""COMPUTED_VALUE""")," ")</f>
        <v xml:space="preserve"> </v>
      </c>
      <c r="W90" s="40" t="str">
        <f t="shared" ca="1" si="21"/>
        <v>,</v>
      </c>
      <c r="X90" s="40" t="s">
        <v>682</v>
      </c>
      <c r="Y90" s="40" t="s">
        <v>683</v>
      </c>
      <c r="Z90" s="264">
        <f t="shared" ca="1" si="1"/>
        <v>35.438687000000002</v>
      </c>
      <c r="AA90" s="40" t="s">
        <v>684</v>
      </c>
      <c r="AB90" s="264">
        <f t="shared" ca="1" si="2"/>
        <v>133.32530399999999</v>
      </c>
      <c r="AC90" s="40" t="s">
        <v>685</v>
      </c>
      <c r="AD90" s="264">
        <f t="shared" ca="1" si="3"/>
        <v>35.438051000000002</v>
      </c>
      <c r="AE90" s="40" t="s">
        <v>684</v>
      </c>
      <c r="AF90" s="264">
        <f t="shared" ca="1" si="4"/>
        <v>133.324409</v>
      </c>
      <c r="AG90" s="40" t="s">
        <v>686</v>
      </c>
      <c r="AH90" s="264" t="str">
        <f t="shared" ca="1" si="5"/>
        <v xml:space="preserve"> </v>
      </c>
      <c r="AI90" s="40" t="s">
        <v>684</v>
      </c>
      <c r="AJ90" s="264" t="str">
        <f t="shared" ca="1" si="6"/>
        <v xml:space="preserve"> </v>
      </c>
      <c r="AK90" s="40" t="s">
        <v>687</v>
      </c>
      <c r="AL90" s="264" t="str">
        <f t="shared" ca="1" si="7"/>
        <v>coral</v>
      </c>
      <c r="AM90" s="40" t="s">
        <v>688</v>
      </c>
      <c r="AN90" s="40" t="str">
        <f t="shared" ca="1" si="8"/>
        <v>,{"type":"polygon","latLngs":[ {"lat":35.438687,"lng":133.325304}, {"lat":35.438051,"lng":133.324409},{"lat": ,"lng": }], "color":"coral"}</v>
      </c>
      <c r="AO90" s="266" t="s">
        <v>689</v>
      </c>
      <c r="AP90" s="56">
        <f t="shared" ca="1" si="9"/>
        <v>35.438687000000002</v>
      </c>
      <c r="AQ90" s="40" t="s">
        <v>684</v>
      </c>
      <c r="AR90" s="56">
        <f t="shared" ca="1" si="10"/>
        <v>133.32530399999999</v>
      </c>
      <c r="AS90" s="40" t="s">
        <v>686</v>
      </c>
      <c r="AT90" s="56">
        <f t="shared" ca="1" si="11"/>
        <v>35.438051000000002</v>
      </c>
      <c r="AU90" s="40" t="s">
        <v>684</v>
      </c>
      <c r="AV90" s="56">
        <f t="shared" ca="1" si="12"/>
        <v>133.324409</v>
      </c>
      <c r="AW90" s="40" t="s">
        <v>690</v>
      </c>
      <c r="AX90" s="40" t="str">
        <f t="shared" ca="1" si="13"/>
        <v>coral</v>
      </c>
      <c r="AY90" s="40" t="s">
        <v>688</v>
      </c>
      <c r="AZ90" s="40" t="str">
        <f t="shared" ca="1" si="14"/>
        <v>,{"type":"polyline","latLngs":[{"lat":35.438687,"lng":133.325304},{"lat":35.438051,"lng":133.324409}],"color":"coral"}</v>
      </c>
      <c r="BA90" s="40" t="s">
        <v>691</v>
      </c>
      <c r="BB90" s="56">
        <f t="shared" ca="1" si="15"/>
        <v>35.438687000000002</v>
      </c>
      <c r="BC90" s="40" t="s">
        <v>684</v>
      </c>
      <c r="BD90" s="56">
        <f t="shared" ca="1" si="16"/>
        <v>133.32530399999999</v>
      </c>
      <c r="BE90" s="40" t="s">
        <v>692</v>
      </c>
      <c r="BF90" s="40" t="str">
        <f t="shared" ca="1" si="17"/>
        <v>coral</v>
      </c>
      <c r="BG90" s="40" t="s">
        <v>688</v>
      </c>
      <c r="BH90" s="40" t="str">
        <f t="shared" ca="1" si="18"/>
        <v>,{"type":"marker","latLng":{"lat":35.438687,"lng":133.325304},"color":"coral"}</v>
      </c>
      <c r="BI90" s="40" t="s">
        <v>693</v>
      </c>
      <c r="BJ90" s="40" t="s">
        <v>694</v>
      </c>
      <c r="BK90" s="267" t="str">
        <f t="shared" ca="1" si="19"/>
        <v>,{"type":"polyline","latLngs":[{"lat":35.438687,"lng":133.325304},{"lat":35.438051,"lng":133.324409}],"color":"coral"}</v>
      </c>
      <c r="BL90" s="40"/>
      <c r="BM90" s="40"/>
      <c r="BN90" s="40"/>
      <c r="BO90" s="40"/>
      <c r="BP90" s="40"/>
      <c r="BQ90" s="40"/>
      <c r="BR90" s="40"/>
      <c r="BS90" s="40"/>
      <c r="BT90" s="40"/>
      <c r="BU90" s="40"/>
      <c r="BV90" s="40"/>
      <c r="BW90" s="40"/>
      <c r="BX90" s="40"/>
      <c r="BY90" s="40"/>
      <c r="BZ90" s="40"/>
      <c r="CA90" s="40"/>
      <c r="CB90" s="40"/>
      <c r="CC90" s="40"/>
      <c r="CD90" s="40"/>
      <c r="CE90" s="40"/>
      <c r="CF90" s="40"/>
      <c r="CG90" s="40"/>
      <c r="CH90" s="40"/>
    </row>
    <row r="91" spans="1:86" ht="17.5">
      <c r="A91" s="40"/>
      <c r="B91" s="260" t="str">
        <f ca="1">IFERROR(__xludf.DUMMYFUNCTION("""COMPUTED_VALUE"""),"P83")</f>
        <v>P83</v>
      </c>
      <c r="C91" s="273" t="str">
        <f ca="1">IFERROR(__xludf.DUMMYFUNCTION("""COMPUTED_VALUE"""),"エースドライ")</f>
        <v>エースドライ</v>
      </c>
      <c r="D91" s="273">
        <f ca="1">IFERROR(__xludf.DUMMYFUNCTION("""COMPUTED_VALUE"""),35.43982)</f>
        <v>35.439819999999997</v>
      </c>
      <c r="E91" s="273">
        <f ca="1">IFERROR(__xludf.DUMMYFUNCTION("""COMPUTED_VALUE"""),133.322327)</f>
        <v>133.322327</v>
      </c>
      <c r="F91" s="40"/>
      <c r="G91" s="261"/>
      <c r="H91" s="262" t="s">
        <v>672</v>
      </c>
      <c r="I91" s="271" t="str">
        <f ca="1">IFERROR(__xludf.DUMMYFUNCTION("""COMPUTED_VALUE"""),"Agent04")</f>
        <v>Agent04</v>
      </c>
      <c r="J91" s="271" t="str">
        <f ca="1">IFERROR(__xludf.DUMMYFUNCTION("""COMPUTED_VALUE"""),"P76")</f>
        <v>P76</v>
      </c>
      <c r="K91" s="271" t="str">
        <f ca="1">IFERROR(__xludf.DUMMYFUNCTION("""COMPUTED_VALUE"""),"P63")</f>
        <v>P63</v>
      </c>
      <c r="L91" s="242" t="s">
        <v>681</v>
      </c>
      <c r="M91" s="263" t="str">
        <f t="shared" ca="1" si="0"/>
        <v>coral</v>
      </c>
      <c r="N91" s="264" t="str">
        <f ca="1">IFERROR(__xludf.DUMMYFUNCTION("FILTER(C:E,B:B=J91)"),"焼肉大門")</f>
        <v>焼肉大門</v>
      </c>
      <c r="O91" s="265">
        <f ca="1">IFERROR(__xludf.DUMMYFUNCTION("""COMPUTED_VALUE"""),35.438687)</f>
        <v>35.438687000000002</v>
      </c>
      <c r="P91" s="265">
        <f ca="1">IFERROR(__xludf.DUMMYFUNCTION("""COMPUTED_VALUE"""),133.325304)</f>
        <v>133.32530399999999</v>
      </c>
      <c r="Q91" s="264" t="str">
        <f ca="1">IFERROR(__xludf.DUMMYFUNCTION("FILTER(C:E,B:B=K91)"),"Rochelle Antique")</f>
        <v>Rochelle Antique</v>
      </c>
      <c r="R91" s="265">
        <f ca="1">IFERROR(__xludf.DUMMYFUNCTION("""COMPUTED_VALUE"""),35.436062)</f>
        <v>35.436062</v>
      </c>
      <c r="S91" s="265">
        <f ca="1">IFERROR(__xludf.DUMMYFUNCTION("""COMPUTED_VALUE"""),133.324187)</f>
        <v>133.32418699999999</v>
      </c>
      <c r="T91" s="264" t="str">
        <f ca="1">IFERROR(__xludf.DUMMYFUNCTION("FILTER(C:E,B:B=L91)")," ")</f>
        <v xml:space="preserve"> </v>
      </c>
      <c r="U91" s="40" t="str">
        <f ca="1">IFERROR(__xludf.DUMMYFUNCTION("""COMPUTED_VALUE""")," ")</f>
        <v xml:space="preserve"> </v>
      </c>
      <c r="V91" s="40" t="str">
        <f ca="1">IFERROR(__xludf.DUMMYFUNCTION("""COMPUTED_VALUE""")," ")</f>
        <v xml:space="preserve"> </v>
      </c>
      <c r="W91" s="40" t="str">
        <f t="shared" ca="1" si="21"/>
        <v>,</v>
      </c>
      <c r="X91" s="40" t="s">
        <v>682</v>
      </c>
      <c r="Y91" s="40" t="s">
        <v>683</v>
      </c>
      <c r="Z91" s="264">
        <f t="shared" ca="1" si="1"/>
        <v>35.438687000000002</v>
      </c>
      <c r="AA91" s="40" t="s">
        <v>684</v>
      </c>
      <c r="AB91" s="264">
        <f t="shared" ca="1" si="2"/>
        <v>133.32530399999999</v>
      </c>
      <c r="AC91" s="40" t="s">
        <v>685</v>
      </c>
      <c r="AD91" s="264">
        <f t="shared" ca="1" si="3"/>
        <v>35.436062</v>
      </c>
      <c r="AE91" s="40" t="s">
        <v>684</v>
      </c>
      <c r="AF91" s="264">
        <f t="shared" ca="1" si="4"/>
        <v>133.32418699999999</v>
      </c>
      <c r="AG91" s="40" t="s">
        <v>686</v>
      </c>
      <c r="AH91" s="264" t="str">
        <f t="shared" ca="1" si="5"/>
        <v xml:space="preserve"> </v>
      </c>
      <c r="AI91" s="40" t="s">
        <v>684</v>
      </c>
      <c r="AJ91" s="264" t="str">
        <f t="shared" ca="1" si="6"/>
        <v xml:space="preserve"> </v>
      </c>
      <c r="AK91" s="40" t="s">
        <v>687</v>
      </c>
      <c r="AL91" s="264" t="str">
        <f t="shared" ca="1" si="7"/>
        <v>coral</v>
      </c>
      <c r="AM91" s="40" t="s">
        <v>688</v>
      </c>
      <c r="AN91" s="40" t="str">
        <f t="shared" ca="1" si="8"/>
        <v>,{"type":"polygon","latLngs":[ {"lat":35.438687,"lng":133.325304}, {"lat":35.436062,"lng":133.324187},{"lat": ,"lng": }], "color":"coral"}</v>
      </c>
      <c r="AO91" s="266" t="s">
        <v>689</v>
      </c>
      <c r="AP91" s="56">
        <f t="shared" ca="1" si="9"/>
        <v>35.438687000000002</v>
      </c>
      <c r="AQ91" s="40" t="s">
        <v>684</v>
      </c>
      <c r="AR91" s="56">
        <f t="shared" ca="1" si="10"/>
        <v>133.32530399999999</v>
      </c>
      <c r="AS91" s="40" t="s">
        <v>686</v>
      </c>
      <c r="AT91" s="56">
        <f t="shared" ca="1" si="11"/>
        <v>35.436062</v>
      </c>
      <c r="AU91" s="40" t="s">
        <v>684</v>
      </c>
      <c r="AV91" s="56">
        <f t="shared" ca="1" si="12"/>
        <v>133.32418699999999</v>
      </c>
      <c r="AW91" s="40" t="s">
        <v>690</v>
      </c>
      <c r="AX91" s="40" t="str">
        <f t="shared" ca="1" si="13"/>
        <v>coral</v>
      </c>
      <c r="AY91" s="40" t="s">
        <v>688</v>
      </c>
      <c r="AZ91" s="40" t="str">
        <f t="shared" ca="1" si="14"/>
        <v>,{"type":"polyline","latLngs":[{"lat":35.438687,"lng":133.325304},{"lat":35.436062,"lng":133.324187}],"color":"coral"}</v>
      </c>
      <c r="BA91" s="40" t="s">
        <v>691</v>
      </c>
      <c r="BB91" s="56">
        <f t="shared" ca="1" si="15"/>
        <v>35.438687000000002</v>
      </c>
      <c r="BC91" s="40" t="s">
        <v>684</v>
      </c>
      <c r="BD91" s="56">
        <f t="shared" ca="1" si="16"/>
        <v>133.32530399999999</v>
      </c>
      <c r="BE91" s="40" t="s">
        <v>692</v>
      </c>
      <c r="BF91" s="40" t="str">
        <f t="shared" ca="1" si="17"/>
        <v>coral</v>
      </c>
      <c r="BG91" s="40" t="s">
        <v>688</v>
      </c>
      <c r="BH91" s="40" t="str">
        <f t="shared" ca="1" si="18"/>
        <v>,{"type":"marker","latLng":{"lat":35.438687,"lng":133.325304},"color":"coral"}</v>
      </c>
      <c r="BI91" s="40" t="s">
        <v>693</v>
      </c>
      <c r="BJ91" s="40" t="s">
        <v>694</v>
      </c>
      <c r="BK91" s="267" t="str">
        <f t="shared" ca="1" si="19"/>
        <v>,{"type":"polyline","latLngs":[{"lat":35.438687,"lng":133.325304},{"lat":35.436062,"lng":133.324187}],"color":"coral"}</v>
      </c>
      <c r="BL91" s="40"/>
      <c r="BM91" s="40"/>
      <c r="BN91" s="40"/>
      <c r="BO91" s="40"/>
      <c r="BP91" s="40"/>
      <c r="BQ91" s="40"/>
      <c r="BR91" s="40"/>
      <c r="BS91" s="40"/>
      <c r="BT91" s="40"/>
      <c r="BU91" s="40"/>
      <c r="BV91" s="40"/>
      <c r="BW91" s="40"/>
      <c r="BX91" s="40"/>
      <c r="BY91" s="40"/>
      <c r="BZ91" s="40"/>
      <c r="CA91" s="40"/>
      <c r="CB91" s="40"/>
      <c r="CC91" s="40"/>
      <c r="CD91" s="40"/>
      <c r="CE91" s="40"/>
      <c r="CF91" s="40"/>
      <c r="CG91" s="40"/>
      <c r="CH91" s="40"/>
    </row>
    <row r="92" spans="1:86" ht="17.5">
      <c r="A92" s="40"/>
      <c r="B92" s="260" t="str">
        <f ca="1">IFERROR(__xludf.DUMMYFUNCTION("""COMPUTED_VALUE"""),"P84")</f>
        <v>P84</v>
      </c>
      <c r="C92" s="273" t="str">
        <f ca="1">IFERROR(__xludf.DUMMYFUNCTION("""COMPUTED_VALUE"""),"環")</f>
        <v>環</v>
      </c>
      <c r="D92" s="273">
        <f ca="1">IFERROR(__xludf.DUMMYFUNCTION("""COMPUTED_VALUE"""),35.439874)</f>
        <v>35.439874000000003</v>
      </c>
      <c r="E92" s="273">
        <f ca="1">IFERROR(__xludf.DUMMYFUNCTION("""COMPUTED_VALUE"""),133.342277)</f>
        <v>133.342277</v>
      </c>
      <c r="F92" s="40"/>
      <c r="G92" s="261"/>
      <c r="H92" s="262" t="s">
        <v>672</v>
      </c>
      <c r="I92" s="271" t="str">
        <f ca="1">IFERROR(__xludf.DUMMYFUNCTION("""COMPUTED_VALUE"""),"Agent04")</f>
        <v>Agent04</v>
      </c>
      <c r="J92" s="271" t="str">
        <f ca="1">IFERROR(__xludf.DUMMYFUNCTION("""COMPUTED_VALUE"""),"P76")</f>
        <v>P76</v>
      </c>
      <c r="K92" s="271" t="str">
        <f ca="1">IFERROR(__xludf.DUMMYFUNCTION("""COMPUTED_VALUE"""),"P72")</f>
        <v>P72</v>
      </c>
      <c r="L92" s="242" t="s">
        <v>681</v>
      </c>
      <c r="M92" s="263" t="str">
        <f t="shared" ca="1" si="0"/>
        <v>coral</v>
      </c>
      <c r="N92" s="264" t="str">
        <f ca="1">IFERROR(__xludf.DUMMYFUNCTION("FILTER(C:E,B:B=J92)"),"焼肉大門")</f>
        <v>焼肉大門</v>
      </c>
      <c r="O92" s="265">
        <f ca="1">IFERROR(__xludf.DUMMYFUNCTION("""COMPUTED_VALUE"""),35.438687)</f>
        <v>35.438687000000002</v>
      </c>
      <c r="P92" s="265">
        <f ca="1">IFERROR(__xludf.DUMMYFUNCTION("""COMPUTED_VALUE"""),133.325304)</f>
        <v>133.32530399999999</v>
      </c>
      <c r="Q92" s="264" t="str">
        <f ca="1">IFERROR(__xludf.DUMMYFUNCTION("FILTER(C:E,B:B=K92)"),"糺神社 本殿")</f>
        <v>糺神社 本殿</v>
      </c>
      <c r="R92" s="265">
        <f ca="1">IFERROR(__xludf.DUMMYFUNCTION("""COMPUTED_VALUE"""),35.437674)</f>
        <v>35.437674000000001</v>
      </c>
      <c r="S92" s="265">
        <f ca="1">IFERROR(__xludf.DUMMYFUNCTION("""COMPUTED_VALUE"""),133.324838)</f>
        <v>133.324838</v>
      </c>
      <c r="T92" s="264" t="str">
        <f ca="1">IFERROR(__xludf.DUMMYFUNCTION("FILTER(C:E,B:B=L92)")," ")</f>
        <v xml:space="preserve"> </v>
      </c>
      <c r="U92" s="40" t="str">
        <f ca="1">IFERROR(__xludf.DUMMYFUNCTION("""COMPUTED_VALUE""")," ")</f>
        <v xml:space="preserve"> </v>
      </c>
      <c r="V92" s="40" t="str">
        <f ca="1">IFERROR(__xludf.DUMMYFUNCTION("""COMPUTED_VALUE""")," ")</f>
        <v xml:space="preserve"> </v>
      </c>
      <c r="W92" s="40" t="str">
        <f t="shared" ca="1" si="21"/>
        <v>,</v>
      </c>
      <c r="X92" s="40" t="s">
        <v>682</v>
      </c>
      <c r="Y92" s="40" t="s">
        <v>683</v>
      </c>
      <c r="Z92" s="264">
        <f t="shared" ca="1" si="1"/>
        <v>35.438687000000002</v>
      </c>
      <c r="AA92" s="40" t="s">
        <v>684</v>
      </c>
      <c r="AB92" s="264">
        <f t="shared" ca="1" si="2"/>
        <v>133.32530399999999</v>
      </c>
      <c r="AC92" s="40" t="s">
        <v>685</v>
      </c>
      <c r="AD92" s="264">
        <f t="shared" ca="1" si="3"/>
        <v>35.437674000000001</v>
      </c>
      <c r="AE92" s="40" t="s">
        <v>684</v>
      </c>
      <c r="AF92" s="264">
        <f t="shared" ca="1" si="4"/>
        <v>133.324838</v>
      </c>
      <c r="AG92" s="40" t="s">
        <v>686</v>
      </c>
      <c r="AH92" s="264" t="str">
        <f t="shared" ca="1" si="5"/>
        <v xml:space="preserve"> </v>
      </c>
      <c r="AI92" s="40" t="s">
        <v>684</v>
      </c>
      <c r="AJ92" s="264" t="str">
        <f t="shared" ca="1" si="6"/>
        <v xml:space="preserve"> </v>
      </c>
      <c r="AK92" s="40" t="s">
        <v>687</v>
      </c>
      <c r="AL92" s="264" t="str">
        <f t="shared" ca="1" si="7"/>
        <v>coral</v>
      </c>
      <c r="AM92" s="40" t="s">
        <v>688</v>
      </c>
      <c r="AN92" s="40" t="str">
        <f t="shared" ca="1" si="8"/>
        <v>,{"type":"polygon","latLngs":[ {"lat":35.438687,"lng":133.325304}, {"lat":35.437674,"lng":133.324838},{"lat": ,"lng": }], "color":"coral"}</v>
      </c>
      <c r="AO92" s="266" t="s">
        <v>689</v>
      </c>
      <c r="AP92" s="56">
        <f t="shared" ca="1" si="9"/>
        <v>35.438687000000002</v>
      </c>
      <c r="AQ92" s="40" t="s">
        <v>684</v>
      </c>
      <c r="AR92" s="56">
        <f t="shared" ca="1" si="10"/>
        <v>133.32530399999999</v>
      </c>
      <c r="AS92" s="40" t="s">
        <v>686</v>
      </c>
      <c r="AT92" s="56">
        <f t="shared" ca="1" si="11"/>
        <v>35.437674000000001</v>
      </c>
      <c r="AU92" s="40" t="s">
        <v>684</v>
      </c>
      <c r="AV92" s="56">
        <f t="shared" ca="1" si="12"/>
        <v>133.324838</v>
      </c>
      <c r="AW92" s="40" t="s">
        <v>690</v>
      </c>
      <c r="AX92" s="40" t="str">
        <f t="shared" ca="1" si="13"/>
        <v>coral</v>
      </c>
      <c r="AY92" s="40" t="s">
        <v>688</v>
      </c>
      <c r="AZ92" s="40" t="str">
        <f t="shared" ca="1" si="14"/>
        <v>,{"type":"polyline","latLngs":[{"lat":35.438687,"lng":133.325304},{"lat":35.437674,"lng":133.324838}],"color":"coral"}</v>
      </c>
      <c r="BA92" s="40" t="s">
        <v>691</v>
      </c>
      <c r="BB92" s="56">
        <f t="shared" ca="1" si="15"/>
        <v>35.438687000000002</v>
      </c>
      <c r="BC92" s="40" t="s">
        <v>684</v>
      </c>
      <c r="BD92" s="56">
        <f t="shared" ca="1" si="16"/>
        <v>133.32530399999999</v>
      </c>
      <c r="BE92" s="40" t="s">
        <v>692</v>
      </c>
      <c r="BF92" s="40" t="str">
        <f t="shared" ca="1" si="17"/>
        <v>coral</v>
      </c>
      <c r="BG92" s="40" t="s">
        <v>688</v>
      </c>
      <c r="BH92" s="40" t="str">
        <f t="shared" ca="1" si="18"/>
        <v>,{"type":"marker","latLng":{"lat":35.438687,"lng":133.325304},"color":"coral"}</v>
      </c>
      <c r="BI92" s="40" t="s">
        <v>693</v>
      </c>
      <c r="BJ92" s="40" t="s">
        <v>694</v>
      </c>
      <c r="BK92" s="267" t="str">
        <f t="shared" ca="1" si="19"/>
        <v>,{"type":"polyline","latLngs":[{"lat":35.438687,"lng":133.325304},{"lat":35.437674,"lng":133.324838}],"color":"coral"}</v>
      </c>
      <c r="BL92" s="40"/>
      <c r="BM92" s="40"/>
      <c r="BN92" s="40"/>
      <c r="BO92" s="40"/>
      <c r="BP92" s="40"/>
      <c r="BQ92" s="40"/>
      <c r="BR92" s="40"/>
      <c r="BS92" s="40"/>
      <c r="BT92" s="40"/>
      <c r="BU92" s="40"/>
      <c r="BV92" s="40"/>
      <c r="BW92" s="40"/>
      <c r="BX92" s="40"/>
      <c r="BY92" s="40"/>
      <c r="BZ92" s="40"/>
      <c r="CA92" s="40"/>
      <c r="CB92" s="40"/>
      <c r="CC92" s="40"/>
      <c r="CD92" s="40"/>
      <c r="CE92" s="40"/>
      <c r="CF92" s="40"/>
      <c r="CG92" s="40"/>
      <c r="CH92" s="40"/>
    </row>
    <row r="93" spans="1:86" ht="17.5">
      <c r="A93" s="40"/>
      <c r="B93" s="260" t="str">
        <f ca="1">IFERROR(__xludf.DUMMYFUNCTION("""COMPUTED_VALUE"""),"P85")</f>
        <v>P85</v>
      </c>
      <c r="C93" s="273" t="str">
        <f ca="1">IFERROR(__xludf.DUMMYFUNCTION("""COMPUTED_VALUE"""),"揺れるパンダ")</f>
        <v>揺れるパンダ</v>
      </c>
      <c r="D93" s="273">
        <f ca="1">IFERROR(__xludf.DUMMYFUNCTION("""COMPUTED_VALUE"""),35.439922)</f>
        <v>35.439922000000003</v>
      </c>
      <c r="E93" s="273">
        <f ca="1">IFERROR(__xludf.DUMMYFUNCTION("""COMPUTED_VALUE"""),133.328017)</f>
        <v>133.32801699999999</v>
      </c>
      <c r="F93" s="40"/>
      <c r="G93" s="261"/>
      <c r="H93" s="262" t="s">
        <v>672</v>
      </c>
      <c r="I93" s="271" t="str">
        <f ca="1">IFERROR(__xludf.DUMMYFUNCTION("""COMPUTED_VALUE"""),"Agent04")</f>
        <v>Agent04</v>
      </c>
      <c r="J93" s="271" t="str">
        <f ca="1">IFERROR(__xludf.DUMMYFUNCTION("""COMPUTED_VALUE"""),"P76")</f>
        <v>P76</v>
      </c>
      <c r="K93" s="271" t="str">
        <f ca="1">IFERROR(__xludf.DUMMYFUNCTION("""COMPUTED_VALUE"""),"P83")</f>
        <v>P83</v>
      </c>
      <c r="L93" s="242" t="s">
        <v>681</v>
      </c>
      <c r="M93" s="263" t="str">
        <f t="shared" ca="1" si="0"/>
        <v>coral</v>
      </c>
      <c r="N93" s="264" t="str">
        <f ca="1">IFERROR(__xludf.DUMMYFUNCTION("FILTER(C:E,B:B=J93)"),"焼肉大門")</f>
        <v>焼肉大門</v>
      </c>
      <c r="O93" s="265">
        <f ca="1">IFERROR(__xludf.DUMMYFUNCTION("""COMPUTED_VALUE"""),35.438687)</f>
        <v>35.438687000000002</v>
      </c>
      <c r="P93" s="265">
        <f ca="1">IFERROR(__xludf.DUMMYFUNCTION("""COMPUTED_VALUE"""),133.325304)</f>
        <v>133.32530399999999</v>
      </c>
      <c r="Q93" s="264" t="str">
        <f ca="1">IFERROR(__xludf.DUMMYFUNCTION("FILTER(C:E,B:B=K93)"),"エースドライ")</f>
        <v>エースドライ</v>
      </c>
      <c r="R93" s="265">
        <f ca="1">IFERROR(__xludf.DUMMYFUNCTION("""COMPUTED_VALUE"""),35.43982)</f>
        <v>35.439819999999997</v>
      </c>
      <c r="S93" s="265">
        <f ca="1">IFERROR(__xludf.DUMMYFUNCTION("""COMPUTED_VALUE"""),133.322327)</f>
        <v>133.322327</v>
      </c>
      <c r="T93" s="264" t="str">
        <f ca="1">IFERROR(__xludf.DUMMYFUNCTION("FILTER(C:E,B:B=L93)")," ")</f>
        <v xml:space="preserve"> </v>
      </c>
      <c r="U93" s="40" t="str">
        <f ca="1">IFERROR(__xludf.DUMMYFUNCTION("""COMPUTED_VALUE""")," ")</f>
        <v xml:space="preserve"> </v>
      </c>
      <c r="V93" s="40" t="str">
        <f ca="1">IFERROR(__xludf.DUMMYFUNCTION("""COMPUTED_VALUE""")," ")</f>
        <v xml:space="preserve"> </v>
      </c>
      <c r="W93" s="40" t="str">
        <f t="shared" ca="1" si="21"/>
        <v>,</v>
      </c>
      <c r="X93" s="40" t="s">
        <v>682</v>
      </c>
      <c r="Y93" s="40" t="s">
        <v>683</v>
      </c>
      <c r="Z93" s="264">
        <f t="shared" ca="1" si="1"/>
        <v>35.438687000000002</v>
      </c>
      <c r="AA93" s="40" t="s">
        <v>684</v>
      </c>
      <c r="AB93" s="264">
        <f t="shared" ca="1" si="2"/>
        <v>133.32530399999999</v>
      </c>
      <c r="AC93" s="40" t="s">
        <v>685</v>
      </c>
      <c r="AD93" s="264">
        <f t="shared" ca="1" si="3"/>
        <v>35.439819999999997</v>
      </c>
      <c r="AE93" s="40" t="s">
        <v>684</v>
      </c>
      <c r="AF93" s="264">
        <f t="shared" ca="1" si="4"/>
        <v>133.322327</v>
      </c>
      <c r="AG93" s="40" t="s">
        <v>686</v>
      </c>
      <c r="AH93" s="264" t="str">
        <f t="shared" ca="1" si="5"/>
        <v xml:space="preserve"> </v>
      </c>
      <c r="AI93" s="40" t="s">
        <v>684</v>
      </c>
      <c r="AJ93" s="264" t="str">
        <f t="shared" ca="1" si="6"/>
        <v xml:space="preserve"> </v>
      </c>
      <c r="AK93" s="40" t="s">
        <v>687</v>
      </c>
      <c r="AL93" s="264" t="str">
        <f t="shared" ca="1" si="7"/>
        <v>coral</v>
      </c>
      <c r="AM93" s="40" t="s">
        <v>688</v>
      </c>
      <c r="AN93" s="40" t="str">
        <f t="shared" ca="1" si="8"/>
        <v>,{"type":"polygon","latLngs":[ {"lat":35.438687,"lng":133.325304}, {"lat":35.43982,"lng":133.322327},{"lat": ,"lng": }], "color":"coral"}</v>
      </c>
      <c r="AO93" s="266" t="s">
        <v>689</v>
      </c>
      <c r="AP93" s="56">
        <f t="shared" ca="1" si="9"/>
        <v>35.438687000000002</v>
      </c>
      <c r="AQ93" s="40" t="s">
        <v>684</v>
      </c>
      <c r="AR93" s="56">
        <f t="shared" ca="1" si="10"/>
        <v>133.32530399999999</v>
      </c>
      <c r="AS93" s="40" t="s">
        <v>686</v>
      </c>
      <c r="AT93" s="56">
        <f t="shared" ca="1" si="11"/>
        <v>35.439819999999997</v>
      </c>
      <c r="AU93" s="40" t="s">
        <v>684</v>
      </c>
      <c r="AV93" s="56">
        <f t="shared" ca="1" si="12"/>
        <v>133.322327</v>
      </c>
      <c r="AW93" s="40" t="s">
        <v>690</v>
      </c>
      <c r="AX93" s="40" t="str">
        <f t="shared" ca="1" si="13"/>
        <v>coral</v>
      </c>
      <c r="AY93" s="40" t="s">
        <v>688</v>
      </c>
      <c r="AZ93" s="40" t="str">
        <f t="shared" ca="1" si="14"/>
        <v>,{"type":"polyline","latLngs":[{"lat":35.438687,"lng":133.325304},{"lat":35.43982,"lng":133.322327}],"color":"coral"}</v>
      </c>
      <c r="BA93" s="40" t="s">
        <v>691</v>
      </c>
      <c r="BB93" s="56">
        <f t="shared" ca="1" si="15"/>
        <v>35.438687000000002</v>
      </c>
      <c r="BC93" s="40" t="s">
        <v>684</v>
      </c>
      <c r="BD93" s="56">
        <f t="shared" ca="1" si="16"/>
        <v>133.32530399999999</v>
      </c>
      <c r="BE93" s="40" t="s">
        <v>692</v>
      </c>
      <c r="BF93" s="40" t="str">
        <f t="shared" ca="1" si="17"/>
        <v>coral</v>
      </c>
      <c r="BG93" s="40" t="s">
        <v>688</v>
      </c>
      <c r="BH93" s="40" t="str">
        <f t="shared" ca="1" si="18"/>
        <v>,{"type":"marker","latLng":{"lat":35.438687,"lng":133.325304},"color":"coral"}</v>
      </c>
      <c r="BI93" s="40" t="s">
        <v>693</v>
      </c>
      <c r="BJ93" s="40" t="s">
        <v>694</v>
      </c>
      <c r="BK93" s="267" t="str">
        <f t="shared" ca="1" si="19"/>
        <v>,{"type":"polyline","latLngs":[{"lat":35.438687,"lng":133.325304},{"lat":35.43982,"lng":133.322327}],"color":"coral"}</v>
      </c>
      <c r="BL93" s="40"/>
      <c r="BM93" s="40"/>
      <c r="BN93" s="40"/>
      <c r="BO93" s="40"/>
      <c r="BP93" s="40"/>
      <c r="BQ93" s="40"/>
      <c r="BR93" s="40"/>
      <c r="BS93" s="40"/>
      <c r="BT93" s="40"/>
      <c r="BU93" s="40"/>
      <c r="BV93" s="40"/>
      <c r="BW93" s="40"/>
      <c r="BX93" s="40"/>
      <c r="BY93" s="40"/>
      <c r="BZ93" s="40"/>
      <c r="CA93" s="40"/>
      <c r="CB93" s="40"/>
      <c r="CC93" s="40"/>
      <c r="CD93" s="40"/>
      <c r="CE93" s="40"/>
      <c r="CF93" s="40"/>
      <c r="CG93" s="40"/>
      <c r="CH93" s="40"/>
    </row>
    <row r="94" spans="1:86" ht="17.5">
      <c r="A94" s="40"/>
      <c r="B94" s="260" t="str">
        <f ca="1">IFERROR(__xludf.DUMMYFUNCTION("""COMPUTED_VALUE"""),"P86")</f>
        <v>P86</v>
      </c>
      <c r="C94" s="273" t="str">
        <f ca="1">IFERROR(__xludf.DUMMYFUNCTION("""COMPUTED_VALUE"""),"立町の遊歩道")</f>
        <v>立町の遊歩道</v>
      </c>
      <c r="D94" s="273">
        <f ca="1">IFERROR(__xludf.DUMMYFUNCTION("""COMPUTED_VALUE"""),35.439923)</f>
        <v>35.439923</v>
      </c>
      <c r="E94" s="273">
        <f ca="1">IFERROR(__xludf.DUMMYFUNCTION("""COMPUTED_VALUE"""),133.326469)</f>
        <v>133.326469</v>
      </c>
      <c r="F94" s="40"/>
      <c r="G94" s="261"/>
      <c r="H94" s="262" t="s">
        <v>672</v>
      </c>
      <c r="I94" s="271" t="str">
        <f ca="1">IFERROR(__xludf.DUMMYFUNCTION("""COMPUTED_VALUE"""),"Agent04")</f>
        <v>Agent04</v>
      </c>
      <c r="J94" s="271" t="str">
        <f ca="1">IFERROR(__xludf.DUMMYFUNCTION("""COMPUTED_VALUE"""),"P76")</f>
        <v>P76</v>
      </c>
      <c r="K94" s="271" t="str">
        <f ca="1">IFERROR(__xludf.DUMMYFUNCTION("""COMPUTED_VALUE"""),"P92")</f>
        <v>P92</v>
      </c>
      <c r="L94" s="242" t="s">
        <v>681</v>
      </c>
      <c r="M94" s="263" t="str">
        <f t="shared" ca="1" si="0"/>
        <v>coral</v>
      </c>
      <c r="N94" s="264" t="str">
        <f ca="1">IFERROR(__xludf.DUMMYFUNCTION("FILTER(C:E,B:B=J94)"),"焼肉大門")</f>
        <v>焼肉大門</v>
      </c>
      <c r="O94" s="265">
        <f ca="1">IFERROR(__xludf.DUMMYFUNCTION("""COMPUTED_VALUE"""),35.438687)</f>
        <v>35.438687000000002</v>
      </c>
      <c r="P94" s="265">
        <f ca="1">IFERROR(__xludf.DUMMYFUNCTION("""COMPUTED_VALUE"""),133.325304)</f>
        <v>133.32530399999999</v>
      </c>
      <c r="Q94" s="264" t="str">
        <f ca="1">IFERROR(__xludf.DUMMYFUNCTION("FILTER(C:E,B:B=K94)"),"米子福音ルーテル教会")</f>
        <v>米子福音ルーテル教会</v>
      </c>
      <c r="R94" s="265">
        <f ca="1">IFERROR(__xludf.DUMMYFUNCTION("""COMPUTED_VALUE"""),35.440517)</f>
        <v>35.440517</v>
      </c>
      <c r="S94" s="265">
        <f ca="1">IFERROR(__xludf.DUMMYFUNCTION("""COMPUTED_VALUE"""),133.325712)</f>
        <v>133.32571200000001</v>
      </c>
      <c r="T94" s="264" t="str">
        <f ca="1">IFERROR(__xludf.DUMMYFUNCTION("FILTER(C:E,B:B=L94)")," ")</f>
        <v xml:space="preserve"> </v>
      </c>
      <c r="U94" s="40" t="str">
        <f ca="1">IFERROR(__xludf.DUMMYFUNCTION("""COMPUTED_VALUE""")," ")</f>
        <v xml:space="preserve"> </v>
      </c>
      <c r="V94" s="40" t="str">
        <f ca="1">IFERROR(__xludf.DUMMYFUNCTION("""COMPUTED_VALUE""")," ")</f>
        <v xml:space="preserve"> </v>
      </c>
      <c r="W94" s="40" t="str">
        <f t="shared" ca="1" si="21"/>
        <v>,</v>
      </c>
      <c r="X94" s="40" t="s">
        <v>682</v>
      </c>
      <c r="Y94" s="40" t="s">
        <v>683</v>
      </c>
      <c r="Z94" s="264">
        <f t="shared" ca="1" si="1"/>
        <v>35.438687000000002</v>
      </c>
      <c r="AA94" s="40" t="s">
        <v>684</v>
      </c>
      <c r="AB94" s="264">
        <f t="shared" ca="1" si="2"/>
        <v>133.32530399999999</v>
      </c>
      <c r="AC94" s="40" t="s">
        <v>685</v>
      </c>
      <c r="AD94" s="264">
        <f t="shared" ca="1" si="3"/>
        <v>35.440517</v>
      </c>
      <c r="AE94" s="40" t="s">
        <v>684</v>
      </c>
      <c r="AF94" s="264">
        <f t="shared" ca="1" si="4"/>
        <v>133.32571200000001</v>
      </c>
      <c r="AG94" s="40" t="s">
        <v>686</v>
      </c>
      <c r="AH94" s="264" t="str">
        <f t="shared" ca="1" si="5"/>
        <v xml:space="preserve"> </v>
      </c>
      <c r="AI94" s="40" t="s">
        <v>684</v>
      </c>
      <c r="AJ94" s="264" t="str">
        <f t="shared" ca="1" si="6"/>
        <v xml:space="preserve"> </v>
      </c>
      <c r="AK94" s="40" t="s">
        <v>687</v>
      </c>
      <c r="AL94" s="264" t="str">
        <f t="shared" ca="1" si="7"/>
        <v>coral</v>
      </c>
      <c r="AM94" s="40" t="s">
        <v>688</v>
      </c>
      <c r="AN94" s="40" t="str">
        <f t="shared" ca="1" si="8"/>
        <v>,{"type":"polygon","latLngs":[ {"lat":35.438687,"lng":133.325304}, {"lat":35.440517,"lng":133.325712},{"lat": ,"lng": }], "color":"coral"}</v>
      </c>
      <c r="AO94" s="266" t="s">
        <v>689</v>
      </c>
      <c r="AP94" s="56">
        <f t="shared" ca="1" si="9"/>
        <v>35.438687000000002</v>
      </c>
      <c r="AQ94" s="40" t="s">
        <v>684</v>
      </c>
      <c r="AR94" s="56">
        <f t="shared" ca="1" si="10"/>
        <v>133.32530399999999</v>
      </c>
      <c r="AS94" s="40" t="s">
        <v>686</v>
      </c>
      <c r="AT94" s="56">
        <f t="shared" ca="1" si="11"/>
        <v>35.440517</v>
      </c>
      <c r="AU94" s="40" t="s">
        <v>684</v>
      </c>
      <c r="AV94" s="56">
        <f t="shared" ca="1" si="12"/>
        <v>133.32571200000001</v>
      </c>
      <c r="AW94" s="40" t="s">
        <v>690</v>
      </c>
      <c r="AX94" s="40" t="str">
        <f t="shared" ca="1" si="13"/>
        <v>coral</v>
      </c>
      <c r="AY94" s="40" t="s">
        <v>688</v>
      </c>
      <c r="AZ94" s="40" t="str">
        <f t="shared" ca="1" si="14"/>
        <v>,{"type":"polyline","latLngs":[{"lat":35.438687,"lng":133.325304},{"lat":35.440517,"lng":133.325712}],"color":"coral"}</v>
      </c>
      <c r="BA94" s="40" t="s">
        <v>691</v>
      </c>
      <c r="BB94" s="56">
        <f t="shared" ca="1" si="15"/>
        <v>35.438687000000002</v>
      </c>
      <c r="BC94" s="40" t="s">
        <v>684</v>
      </c>
      <c r="BD94" s="56">
        <f t="shared" ca="1" si="16"/>
        <v>133.32530399999999</v>
      </c>
      <c r="BE94" s="40" t="s">
        <v>692</v>
      </c>
      <c r="BF94" s="40" t="str">
        <f t="shared" ca="1" si="17"/>
        <v>coral</v>
      </c>
      <c r="BG94" s="40" t="s">
        <v>688</v>
      </c>
      <c r="BH94" s="40" t="str">
        <f t="shared" ca="1" si="18"/>
        <v>,{"type":"marker","latLng":{"lat":35.438687,"lng":133.325304},"color":"coral"}</v>
      </c>
      <c r="BI94" s="40" t="s">
        <v>693</v>
      </c>
      <c r="BJ94" s="40" t="s">
        <v>694</v>
      </c>
      <c r="BK94" s="267" t="str">
        <f t="shared" ca="1" si="19"/>
        <v>,{"type":"polyline","latLngs":[{"lat":35.438687,"lng":133.325304},{"lat":35.440517,"lng":133.325712}],"color":"coral"}</v>
      </c>
      <c r="BL94" s="40"/>
      <c r="BM94" s="40"/>
      <c r="BN94" s="40"/>
      <c r="BO94" s="40"/>
      <c r="BP94" s="40"/>
      <c r="BQ94" s="40"/>
      <c r="BR94" s="40"/>
      <c r="BS94" s="40"/>
      <c r="BT94" s="40"/>
      <c r="BU94" s="40"/>
      <c r="BV94" s="40"/>
      <c r="BW94" s="40"/>
      <c r="BX94" s="40"/>
      <c r="BY94" s="40"/>
      <c r="BZ94" s="40"/>
      <c r="CA94" s="40"/>
      <c r="CB94" s="40"/>
      <c r="CC94" s="40"/>
      <c r="CD94" s="40"/>
      <c r="CE94" s="40"/>
      <c r="CF94" s="40"/>
      <c r="CG94" s="40"/>
      <c r="CH94" s="40"/>
    </row>
    <row r="95" spans="1:86" ht="17.5">
      <c r="A95" s="40"/>
      <c r="B95" s="260" t="str">
        <f ca="1">IFERROR(__xludf.DUMMYFUNCTION("""COMPUTED_VALUE"""),"P87")</f>
        <v>P87</v>
      </c>
      <c r="C95" s="273" t="str">
        <f ca="1">IFERROR(__xludf.DUMMYFUNCTION("""COMPUTED_VALUE"""),"米原1丁目住宅案内図")</f>
        <v>米原1丁目住宅案内図</v>
      </c>
      <c r="D95" s="273">
        <f ca="1">IFERROR(__xludf.DUMMYFUNCTION("""COMPUTED_VALUE"""),35.43998)</f>
        <v>35.439979999999998</v>
      </c>
      <c r="E95" s="273">
        <f ca="1">IFERROR(__xludf.DUMMYFUNCTION("""COMPUTED_VALUE"""),133.328953)</f>
        <v>133.32895300000001</v>
      </c>
      <c r="F95" s="40"/>
      <c r="G95" s="261"/>
      <c r="H95" s="262" t="s">
        <v>672</v>
      </c>
      <c r="I95" s="271" t="str">
        <f ca="1">IFERROR(__xludf.DUMMYFUNCTION("""COMPUTED_VALUE"""),"Agent04")</f>
        <v>Agent04</v>
      </c>
      <c r="J95" s="271" t="str">
        <f ca="1">IFERROR(__xludf.DUMMYFUNCTION("""COMPUTED_VALUE"""),"P76")</f>
        <v>P76</v>
      </c>
      <c r="K95" s="271" t="str">
        <f ca="1">IFERROR(__xludf.DUMMYFUNCTION("""COMPUTED_VALUE"""),"P77")</f>
        <v>P77</v>
      </c>
      <c r="L95" s="242" t="s">
        <v>681</v>
      </c>
      <c r="M95" s="263" t="str">
        <f t="shared" ca="1" si="0"/>
        <v>coral</v>
      </c>
      <c r="N95" s="264" t="str">
        <f ca="1">IFERROR(__xludf.DUMMYFUNCTION("FILTER(C:E,B:B=J95)"),"焼肉大門")</f>
        <v>焼肉大門</v>
      </c>
      <c r="O95" s="265">
        <f ca="1">IFERROR(__xludf.DUMMYFUNCTION("""COMPUTED_VALUE"""),35.438687)</f>
        <v>35.438687000000002</v>
      </c>
      <c r="P95" s="265">
        <f ca="1">IFERROR(__xludf.DUMMYFUNCTION("""COMPUTED_VALUE"""),133.325304)</f>
        <v>133.32530399999999</v>
      </c>
      <c r="Q95" s="264" t="str">
        <f ca="1">IFERROR(__xludf.DUMMYFUNCTION("FILTER(C:E,B:B=K95)"),"理想教 米子法堂")</f>
        <v>理想教 米子法堂</v>
      </c>
      <c r="R95" s="265">
        <f ca="1">IFERROR(__xludf.DUMMYFUNCTION("""COMPUTED_VALUE"""),35.439227)</f>
        <v>35.439227000000002</v>
      </c>
      <c r="S95" s="265">
        <f ca="1">IFERROR(__xludf.DUMMYFUNCTION("""COMPUTED_VALUE"""),133.324762)</f>
        <v>133.32476199999999</v>
      </c>
      <c r="T95" s="264" t="str">
        <f ca="1">IFERROR(__xludf.DUMMYFUNCTION("FILTER(C:E,B:B=L95)")," ")</f>
        <v xml:space="preserve"> </v>
      </c>
      <c r="U95" s="40" t="str">
        <f ca="1">IFERROR(__xludf.DUMMYFUNCTION("""COMPUTED_VALUE""")," ")</f>
        <v xml:space="preserve"> </v>
      </c>
      <c r="V95" s="40" t="str">
        <f ca="1">IFERROR(__xludf.DUMMYFUNCTION("""COMPUTED_VALUE""")," ")</f>
        <v xml:space="preserve"> </v>
      </c>
      <c r="W95" s="40" t="str">
        <f t="shared" ca="1" si="21"/>
        <v>,</v>
      </c>
      <c r="X95" s="40" t="s">
        <v>682</v>
      </c>
      <c r="Y95" s="40" t="s">
        <v>683</v>
      </c>
      <c r="Z95" s="264">
        <f t="shared" ca="1" si="1"/>
        <v>35.438687000000002</v>
      </c>
      <c r="AA95" s="40" t="s">
        <v>684</v>
      </c>
      <c r="AB95" s="264">
        <f t="shared" ca="1" si="2"/>
        <v>133.32530399999999</v>
      </c>
      <c r="AC95" s="40" t="s">
        <v>685</v>
      </c>
      <c r="AD95" s="264">
        <f t="shared" ca="1" si="3"/>
        <v>35.439227000000002</v>
      </c>
      <c r="AE95" s="40" t="s">
        <v>684</v>
      </c>
      <c r="AF95" s="264">
        <f t="shared" ca="1" si="4"/>
        <v>133.32476199999999</v>
      </c>
      <c r="AG95" s="40" t="s">
        <v>686</v>
      </c>
      <c r="AH95" s="264" t="str">
        <f t="shared" ca="1" si="5"/>
        <v xml:space="preserve"> </v>
      </c>
      <c r="AI95" s="40" t="s">
        <v>684</v>
      </c>
      <c r="AJ95" s="264" t="str">
        <f t="shared" ca="1" si="6"/>
        <v xml:space="preserve"> </v>
      </c>
      <c r="AK95" s="40" t="s">
        <v>687</v>
      </c>
      <c r="AL95" s="264" t="str">
        <f t="shared" ca="1" si="7"/>
        <v>coral</v>
      </c>
      <c r="AM95" s="40" t="s">
        <v>688</v>
      </c>
      <c r="AN95" s="40" t="str">
        <f t="shared" ca="1" si="8"/>
        <v>,{"type":"polygon","latLngs":[ {"lat":35.438687,"lng":133.325304}, {"lat":35.439227,"lng":133.324762},{"lat": ,"lng": }], "color":"coral"}</v>
      </c>
      <c r="AO95" s="266" t="s">
        <v>689</v>
      </c>
      <c r="AP95" s="56">
        <f t="shared" ca="1" si="9"/>
        <v>35.438687000000002</v>
      </c>
      <c r="AQ95" s="40" t="s">
        <v>684</v>
      </c>
      <c r="AR95" s="56">
        <f t="shared" ca="1" si="10"/>
        <v>133.32530399999999</v>
      </c>
      <c r="AS95" s="40" t="s">
        <v>686</v>
      </c>
      <c r="AT95" s="56">
        <f t="shared" ca="1" si="11"/>
        <v>35.439227000000002</v>
      </c>
      <c r="AU95" s="40" t="s">
        <v>684</v>
      </c>
      <c r="AV95" s="56">
        <f t="shared" ca="1" si="12"/>
        <v>133.32476199999999</v>
      </c>
      <c r="AW95" s="40" t="s">
        <v>690</v>
      </c>
      <c r="AX95" s="40" t="str">
        <f t="shared" ca="1" si="13"/>
        <v>coral</v>
      </c>
      <c r="AY95" s="40" t="s">
        <v>688</v>
      </c>
      <c r="AZ95" s="40" t="str">
        <f t="shared" ca="1" si="14"/>
        <v>,{"type":"polyline","latLngs":[{"lat":35.438687,"lng":133.325304},{"lat":35.439227,"lng":133.324762}],"color":"coral"}</v>
      </c>
      <c r="BA95" s="40" t="s">
        <v>691</v>
      </c>
      <c r="BB95" s="56">
        <f t="shared" ca="1" si="15"/>
        <v>35.438687000000002</v>
      </c>
      <c r="BC95" s="40" t="s">
        <v>684</v>
      </c>
      <c r="BD95" s="56">
        <f t="shared" ca="1" si="16"/>
        <v>133.32530399999999</v>
      </c>
      <c r="BE95" s="40" t="s">
        <v>692</v>
      </c>
      <c r="BF95" s="40" t="str">
        <f t="shared" ca="1" si="17"/>
        <v>coral</v>
      </c>
      <c r="BG95" s="40" t="s">
        <v>688</v>
      </c>
      <c r="BH95" s="40" t="str">
        <f t="shared" ca="1" si="18"/>
        <v>,{"type":"marker","latLng":{"lat":35.438687,"lng":133.325304},"color":"coral"}</v>
      </c>
      <c r="BI95" s="40" t="s">
        <v>693</v>
      </c>
      <c r="BJ95" s="40" t="s">
        <v>694</v>
      </c>
      <c r="BK95" s="267" t="str">
        <f t="shared" ca="1" si="19"/>
        <v>,{"type":"polyline","latLngs":[{"lat":35.438687,"lng":133.325304},{"lat":35.439227,"lng":133.324762}],"color":"coral"}</v>
      </c>
      <c r="BL95" s="40"/>
      <c r="BM95" s="40"/>
      <c r="BN95" s="40"/>
      <c r="BO95" s="40"/>
      <c r="BP95" s="40"/>
      <c r="BQ95" s="40"/>
      <c r="BR95" s="40"/>
      <c r="BS95" s="40"/>
      <c r="BT95" s="40"/>
      <c r="BU95" s="40"/>
      <c r="BV95" s="40"/>
      <c r="BW95" s="40"/>
      <c r="BX95" s="40"/>
      <c r="BY95" s="40"/>
      <c r="BZ95" s="40"/>
      <c r="CA95" s="40"/>
      <c r="CB95" s="40"/>
      <c r="CC95" s="40"/>
      <c r="CD95" s="40"/>
      <c r="CE95" s="40"/>
      <c r="CF95" s="40"/>
      <c r="CG95" s="40"/>
      <c r="CH95" s="40"/>
    </row>
    <row r="96" spans="1:86" ht="17.5">
      <c r="A96" s="40"/>
      <c r="B96" s="260" t="str">
        <f ca="1">IFERROR(__xludf.DUMMYFUNCTION("""COMPUTED_VALUE"""),"P88")</f>
        <v>P88</v>
      </c>
      <c r="C96" s="273" t="str">
        <f ca="1">IFERROR(__xludf.DUMMYFUNCTION("""COMPUTED_VALUE"""),"どろたぼう駅")</f>
        <v>どろたぼう駅</v>
      </c>
      <c r="D96" s="273">
        <f ca="1">IFERROR(__xludf.DUMMYFUNCTION("""COMPUTED_VALUE"""),35.439991)</f>
        <v>35.439990999999999</v>
      </c>
      <c r="E96" s="273">
        <f ca="1">IFERROR(__xludf.DUMMYFUNCTION("""COMPUTED_VALUE"""),133.331279)</f>
        <v>133.33127899999999</v>
      </c>
      <c r="F96" s="40"/>
      <c r="G96" s="261"/>
      <c r="H96" s="262" t="s">
        <v>672</v>
      </c>
      <c r="I96" s="271" t="str">
        <f ca="1">IFERROR(__xludf.DUMMYFUNCTION("""COMPUTED_VALUE"""),"Agent04")</f>
        <v>Agent04</v>
      </c>
      <c r="J96" s="271" t="str">
        <f ca="1">IFERROR(__xludf.DUMMYFUNCTION("""COMPUTED_VALUE"""),"P76")</f>
        <v>P76</v>
      </c>
      <c r="K96" s="271" t="str">
        <f ca="1">IFERROR(__xludf.DUMMYFUNCTION("""COMPUTED_VALUE"""),"P86")</f>
        <v>P86</v>
      </c>
      <c r="L96" s="242" t="s">
        <v>681</v>
      </c>
      <c r="M96" s="263" t="str">
        <f t="shared" ca="1" si="0"/>
        <v>coral</v>
      </c>
      <c r="N96" s="264" t="str">
        <f ca="1">IFERROR(__xludf.DUMMYFUNCTION("FILTER(C:E,B:B=J96)"),"焼肉大門")</f>
        <v>焼肉大門</v>
      </c>
      <c r="O96" s="265">
        <f ca="1">IFERROR(__xludf.DUMMYFUNCTION("""COMPUTED_VALUE"""),35.438687)</f>
        <v>35.438687000000002</v>
      </c>
      <c r="P96" s="265">
        <f ca="1">IFERROR(__xludf.DUMMYFUNCTION("""COMPUTED_VALUE"""),133.325304)</f>
        <v>133.32530399999999</v>
      </c>
      <c r="Q96" s="264" t="str">
        <f ca="1">IFERROR(__xludf.DUMMYFUNCTION("FILTER(C:E,B:B=K96)"),"立町の遊歩道")</f>
        <v>立町の遊歩道</v>
      </c>
      <c r="R96" s="265">
        <f ca="1">IFERROR(__xludf.DUMMYFUNCTION("""COMPUTED_VALUE"""),35.439923)</f>
        <v>35.439923</v>
      </c>
      <c r="S96" s="265">
        <f ca="1">IFERROR(__xludf.DUMMYFUNCTION("""COMPUTED_VALUE"""),133.326469)</f>
        <v>133.326469</v>
      </c>
      <c r="T96" s="264" t="str">
        <f ca="1">IFERROR(__xludf.DUMMYFUNCTION("FILTER(C:E,B:B=L96)")," ")</f>
        <v xml:space="preserve"> </v>
      </c>
      <c r="U96" s="40" t="str">
        <f ca="1">IFERROR(__xludf.DUMMYFUNCTION("""COMPUTED_VALUE""")," ")</f>
        <v xml:space="preserve"> </v>
      </c>
      <c r="V96" s="40" t="str">
        <f ca="1">IFERROR(__xludf.DUMMYFUNCTION("""COMPUTED_VALUE""")," ")</f>
        <v xml:space="preserve"> </v>
      </c>
      <c r="W96" s="40" t="str">
        <f t="shared" ca="1" si="21"/>
        <v>,</v>
      </c>
      <c r="X96" s="40" t="s">
        <v>682</v>
      </c>
      <c r="Y96" s="40" t="s">
        <v>683</v>
      </c>
      <c r="Z96" s="264">
        <f t="shared" ca="1" si="1"/>
        <v>35.438687000000002</v>
      </c>
      <c r="AA96" s="40" t="s">
        <v>684</v>
      </c>
      <c r="AB96" s="264">
        <f t="shared" ca="1" si="2"/>
        <v>133.32530399999999</v>
      </c>
      <c r="AC96" s="40" t="s">
        <v>685</v>
      </c>
      <c r="AD96" s="264">
        <f t="shared" ca="1" si="3"/>
        <v>35.439923</v>
      </c>
      <c r="AE96" s="40" t="s">
        <v>684</v>
      </c>
      <c r="AF96" s="264">
        <f t="shared" ca="1" si="4"/>
        <v>133.326469</v>
      </c>
      <c r="AG96" s="40" t="s">
        <v>686</v>
      </c>
      <c r="AH96" s="264" t="str">
        <f t="shared" ca="1" si="5"/>
        <v xml:space="preserve"> </v>
      </c>
      <c r="AI96" s="40" t="s">
        <v>684</v>
      </c>
      <c r="AJ96" s="264" t="str">
        <f t="shared" ca="1" si="6"/>
        <v xml:space="preserve"> </v>
      </c>
      <c r="AK96" s="40" t="s">
        <v>687</v>
      </c>
      <c r="AL96" s="264" t="str">
        <f t="shared" ca="1" si="7"/>
        <v>coral</v>
      </c>
      <c r="AM96" s="40" t="s">
        <v>688</v>
      </c>
      <c r="AN96" s="40" t="str">
        <f t="shared" ca="1" si="8"/>
        <v>,{"type":"polygon","latLngs":[ {"lat":35.438687,"lng":133.325304}, {"lat":35.439923,"lng":133.326469},{"lat": ,"lng": }], "color":"coral"}</v>
      </c>
      <c r="AO96" s="266" t="s">
        <v>689</v>
      </c>
      <c r="AP96" s="56">
        <f t="shared" ca="1" si="9"/>
        <v>35.438687000000002</v>
      </c>
      <c r="AQ96" s="40" t="s">
        <v>684</v>
      </c>
      <c r="AR96" s="56">
        <f t="shared" ca="1" si="10"/>
        <v>133.32530399999999</v>
      </c>
      <c r="AS96" s="40" t="s">
        <v>686</v>
      </c>
      <c r="AT96" s="56">
        <f t="shared" ca="1" si="11"/>
        <v>35.439923</v>
      </c>
      <c r="AU96" s="40" t="s">
        <v>684</v>
      </c>
      <c r="AV96" s="56">
        <f t="shared" ca="1" si="12"/>
        <v>133.326469</v>
      </c>
      <c r="AW96" s="40" t="s">
        <v>690</v>
      </c>
      <c r="AX96" s="40" t="str">
        <f t="shared" ca="1" si="13"/>
        <v>coral</v>
      </c>
      <c r="AY96" s="40" t="s">
        <v>688</v>
      </c>
      <c r="AZ96" s="40" t="str">
        <f t="shared" ca="1" si="14"/>
        <v>,{"type":"polyline","latLngs":[{"lat":35.438687,"lng":133.325304},{"lat":35.439923,"lng":133.326469}],"color":"coral"}</v>
      </c>
      <c r="BA96" s="40" t="s">
        <v>691</v>
      </c>
      <c r="BB96" s="56">
        <f t="shared" ca="1" si="15"/>
        <v>35.438687000000002</v>
      </c>
      <c r="BC96" s="40" t="s">
        <v>684</v>
      </c>
      <c r="BD96" s="56">
        <f t="shared" ca="1" si="16"/>
        <v>133.32530399999999</v>
      </c>
      <c r="BE96" s="40" t="s">
        <v>692</v>
      </c>
      <c r="BF96" s="40" t="str">
        <f t="shared" ca="1" si="17"/>
        <v>coral</v>
      </c>
      <c r="BG96" s="40" t="s">
        <v>688</v>
      </c>
      <c r="BH96" s="40" t="str">
        <f t="shared" ca="1" si="18"/>
        <v>,{"type":"marker","latLng":{"lat":35.438687,"lng":133.325304},"color":"coral"}</v>
      </c>
      <c r="BI96" s="40" t="s">
        <v>693</v>
      </c>
      <c r="BJ96" s="40" t="s">
        <v>694</v>
      </c>
      <c r="BK96" s="267" t="str">
        <f t="shared" ca="1" si="19"/>
        <v>,{"type":"polyline","latLngs":[{"lat":35.438687,"lng":133.325304},{"lat":35.439923,"lng":133.326469}],"color":"coral"}</v>
      </c>
      <c r="BL96" s="40"/>
      <c r="BM96" s="40"/>
      <c r="BN96" s="40"/>
      <c r="BO96" s="40"/>
      <c r="BP96" s="40"/>
      <c r="BQ96" s="40"/>
      <c r="BR96" s="40"/>
      <c r="BS96" s="40"/>
      <c r="BT96" s="40"/>
      <c r="BU96" s="40"/>
      <c r="BV96" s="40"/>
      <c r="BW96" s="40"/>
      <c r="BX96" s="40"/>
      <c r="BY96" s="40"/>
      <c r="BZ96" s="40"/>
      <c r="CA96" s="40"/>
      <c r="CB96" s="40"/>
      <c r="CC96" s="40"/>
      <c r="CD96" s="40"/>
      <c r="CE96" s="40"/>
      <c r="CF96" s="40"/>
      <c r="CG96" s="40"/>
      <c r="CH96" s="40"/>
    </row>
    <row r="97" spans="1:86" ht="17.5">
      <c r="A97" s="40"/>
      <c r="B97" s="260" t="str">
        <f ca="1">IFERROR(__xludf.DUMMYFUNCTION("""COMPUTED_VALUE"""),"P89")</f>
        <v>P89</v>
      </c>
      <c r="C97" s="273" t="str">
        <f ca="1">IFERROR(__xludf.DUMMYFUNCTION("""COMPUTED_VALUE"""),"上場谷神社")</f>
        <v>上場谷神社</v>
      </c>
      <c r="D97" s="273">
        <f ca="1">IFERROR(__xludf.DUMMYFUNCTION("""COMPUTED_VALUE"""),35.440322)</f>
        <v>35.440322000000002</v>
      </c>
      <c r="E97" s="273">
        <f ca="1">IFERROR(__xludf.DUMMYFUNCTION("""COMPUTED_VALUE"""),133.337421)</f>
        <v>133.33742100000001</v>
      </c>
      <c r="F97" s="40"/>
      <c r="G97" s="261"/>
      <c r="H97" s="262" t="s">
        <v>672</v>
      </c>
      <c r="I97" s="271" t="str">
        <f ca="1">IFERROR(__xludf.DUMMYFUNCTION("""COMPUTED_VALUE"""),"Agent04")</f>
        <v>Agent04</v>
      </c>
      <c r="J97" s="271" t="str">
        <f ca="1">IFERROR(__xludf.DUMMYFUNCTION("""COMPUTED_VALUE"""),"P76")</f>
        <v>P76</v>
      </c>
      <c r="K97" s="271" t="str">
        <f ca="1">IFERROR(__xludf.DUMMYFUNCTION("""COMPUTED_VALUE"""),"P85")</f>
        <v>P85</v>
      </c>
      <c r="L97" s="242" t="s">
        <v>681</v>
      </c>
      <c r="M97" s="263" t="str">
        <f t="shared" ca="1" si="0"/>
        <v>coral</v>
      </c>
      <c r="N97" s="264" t="str">
        <f ca="1">IFERROR(__xludf.DUMMYFUNCTION("FILTER(C:E,B:B=J97)"),"焼肉大門")</f>
        <v>焼肉大門</v>
      </c>
      <c r="O97" s="265">
        <f ca="1">IFERROR(__xludf.DUMMYFUNCTION("""COMPUTED_VALUE"""),35.438687)</f>
        <v>35.438687000000002</v>
      </c>
      <c r="P97" s="265">
        <f ca="1">IFERROR(__xludf.DUMMYFUNCTION("""COMPUTED_VALUE"""),133.325304)</f>
        <v>133.32530399999999</v>
      </c>
      <c r="Q97" s="264" t="str">
        <f ca="1">IFERROR(__xludf.DUMMYFUNCTION("FILTER(C:E,B:B=K97)"),"揺れるパンダ")</f>
        <v>揺れるパンダ</v>
      </c>
      <c r="R97" s="265">
        <f ca="1">IFERROR(__xludf.DUMMYFUNCTION("""COMPUTED_VALUE"""),35.439922)</f>
        <v>35.439922000000003</v>
      </c>
      <c r="S97" s="265">
        <f ca="1">IFERROR(__xludf.DUMMYFUNCTION("""COMPUTED_VALUE"""),133.328017)</f>
        <v>133.32801699999999</v>
      </c>
      <c r="T97" s="264" t="str">
        <f ca="1">IFERROR(__xludf.DUMMYFUNCTION("FILTER(C:E,B:B=L97)")," ")</f>
        <v xml:space="preserve"> </v>
      </c>
      <c r="U97" s="40" t="str">
        <f ca="1">IFERROR(__xludf.DUMMYFUNCTION("""COMPUTED_VALUE""")," ")</f>
        <v xml:space="preserve"> </v>
      </c>
      <c r="V97" s="40" t="str">
        <f ca="1">IFERROR(__xludf.DUMMYFUNCTION("""COMPUTED_VALUE""")," ")</f>
        <v xml:space="preserve"> </v>
      </c>
      <c r="W97" s="40" t="str">
        <f t="shared" ca="1" si="21"/>
        <v>,</v>
      </c>
      <c r="X97" s="40" t="s">
        <v>682</v>
      </c>
      <c r="Y97" s="40" t="s">
        <v>683</v>
      </c>
      <c r="Z97" s="264">
        <f t="shared" ca="1" si="1"/>
        <v>35.438687000000002</v>
      </c>
      <c r="AA97" s="40" t="s">
        <v>684</v>
      </c>
      <c r="AB97" s="264">
        <f t="shared" ca="1" si="2"/>
        <v>133.32530399999999</v>
      </c>
      <c r="AC97" s="40" t="s">
        <v>685</v>
      </c>
      <c r="AD97" s="264">
        <f t="shared" ca="1" si="3"/>
        <v>35.439922000000003</v>
      </c>
      <c r="AE97" s="40" t="s">
        <v>684</v>
      </c>
      <c r="AF97" s="264">
        <f t="shared" ca="1" si="4"/>
        <v>133.32801699999999</v>
      </c>
      <c r="AG97" s="40" t="s">
        <v>686</v>
      </c>
      <c r="AH97" s="264" t="str">
        <f t="shared" ca="1" si="5"/>
        <v xml:space="preserve"> </v>
      </c>
      <c r="AI97" s="40" t="s">
        <v>684</v>
      </c>
      <c r="AJ97" s="264" t="str">
        <f t="shared" ca="1" si="6"/>
        <v xml:space="preserve"> </v>
      </c>
      <c r="AK97" s="40" t="s">
        <v>687</v>
      </c>
      <c r="AL97" s="264" t="str">
        <f t="shared" ca="1" si="7"/>
        <v>coral</v>
      </c>
      <c r="AM97" s="40" t="s">
        <v>688</v>
      </c>
      <c r="AN97" s="40" t="str">
        <f t="shared" ca="1" si="8"/>
        <v>,{"type":"polygon","latLngs":[ {"lat":35.438687,"lng":133.325304}, {"lat":35.439922,"lng":133.328017},{"lat": ,"lng": }], "color":"coral"}</v>
      </c>
      <c r="AO97" s="266" t="s">
        <v>689</v>
      </c>
      <c r="AP97" s="56">
        <f t="shared" ca="1" si="9"/>
        <v>35.438687000000002</v>
      </c>
      <c r="AQ97" s="40" t="s">
        <v>684</v>
      </c>
      <c r="AR97" s="56">
        <f t="shared" ca="1" si="10"/>
        <v>133.32530399999999</v>
      </c>
      <c r="AS97" s="40" t="s">
        <v>686</v>
      </c>
      <c r="AT97" s="56">
        <f t="shared" ca="1" si="11"/>
        <v>35.439922000000003</v>
      </c>
      <c r="AU97" s="40" t="s">
        <v>684</v>
      </c>
      <c r="AV97" s="56">
        <f t="shared" ca="1" si="12"/>
        <v>133.32801699999999</v>
      </c>
      <c r="AW97" s="40" t="s">
        <v>690</v>
      </c>
      <c r="AX97" s="40" t="str">
        <f t="shared" ca="1" si="13"/>
        <v>coral</v>
      </c>
      <c r="AY97" s="40" t="s">
        <v>688</v>
      </c>
      <c r="AZ97" s="40" t="str">
        <f t="shared" ca="1" si="14"/>
        <v>,{"type":"polyline","latLngs":[{"lat":35.438687,"lng":133.325304},{"lat":35.439922,"lng":133.328017}],"color":"coral"}</v>
      </c>
      <c r="BA97" s="40" t="s">
        <v>691</v>
      </c>
      <c r="BB97" s="56">
        <f t="shared" ca="1" si="15"/>
        <v>35.438687000000002</v>
      </c>
      <c r="BC97" s="40" t="s">
        <v>684</v>
      </c>
      <c r="BD97" s="56">
        <f t="shared" ca="1" si="16"/>
        <v>133.32530399999999</v>
      </c>
      <c r="BE97" s="40" t="s">
        <v>692</v>
      </c>
      <c r="BF97" s="40" t="str">
        <f t="shared" ca="1" si="17"/>
        <v>coral</v>
      </c>
      <c r="BG97" s="40" t="s">
        <v>688</v>
      </c>
      <c r="BH97" s="40" t="str">
        <f t="shared" ca="1" si="18"/>
        <v>,{"type":"marker","latLng":{"lat":35.438687,"lng":133.325304},"color":"coral"}</v>
      </c>
      <c r="BI97" s="40" t="s">
        <v>693</v>
      </c>
      <c r="BJ97" s="40" t="s">
        <v>694</v>
      </c>
      <c r="BK97" s="267" t="str">
        <f t="shared" ca="1" si="19"/>
        <v>,{"type":"polyline","latLngs":[{"lat":35.438687,"lng":133.325304},{"lat":35.439922,"lng":133.328017}],"color":"coral"}</v>
      </c>
      <c r="BL97" s="40"/>
      <c r="BM97" s="40"/>
      <c r="BN97" s="40"/>
      <c r="BO97" s="40"/>
      <c r="BP97" s="40"/>
      <c r="BQ97" s="40"/>
      <c r="BR97" s="40"/>
      <c r="BS97" s="40"/>
      <c r="BT97" s="40"/>
      <c r="BU97" s="40"/>
      <c r="BV97" s="40"/>
      <c r="BW97" s="40"/>
      <c r="BX97" s="40"/>
      <c r="BY97" s="40"/>
      <c r="BZ97" s="40"/>
      <c r="CA97" s="40"/>
      <c r="CB97" s="40"/>
      <c r="CC97" s="40"/>
      <c r="CD97" s="40"/>
      <c r="CE97" s="40"/>
      <c r="CF97" s="40"/>
      <c r="CG97" s="40"/>
      <c r="CH97" s="40"/>
    </row>
    <row r="98" spans="1:86" ht="17.5">
      <c r="A98" s="40"/>
      <c r="B98" s="260" t="str">
        <f ca="1">IFERROR(__xludf.DUMMYFUNCTION("""COMPUTED_VALUE"""),"P90")</f>
        <v>P90</v>
      </c>
      <c r="C98" s="273" t="str">
        <f ca="1">IFERROR(__xludf.DUMMYFUNCTION("""COMPUTED_VALUE"""),"ラーメンつけ麺 今を粋ろ")</f>
        <v>ラーメンつけ麺 今を粋ろ</v>
      </c>
      <c r="D98" s="273">
        <f ca="1">IFERROR(__xludf.DUMMYFUNCTION("""COMPUTED_VALUE"""),35.440347)</f>
        <v>35.440347000000003</v>
      </c>
      <c r="E98" s="273">
        <f ca="1">IFERROR(__xludf.DUMMYFUNCTION("""COMPUTED_VALUE"""),133.338541)</f>
        <v>133.33854099999999</v>
      </c>
      <c r="F98" s="40"/>
      <c r="G98" s="261"/>
      <c r="H98" s="262" t="s">
        <v>672</v>
      </c>
      <c r="I98" s="271" t="str">
        <f ca="1">IFERROR(__xludf.DUMMYFUNCTION("""COMPUTED_VALUE"""),"Agent04")</f>
        <v>Agent04</v>
      </c>
      <c r="J98" s="271" t="str">
        <f ca="1">IFERROR(__xludf.DUMMYFUNCTION("""COMPUTED_VALUE"""),"P67")</f>
        <v>P67</v>
      </c>
      <c r="K98" s="271" t="str">
        <f ca="1">IFERROR(__xludf.DUMMYFUNCTION("""COMPUTED_VALUE"""),"P76")</f>
        <v>P76</v>
      </c>
      <c r="L98" s="242" t="s">
        <v>681</v>
      </c>
      <c r="M98" s="263" t="str">
        <f t="shared" ca="1" si="0"/>
        <v>coral</v>
      </c>
      <c r="N98" s="264" t="str">
        <f ca="1">IFERROR(__xludf.DUMMYFUNCTION("FILTER(C:E,B:B=J98)"),"ちとせ")</f>
        <v>ちとせ</v>
      </c>
      <c r="O98" s="265">
        <f ca="1">IFERROR(__xludf.DUMMYFUNCTION("""COMPUTED_VALUE"""),35.437179)</f>
        <v>35.437179</v>
      </c>
      <c r="P98" s="265">
        <f ca="1">IFERROR(__xludf.DUMMYFUNCTION("""COMPUTED_VALUE"""),133.327081)</f>
        <v>133.32708099999999</v>
      </c>
      <c r="Q98" s="264" t="str">
        <f ca="1">IFERROR(__xludf.DUMMYFUNCTION("FILTER(C:E,B:B=K98)"),"焼肉大門")</f>
        <v>焼肉大門</v>
      </c>
      <c r="R98" s="265">
        <f ca="1">IFERROR(__xludf.DUMMYFUNCTION("""COMPUTED_VALUE"""),35.438687)</f>
        <v>35.438687000000002</v>
      </c>
      <c r="S98" s="265">
        <f ca="1">IFERROR(__xludf.DUMMYFUNCTION("""COMPUTED_VALUE"""),133.325304)</f>
        <v>133.32530399999999</v>
      </c>
      <c r="T98" s="264" t="str">
        <f ca="1">IFERROR(__xludf.DUMMYFUNCTION("FILTER(C:E,B:B=L98)")," ")</f>
        <v xml:space="preserve"> </v>
      </c>
      <c r="U98" s="40" t="str">
        <f ca="1">IFERROR(__xludf.DUMMYFUNCTION("""COMPUTED_VALUE""")," ")</f>
        <v xml:space="preserve"> </v>
      </c>
      <c r="V98" s="40" t="str">
        <f ca="1">IFERROR(__xludf.DUMMYFUNCTION("""COMPUTED_VALUE""")," ")</f>
        <v xml:space="preserve"> </v>
      </c>
      <c r="W98" s="40" t="str">
        <f t="shared" ca="1" si="21"/>
        <v>,</v>
      </c>
      <c r="X98" s="40" t="s">
        <v>682</v>
      </c>
      <c r="Y98" s="40" t="s">
        <v>683</v>
      </c>
      <c r="Z98" s="264">
        <f t="shared" ca="1" si="1"/>
        <v>35.437179</v>
      </c>
      <c r="AA98" s="40" t="s">
        <v>684</v>
      </c>
      <c r="AB98" s="264">
        <f t="shared" ca="1" si="2"/>
        <v>133.32708099999999</v>
      </c>
      <c r="AC98" s="40" t="s">
        <v>685</v>
      </c>
      <c r="AD98" s="264">
        <f t="shared" ca="1" si="3"/>
        <v>35.438687000000002</v>
      </c>
      <c r="AE98" s="40" t="s">
        <v>684</v>
      </c>
      <c r="AF98" s="264">
        <f t="shared" ca="1" si="4"/>
        <v>133.32530399999999</v>
      </c>
      <c r="AG98" s="40" t="s">
        <v>686</v>
      </c>
      <c r="AH98" s="264" t="str">
        <f t="shared" ca="1" si="5"/>
        <v xml:space="preserve"> </v>
      </c>
      <c r="AI98" s="40" t="s">
        <v>684</v>
      </c>
      <c r="AJ98" s="264" t="str">
        <f t="shared" ca="1" si="6"/>
        <v xml:space="preserve"> </v>
      </c>
      <c r="AK98" s="40" t="s">
        <v>687</v>
      </c>
      <c r="AL98" s="264" t="str">
        <f t="shared" ca="1" si="7"/>
        <v>coral</v>
      </c>
      <c r="AM98" s="40" t="s">
        <v>688</v>
      </c>
      <c r="AN98" s="40" t="str">
        <f t="shared" ca="1" si="8"/>
        <v>,{"type":"polygon","latLngs":[ {"lat":35.437179,"lng":133.327081}, {"lat":35.438687,"lng":133.325304},{"lat": ,"lng": }], "color":"coral"}</v>
      </c>
      <c r="AO98" s="266" t="s">
        <v>689</v>
      </c>
      <c r="AP98" s="56">
        <f t="shared" ca="1" si="9"/>
        <v>35.437179</v>
      </c>
      <c r="AQ98" s="40" t="s">
        <v>684</v>
      </c>
      <c r="AR98" s="56">
        <f t="shared" ca="1" si="10"/>
        <v>133.32708099999999</v>
      </c>
      <c r="AS98" s="40" t="s">
        <v>686</v>
      </c>
      <c r="AT98" s="56">
        <f t="shared" ca="1" si="11"/>
        <v>35.438687000000002</v>
      </c>
      <c r="AU98" s="40" t="s">
        <v>684</v>
      </c>
      <c r="AV98" s="56">
        <f t="shared" ca="1" si="12"/>
        <v>133.32530399999999</v>
      </c>
      <c r="AW98" s="40" t="s">
        <v>690</v>
      </c>
      <c r="AX98" s="40" t="str">
        <f t="shared" ca="1" si="13"/>
        <v>coral</v>
      </c>
      <c r="AY98" s="40" t="s">
        <v>688</v>
      </c>
      <c r="AZ98" s="40" t="str">
        <f t="shared" ca="1" si="14"/>
        <v>,{"type":"polyline","latLngs":[{"lat":35.437179,"lng":133.327081},{"lat":35.438687,"lng":133.325304}],"color":"coral"}</v>
      </c>
      <c r="BA98" s="40" t="s">
        <v>691</v>
      </c>
      <c r="BB98" s="56">
        <f t="shared" ca="1" si="15"/>
        <v>35.437179</v>
      </c>
      <c r="BC98" s="40" t="s">
        <v>684</v>
      </c>
      <c r="BD98" s="56">
        <f t="shared" ca="1" si="16"/>
        <v>133.32708099999999</v>
      </c>
      <c r="BE98" s="40" t="s">
        <v>692</v>
      </c>
      <c r="BF98" s="40" t="str">
        <f t="shared" ca="1" si="17"/>
        <v>coral</v>
      </c>
      <c r="BG98" s="40" t="s">
        <v>688</v>
      </c>
      <c r="BH98" s="40" t="str">
        <f t="shared" ca="1" si="18"/>
        <v>,{"type":"marker","latLng":{"lat":35.437179,"lng":133.327081},"color":"coral"}</v>
      </c>
      <c r="BI98" s="40" t="s">
        <v>693</v>
      </c>
      <c r="BJ98" s="40" t="s">
        <v>694</v>
      </c>
      <c r="BK98" s="267" t="str">
        <f t="shared" ca="1" si="19"/>
        <v>,{"type":"polyline","latLngs":[{"lat":35.437179,"lng":133.327081},{"lat":35.438687,"lng":133.325304}],"color":"coral"}</v>
      </c>
      <c r="BL98" s="40"/>
      <c r="BM98" s="40"/>
      <c r="BN98" s="40"/>
      <c r="BO98" s="40"/>
      <c r="BP98" s="40"/>
      <c r="BQ98" s="40"/>
      <c r="BR98" s="40"/>
      <c r="BS98" s="40"/>
      <c r="BT98" s="40"/>
      <c r="BU98" s="40"/>
      <c r="BV98" s="40"/>
      <c r="BW98" s="40"/>
      <c r="BX98" s="40"/>
      <c r="BY98" s="40"/>
      <c r="BZ98" s="40"/>
      <c r="CA98" s="40"/>
      <c r="CB98" s="40"/>
      <c r="CC98" s="40"/>
      <c r="CD98" s="40"/>
      <c r="CE98" s="40"/>
      <c r="CF98" s="40"/>
      <c r="CG98" s="40"/>
      <c r="CH98" s="40"/>
    </row>
    <row r="99" spans="1:86" ht="17.5">
      <c r="A99" s="40"/>
      <c r="B99" s="260" t="str">
        <f ca="1">IFERROR(__xludf.DUMMYFUNCTION("""COMPUTED_VALUE"""),"P91")</f>
        <v>P91</v>
      </c>
      <c r="C99" s="273" t="str">
        <f ca="1">IFERROR(__xludf.DUMMYFUNCTION("""COMPUTED_VALUE"""),"YONAGO SWIMING SCHOOL")</f>
        <v>YONAGO SWIMING SCHOOL</v>
      </c>
      <c r="D99" s="273">
        <f ca="1">IFERROR(__xludf.DUMMYFUNCTION("""COMPUTED_VALUE"""),35.440515)</f>
        <v>35.440514999999998</v>
      </c>
      <c r="E99" s="273">
        <f ca="1">IFERROR(__xludf.DUMMYFUNCTION("""COMPUTED_VALUE"""),133.335782)</f>
        <v>133.33578199999999</v>
      </c>
      <c r="F99" s="40"/>
      <c r="G99" s="261"/>
      <c r="H99" s="262" t="s">
        <v>672</v>
      </c>
      <c r="I99" s="271" t="str">
        <f ca="1">IFERROR(__xludf.DUMMYFUNCTION("""COMPUTED_VALUE"""),"Agent04")</f>
        <v>Agent04</v>
      </c>
      <c r="J99" s="271" t="str">
        <f ca="1">IFERROR(__xludf.DUMMYFUNCTION("""COMPUTED_VALUE"""),"P67")</f>
        <v>P67</v>
      </c>
      <c r="K99" s="271" t="str">
        <f ca="1">IFERROR(__xludf.DUMMYFUNCTION("""COMPUTED_VALUE"""),"P63")</f>
        <v>P63</v>
      </c>
      <c r="L99" s="242" t="s">
        <v>681</v>
      </c>
      <c r="M99" s="263" t="str">
        <f t="shared" ca="1" si="0"/>
        <v>coral</v>
      </c>
      <c r="N99" s="264" t="str">
        <f ca="1">IFERROR(__xludf.DUMMYFUNCTION("FILTER(C:E,B:B=J99)"),"ちとせ")</f>
        <v>ちとせ</v>
      </c>
      <c r="O99" s="265">
        <f ca="1">IFERROR(__xludf.DUMMYFUNCTION("""COMPUTED_VALUE"""),35.437179)</f>
        <v>35.437179</v>
      </c>
      <c r="P99" s="265">
        <f ca="1">IFERROR(__xludf.DUMMYFUNCTION("""COMPUTED_VALUE"""),133.327081)</f>
        <v>133.32708099999999</v>
      </c>
      <c r="Q99" s="264" t="str">
        <f ca="1">IFERROR(__xludf.DUMMYFUNCTION("FILTER(C:E,B:B=K99)"),"Rochelle Antique")</f>
        <v>Rochelle Antique</v>
      </c>
      <c r="R99" s="265">
        <f ca="1">IFERROR(__xludf.DUMMYFUNCTION("""COMPUTED_VALUE"""),35.436062)</f>
        <v>35.436062</v>
      </c>
      <c r="S99" s="265">
        <f ca="1">IFERROR(__xludf.DUMMYFUNCTION("""COMPUTED_VALUE"""),133.324187)</f>
        <v>133.32418699999999</v>
      </c>
      <c r="T99" s="264" t="str">
        <f ca="1">IFERROR(__xludf.DUMMYFUNCTION("FILTER(C:E,B:B=L99)")," ")</f>
        <v xml:space="preserve"> </v>
      </c>
      <c r="U99" s="40" t="str">
        <f ca="1">IFERROR(__xludf.DUMMYFUNCTION("""COMPUTED_VALUE""")," ")</f>
        <v xml:space="preserve"> </v>
      </c>
      <c r="V99" s="40" t="str">
        <f ca="1">IFERROR(__xludf.DUMMYFUNCTION("""COMPUTED_VALUE""")," ")</f>
        <v xml:space="preserve"> </v>
      </c>
      <c r="W99" s="40" t="str">
        <f t="shared" ca="1" si="21"/>
        <v>,</v>
      </c>
      <c r="X99" s="40" t="s">
        <v>682</v>
      </c>
      <c r="Y99" s="40" t="s">
        <v>683</v>
      </c>
      <c r="Z99" s="264">
        <f t="shared" ca="1" si="1"/>
        <v>35.437179</v>
      </c>
      <c r="AA99" s="40" t="s">
        <v>684</v>
      </c>
      <c r="AB99" s="264">
        <f t="shared" ca="1" si="2"/>
        <v>133.32708099999999</v>
      </c>
      <c r="AC99" s="40" t="s">
        <v>685</v>
      </c>
      <c r="AD99" s="264">
        <f t="shared" ca="1" si="3"/>
        <v>35.436062</v>
      </c>
      <c r="AE99" s="40" t="s">
        <v>684</v>
      </c>
      <c r="AF99" s="264">
        <f t="shared" ca="1" si="4"/>
        <v>133.32418699999999</v>
      </c>
      <c r="AG99" s="40" t="s">
        <v>686</v>
      </c>
      <c r="AH99" s="264" t="str">
        <f t="shared" ca="1" si="5"/>
        <v xml:space="preserve"> </v>
      </c>
      <c r="AI99" s="40" t="s">
        <v>684</v>
      </c>
      <c r="AJ99" s="264" t="str">
        <f t="shared" ca="1" si="6"/>
        <v xml:space="preserve"> </v>
      </c>
      <c r="AK99" s="40" t="s">
        <v>687</v>
      </c>
      <c r="AL99" s="264" t="str">
        <f t="shared" ca="1" si="7"/>
        <v>coral</v>
      </c>
      <c r="AM99" s="40" t="s">
        <v>688</v>
      </c>
      <c r="AN99" s="40" t="str">
        <f t="shared" ca="1" si="8"/>
        <v>,{"type":"polygon","latLngs":[ {"lat":35.437179,"lng":133.327081}, {"lat":35.436062,"lng":133.324187},{"lat": ,"lng": }], "color":"coral"}</v>
      </c>
      <c r="AO99" s="266" t="s">
        <v>689</v>
      </c>
      <c r="AP99" s="56">
        <f t="shared" ca="1" si="9"/>
        <v>35.437179</v>
      </c>
      <c r="AQ99" s="40" t="s">
        <v>684</v>
      </c>
      <c r="AR99" s="56">
        <f t="shared" ca="1" si="10"/>
        <v>133.32708099999999</v>
      </c>
      <c r="AS99" s="40" t="s">
        <v>686</v>
      </c>
      <c r="AT99" s="56">
        <f t="shared" ca="1" si="11"/>
        <v>35.436062</v>
      </c>
      <c r="AU99" s="40" t="s">
        <v>684</v>
      </c>
      <c r="AV99" s="56">
        <f t="shared" ca="1" si="12"/>
        <v>133.32418699999999</v>
      </c>
      <c r="AW99" s="40" t="s">
        <v>690</v>
      </c>
      <c r="AX99" s="40" t="str">
        <f t="shared" ca="1" si="13"/>
        <v>coral</v>
      </c>
      <c r="AY99" s="40" t="s">
        <v>688</v>
      </c>
      <c r="AZ99" s="40" t="str">
        <f t="shared" ca="1" si="14"/>
        <v>,{"type":"polyline","latLngs":[{"lat":35.437179,"lng":133.327081},{"lat":35.436062,"lng":133.324187}],"color":"coral"}</v>
      </c>
      <c r="BA99" s="40" t="s">
        <v>691</v>
      </c>
      <c r="BB99" s="56">
        <f t="shared" ca="1" si="15"/>
        <v>35.437179</v>
      </c>
      <c r="BC99" s="40" t="s">
        <v>684</v>
      </c>
      <c r="BD99" s="56">
        <f t="shared" ca="1" si="16"/>
        <v>133.32708099999999</v>
      </c>
      <c r="BE99" s="40" t="s">
        <v>692</v>
      </c>
      <c r="BF99" s="40" t="str">
        <f t="shared" ca="1" si="17"/>
        <v>coral</v>
      </c>
      <c r="BG99" s="40" t="s">
        <v>688</v>
      </c>
      <c r="BH99" s="40" t="str">
        <f t="shared" ca="1" si="18"/>
        <v>,{"type":"marker","latLng":{"lat":35.437179,"lng":133.327081},"color":"coral"}</v>
      </c>
      <c r="BI99" s="40" t="s">
        <v>693</v>
      </c>
      <c r="BJ99" s="40" t="s">
        <v>694</v>
      </c>
      <c r="BK99" s="267" t="str">
        <f t="shared" ca="1" si="19"/>
        <v>,{"type":"polyline","latLngs":[{"lat":35.437179,"lng":133.327081},{"lat":35.436062,"lng":133.324187}],"color":"coral"}</v>
      </c>
      <c r="BL99" s="40"/>
      <c r="BM99" s="40"/>
      <c r="BN99" s="40"/>
      <c r="BO99" s="40"/>
      <c r="BP99" s="40"/>
      <c r="BQ99" s="40"/>
      <c r="BR99" s="40"/>
      <c r="BS99" s="40"/>
      <c r="BT99" s="40"/>
      <c r="BU99" s="40"/>
      <c r="BV99" s="40"/>
      <c r="BW99" s="40"/>
      <c r="BX99" s="40"/>
      <c r="BY99" s="40"/>
      <c r="BZ99" s="40"/>
      <c r="CA99" s="40"/>
      <c r="CB99" s="40"/>
      <c r="CC99" s="40"/>
      <c r="CD99" s="40"/>
      <c r="CE99" s="40"/>
      <c r="CF99" s="40"/>
      <c r="CG99" s="40"/>
      <c r="CH99" s="40"/>
    </row>
    <row r="100" spans="1:86" ht="17.5">
      <c r="A100" s="40"/>
      <c r="B100" s="260" t="str">
        <f ca="1">IFERROR(__xludf.DUMMYFUNCTION("""COMPUTED_VALUE"""),"P92")</f>
        <v>P92</v>
      </c>
      <c r="C100" s="273" t="str">
        <f ca="1">IFERROR(__xludf.DUMMYFUNCTION("""COMPUTED_VALUE"""),"米子福音ルーテル教会")</f>
        <v>米子福音ルーテル教会</v>
      </c>
      <c r="D100" s="273">
        <f ca="1">IFERROR(__xludf.DUMMYFUNCTION("""COMPUTED_VALUE"""),35.440517)</f>
        <v>35.440517</v>
      </c>
      <c r="E100" s="273">
        <f ca="1">IFERROR(__xludf.DUMMYFUNCTION("""COMPUTED_VALUE"""),133.325712)</f>
        <v>133.32571200000001</v>
      </c>
      <c r="F100" s="40"/>
      <c r="G100" s="261"/>
      <c r="H100" s="262" t="s">
        <v>672</v>
      </c>
      <c r="I100" s="271" t="str">
        <f ca="1">IFERROR(__xludf.DUMMYFUNCTION("""COMPUTED_VALUE"""),"Agent04")</f>
        <v>Agent04</v>
      </c>
      <c r="J100" s="271" t="str">
        <f ca="1">IFERROR(__xludf.DUMMYFUNCTION("""COMPUTED_VALUE"""),"P67")</f>
        <v>P67</v>
      </c>
      <c r="K100" s="271" t="str">
        <f ca="1">IFERROR(__xludf.DUMMYFUNCTION("""COMPUTED_VALUE"""),"P54")</f>
        <v>P54</v>
      </c>
      <c r="L100" s="242" t="s">
        <v>681</v>
      </c>
      <c r="M100" s="263" t="str">
        <f t="shared" ca="1" si="0"/>
        <v>coral</v>
      </c>
      <c r="N100" s="264" t="str">
        <f ca="1">IFERROR(__xludf.DUMMYFUNCTION("FILTER(C:E,B:B=J100)"),"ちとせ")</f>
        <v>ちとせ</v>
      </c>
      <c r="O100" s="265">
        <f ca="1">IFERROR(__xludf.DUMMYFUNCTION("""COMPUTED_VALUE"""),35.437179)</f>
        <v>35.437179</v>
      </c>
      <c r="P100" s="265">
        <f ca="1">IFERROR(__xludf.DUMMYFUNCTION("""COMPUTED_VALUE"""),133.327081)</f>
        <v>133.32708099999999</v>
      </c>
      <c r="Q100" s="264" t="str">
        <f ca="1">IFERROR(__xludf.DUMMYFUNCTION("FILTER(C:E,B:B=K100)"),"心光寺 山門")</f>
        <v>心光寺 山門</v>
      </c>
      <c r="R100" s="265">
        <f ca="1">IFERROR(__xludf.DUMMYFUNCTION("""COMPUTED_VALUE"""),35.434594)</f>
        <v>35.434593999999997</v>
      </c>
      <c r="S100" s="265">
        <f ca="1">IFERROR(__xludf.DUMMYFUNCTION("""COMPUTED_VALUE"""),133.325975)</f>
        <v>133.325975</v>
      </c>
      <c r="T100" s="264" t="str">
        <f ca="1">IFERROR(__xludf.DUMMYFUNCTION("FILTER(C:E,B:B=L100)")," ")</f>
        <v xml:space="preserve"> </v>
      </c>
      <c r="U100" s="40" t="str">
        <f ca="1">IFERROR(__xludf.DUMMYFUNCTION("""COMPUTED_VALUE""")," ")</f>
        <v xml:space="preserve"> </v>
      </c>
      <c r="V100" s="40" t="str">
        <f ca="1">IFERROR(__xludf.DUMMYFUNCTION("""COMPUTED_VALUE""")," ")</f>
        <v xml:space="preserve"> </v>
      </c>
      <c r="W100" s="40" t="str">
        <f t="shared" ca="1" si="21"/>
        <v>,</v>
      </c>
      <c r="X100" s="40" t="s">
        <v>682</v>
      </c>
      <c r="Y100" s="40" t="s">
        <v>683</v>
      </c>
      <c r="Z100" s="264">
        <f t="shared" ca="1" si="1"/>
        <v>35.437179</v>
      </c>
      <c r="AA100" s="40" t="s">
        <v>684</v>
      </c>
      <c r="AB100" s="264">
        <f t="shared" ca="1" si="2"/>
        <v>133.32708099999999</v>
      </c>
      <c r="AC100" s="40" t="s">
        <v>685</v>
      </c>
      <c r="AD100" s="264">
        <f t="shared" ca="1" si="3"/>
        <v>35.434593999999997</v>
      </c>
      <c r="AE100" s="40" t="s">
        <v>684</v>
      </c>
      <c r="AF100" s="264">
        <f t="shared" ca="1" si="4"/>
        <v>133.325975</v>
      </c>
      <c r="AG100" s="40" t="s">
        <v>686</v>
      </c>
      <c r="AH100" s="264" t="str">
        <f t="shared" ca="1" si="5"/>
        <v xml:space="preserve"> </v>
      </c>
      <c r="AI100" s="40" t="s">
        <v>684</v>
      </c>
      <c r="AJ100" s="264" t="str">
        <f t="shared" ca="1" si="6"/>
        <v xml:space="preserve"> </v>
      </c>
      <c r="AK100" s="40" t="s">
        <v>687</v>
      </c>
      <c r="AL100" s="264" t="str">
        <f t="shared" ca="1" si="7"/>
        <v>coral</v>
      </c>
      <c r="AM100" s="40" t="s">
        <v>688</v>
      </c>
      <c r="AN100" s="40" t="str">
        <f t="shared" ca="1" si="8"/>
        <v>,{"type":"polygon","latLngs":[ {"lat":35.437179,"lng":133.327081}, {"lat":35.434594,"lng":133.325975},{"lat": ,"lng": }], "color":"coral"}</v>
      </c>
      <c r="AO100" s="266" t="s">
        <v>689</v>
      </c>
      <c r="AP100" s="56">
        <f t="shared" ca="1" si="9"/>
        <v>35.437179</v>
      </c>
      <c r="AQ100" s="40" t="s">
        <v>684</v>
      </c>
      <c r="AR100" s="56">
        <f t="shared" ca="1" si="10"/>
        <v>133.32708099999999</v>
      </c>
      <c r="AS100" s="40" t="s">
        <v>686</v>
      </c>
      <c r="AT100" s="56">
        <f t="shared" ca="1" si="11"/>
        <v>35.434593999999997</v>
      </c>
      <c r="AU100" s="40" t="s">
        <v>684</v>
      </c>
      <c r="AV100" s="56">
        <f t="shared" ca="1" si="12"/>
        <v>133.325975</v>
      </c>
      <c r="AW100" s="40" t="s">
        <v>690</v>
      </c>
      <c r="AX100" s="40" t="str">
        <f t="shared" ca="1" si="13"/>
        <v>coral</v>
      </c>
      <c r="AY100" s="40" t="s">
        <v>688</v>
      </c>
      <c r="AZ100" s="40" t="str">
        <f t="shared" ca="1" si="14"/>
        <v>,{"type":"polyline","latLngs":[{"lat":35.437179,"lng":133.327081},{"lat":35.434594,"lng":133.325975}],"color":"coral"}</v>
      </c>
      <c r="BA100" s="40" t="s">
        <v>691</v>
      </c>
      <c r="BB100" s="56">
        <f t="shared" ca="1" si="15"/>
        <v>35.437179</v>
      </c>
      <c r="BC100" s="40" t="s">
        <v>684</v>
      </c>
      <c r="BD100" s="56">
        <f t="shared" ca="1" si="16"/>
        <v>133.32708099999999</v>
      </c>
      <c r="BE100" s="40" t="s">
        <v>692</v>
      </c>
      <c r="BF100" s="40" t="str">
        <f t="shared" ca="1" si="17"/>
        <v>coral</v>
      </c>
      <c r="BG100" s="40" t="s">
        <v>688</v>
      </c>
      <c r="BH100" s="40" t="str">
        <f t="shared" ca="1" si="18"/>
        <v>,{"type":"marker","latLng":{"lat":35.437179,"lng":133.327081},"color":"coral"}</v>
      </c>
      <c r="BI100" s="40" t="s">
        <v>693</v>
      </c>
      <c r="BJ100" s="40" t="s">
        <v>694</v>
      </c>
      <c r="BK100" s="267" t="str">
        <f t="shared" ca="1" si="19"/>
        <v>,{"type":"polyline","latLngs":[{"lat":35.437179,"lng":133.327081},{"lat":35.434594,"lng":133.325975}],"color":"coral"}</v>
      </c>
      <c r="BL100" s="40"/>
      <c r="BM100" s="40"/>
      <c r="BN100" s="40"/>
      <c r="BO100" s="40"/>
      <c r="BP100" s="40"/>
      <c r="BQ100" s="40"/>
      <c r="BR100" s="40"/>
      <c r="BS100" s="40"/>
      <c r="BT100" s="40"/>
      <c r="BU100" s="40"/>
      <c r="BV100" s="40"/>
      <c r="BW100" s="40"/>
      <c r="BX100" s="40"/>
      <c r="BY100" s="40"/>
      <c r="BZ100" s="40"/>
      <c r="CA100" s="40"/>
      <c r="CB100" s="40"/>
      <c r="CC100" s="40"/>
      <c r="CD100" s="40"/>
      <c r="CE100" s="40"/>
      <c r="CF100" s="40"/>
      <c r="CG100" s="40"/>
      <c r="CH100" s="40"/>
    </row>
    <row r="101" spans="1:86" ht="17.5">
      <c r="A101" s="40"/>
      <c r="B101" s="260" t="str">
        <f ca="1">IFERROR(__xludf.DUMMYFUNCTION("""COMPUTED_VALUE"""),"P93")</f>
        <v>P93</v>
      </c>
      <c r="C101" s="273" t="str">
        <f ca="1">IFERROR(__xludf.DUMMYFUNCTION("""COMPUTED_VALUE"""),"少林寺拳法 米子東道院")</f>
        <v>少林寺拳法 米子東道院</v>
      </c>
      <c r="D101" s="273">
        <f ca="1">IFERROR(__xludf.DUMMYFUNCTION("""COMPUTED_VALUE"""),35.44059)</f>
        <v>35.44059</v>
      </c>
      <c r="E101" s="273">
        <f ca="1">IFERROR(__xludf.DUMMYFUNCTION("""COMPUTED_VALUE"""),133.337873)</f>
        <v>133.337873</v>
      </c>
      <c r="F101" s="40"/>
      <c r="G101" s="261"/>
      <c r="H101" s="262" t="s">
        <v>672</v>
      </c>
      <c r="I101" s="271" t="str">
        <f ca="1">IFERROR(__xludf.DUMMYFUNCTION("""COMPUTED_VALUE"""),"Agent04")</f>
        <v>Agent04</v>
      </c>
      <c r="J101" s="271" t="str">
        <f ca="1">IFERROR(__xludf.DUMMYFUNCTION("""COMPUTED_VALUE"""),"P67")</f>
        <v>P67</v>
      </c>
      <c r="K101" s="271" t="str">
        <f ca="1">IFERROR(__xludf.DUMMYFUNCTION("""COMPUTED_VALUE"""),"P53")</f>
        <v>P53</v>
      </c>
      <c r="L101" s="242" t="s">
        <v>681</v>
      </c>
      <c r="M101" s="263" t="str">
        <f t="shared" ca="1" si="0"/>
        <v>coral</v>
      </c>
      <c r="N101" s="264" t="str">
        <f ca="1">IFERROR(__xludf.DUMMYFUNCTION("FILTER(C:E,B:B=J101)"),"ちとせ")</f>
        <v>ちとせ</v>
      </c>
      <c r="O101" s="265">
        <f ca="1">IFERROR(__xludf.DUMMYFUNCTION("""COMPUTED_VALUE"""),35.437179)</f>
        <v>35.437179</v>
      </c>
      <c r="P101" s="265">
        <f ca="1">IFERROR(__xludf.DUMMYFUNCTION("""COMPUTED_VALUE"""),133.327081)</f>
        <v>133.32708099999999</v>
      </c>
      <c r="Q101" s="264" t="str">
        <f ca="1">IFERROR(__xludf.DUMMYFUNCTION("FILTER(C:E,B:B=K101)"),"法蔵寺地蔵尊(みそなめ地蔵)")</f>
        <v>法蔵寺地蔵尊(みそなめ地蔵)</v>
      </c>
      <c r="R101" s="265">
        <f ca="1">IFERROR(__xludf.DUMMYFUNCTION("""COMPUTED_VALUE"""),35.434592)</f>
        <v>35.434592000000002</v>
      </c>
      <c r="S101" s="265">
        <f ca="1">IFERROR(__xludf.DUMMYFUNCTION("""COMPUTED_VALUE"""),133.326238)</f>
        <v>133.32623799999999</v>
      </c>
      <c r="T101" s="264" t="str">
        <f ca="1">IFERROR(__xludf.DUMMYFUNCTION("FILTER(C:E,B:B=L101)")," ")</f>
        <v xml:space="preserve"> </v>
      </c>
      <c r="U101" s="40" t="str">
        <f ca="1">IFERROR(__xludf.DUMMYFUNCTION("""COMPUTED_VALUE""")," ")</f>
        <v xml:space="preserve"> </v>
      </c>
      <c r="V101" s="40" t="str">
        <f ca="1">IFERROR(__xludf.DUMMYFUNCTION("""COMPUTED_VALUE""")," ")</f>
        <v xml:space="preserve"> </v>
      </c>
      <c r="W101" s="40" t="str">
        <f t="shared" ca="1" si="21"/>
        <v>,</v>
      </c>
      <c r="X101" s="40" t="s">
        <v>682</v>
      </c>
      <c r="Y101" s="40" t="s">
        <v>683</v>
      </c>
      <c r="Z101" s="264">
        <f t="shared" ca="1" si="1"/>
        <v>35.437179</v>
      </c>
      <c r="AA101" s="40" t="s">
        <v>684</v>
      </c>
      <c r="AB101" s="264">
        <f t="shared" ca="1" si="2"/>
        <v>133.32708099999999</v>
      </c>
      <c r="AC101" s="40" t="s">
        <v>685</v>
      </c>
      <c r="AD101" s="264">
        <f t="shared" ca="1" si="3"/>
        <v>35.434592000000002</v>
      </c>
      <c r="AE101" s="40" t="s">
        <v>684</v>
      </c>
      <c r="AF101" s="264">
        <f t="shared" ca="1" si="4"/>
        <v>133.32623799999999</v>
      </c>
      <c r="AG101" s="40" t="s">
        <v>686</v>
      </c>
      <c r="AH101" s="264" t="str">
        <f t="shared" ca="1" si="5"/>
        <v xml:space="preserve"> </v>
      </c>
      <c r="AI101" s="40" t="s">
        <v>684</v>
      </c>
      <c r="AJ101" s="264" t="str">
        <f t="shared" ca="1" si="6"/>
        <v xml:space="preserve"> </v>
      </c>
      <c r="AK101" s="40" t="s">
        <v>687</v>
      </c>
      <c r="AL101" s="264" t="str">
        <f t="shared" ca="1" si="7"/>
        <v>coral</v>
      </c>
      <c r="AM101" s="40" t="s">
        <v>688</v>
      </c>
      <c r="AN101" s="40" t="str">
        <f t="shared" ca="1" si="8"/>
        <v>,{"type":"polygon","latLngs":[ {"lat":35.437179,"lng":133.327081}, {"lat":35.434592,"lng":133.326238},{"lat": ,"lng": }], "color":"coral"}</v>
      </c>
      <c r="AO101" s="266" t="s">
        <v>689</v>
      </c>
      <c r="AP101" s="56">
        <f t="shared" ca="1" si="9"/>
        <v>35.437179</v>
      </c>
      <c r="AQ101" s="40" t="s">
        <v>684</v>
      </c>
      <c r="AR101" s="56">
        <f t="shared" ca="1" si="10"/>
        <v>133.32708099999999</v>
      </c>
      <c r="AS101" s="40" t="s">
        <v>686</v>
      </c>
      <c r="AT101" s="56">
        <f t="shared" ca="1" si="11"/>
        <v>35.434592000000002</v>
      </c>
      <c r="AU101" s="40" t="s">
        <v>684</v>
      </c>
      <c r="AV101" s="56">
        <f t="shared" ca="1" si="12"/>
        <v>133.32623799999999</v>
      </c>
      <c r="AW101" s="40" t="s">
        <v>690</v>
      </c>
      <c r="AX101" s="40" t="str">
        <f t="shared" ca="1" si="13"/>
        <v>coral</v>
      </c>
      <c r="AY101" s="40" t="s">
        <v>688</v>
      </c>
      <c r="AZ101" s="40" t="str">
        <f t="shared" ca="1" si="14"/>
        <v>,{"type":"polyline","latLngs":[{"lat":35.437179,"lng":133.327081},{"lat":35.434592,"lng":133.326238}],"color":"coral"}</v>
      </c>
      <c r="BA101" s="40" t="s">
        <v>691</v>
      </c>
      <c r="BB101" s="56">
        <f t="shared" ca="1" si="15"/>
        <v>35.437179</v>
      </c>
      <c r="BC101" s="40" t="s">
        <v>684</v>
      </c>
      <c r="BD101" s="56">
        <f t="shared" ca="1" si="16"/>
        <v>133.32708099999999</v>
      </c>
      <c r="BE101" s="40" t="s">
        <v>692</v>
      </c>
      <c r="BF101" s="40" t="str">
        <f t="shared" ca="1" si="17"/>
        <v>coral</v>
      </c>
      <c r="BG101" s="40" t="s">
        <v>688</v>
      </c>
      <c r="BH101" s="40" t="str">
        <f t="shared" ca="1" si="18"/>
        <v>,{"type":"marker","latLng":{"lat":35.437179,"lng":133.327081},"color":"coral"}</v>
      </c>
      <c r="BI101" s="40" t="s">
        <v>693</v>
      </c>
      <c r="BJ101" s="40" t="s">
        <v>694</v>
      </c>
      <c r="BK101" s="267" t="str">
        <f t="shared" ca="1" si="19"/>
        <v>,{"type":"polyline","latLngs":[{"lat":35.437179,"lng":133.327081},{"lat":35.434592,"lng":133.326238}],"color":"coral"}</v>
      </c>
      <c r="BL101" s="40"/>
      <c r="BM101" s="40"/>
      <c r="BN101" s="40"/>
      <c r="BO101" s="40"/>
      <c r="BP101" s="40"/>
      <c r="BQ101" s="40"/>
      <c r="BR101" s="40"/>
      <c r="BS101" s="40"/>
      <c r="BT101" s="40"/>
      <c r="BU101" s="40"/>
      <c r="BV101" s="40"/>
      <c r="BW101" s="40"/>
      <c r="BX101" s="40"/>
      <c r="BY101" s="40"/>
      <c r="BZ101" s="40"/>
      <c r="CA101" s="40"/>
      <c r="CB101" s="40"/>
      <c r="CC101" s="40"/>
      <c r="CD101" s="40"/>
      <c r="CE101" s="40"/>
      <c r="CF101" s="40"/>
      <c r="CG101" s="40"/>
      <c r="CH101" s="40"/>
    </row>
    <row r="102" spans="1:86" ht="17.5">
      <c r="A102" s="40"/>
      <c r="B102" s="260" t="str">
        <f ca="1">IFERROR(__xludf.DUMMYFUNCTION("""COMPUTED_VALUE"""),"P94")</f>
        <v>P94</v>
      </c>
      <c r="C102" s="273" t="str">
        <f ca="1">IFERROR(__xludf.DUMMYFUNCTION("""COMPUTED_VALUE"""),"住居表示街区案内図 米子市米原3丁目")</f>
        <v>住居表示街区案内図 米子市米原3丁目</v>
      </c>
      <c r="D102" s="273">
        <f ca="1">IFERROR(__xludf.DUMMYFUNCTION("""COMPUTED_VALUE"""),35.440964)</f>
        <v>35.440964000000001</v>
      </c>
      <c r="E102" s="273">
        <f ca="1">IFERROR(__xludf.DUMMYFUNCTION("""COMPUTED_VALUE"""),133.334346)</f>
        <v>133.33434600000001</v>
      </c>
      <c r="F102" s="40"/>
      <c r="G102" s="261"/>
      <c r="H102" s="262" t="s">
        <v>672</v>
      </c>
      <c r="I102" s="271" t="str">
        <f ca="1">IFERROR(__xludf.DUMMYFUNCTION("""COMPUTED_VALUE"""),"Agent04")</f>
        <v>Agent04</v>
      </c>
      <c r="J102" s="271" t="str">
        <f ca="1">IFERROR(__xludf.DUMMYFUNCTION("""COMPUTED_VALUE"""),"P67")</f>
        <v>P67</v>
      </c>
      <c r="K102" s="271" t="str">
        <f ca="1">IFERROR(__xludf.DUMMYFUNCTION("""COMPUTED_VALUE"""),"P65")</f>
        <v>P65</v>
      </c>
      <c r="L102" s="242" t="s">
        <v>681</v>
      </c>
      <c r="M102" s="263" t="str">
        <f t="shared" ca="1" si="0"/>
        <v>coral</v>
      </c>
      <c r="N102" s="264" t="str">
        <f ca="1">IFERROR(__xludf.DUMMYFUNCTION("FILTER(C:E,B:B=J102)"),"ちとせ")</f>
        <v>ちとせ</v>
      </c>
      <c r="O102" s="265">
        <f ca="1">IFERROR(__xludf.DUMMYFUNCTION("""COMPUTED_VALUE"""),35.437179)</f>
        <v>35.437179</v>
      </c>
      <c r="P102" s="265">
        <f ca="1">IFERROR(__xludf.DUMMYFUNCTION("""COMPUTED_VALUE"""),133.327081)</f>
        <v>133.32708099999999</v>
      </c>
      <c r="Q102" s="264" t="str">
        <f ca="1">IFERROR(__xludf.DUMMYFUNCTION("FILTER(C:E,B:B=K102)"),"錦町２丁目１区自治会掲示板")</f>
        <v>錦町２丁目１区自治会掲示板</v>
      </c>
      <c r="R102" s="265">
        <f ca="1">IFERROR(__xludf.DUMMYFUNCTION("""COMPUTED_VALUE"""),35.436628)</f>
        <v>35.436627999999999</v>
      </c>
      <c r="S102" s="265">
        <f ca="1">IFERROR(__xludf.DUMMYFUNCTION("""COMPUTED_VALUE"""),133.332884)</f>
        <v>133.33288400000001</v>
      </c>
      <c r="T102" s="264" t="str">
        <f ca="1">IFERROR(__xludf.DUMMYFUNCTION("FILTER(C:E,B:B=L102)")," ")</f>
        <v xml:space="preserve"> </v>
      </c>
      <c r="U102" s="40" t="str">
        <f ca="1">IFERROR(__xludf.DUMMYFUNCTION("""COMPUTED_VALUE""")," ")</f>
        <v xml:space="preserve"> </v>
      </c>
      <c r="V102" s="40" t="str">
        <f ca="1">IFERROR(__xludf.DUMMYFUNCTION("""COMPUTED_VALUE""")," ")</f>
        <v xml:space="preserve"> </v>
      </c>
      <c r="W102" s="40" t="str">
        <f t="shared" ca="1" si="21"/>
        <v>,</v>
      </c>
      <c r="X102" s="40" t="s">
        <v>682</v>
      </c>
      <c r="Y102" s="40" t="s">
        <v>683</v>
      </c>
      <c r="Z102" s="264">
        <f t="shared" ca="1" si="1"/>
        <v>35.437179</v>
      </c>
      <c r="AA102" s="40" t="s">
        <v>684</v>
      </c>
      <c r="AB102" s="264">
        <f t="shared" ca="1" si="2"/>
        <v>133.32708099999999</v>
      </c>
      <c r="AC102" s="40" t="s">
        <v>685</v>
      </c>
      <c r="AD102" s="264">
        <f t="shared" ca="1" si="3"/>
        <v>35.436627999999999</v>
      </c>
      <c r="AE102" s="40" t="s">
        <v>684</v>
      </c>
      <c r="AF102" s="264">
        <f t="shared" ca="1" si="4"/>
        <v>133.33288400000001</v>
      </c>
      <c r="AG102" s="40" t="s">
        <v>686</v>
      </c>
      <c r="AH102" s="264" t="str">
        <f t="shared" ca="1" si="5"/>
        <v xml:space="preserve"> </v>
      </c>
      <c r="AI102" s="40" t="s">
        <v>684</v>
      </c>
      <c r="AJ102" s="264" t="str">
        <f t="shared" ca="1" si="6"/>
        <v xml:space="preserve"> </v>
      </c>
      <c r="AK102" s="40" t="s">
        <v>687</v>
      </c>
      <c r="AL102" s="264" t="str">
        <f t="shared" ca="1" si="7"/>
        <v>coral</v>
      </c>
      <c r="AM102" s="40" t="s">
        <v>688</v>
      </c>
      <c r="AN102" s="40" t="str">
        <f t="shared" ca="1" si="8"/>
        <v>,{"type":"polygon","latLngs":[ {"lat":35.437179,"lng":133.327081}, {"lat":35.436628,"lng":133.332884},{"lat": ,"lng": }], "color":"coral"}</v>
      </c>
      <c r="AO102" s="266" t="s">
        <v>689</v>
      </c>
      <c r="AP102" s="56">
        <f t="shared" ca="1" si="9"/>
        <v>35.437179</v>
      </c>
      <c r="AQ102" s="40" t="s">
        <v>684</v>
      </c>
      <c r="AR102" s="56">
        <f t="shared" ca="1" si="10"/>
        <v>133.32708099999999</v>
      </c>
      <c r="AS102" s="40" t="s">
        <v>686</v>
      </c>
      <c r="AT102" s="56">
        <f t="shared" ca="1" si="11"/>
        <v>35.436627999999999</v>
      </c>
      <c r="AU102" s="40" t="s">
        <v>684</v>
      </c>
      <c r="AV102" s="56">
        <f t="shared" ca="1" si="12"/>
        <v>133.33288400000001</v>
      </c>
      <c r="AW102" s="40" t="s">
        <v>690</v>
      </c>
      <c r="AX102" s="40" t="str">
        <f t="shared" ca="1" si="13"/>
        <v>coral</v>
      </c>
      <c r="AY102" s="40" t="s">
        <v>688</v>
      </c>
      <c r="AZ102" s="40" t="str">
        <f t="shared" ca="1" si="14"/>
        <v>,{"type":"polyline","latLngs":[{"lat":35.437179,"lng":133.327081},{"lat":35.436628,"lng":133.332884}],"color":"coral"}</v>
      </c>
      <c r="BA102" s="40" t="s">
        <v>691</v>
      </c>
      <c r="BB102" s="56">
        <f t="shared" ca="1" si="15"/>
        <v>35.437179</v>
      </c>
      <c r="BC102" s="40" t="s">
        <v>684</v>
      </c>
      <c r="BD102" s="56">
        <f t="shared" ca="1" si="16"/>
        <v>133.32708099999999</v>
      </c>
      <c r="BE102" s="40" t="s">
        <v>692</v>
      </c>
      <c r="BF102" s="40" t="str">
        <f t="shared" ca="1" si="17"/>
        <v>coral</v>
      </c>
      <c r="BG102" s="40" t="s">
        <v>688</v>
      </c>
      <c r="BH102" s="40" t="str">
        <f t="shared" ca="1" si="18"/>
        <v>,{"type":"marker","latLng":{"lat":35.437179,"lng":133.327081},"color":"coral"}</v>
      </c>
      <c r="BI102" s="40" t="s">
        <v>693</v>
      </c>
      <c r="BJ102" s="40" t="s">
        <v>694</v>
      </c>
      <c r="BK102" s="267" t="str">
        <f t="shared" ca="1" si="19"/>
        <v>,{"type":"polyline","latLngs":[{"lat":35.437179,"lng":133.327081},{"lat":35.436628,"lng":133.332884}],"color":"coral"}</v>
      </c>
      <c r="BL102" s="40"/>
      <c r="BM102" s="40"/>
      <c r="BN102" s="40"/>
      <c r="BO102" s="40"/>
      <c r="BP102" s="40"/>
      <c r="BQ102" s="40"/>
      <c r="BR102" s="40"/>
      <c r="BS102" s="40"/>
      <c r="BT102" s="40"/>
      <c r="BU102" s="40"/>
      <c r="BV102" s="40"/>
      <c r="BW102" s="40"/>
      <c r="BX102" s="40"/>
      <c r="BY102" s="40"/>
      <c r="BZ102" s="40"/>
      <c r="CA102" s="40"/>
      <c r="CB102" s="40"/>
      <c r="CC102" s="40"/>
      <c r="CD102" s="40"/>
      <c r="CE102" s="40"/>
      <c r="CF102" s="40"/>
      <c r="CG102" s="40"/>
      <c r="CH102" s="40"/>
    </row>
    <row r="103" spans="1:86" ht="17.5">
      <c r="A103" s="40"/>
      <c r="B103" s="260" t="str">
        <f ca="1">IFERROR(__xludf.DUMMYFUNCTION("""COMPUTED_VALUE"""),"P95")</f>
        <v>P95</v>
      </c>
      <c r="C103" s="273" t="str">
        <f ca="1">IFERROR(__xludf.DUMMYFUNCTION("""COMPUTED_VALUE"""),"Casa Dea")</f>
        <v>Casa Dea</v>
      </c>
      <c r="D103" s="273">
        <f ca="1">IFERROR(__xludf.DUMMYFUNCTION("""COMPUTED_VALUE"""),35.441694)</f>
        <v>35.441693999999998</v>
      </c>
      <c r="E103" s="273">
        <f ca="1">IFERROR(__xludf.DUMMYFUNCTION("""COMPUTED_VALUE"""),133.324346)</f>
        <v>133.32434599999999</v>
      </c>
      <c r="F103" s="40"/>
      <c r="G103" s="261"/>
      <c r="H103" s="262" t="s">
        <v>672</v>
      </c>
      <c r="I103" s="271" t="str">
        <f ca="1">IFERROR(__xludf.DUMMYFUNCTION("""COMPUTED_VALUE"""),"Agent04")</f>
        <v>Agent04</v>
      </c>
      <c r="J103" s="271" t="str">
        <f ca="1">IFERROR(__xludf.DUMMYFUNCTION("""COMPUTED_VALUE"""),"P67")</f>
        <v>P67</v>
      </c>
      <c r="K103" s="271" t="str">
        <f ca="1">IFERROR(__xludf.DUMMYFUNCTION("""COMPUTED_VALUE"""),"P85")</f>
        <v>P85</v>
      </c>
      <c r="L103" s="242" t="s">
        <v>681</v>
      </c>
      <c r="M103" s="263" t="str">
        <f t="shared" ca="1" si="0"/>
        <v>coral</v>
      </c>
      <c r="N103" s="264" t="str">
        <f ca="1">IFERROR(__xludf.DUMMYFUNCTION("FILTER(C:E,B:B=J103)"),"ちとせ")</f>
        <v>ちとせ</v>
      </c>
      <c r="O103" s="265">
        <f ca="1">IFERROR(__xludf.DUMMYFUNCTION("""COMPUTED_VALUE"""),35.437179)</f>
        <v>35.437179</v>
      </c>
      <c r="P103" s="265">
        <f ca="1">IFERROR(__xludf.DUMMYFUNCTION("""COMPUTED_VALUE"""),133.327081)</f>
        <v>133.32708099999999</v>
      </c>
      <c r="Q103" s="264" t="str">
        <f ca="1">IFERROR(__xludf.DUMMYFUNCTION("FILTER(C:E,B:B=K103)"),"揺れるパンダ")</f>
        <v>揺れるパンダ</v>
      </c>
      <c r="R103" s="265">
        <f ca="1">IFERROR(__xludf.DUMMYFUNCTION("""COMPUTED_VALUE"""),35.439922)</f>
        <v>35.439922000000003</v>
      </c>
      <c r="S103" s="265">
        <f ca="1">IFERROR(__xludf.DUMMYFUNCTION("""COMPUTED_VALUE"""),133.328017)</f>
        <v>133.32801699999999</v>
      </c>
      <c r="T103" s="264" t="str">
        <f ca="1">IFERROR(__xludf.DUMMYFUNCTION("FILTER(C:E,B:B=L103)")," ")</f>
        <v xml:space="preserve"> </v>
      </c>
      <c r="U103" s="40" t="str">
        <f ca="1">IFERROR(__xludf.DUMMYFUNCTION("""COMPUTED_VALUE""")," ")</f>
        <v xml:space="preserve"> </v>
      </c>
      <c r="V103" s="40" t="str">
        <f ca="1">IFERROR(__xludf.DUMMYFUNCTION("""COMPUTED_VALUE""")," ")</f>
        <v xml:space="preserve"> </v>
      </c>
      <c r="W103" s="40" t="str">
        <f t="shared" ca="1" si="21"/>
        <v>,</v>
      </c>
      <c r="X103" s="40" t="s">
        <v>682</v>
      </c>
      <c r="Y103" s="40" t="s">
        <v>683</v>
      </c>
      <c r="Z103" s="264">
        <f t="shared" ca="1" si="1"/>
        <v>35.437179</v>
      </c>
      <c r="AA103" s="40" t="s">
        <v>684</v>
      </c>
      <c r="AB103" s="264">
        <f t="shared" ca="1" si="2"/>
        <v>133.32708099999999</v>
      </c>
      <c r="AC103" s="40" t="s">
        <v>685</v>
      </c>
      <c r="AD103" s="264">
        <f t="shared" ca="1" si="3"/>
        <v>35.439922000000003</v>
      </c>
      <c r="AE103" s="40" t="s">
        <v>684</v>
      </c>
      <c r="AF103" s="264">
        <f t="shared" ca="1" si="4"/>
        <v>133.32801699999999</v>
      </c>
      <c r="AG103" s="40" t="s">
        <v>686</v>
      </c>
      <c r="AH103" s="264" t="str">
        <f t="shared" ca="1" si="5"/>
        <v xml:space="preserve"> </v>
      </c>
      <c r="AI103" s="40" t="s">
        <v>684</v>
      </c>
      <c r="AJ103" s="264" t="str">
        <f t="shared" ca="1" si="6"/>
        <v xml:space="preserve"> </v>
      </c>
      <c r="AK103" s="40" t="s">
        <v>687</v>
      </c>
      <c r="AL103" s="264" t="str">
        <f t="shared" ca="1" si="7"/>
        <v>coral</v>
      </c>
      <c r="AM103" s="40" t="s">
        <v>688</v>
      </c>
      <c r="AN103" s="40" t="str">
        <f t="shared" ca="1" si="8"/>
        <v>,{"type":"polygon","latLngs":[ {"lat":35.437179,"lng":133.327081}, {"lat":35.439922,"lng":133.328017},{"lat": ,"lng": }], "color":"coral"}</v>
      </c>
      <c r="AO103" s="266" t="s">
        <v>689</v>
      </c>
      <c r="AP103" s="56">
        <f t="shared" ca="1" si="9"/>
        <v>35.437179</v>
      </c>
      <c r="AQ103" s="40" t="s">
        <v>684</v>
      </c>
      <c r="AR103" s="56">
        <f t="shared" ca="1" si="10"/>
        <v>133.32708099999999</v>
      </c>
      <c r="AS103" s="40" t="s">
        <v>686</v>
      </c>
      <c r="AT103" s="56">
        <f t="shared" ca="1" si="11"/>
        <v>35.439922000000003</v>
      </c>
      <c r="AU103" s="40" t="s">
        <v>684</v>
      </c>
      <c r="AV103" s="56">
        <f t="shared" ca="1" si="12"/>
        <v>133.32801699999999</v>
      </c>
      <c r="AW103" s="40" t="s">
        <v>690</v>
      </c>
      <c r="AX103" s="40" t="str">
        <f t="shared" ca="1" si="13"/>
        <v>coral</v>
      </c>
      <c r="AY103" s="40" t="s">
        <v>688</v>
      </c>
      <c r="AZ103" s="40" t="str">
        <f t="shared" ca="1" si="14"/>
        <v>,{"type":"polyline","latLngs":[{"lat":35.437179,"lng":133.327081},{"lat":35.439922,"lng":133.328017}],"color":"coral"}</v>
      </c>
      <c r="BA103" s="40" t="s">
        <v>691</v>
      </c>
      <c r="BB103" s="56">
        <f t="shared" ca="1" si="15"/>
        <v>35.437179</v>
      </c>
      <c r="BC103" s="40" t="s">
        <v>684</v>
      </c>
      <c r="BD103" s="56">
        <f t="shared" ca="1" si="16"/>
        <v>133.32708099999999</v>
      </c>
      <c r="BE103" s="40" t="s">
        <v>692</v>
      </c>
      <c r="BF103" s="40" t="str">
        <f t="shared" ca="1" si="17"/>
        <v>coral</v>
      </c>
      <c r="BG103" s="40" t="s">
        <v>688</v>
      </c>
      <c r="BH103" s="40" t="str">
        <f t="shared" ca="1" si="18"/>
        <v>,{"type":"marker","latLng":{"lat":35.437179,"lng":133.327081},"color":"coral"}</v>
      </c>
      <c r="BI103" s="40" t="s">
        <v>693</v>
      </c>
      <c r="BJ103" s="40" t="s">
        <v>694</v>
      </c>
      <c r="BK103" s="267" t="str">
        <f t="shared" ca="1" si="19"/>
        <v>,{"type":"polyline","latLngs":[{"lat":35.437179,"lng":133.327081},{"lat":35.439922,"lng":133.328017}],"color":"coral"}</v>
      </c>
      <c r="BL103" s="40"/>
      <c r="BM103" s="40"/>
      <c r="BN103" s="40"/>
      <c r="BO103" s="40"/>
      <c r="BP103" s="40"/>
      <c r="BQ103" s="40"/>
      <c r="BR103" s="40"/>
      <c r="BS103" s="40"/>
      <c r="BT103" s="40"/>
      <c r="BU103" s="40"/>
      <c r="BV103" s="40"/>
      <c r="BW103" s="40"/>
      <c r="BX103" s="40"/>
      <c r="BY103" s="40"/>
      <c r="BZ103" s="40"/>
      <c r="CA103" s="40"/>
      <c r="CB103" s="40"/>
      <c r="CC103" s="40"/>
      <c r="CD103" s="40"/>
      <c r="CE103" s="40"/>
      <c r="CF103" s="40"/>
      <c r="CG103" s="40"/>
      <c r="CH103" s="40"/>
    </row>
    <row r="104" spans="1:86" ht="17.5">
      <c r="A104" s="40"/>
      <c r="B104" s="260" t="str">
        <f ca="1">IFERROR(__xludf.DUMMYFUNCTION("""COMPUTED_VALUE"""),"P96")</f>
        <v>P96</v>
      </c>
      <c r="C104" s="273" t="str">
        <f ca="1">IFERROR(__xludf.DUMMYFUNCTION("""COMPUTED_VALUE"""),"米原のINFORMATION")</f>
        <v>米原のINFORMATION</v>
      </c>
      <c r="D104" s="273">
        <f ca="1">IFERROR(__xludf.DUMMYFUNCTION("""COMPUTED_VALUE"""),35.441704)</f>
        <v>35.441704000000001</v>
      </c>
      <c r="E104" s="273">
        <f ca="1">IFERROR(__xludf.DUMMYFUNCTION("""COMPUTED_VALUE"""),133.329054)</f>
        <v>133.32905400000001</v>
      </c>
      <c r="F104" s="40"/>
      <c r="G104" s="261"/>
      <c r="H104" s="262" t="s">
        <v>672</v>
      </c>
      <c r="I104" s="271" t="str">
        <f ca="1">IFERROR(__xludf.DUMMYFUNCTION("""COMPUTED_VALUE"""),"Agent04")</f>
        <v>Agent04</v>
      </c>
      <c r="J104" s="271" t="str">
        <f ca="1">IFERROR(__xludf.DUMMYFUNCTION("""COMPUTED_VALUE"""),"P67")</f>
        <v>P67</v>
      </c>
      <c r="K104" s="271" t="str">
        <f ca="1">IFERROR(__xludf.DUMMYFUNCTION("""COMPUTED_VALUE"""),"P78")</f>
        <v>P78</v>
      </c>
      <c r="L104" s="242" t="s">
        <v>681</v>
      </c>
      <c r="M104" s="263" t="str">
        <f t="shared" ca="1" si="0"/>
        <v>coral</v>
      </c>
      <c r="N104" s="264" t="str">
        <f ca="1">IFERROR(__xludf.DUMMYFUNCTION("FILTER(C:E,B:B=J104)"),"ちとせ")</f>
        <v>ちとせ</v>
      </c>
      <c r="O104" s="265">
        <f ca="1">IFERROR(__xludf.DUMMYFUNCTION("""COMPUTED_VALUE"""),35.437179)</f>
        <v>35.437179</v>
      </c>
      <c r="P104" s="265">
        <f ca="1">IFERROR(__xludf.DUMMYFUNCTION("""COMPUTED_VALUE"""),133.327081)</f>
        <v>133.32708099999999</v>
      </c>
      <c r="Q104" s="264" t="str">
        <f ca="1">IFERROR(__xludf.DUMMYFUNCTION("FILTER(C:E,B:B=K104)"),"米子市中心市街地地図")</f>
        <v>米子市中心市街地地図</v>
      </c>
      <c r="R104" s="265">
        <f ca="1">IFERROR(__xludf.DUMMYFUNCTION("""COMPUTED_VALUE"""),35.439288)</f>
        <v>35.439287999999998</v>
      </c>
      <c r="S104" s="265">
        <f ca="1">IFERROR(__xludf.DUMMYFUNCTION("""COMPUTED_VALUE"""),133.331418)</f>
        <v>133.33141800000001</v>
      </c>
      <c r="T104" s="264" t="str">
        <f ca="1">IFERROR(__xludf.DUMMYFUNCTION("FILTER(C:E,B:B=L104)")," ")</f>
        <v xml:space="preserve"> </v>
      </c>
      <c r="U104" s="40" t="str">
        <f ca="1">IFERROR(__xludf.DUMMYFUNCTION("""COMPUTED_VALUE""")," ")</f>
        <v xml:space="preserve"> </v>
      </c>
      <c r="V104" s="40" t="str">
        <f ca="1">IFERROR(__xludf.DUMMYFUNCTION("""COMPUTED_VALUE""")," ")</f>
        <v xml:space="preserve"> </v>
      </c>
      <c r="W104" s="40" t="str">
        <f t="shared" ca="1" si="21"/>
        <v>,</v>
      </c>
      <c r="X104" s="40" t="s">
        <v>682</v>
      </c>
      <c r="Y104" s="40" t="s">
        <v>683</v>
      </c>
      <c r="Z104" s="264">
        <f t="shared" ca="1" si="1"/>
        <v>35.437179</v>
      </c>
      <c r="AA104" s="40" t="s">
        <v>684</v>
      </c>
      <c r="AB104" s="264">
        <f t="shared" ca="1" si="2"/>
        <v>133.32708099999999</v>
      </c>
      <c r="AC104" s="40" t="s">
        <v>685</v>
      </c>
      <c r="AD104" s="264">
        <f t="shared" ca="1" si="3"/>
        <v>35.439287999999998</v>
      </c>
      <c r="AE104" s="40" t="s">
        <v>684</v>
      </c>
      <c r="AF104" s="264">
        <f t="shared" ca="1" si="4"/>
        <v>133.33141800000001</v>
      </c>
      <c r="AG104" s="40" t="s">
        <v>686</v>
      </c>
      <c r="AH104" s="264" t="str">
        <f t="shared" ca="1" si="5"/>
        <v xml:space="preserve"> </v>
      </c>
      <c r="AI104" s="40" t="s">
        <v>684</v>
      </c>
      <c r="AJ104" s="264" t="str">
        <f t="shared" ca="1" si="6"/>
        <v xml:space="preserve"> </v>
      </c>
      <c r="AK104" s="40" t="s">
        <v>687</v>
      </c>
      <c r="AL104" s="264" t="str">
        <f t="shared" ca="1" si="7"/>
        <v>coral</v>
      </c>
      <c r="AM104" s="40" t="s">
        <v>688</v>
      </c>
      <c r="AN104" s="40" t="str">
        <f t="shared" ca="1" si="8"/>
        <v>,{"type":"polygon","latLngs":[ {"lat":35.437179,"lng":133.327081}, {"lat":35.439288,"lng":133.331418},{"lat": ,"lng": }], "color":"coral"}</v>
      </c>
      <c r="AO104" s="266" t="s">
        <v>689</v>
      </c>
      <c r="AP104" s="56">
        <f t="shared" ca="1" si="9"/>
        <v>35.437179</v>
      </c>
      <c r="AQ104" s="40" t="s">
        <v>684</v>
      </c>
      <c r="AR104" s="56">
        <f t="shared" ca="1" si="10"/>
        <v>133.32708099999999</v>
      </c>
      <c r="AS104" s="40" t="s">
        <v>686</v>
      </c>
      <c r="AT104" s="56">
        <f t="shared" ca="1" si="11"/>
        <v>35.439287999999998</v>
      </c>
      <c r="AU104" s="40" t="s">
        <v>684</v>
      </c>
      <c r="AV104" s="56">
        <f t="shared" ca="1" si="12"/>
        <v>133.33141800000001</v>
      </c>
      <c r="AW104" s="40" t="s">
        <v>690</v>
      </c>
      <c r="AX104" s="40" t="str">
        <f t="shared" ca="1" si="13"/>
        <v>coral</v>
      </c>
      <c r="AY104" s="40" t="s">
        <v>688</v>
      </c>
      <c r="AZ104" s="40" t="str">
        <f t="shared" ca="1" si="14"/>
        <v>,{"type":"polyline","latLngs":[{"lat":35.437179,"lng":133.327081},{"lat":35.439288,"lng":133.331418}],"color":"coral"}</v>
      </c>
      <c r="BA104" s="40" t="s">
        <v>691</v>
      </c>
      <c r="BB104" s="56">
        <f t="shared" ca="1" si="15"/>
        <v>35.437179</v>
      </c>
      <c r="BC104" s="40" t="s">
        <v>684</v>
      </c>
      <c r="BD104" s="56">
        <f t="shared" ca="1" si="16"/>
        <v>133.32708099999999</v>
      </c>
      <c r="BE104" s="40" t="s">
        <v>692</v>
      </c>
      <c r="BF104" s="40" t="str">
        <f t="shared" ca="1" si="17"/>
        <v>coral</v>
      </c>
      <c r="BG104" s="40" t="s">
        <v>688</v>
      </c>
      <c r="BH104" s="40" t="str">
        <f t="shared" ca="1" si="18"/>
        <v>,{"type":"marker","latLng":{"lat":35.437179,"lng":133.327081},"color":"coral"}</v>
      </c>
      <c r="BI104" s="40" t="s">
        <v>693</v>
      </c>
      <c r="BJ104" s="40" t="s">
        <v>694</v>
      </c>
      <c r="BK104" s="267" t="str">
        <f t="shared" ca="1" si="19"/>
        <v>,{"type":"polyline","latLngs":[{"lat":35.437179,"lng":133.327081},{"lat":35.439288,"lng":133.331418}],"color":"coral"}</v>
      </c>
      <c r="BL104" s="40"/>
      <c r="BM104" s="40"/>
      <c r="BN104" s="40"/>
      <c r="BO104" s="40"/>
      <c r="BP104" s="40"/>
      <c r="BQ104" s="40"/>
      <c r="BR104" s="40"/>
      <c r="BS104" s="40"/>
      <c r="BT104" s="40"/>
      <c r="BU104" s="40"/>
      <c r="BV104" s="40"/>
      <c r="BW104" s="40"/>
      <c r="BX104" s="40"/>
      <c r="BY104" s="40"/>
      <c r="BZ104" s="40"/>
      <c r="CA104" s="40"/>
      <c r="CB104" s="40"/>
      <c r="CC104" s="40"/>
      <c r="CD104" s="40"/>
      <c r="CE104" s="40"/>
      <c r="CF104" s="40"/>
      <c r="CG104" s="40"/>
      <c r="CH104" s="40"/>
    </row>
    <row r="105" spans="1:86" ht="17.5">
      <c r="A105" s="40"/>
      <c r="B105" s="260" t="str">
        <f ca="1">IFERROR(__xludf.DUMMYFUNCTION("""COMPUTED_VALUE"""),"P97")</f>
        <v>P97</v>
      </c>
      <c r="C105" s="273" t="str">
        <f ca="1">IFERROR(__xludf.DUMMYFUNCTION("""COMPUTED_VALUE"""),"世界真光文明教団 米子センター")</f>
        <v>世界真光文明教団 米子センター</v>
      </c>
      <c r="D105" s="273">
        <f ca="1">IFERROR(__xludf.DUMMYFUNCTION("""COMPUTED_VALUE"""),35.441888)</f>
        <v>35.441887999999999</v>
      </c>
      <c r="E105" s="273">
        <f ca="1">IFERROR(__xludf.DUMMYFUNCTION("""COMPUTED_VALUE"""),133.335563)</f>
        <v>133.33556300000001</v>
      </c>
      <c r="F105" s="40"/>
      <c r="G105" s="261"/>
      <c r="H105" s="262" t="s">
        <v>672</v>
      </c>
      <c r="I105" s="271" t="str">
        <f ca="1">IFERROR(__xludf.DUMMYFUNCTION("""COMPUTED_VALUE"""),"Agent05")</f>
        <v>Agent05</v>
      </c>
      <c r="J105" s="271" t="str">
        <f ca="1">IFERROR(__xludf.DUMMYFUNCTION("""COMPUTED_VALUE"""),"P78")</f>
        <v>P78</v>
      </c>
      <c r="K105" s="271" t="str">
        <f ca="1">IFERROR(__xludf.DUMMYFUNCTION("""COMPUTED_VALUE"""),"P88")</f>
        <v>P88</v>
      </c>
      <c r="L105" s="242" t="s">
        <v>681</v>
      </c>
      <c r="M105" s="263" t="str">
        <f t="shared" ca="1" si="0"/>
        <v>teal</v>
      </c>
      <c r="N105" s="264" t="str">
        <f ca="1">IFERROR(__xludf.DUMMYFUNCTION("FILTER(C:E,B:B=J105)"),"米子市中心市街地地図")</f>
        <v>米子市中心市街地地図</v>
      </c>
      <c r="O105" s="265">
        <f ca="1">IFERROR(__xludf.DUMMYFUNCTION("""COMPUTED_VALUE"""),35.439288)</f>
        <v>35.439287999999998</v>
      </c>
      <c r="P105" s="265">
        <f ca="1">IFERROR(__xludf.DUMMYFUNCTION("""COMPUTED_VALUE"""),133.331418)</f>
        <v>133.33141800000001</v>
      </c>
      <c r="Q105" s="264" t="str">
        <f ca="1">IFERROR(__xludf.DUMMYFUNCTION("FILTER(C:E,B:B=K105)"),"どろたぼう駅")</f>
        <v>どろたぼう駅</v>
      </c>
      <c r="R105" s="265">
        <f ca="1">IFERROR(__xludf.DUMMYFUNCTION("""COMPUTED_VALUE"""),35.439991)</f>
        <v>35.439990999999999</v>
      </c>
      <c r="S105" s="265">
        <f ca="1">IFERROR(__xludf.DUMMYFUNCTION("""COMPUTED_VALUE"""),133.331279)</f>
        <v>133.33127899999999</v>
      </c>
      <c r="T105" s="264" t="str">
        <f ca="1">IFERROR(__xludf.DUMMYFUNCTION("FILTER(C:E,B:B=L105)")," ")</f>
        <v xml:space="preserve"> </v>
      </c>
      <c r="U105" s="40" t="str">
        <f ca="1">IFERROR(__xludf.DUMMYFUNCTION("""COMPUTED_VALUE""")," ")</f>
        <v xml:space="preserve"> </v>
      </c>
      <c r="V105" s="40" t="str">
        <f ca="1">IFERROR(__xludf.DUMMYFUNCTION("""COMPUTED_VALUE""")," ")</f>
        <v xml:space="preserve"> </v>
      </c>
      <c r="W105" s="40" t="str">
        <f t="shared" ca="1" si="21"/>
        <v>,</v>
      </c>
      <c r="X105" s="40" t="s">
        <v>682</v>
      </c>
      <c r="Y105" s="40" t="s">
        <v>683</v>
      </c>
      <c r="Z105" s="264">
        <f t="shared" ca="1" si="1"/>
        <v>35.439287999999998</v>
      </c>
      <c r="AA105" s="40" t="s">
        <v>684</v>
      </c>
      <c r="AB105" s="264">
        <f t="shared" ca="1" si="2"/>
        <v>133.33141800000001</v>
      </c>
      <c r="AC105" s="40" t="s">
        <v>685</v>
      </c>
      <c r="AD105" s="264">
        <f t="shared" ca="1" si="3"/>
        <v>35.439990999999999</v>
      </c>
      <c r="AE105" s="40" t="s">
        <v>684</v>
      </c>
      <c r="AF105" s="264">
        <f t="shared" ca="1" si="4"/>
        <v>133.33127899999999</v>
      </c>
      <c r="AG105" s="40" t="s">
        <v>686</v>
      </c>
      <c r="AH105" s="264" t="str">
        <f t="shared" ca="1" si="5"/>
        <v xml:space="preserve"> </v>
      </c>
      <c r="AI105" s="40" t="s">
        <v>684</v>
      </c>
      <c r="AJ105" s="264" t="str">
        <f t="shared" ca="1" si="6"/>
        <v xml:space="preserve"> </v>
      </c>
      <c r="AK105" s="40" t="s">
        <v>687</v>
      </c>
      <c r="AL105" s="264" t="str">
        <f t="shared" ca="1" si="7"/>
        <v>teal</v>
      </c>
      <c r="AM105" s="40" t="s">
        <v>688</v>
      </c>
      <c r="AN105" s="40" t="str">
        <f t="shared" ca="1" si="8"/>
        <v>,{"type":"polygon","latLngs":[ {"lat":35.439288,"lng":133.331418}, {"lat":35.439991,"lng":133.331279},{"lat": ,"lng": }], "color":"teal"}</v>
      </c>
      <c r="AO105" s="266" t="s">
        <v>689</v>
      </c>
      <c r="AP105" s="56">
        <f t="shared" ca="1" si="9"/>
        <v>35.439287999999998</v>
      </c>
      <c r="AQ105" s="40" t="s">
        <v>684</v>
      </c>
      <c r="AR105" s="56">
        <f t="shared" ca="1" si="10"/>
        <v>133.33141800000001</v>
      </c>
      <c r="AS105" s="40" t="s">
        <v>686</v>
      </c>
      <c r="AT105" s="56">
        <f t="shared" ca="1" si="11"/>
        <v>35.439990999999999</v>
      </c>
      <c r="AU105" s="40" t="s">
        <v>684</v>
      </c>
      <c r="AV105" s="56">
        <f t="shared" ca="1" si="12"/>
        <v>133.33127899999999</v>
      </c>
      <c r="AW105" s="40" t="s">
        <v>690</v>
      </c>
      <c r="AX105" s="40" t="str">
        <f t="shared" ca="1" si="13"/>
        <v>teal</v>
      </c>
      <c r="AY105" s="40" t="s">
        <v>688</v>
      </c>
      <c r="AZ105" s="40" t="str">
        <f t="shared" ca="1" si="14"/>
        <v>,{"type":"polyline","latLngs":[{"lat":35.439288,"lng":133.331418},{"lat":35.439991,"lng":133.331279}],"color":"teal"}</v>
      </c>
      <c r="BA105" s="40" t="s">
        <v>691</v>
      </c>
      <c r="BB105" s="56">
        <f t="shared" ca="1" si="15"/>
        <v>35.439287999999998</v>
      </c>
      <c r="BC105" s="40" t="s">
        <v>684</v>
      </c>
      <c r="BD105" s="56">
        <f t="shared" ca="1" si="16"/>
        <v>133.33141800000001</v>
      </c>
      <c r="BE105" s="40" t="s">
        <v>692</v>
      </c>
      <c r="BF105" s="40" t="str">
        <f t="shared" ca="1" si="17"/>
        <v>teal</v>
      </c>
      <c r="BG105" s="40" t="s">
        <v>688</v>
      </c>
      <c r="BH105" s="40" t="str">
        <f t="shared" ca="1" si="18"/>
        <v>,{"type":"marker","latLng":{"lat":35.439288,"lng":133.331418},"color":"teal"}</v>
      </c>
      <c r="BI105" s="40" t="s">
        <v>693</v>
      </c>
      <c r="BJ105" s="40" t="s">
        <v>694</v>
      </c>
      <c r="BK105" s="267" t="str">
        <f t="shared" ca="1" si="19"/>
        <v>,{"type":"polyline","latLngs":[{"lat":35.439288,"lng":133.331418},{"lat":35.439991,"lng":133.331279}],"color":"teal"}</v>
      </c>
      <c r="BL105" s="40"/>
      <c r="BM105" s="40"/>
      <c r="BN105" s="40"/>
      <c r="BO105" s="40"/>
      <c r="BP105" s="40"/>
      <c r="BQ105" s="40"/>
      <c r="BR105" s="40"/>
      <c r="BS105" s="40"/>
      <c r="BT105" s="40"/>
      <c r="BU105" s="40"/>
      <c r="BV105" s="40"/>
      <c r="BW105" s="40"/>
      <c r="BX105" s="40"/>
      <c r="BY105" s="40"/>
      <c r="BZ105" s="40"/>
      <c r="CA105" s="40"/>
      <c r="CB105" s="40"/>
      <c r="CC105" s="40"/>
      <c r="CD105" s="40"/>
      <c r="CE105" s="40"/>
      <c r="CF105" s="40"/>
      <c r="CG105" s="40"/>
      <c r="CH105" s="40"/>
    </row>
    <row r="106" spans="1:86" ht="17.5">
      <c r="A106" s="40"/>
      <c r="B106" s="260" t="str">
        <f ca="1">IFERROR(__xludf.DUMMYFUNCTION("""COMPUTED_VALUE"""),"P98")</f>
        <v>P98</v>
      </c>
      <c r="C106" s="273" t="str">
        <f ca="1">IFERROR(__xludf.DUMMYFUNCTION("""COMPUTED_VALUE"""),"公園のブランコ")</f>
        <v>公園のブランコ</v>
      </c>
      <c r="D106" s="273">
        <f ca="1">IFERROR(__xludf.DUMMYFUNCTION("""COMPUTED_VALUE"""),35.441902)</f>
        <v>35.441901999999999</v>
      </c>
      <c r="E106" s="273">
        <f ca="1">IFERROR(__xludf.DUMMYFUNCTION("""COMPUTED_VALUE"""),133.326213)</f>
        <v>133.326213</v>
      </c>
      <c r="F106" s="40"/>
      <c r="G106" s="261"/>
      <c r="H106" s="262" t="s">
        <v>672</v>
      </c>
      <c r="I106" s="271" t="str">
        <f ca="1">IFERROR(__xludf.DUMMYFUNCTION("""COMPUTED_VALUE"""),"Agent05")</f>
        <v>Agent05</v>
      </c>
      <c r="J106" s="271" t="str">
        <f ca="1">IFERROR(__xludf.DUMMYFUNCTION("""COMPUTED_VALUE"""),"P78")</f>
        <v>P78</v>
      </c>
      <c r="K106" s="271" t="str">
        <f ca="1">IFERROR(__xludf.DUMMYFUNCTION("""COMPUTED_VALUE"""),"P80")</f>
        <v>P80</v>
      </c>
      <c r="L106" s="242" t="s">
        <v>681</v>
      </c>
      <c r="M106" s="263" t="str">
        <f t="shared" ca="1" si="0"/>
        <v>teal</v>
      </c>
      <c r="N106" s="264" t="str">
        <f ca="1">IFERROR(__xludf.DUMMYFUNCTION("FILTER(C:E,B:B=J106)"),"米子市中心市街地地図")</f>
        <v>米子市中心市街地地図</v>
      </c>
      <c r="O106" s="265">
        <f ca="1">IFERROR(__xludf.DUMMYFUNCTION("""COMPUTED_VALUE"""),35.439288)</f>
        <v>35.439287999999998</v>
      </c>
      <c r="P106" s="265">
        <f ca="1">IFERROR(__xludf.DUMMYFUNCTION("""COMPUTED_VALUE"""),133.331418)</f>
        <v>133.33141800000001</v>
      </c>
      <c r="Q106" s="264" t="str">
        <f ca="1">IFERROR(__xludf.DUMMYFUNCTION("FILTER(C:E,B:B=K106)"),"JR後藤駅")</f>
        <v>JR後藤駅</v>
      </c>
      <c r="R106" s="265">
        <f ca="1">IFERROR(__xludf.DUMMYFUNCTION("""COMPUTED_VALUE"""),35.439526)</f>
        <v>35.439526000000001</v>
      </c>
      <c r="S106" s="265">
        <f ca="1">IFERROR(__xludf.DUMMYFUNCTION("""COMPUTED_VALUE"""),133.331533)</f>
        <v>133.33153300000001</v>
      </c>
      <c r="T106" s="264" t="str">
        <f ca="1">IFERROR(__xludf.DUMMYFUNCTION("FILTER(C:E,B:B=L106)")," ")</f>
        <v xml:space="preserve"> </v>
      </c>
      <c r="U106" s="40" t="str">
        <f ca="1">IFERROR(__xludf.DUMMYFUNCTION("""COMPUTED_VALUE""")," ")</f>
        <v xml:space="preserve"> </v>
      </c>
      <c r="V106" s="40" t="str">
        <f ca="1">IFERROR(__xludf.DUMMYFUNCTION("""COMPUTED_VALUE""")," ")</f>
        <v xml:space="preserve"> </v>
      </c>
      <c r="W106" s="40" t="str">
        <f t="shared" ca="1" si="21"/>
        <v>,</v>
      </c>
      <c r="X106" s="40" t="s">
        <v>682</v>
      </c>
      <c r="Y106" s="40" t="s">
        <v>683</v>
      </c>
      <c r="Z106" s="264">
        <f t="shared" ca="1" si="1"/>
        <v>35.439287999999998</v>
      </c>
      <c r="AA106" s="40" t="s">
        <v>684</v>
      </c>
      <c r="AB106" s="264">
        <f t="shared" ca="1" si="2"/>
        <v>133.33141800000001</v>
      </c>
      <c r="AC106" s="40" t="s">
        <v>685</v>
      </c>
      <c r="AD106" s="264">
        <f t="shared" ca="1" si="3"/>
        <v>35.439526000000001</v>
      </c>
      <c r="AE106" s="40" t="s">
        <v>684</v>
      </c>
      <c r="AF106" s="264">
        <f t="shared" ca="1" si="4"/>
        <v>133.33153300000001</v>
      </c>
      <c r="AG106" s="40" t="s">
        <v>686</v>
      </c>
      <c r="AH106" s="264" t="str">
        <f t="shared" ca="1" si="5"/>
        <v xml:space="preserve"> </v>
      </c>
      <c r="AI106" s="40" t="s">
        <v>684</v>
      </c>
      <c r="AJ106" s="264" t="str">
        <f t="shared" ca="1" si="6"/>
        <v xml:space="preserve"> </v>
      </c>
      <c r="AK106" s="40" t="s">
        <v>687</v>
      </c>
      <c r="AL106" s="264" t="str">
        <f t="shared" ca="1" si="7"/>
        <v>teal</v>
      </c>
      <c r="AM106" s="40" t="s">
        <v>688</v>
      </c>
      <c r="AN106" s="40" t="str">
        <f t="shared" ca="1" si="8"/>
        <v>,{"type":"polygon","latLngs":[ {"lat":35.439288,"lng":133.331418}, {"lat":35.439526,"lng":133.331533},{"lat": ,"lng": }], "color":"teal"}</v>
      </c>
      <c r="AO106" s="266" t="s">
        <v>689</v>
      </c>
      <c r="AP106" s="56">
        <f t="shared" ca="1" si="9"/>
        <v>35.439287999999998</v>
      </c>
      <c r="AQ106" s="40" t="s">
        <v>684</v>
      </c>
      <c r="AR106" s="56">
        <f t="shared" ca="1" si="10"/>
        <v>133.33141800000001</v>
      </c>
      <c r="AS106" s="40" t="s">
        <v>686</v>
      </c>
      <c r="AT106" s="56">
        <f t="shared" ca="1" si="11"/>
        <v>35.439526000000001</v>
      </c>
      <c r="AU106" s="40" t="s">
        <v>684</v>
      </c>
      <c r="AV106" s="56">
        <f t="shared" ca="1" si="12"/>
        <v>133.33153300000001</v>
      </c>
      <c r="AW106" s="40" t="s">
        <v>690</v>
      </c>
      <c r="AX106" s="40" t="str">
        <f t="shared" ca="1" si="13"/>
        <v>teal</v>
      </c>
      <c r="AY106" s="40" t="s">
        <v>688</v>
      </c>
      <c r="AZ106" s="40" t="str">
        <f t="shared" ca="1" si="14"/>
        <v>,{"type":"polyline","latLngs":[{"lat":35.439288,"lng":133.331418},{"lat":35.439526,"lng":133.331533}],"color":"teal"}</v>
      </c>
      <c r="BA106" s="40" t="s">
        <v>691</v>
      </c>
      <c r="BB106" s="56">
        <f t="shared" ca="1" si="15"/>
        <v>35.439287999999998</v>
      </c>
      <c r="BC106" s="40" t="s">
        <v>684</v>
      </c>
      <c r="BD106" s="56">
        <f t="shared" ca="1" si="16"/>
        <v>133.33141800000001</v>
      </c>
      <c r="BE106" s="40" t="s">
        <v>692</v>
      </c>
      <c r="BF106" s="40" t="str">
        <f t="shared" ca="1" si="17"/>
        <v>teal</v>
      </c>
      <c r="BG106" s="40" t="s">
        <v>688</v>
      </c>
      <c r="BH106" s="40" t="str">
        <f t="shared" ca="1" si="18"/>
        <v>,{"type":"marker","latLng":{"lat":35.439288,"lng":133.331418},"color":"teal"}</v>
      </c>
      <c r="BI106" s="40" t="s">
        <v>693</v>
      </c>
      <c r="BJ106" s="40" t="s">
        <v>694</v>
      </c>
      <c r="BK106" s="267" t="str">
        <f t="shared" ca="1" si="19"/>
        <v>,{"type":"polyline","latLngs":[{"lat":35.439288,"lng":133.331418},{"lat":35.439526,"lng":133.331533}],"color":"teal"}</v>
      </c>
      <c r="BL106" s="40"/>
      <c r="BM106" s="40"/>
      <c r="BN106" s="40"/>
      <c r="BO106" s="40"/>
      <c r="BP106" s="40"/>
      <c r="BQ106" s="40"/>
      <c r="BR106" s="40"/>
      <c r="BS106" s="40"/>
      <c r="BT106" s="40"/>
      <c r="BU106" s="40"/>
      <c r="BV106" s="40"/>
      <c r="BW106" s="40"/>
      <c r="BX106" s="40"/>
      <c r="BY106" s="40"/>
      <c r="BZ106" s="40"/>
      <c r="CA106" s="40"/>
      <c r="CB106" s="40"/>
      <c r="CC106" s="40"/>
      <c r="CD106" s="40"/>
      <c r="CE106" s="40"/>
      <c r="CF106" s="40"/>
      <c r="CG106" s="40"/>
      <c r="CH106" s="40"/>
    </row>
    <row r="107" spans="1:86" ht="17.5">
      <c r="A107" s="40"/>
      <c r="B107" s="260" t="str">
        <f ca="1">IFERROR(__xludf.DUMMYFUNCTION("""COMPUTED_VALUE"""),"P99")</f>
        <v>P99</v>
      </c>
      <c r="C107" s="273" t="str">
        <f ca="1">IFERROR(__xludf.DUMMYFUNCTION("""COMPUTED_VALUE"""),"米子復活教会")</f>
        <v>米子復活教会</v>
      </c>
      <c r="D107" s="273">
        <f ca="1">IFERROR(__xludf.DUMMYFUNCTION("""COMPUTED_VALUE"""),35.441903)</f>
        <v>35.441903000000003</v>
      </c>
      <c r="E107" s="273">
        <f ca="1">IFERROR(__xludf.DUMMYFUNCTION("""COMPUTED_VALUE"""),133.336361)</f>
        <v>133.33636100000001</v>
      </c>
      <c r="F107" s="40"/>
      <c r="G107" s="261"/>
      <c r="H107" s="262" t="s">
        <v>672</v>
      </c>
      <c r="I107" s="271" t="str">
        <f ca="1">IFERROR(__xludf.DUMMYFUNCTION("""COMPUTED_VALUE"""),"Agent05")</f>
        <v>Agent05</v>
      </c>
      <c r="J107" s="271" t="str">
        <f ca="1">IFERROR(__xludf.DUMMYFUNCTION("""COMPUTED_VALUE"""),"P78")</f>
        <v>P78</v>
      </c>
      <c r="K107" s="271" t="str">
        <f ca="1">IFERROR(__xludf.DUMMYFUNCTION("""COMPUTED_VALUE"""),"P88")</f>
        <v>P88</v>
      </c>
      <c r="L107" s="242" t="s">
        <v>681</v>
      </c>
      <c r="M107" s="263" t="str">
        <f t="shared" ca="1" si="0"/>
        <v>teal</v>
      </c>
      <c r="N107" s="264" t="str">
        <f ca="1">IFERROR(__xludf.DUMMYFUNCTION("FILTER(C:E,B:B=J107)"),"米子市中心市街地地図")</f>
        <v>米子市中心市街地地図</v>
      </c>
      <c r="O107" s="265">
        <f ca="1">IFERROR(__xludf.DUMMYFUNCTION("""COMPUTED_VALUE"""),35.439288)</f>
        <v>35.439287999999998</v>
      </c>
      <c r="P107" s="265">
        <f ca="1">IFERROR(__xludf.DUMMYFUNCTION("""COMPUTED_VALUE"""),133.331418)</f>
        <v>133.33141800000001</v>
      </c>
      <c r="Q107" s="264" t="str">
        <f ca="1">IFERROR(__xludf.DUMMYFUNCTION("FILTER(C:E,B:B=K107)"),"どろたぼう駅")</f>
        <v>どろたぼう駅</v>
      </c>
      <c r="R107" s="265">
        <f ca="1">IFERROR(__xludf.DUMMYFUNCTION("""COMPUTED_VALUE"""),35.439991)</f>
        <v>35.439990999999999</v>
      </c>
      <c r="S107" s="265">
        <f ca="1">IFERROR(__xludf.DUMMYFUNCTION("""COMPUTED_VALUE"""),133.331279)</f>
        <v>133.33127899999999</v>
      </c>
      <c r="T107" s="264" t="str">
        <f ca="1">IFERROR(__xludf.DUMMYFUNCTION("FILTER(C:E,B:B=L107)")," ")</f>
        <v xml:space="preserve"> </v>
      </c>
      <c r="U107" s="40" t="str">
        <f ca="1">IFERROR(__xludf.DUMMYFUNCTION("""COMPUTED_VALUE""")," ")</f>
        <v xml:space="preserve"> </v>
      </c>
      <c r="V107" s="40" t="str">
        <f ca="1">IFERROR(__xludf.DUMMYFUNCTION("""COMPUTED_VALUE""")," ")</f>
        <v xml:space="preserve"> </v>
      </c>
      <c r="W107" s="40" t="str">
        <f t="shared" ca="1" si="21"/>
        <v>,</v>
      </c>
      <c r="X107" s="40" t="s">
        <v>682</v>
      </c>
      <c r="Y107" s="40" t="s">
        <v>683</v>
      </c>
      <c r="Z107" s="264">
        <f t="shared" ca="1" si="1"/>
        <v>35.439287999999998</v>
      </c>
      <c r="AA107" s="40" t="s">
        <v>684</v>
      </c>
      <c r="AB107" s="264">
        <f t="shared" ca="1" si="2"/>
        <v>133.33141800000001</v>
      </c>
      <c r="AC107" s="40" t="s">
        <v>685</v>
      </c>
      <c r="AD107" s="264">
        <f t="shared" ca="1" si="3"/>
        <v>35.439990999999999</v>
      </c>
      <c r="AE107" s="40" t="s">
        <v>684</v>
      </c>
      <c r="AF107" s="264">
        <f t="shared" ca="1" si="4"/>
        <v>133.33127899999999</v>
      </c>
      <c r="AG107" s="40" t="s">
        <v>686</v>
      </c>
      <c r="AH107" s="264" t="str">
        <f t="shared" ca="1" si="5"/>
        <v xml:space="preserve"> </v>
      </c>
      <c r="AI107" s="40" t="s">
        <v>684</v>
      </c>
      <c r="AJ107" s="264" t="str">
        <f t="shared" ca="1" si="6"/>
        <v xml:space="preserve"> </v>
      </c>
      <c r="AK107" s="40" t="s">
        <v>687</v>
      </c>
      <c r="AL107" s="264" t="str">
        <f t="shared" ca="1" si="7"/>
        <v>teal</v>
      </c>
      <c r="AM107" s="40" t="s">
        <v>688</v>
      </c>
      <c r="AN107" s="40" t="str">
        <f t="shared" ca="1" si="8"/>
        <v>,{"type":"polygon","latLngs":[ {"lat":35.439288,"lng":133.331418}, {"lat":35.439991,"lng":133.331279},{"lat": ,"lng": }], "color":"teal"}</v>
      </c>
      <c r="AO107" s="266" t="s">
        <v>689</v>
      </c>
      <c r="AP107" s="56">
        <f t="shared" ca="1" si="9"/>
        <v>35.439287999999998</v>
      </c>
      <c r="AQ107" s="40" t="s">
        <v>684</v>
      </c>
      <c r="AR107" s="56">
        <f t="shared" ca="1" si="10"/>
        <v>133.33141800000001</v>
      </c>
      <c r="AS107" s="40" t="s">
        <v>686</v>
      </c>
      <c r="AT107" s="56">
        <f t="shared" ca="1" si="11"/>
        <v>35.439990999999999</v>
      </c>
      <c r="AU107" s="40" t="s">
        <v>684</v>
      </c>
      <c r="AV107" s="56">
        <f t="shared" ca="1" si="12"/>
        <v>133.33127899999999</v>
      </c>
      <c r="AW107" s="40" t="s">
        <v>690</v>
      </c>
      <c r="AX107" s="40" t="str">
        <f t="shared" ca="1" si="13"/>
        <v>teal</v>
      </c>
      <c r="AY107" s="40" t="s">
        <v>688</v>
      </c>
      <c r="AZ107" s="40" t="str">
        <f t="shared" ca="1" si="14"/>
        <v>,{"type":"polyline","latLngs":[{"lat":35.439288,"lng":133.331418},{"lat":35.439991,"lng":133.331279}],"color":"teal"}</v>
      </c>
      <c r="BA107" s="40" t="s">
        <v>691</v>
      </c>
      <c r="BB107" s="56">
        <f t="shared" ca="1" si="15"/>
        <v>35.439287999999998</v>
      </c>
      <c r="BC107" s="40" t="s">
        <v>684</v>
      </c>
      <c r="BD107" s="56">
        <f t="shared" ca="1" si="16"/>
        <v>133.33141800000001</v>
      </c>
      <c r="BE107" s="40" t="s">
        <v>692</v>
      </c>
      <c r="BF107" s="40" t="str">
        <f t="shared" ca="1" si="17"/>
        <v>teal</v>
      </c>
      <c r="BG107" s="40" t="s">
        <v>688</v>
      </c>
      <c r="BH107" s="40" t="str">
        <f t="shared" ca="1" si="18"/>
        <v>,{"type":"marker","latLng":{"lat":35.439288,"lng":133.331418},"color":"teal"}</v>
      </c>
      <c r="BI107" s="40" t="s">
        <v>693</v>
      </c>
      <c r="BJ107" s="40" t="s">
        <v>694</v>
      </c>
      <c r="BK107" s="267" t="str">
        <f t="shared" ca="1" si="19"/>
        <v>,{"type":"polyline","latLngs":[{"lat":35.439288,"lng":133.331418},{"lat":35.439991,"lng":133.331279}],"color":"teal"}</v>
      </c>
      <c r="BL107" s="40"/>
      <c r="BM107" s="40"/>
      <c r="BN107" s="40"/>
      <c r="BO107" s="40"/>
      <c r="BP107" s="40"/>
      <c r="BQ107" s="40"/>
      <c r="BR107" s="40"/>
      <c r="BS107" s="40"/>
      <c r="BT107" s="40"/>
      <c r="BU107" s="40"/>
      <c r="BV107" s="40"/>
      <c r="BW107" s="40"/>
      <c r="BX107" s="40"/>
      <c r="BY107" s="40"/>
      <c r="BZ107" s="40"/>
      <c r="CA107" s="40"/>
      <c r="CB107" s="40"/>
      <c r="CC107" s="40"/>
      <c r="CD107" s="40"/>
      <c r="CE107" s="40"/>
      <c r="CF107" s="40"/>
      <c r="CG107" s="40"/>
      <c r="CH107" s="40"/>
    </row>
    <row r="108" spans="1:86" ht="17.5">
      <c r="A108" s="40"/>
      <c r="B108" s="260" t="str">
        <f ca="1">IFERROR(__xludf.DUMMYFUNCTION("""COMPUTED_VALUE"""),"P100")</f>
        <v>P100</v>
      </c>
      <c r="C108" s="273" t="str">
        <f ca="1">IFERROR(__xludf.DUMMYFUNCTION("""COMPUTED_VALUE"""),"MEGAドン・キホーテ米子店の壁画")</f>
        <v>MEGAドン・キホーテ米子店の壁画</v>
      </c>
      <c r="D108" s="273">
        <f ca="1">IFERROR(__xludf.DUMMYFUNCTION("""COMPUTED_VALUE"""),35.442218)</f>
        <v>35.442217999999997</v>
      </c>
      <c r="E108" s="273">
        <f ca="1">IFERROR(__xludf.DUMMYFUNCTION("""COMPUTED_VALUE"""),133.331059)</f>
        <v>133.33105900000001</v>
      </c>
      <c r="F108" s="40"/>
      <c r="G108" s="261"/>
      <c r="H108" s="262" t="s">
        <v>672</v>
      </c>
      <c r="I108" s="271" t="str">
        <f ca="1">IFERROR(__xludf.DUMMYFUNCTION("""COMPUTED_VALUE"""),"Agent05")</f>
        <v>Agent05</v>
      </c>
      <c r="J108" s="271" t="str">
        <f ca="1">IFERROR(__xludf.DUMMYFUNCTION("""COMPUTED_VALUE"""),"P87")</f>
        <v>P87</v>
      </c>
      <c r="K108" s="271" t="str">
        <f ca="1">IFERROR(__xludf.DUMMYFUNCTION("""COMPUTED_VALUE"""),"P78")</f>
        <v>P78</v>
      </c>
      <c r="L108" s="242" t="s">
        <v>681</v>
      </c>
      <c r="M108" s="263" t="str">
        <f t="shared" ca="1" si="0"/>
        <v>teal</v>
      </c>
      <c r="N108" s="264" t="str">
        <f ca="1">IFERROR(__xludf.DUMMYFUNCTION("FILTER(C:E,B:B=J108)"),"米原1丁目住宅案内図")</f>
        <v>米原1丁目住宅案内図</v>
      </c>
      <c r="O108" s="265">
        <f ca="1">IFERROR(__xludf.DUMMYFUNCTION("""COMPUTED_VALUE"""),35.43998)</f>
        <v>35.439979999999998</v>
      </c>
      <c r="P108" s="265">
        <f ca="1">IFERROR(__xludf.DUMMYFUNCTION("""COMPUTED_VALUE"""),133.328953)</f>
        <v>133.32895300000001</v>
      </c>
      <c r="Q108" s="264" t="str">
        <f ca="1">IFERROR(__xludf.DUMMYFUNCTION("FILTER(C:E,B:B=K108)"),"米子市中心市街地地図")</f>
        <v>米子市中心市街地地図</v>
      </c>
      <c r="R108" s="265">
        <f ca="1">IFERROR(__xludf.DUMMYFUNCTION("""COMPUTED_VALUE"""),35.439288)</f>
        <v>35.439287999999998</v>
      </c>
      <c r="S108" s="265">
        <f ca="1">IFERROR(__xludf.DUMMYFUNCTION("""COMPUTED_VALUE"""),133.331418)</f>
        <v>133.33141800000001</v>
      </c>
      <c r="T108" s="264" t="str">
        <f ca="1">IFERROR(__xludf.DUMMYFUNCTION("FILTER(C:E,B:B=L108)")," ")</f>
        <v xml:space="preserve"> </v>
      </c>
      <c r="U108" s="40" t="str">
        <f ca="1">IFERROR(__xludf.DUMMYFUNCTION("""COMPUTED_VALUE""")," ")</f>
        <v xml:space="preserve"> </v>
      </c>
      <c r="V108" s="40" t="str">
        <f ca="1">IFERROR(__xludf.DUMMYFUNCTION("""COMPUTED_VALUE""")," ")</f>
        <v xml:space="preserve"> </v>
      </c>
      <c r="W108" s="40" t="str">
        <f t="shared" ca="1" si="21"/>
        <v>,</v>
      </c>
      <c r="X108" s="40" t="s">
        <v>682</v>
      </c>
      <c r="Y108" s="40" t="s">
        <v>683</v>
      </c>
      <c r="Z108" s="264">
        <f t="shared" ca="1" si="1"/>
        <v>35.439979999999998</v>
      </c>
      <c r="AA108" s="40" t="s">
        <v>684</v>
      </c>
      <c r="AB108" s="264">
        <f t="shared" ca="1" si="2"/>
        <v>133.32895300000001</v>
      </c>
      <c r="AC108" s="40" t="s">
        <v>685</v>
      </c>
      <c r="AD108" s="264">
        <f t="shared" ca="1" si="3"/>
        <v>35.439287999999998</v>
      </c>
      <c r="AE108" s="40" t="s">
        <v>684</v>
      </c>
      <c r="AF108" s="264">
        <f t="shared" ca="1" si="4"/>
        <v>133.33141800000001</v>
      </c>
      <c r="AG108" s="40" t="s">
        <v>686</v>
      </c>
      <c r="AH108" s="264" t="str">
        <f t="shared" ca="1" si="5"/>
        <v xml:space="preserve"> </v>
      </c>
      <c r="AI108" s="40" t="s">
        <v>684</v>
      </c>
      <c r="AJ108" s="264" t="str">
        <f t="shared" ca="1" si="6"/>
        <v xml:space="preserve"> </v>
      </c>
      <c r="AK108" s="40" t="s">
        <v>687</v>
      </c>
      <c r="AL108" s="264" t="str">
        <f t="shared" ca="1" si="7"/>
        <v>teal</v>
      </c>
      <c r="AM108" s="40" t="s">
        <v>688</v>
      </c>
      <c r="AN108" s="40" t="str">
        <f t="shared" ca="1" si="8"/>
        <v>,{"type":"polygon","latLngs":[ {"lat":35.43998,"lng":133.328953}, {"lat":35.439288,"lng":133.331418},{"lat": ,"lng": }], "color":"teal"}</v>
      </c>
      <c r="AO108" s="266" t="s">
        <v>689</v>
      </c>
      <c r="AP108" s="56">
        <f t="shared" ca="1" si="9"/>
        <v>35.439979999999998</v>
      </c>
      <c r="AQ108" s="40" t="s">
        <v>684</v>
      </c>
      <c r="AR108" s="56">
        <f t="shared" ca="1" si="10"/>
        <v>133.32895300000001</v>
      </c>
      <c r="AS108" s="40" t="s">
        <v>686</v>
      </c>
      <c r="AT108" s="56">
        <f t="shared" ca="1" si="11"/>
        <v>35.439287999999998</v>
      </c>
      <c r="AU108" s="40" t="s">
        <v>684</v>
      </c>
      <c r="AV108" s="56">
        <f t="shared" ca="1" si="12"/>
        <v>133.33141800000001</v>
      </c>
      <c r="AW108" s="40" t="s">
        <v>690</v>
      </c>
      <c r="AX108" s="40" t="str">
        <f t="shared" ca="1" si="13"/>
        <v>teal</v>
      </c>
      <c r="AY108" s="40" t="s">
        <v>688</v>
      </c>
      <c r="AZ108" s="40" t="str">
        <f t="shared" ca="1" si="14"/>
        <v>,{"type":"polyline","latLngs":[{"lat":35.43998,"lng":133.328953},{"lat":35.439288,"lng":133.331418}],"color":"teal"}</v>
      </c>
      <c r="BA108" s="40" t="s">
        <v>691</v>
      </c>
      <c r="BB108" s="56">
        <f t="shared" ca="1" si="15"/>
        <v>35.439979999999998</v>
      </c>
      <c r="BC108" s="40" t="s">
        <v>684</v>
      </c>
      <c r="BD108" s="56">
        <f t="shared" ca="1" si="16"/>
        <v>133.32895300000001</v>
      </c>
      <c r="BE108" s="40" t="s">
        <v>692</v>
      </c>
      <c r="BF108" s="40" t="str">
        <f t="shared" ca="1" si="17"/>
        <v>teal</v>
      </c>
      <c r="BG108" s="40" t="s">
        <v>688</v>
      </c>
      <c r="BH108" s="40" t="str">
        <f t="shared" ca="1" si="18"/>
        <v>,{"type":"marker","latLng":{"lat":35.43998,"lng":133.328953},"color":"teal"}</v>
      </c>
      <c r="BI108" s="40" t="s">
        <v>693</v>
      </c>
      <c r="BJ108" s="40" t="s">
        <v>694</v>
      </c>
      <c r="BK108" s="267" t="str">
        <f t="shared" ca="1" si="19"/>
        <v>,{"type":"polyline","latLngs":[{"lat":35.43998,"lng":133.328953},{"lat":35.439288,"lng":133.331418}],"color":"teal"}</v>
      </c>
      <c r="BL108" s="40"/>
      <c r="BM108" s="40"/>
      <c r="BN108" s="40"/>
      <c r="BO108" s="40"/>
      <c r="BP108" s="40"/>
      <c r="BQ108" s="40"/>
      <c r="BR108" s="40"/>
      <c r="BS108" s="40"/>
      <c r="BT108" s="40"/>
      <c r="BU108" s="40"/>
      <c r="BV108" s="40"/>
      <c r="BW108" s="40"/>
      <c r="BX108" s="40"/>
      <c r="BY108" s="40"/>
      <c r="BZ108" s="40"/>
      <c r="CA108" s="40"/>
      <c r="CB108" s="40"/>
      <c r="CC108" s="40"/>
      <c r="CD108" s="40"/>
      <c r="CE108" s="40"/>
      <c r="CF108" s="40"/>
      <c r="CG108" s="40"/>
      <c r="CH108" s="40"/>
    </row>
    <row r="109" spans="1:86" ht="17.5">
      <c r="A109" s="40"/>
      <c r="B109" s="260" t="str">
        <f ca="1">IFERROR(__xludf.DUMMYFUNCTION("""COMPUTED_VALUE"""),"P101")</f>
        <v>P101</v>
      </c>
      <c r="C109" s="273" t="str">
        <f ca="1">IFERROR(__xludf.DUMMYFUNCTION("""COMPUTED_VALUE"""),"弓ヶ浜の母なる水 米川")</f>
        <v>弓ヶ浜の母なる水 米川</v>
      </c>
      <c r="D109" s="273">
        <f ca="1">IFERROR(__xludf.DUMMYFUNCTION("""COMPUTED_VALUE"""),35.442265)</f>
        <v>35.442264999999999</v>
      </c>
      <c r="E109" s="273">
        <f ca="1">IFERROR(__xludf.DUMMYFUNCTION("""COMPUTED_VALUE"""),133.331829)</f>
        <v>133.331829</v>
      </c>
      <c r="F109" s="40"/>
      <c r="G109" s="261"/>
      <c r="H109" s="262" t="s">
        <v>672</v>
      </c>
      <c r="I109" s="271" t="str">
        <f ca="1">IFERROR(__xludf.DUMMYFUNCTION("""COMPUTED_VALUE"""),"Agent05")</f>
        <v>Agent05</v>
      </c>
      <c r="J109" s="271" t="str">
        <f ca="1">IFERROR(__xludf.DUMMYFUNCTION("""COMPUTED_VALUE"""),"P85")</f>
        <v>P85</v>
      </c>
      <c r="K109" s="271" t="str">
        <f ca="1">IFERROR(__xludf.DUMMYFUNCTION("""COMPUTED_VALUE"""),"P87")</f>
        <v>P87</v>
      </c>
      <c r="L109" s="242" t="s">
        <v>681</v>
      </c>
      <c r="M109" s="263" t="str">
        <f t="shared" ca="1" si="0"/>
        <v>teal</v>
      </c>
      <c r="N109" s="264" t="str">
        <f ca="1">IFERROR(__xludf.DUMMYFUNCTION("FILTER(C:E,B:B=J109)"),"揺れるパンダ")</f>
        <v>揺れるパンダ</v>
      </c>
      <c r="O109" s="265">
        <f ca="1">IFERROR(__xludf.DUMMYFUNCTION("""COMPUTED_VALUE"""),35.439922)</f>
        <v>35.439922000000003</v>
      </c>
      <c r="P109" s="265">
        <f ca="1">IFERROR(__xludf.DUMMYFUNCTION("""COMPUTED_VALUE"""),133.328017)</f>
        <v>133.32801699999999</v>
      </c>
      <c r="Q109" s="264" t="str">
        <f ca="1">IFERROR(__xludf.DUMMYFUNCTION("FILTER(C:E,B:B=K109)"),"米原1丁目住宅案内図")</f>
        <v>米原1丁目住宅案内図</v>
      </c>
      <c r="R109" s="265">
        <f ca="1">IFERROR(__xludf.DUMMYFUNCTION("""COMPUTED_VALUE"""),35.43998)</f>
        <v>35.439979999999998</v>
      </c>
      <c r="S109" s="265">
        <f ca="1">IFERROR(__xludf.DUMMYFUNCTION("""COMPUTED_VALUE"""),133.328953)</f>
        <v>133.32895300000001</v>
      </c>
      <c r="T109" s="264" t="str">
        <f ca="1">IFERROR(__xludf.DUMMYFUNCTION("FILTER(C:E,B:B=L109)")," ")</f>
        <v xml:space="preserve"> </v>
      </c>
      <c r="U109" s="40" t="str">
        <f ca="1">IFERROR(__xludf.DUMMYFUNCTION("""COMPUTED_VALUE""")," ")</f>
        <v xml:space="preserve"> </v>
      </c>
      <c r="V109" s="40" t="str">
        <f ca="1">IFERROR(__xludf.DUMMYFUNCTION("""COMPUTED_VALUE""")," ")</f>
        <v xml:space="preserve"> </v>
      </c>
      <c r="W109" s="40" t="str">
        <f t="shared" ca="1" si="21"/>
        <v>,</v>
      </c>
      <c r="X109" s="40" t="s">
        <v>682</v>
      </c>
      <c r="Y109" s="40" t="s">
        <v>683</v>
      </c>
      <c r="Z109" s="264">
        <f t="shared" ca="1" si="1"/>
        <v>35.439922000000003</v>
      </c>
      <c r="AA109" s="40" t="s">
        <v>684</v>
      </c>
      <c r="AB109" s="264">
        <f t="shared" ca="1" si="2"/>
        <v>133.32801699999999</v>
      </c>
      <c r="AC109" s="40" t="s">
        <v>685</v>
      </c>
      <c r="AD109" s="264">
        <f t="shared" ca="1" si="3"/>
        <v>35.439979999999998</v>
      </c>
      <c r="AE109" s="40" t="s">
        <v>684</v>
      </c>
      <c r="AF109" s="264">
        <f t="shared" ca="1" si="4"/>
        <v>133.32895300000001</v>
      </c>
      <c r="AG109" s="40" t="s">
        <v>686</v>
      </c>
      <c r="AH109" s="264" t="str">
        <f t="shared" ca="1" si="5"/>
        <v xml:space="preserve"> </v>
      </c>
      <c r="AI109" s="40" t="s">
        <v>684</v>
      </c>
      <c r="AJ109" s="264" t="str">
        <f t="shared" ca="1" si="6"/>
        <v xml:space="preserve"> </v>
      </c>
      <c r="AK109" s="40" t="s">
        <v>687</v>
      </c>
      <c r="AL109" s="264" t="str">
        <f t="shared" ca="1" si="7"/>
        <v>teal</v>
      </c>
      <c r="AM109" s="40" t="s">
        <v>688</v>
      </c>
      <c r="AN109" s="40" t="str">
        <f t="shared" ca="1" si="8"/>
        <v>,{"type":"polygon","latLngs":[ {"lat":35.439922,"lng":133.328017}, {"lat":35.43998,"lng":133.328953},{"lat": ,"lng": }], "color":"teal"}</v>
      </c>
      <c r="AO109" s="266" t="s">
        <v>689</v>
      </c>
      <c r="AP109" s="56">
        <f t="shared" ca="1" si="9"/>
        <v>35.439922000000003</v>
      </c>
      <c r="AQ109" s="40" t="s">
        <v>684</v>
      </c>
      <c r="AR109" s="56">
        <f t="shared" ca="1" si="10"/>
        <v>133.32801699999999</v>
      </c>
      <c r="AS109" s="40" t="s">
        <v>686</v>
      </c>
      <c r="AT109" s="56">
        <f t="shared" ca="1" si="11"/>
        <v>35.439979999999998</v>
      </c>
      <c r="AU109" s="40" t="s">
        <v>684</v>
      </c>
      <c r="AV109" s="56">
        <f t="shared" ca="1" si="12"/>
        <v>133.32895300000001</v>
      </c>
      <c r="AW109" s="40" t="s">
        <v>690</v>
      </c>
      <c r="AX109" s="40" t="str">
        <f t="shared" ca="1" si="13"/>
        <v>teal</v>
      </c>
      <c r="AY109" s="40" t="s">
        <v>688</v>
      </c>
      <c r="AZ109" s="40" t="str">
        <f t="shared" ca="1" si="14"/>
        <v>,{"type":"polyline","latLngs":[{"lat":35.439922,"lng":133.328017},{"lat":35.43998,"lng":133.328953}],"color":"teal"}</v>
      </c>
      <c r="BA109" s="40" t="s">
        <v>691</v>
      </c>
      <c r="BB109" s="56">
        <f t="shared" ca="1" si="15"/>
        <v>35.439922000000003</v>
      </c>
      <c r="BC109" s="40" t="s">
        <v>684</v>
      </c>
      <c r="BD109" s="56">
        <f t="shared" ca="1" si="16"/>
        <v>133.32801699999999</v>
      </c>
      <c r="BE109" s="40" t="s">
        <v>692</v>
      </c>
      <c r="BF109" s="40" t="str">
        <f t="shared" ca="1" si="17"/>
        <v>teal</v>
      </c>
      <c r="BG109" s="40" t="s">
        <v>688</v>
      </c>
      <c r="BH109" s="40" t="str">
        <f t="shared" ca="1" si="18"/>
        <v>,{"type":"marker","latLng":{"lat":35.439922,"lng":133.328017},"color":"teal"}</v>
      </c>
      <c r="BI109" s="40" t="s">
        <v>693</v>
      </c>
      <c r="BJ109" s="40" t="s">
        <v>694</v>
      </c>
      <c r="BK109" s="267" t="str">
        <f t="shared" ca="1" si="19"/>
        <v>,{"type":"polyline","latLngs":[{"lat":35.439922,"lng":133.328017},{"lat":35.43998,"lng":133.328953}],"color":"teal"}</v>
      </c>
      <c r="BL109" s="40"/>
      <c r="BM109" s="40"/>
      <c r="BN109" s="40"/>
      <c r="BO109" s="40"/>
      <c r="BP109" s="40"/>
      <c r="BQ109" s="40"/>
      <c r="BR109" s="40"/>
      <c r="BS109" s="40"/>
      <c r="BT109" s="40"/>
      <c r="BU109" s="40"/>
      <c r="BV109" s="40"/>
      <c r="BW109" s="40"/>
      <c r="BX109" s="40"/>
      <c r="BY109" s="40"/>
      <c r="BZ109" s="40"/>
      <c r="CA109" s="40"/>
      <c r="CB109" s="40"/>
      <c r="CC109" s="40"/>
      <c r="CD109" s="40"/>
      <c r="CE109" s="40"/>
      <c r="CF109" s="40"/>
      <c r="CG109" s="40"/>
      <c r="CH109" s="40"/>
    </row>
    <row r="110" spans="1:86" ht="17.5">
      <c r="A110" s="40"/>
      <c r="B110" s="260" t="str">
        <f ca="1">IFERROR(__xludf.DUMMYFUNCTION("""COMPUTED_VALUE"""),"P102")</f>
        <v>P102</v>
      </c>
      <c r="C110" s="273" t="str">
        <f ca="1">IFERROR(__xludf.DUMMYFUNCTION("""COMPUTED_VALUE"""),"西福原公園のテニスコート")</f>
        <v>西福原公園のテニスコート</v>
      </c>
      <c r="D110" s="273">
        <f ca="1">IFERROR(__xludf.DUMMYFUNCTION("""COMPUTED_VALUE"""),35.44283)</f>
        <v>35.442830000000001</v>
      </c>
      <c r="E110" s="273">
        <f ca="1">IFERROR(__xludf.DUMMYFUNCTION("""COMPUTED_VALUE"""),133.340819)</f>
        <v>133.34081900000001</v>
      </c>
      <c r="F110" s="40"/>
      <c r="G110" s="261"/>
      <c r="H110" s="262" t="s">
        <v>672</v>
      </c>
      <c r="I110" s="271" t="str">
        <f ca="1">IFERROR(__xludf.DUMMYFUNCTION("""COMPUTED_VALUE"""),"Agent05")</f>
        <v>Agent05</v>
      </c>
      <c r="J110" s="271" t="str">
        <f ca="1">IFERROR(__xludf.DUMMYFUNCTION("""COMPUTED_VALUE"""),"P85")</f>
        <v>P85</v>
      </c>
      <c r="K110" s="271" t="str">
        <f ca="1">IFERROR(__xludf.DUMMYFUNCTION("""COMPUTED_VALUE"""),"P78")</f>
        <v>P78</v>
      </c>
      <c r="L110" s="242" t="s">
        <v>681</v>
      </c>
      <c r="M110" s="263" t="str">
        <f t="shared" ca="1" si="0"/>
        <v>teal</v>
      </c>
      <c r="N110" s="264" t="str">
        <f ca="1">IFERROR(__xludf.DUMMYFUNCTION("FILTER(C:E,B:B=J110)"),"揺れるパンダ")</f>
        <v>揺れるパンダ</v>
      </c>
      <c r="O110" s="265">
        <f ca="1">IFERROR(__xludf.DUMMYFUNCTION("""COMPUTED_VALUE"""),35.439922)</f>
        <v>35.439922000000003</v>
      </c>
      <c r="P110" s="265">
        <f ca="1">IFERROR(__xludf.DUMMYFUNCTION("""COMPUTED_VALUE"""),133.328017)</f>
        <v>133.32801699999999</v>
      </c>
      <c r="Q110" s="264" t="str">
        <f ca="1">IFERROR(__xludf.DUMMYFUNCTION("FILTER(C:E,B:B=K110)"),"米子市中心市街地地図")</f>
        <v>米子市中心市街地地図</v>
      </c>
      <c r="R110" s="265">
        <f ca="1">IFERROR(__xludf.DUMMYFUNCTION("""COMPUTED_VALUE"""),35.439288)</f>
        <v>35.439287999999998</v>
      </c>
      <c r="S110" s="265">
        <f ca="1">IFERROR(__xludf.DUMMYFUNCTION("""COMPUTED_VALUE"""),133.331418)</f>
        <v>133.33141800000001</v>
      </c>
      <c r="T110" s="264" t="str">
        <f ca="1">IFERROR(__xludf.DUMMYFUNCTION("FILTER(C:E,B:B=L110)")," ")</f>
        <v xml:space="preserve"> </v>
      </c>
      <c r="U110" s="40" t="str">
        <f ca="1">IFERROR(__xludf.DUMMYFUNCTION("""COMPUTED_VALUE""")," ")</f>
        <v xml:space="preserve"> </v>
      </c>
      <c r="V110" s="40" t="str">
        <f ca="1">IFERROR(__xludf.DUMMYFUNCTION("""COMPUTED_VALUE""")," ")</f>
        <v xml:space="preserve"> </v>
      </c>
      <c r="W110" s="40" t="str">
        <f t="shared" ca="1" si="21"/>
        <v>,</v>
      </c>
      <c r="X110" s="40" t="s">
        <v>682</v>
      </c>
      <c r="Y110" s="40" t="s">
        <v>683</v>
      </c>
      <c r="Z110" s="264">
        <f t="shared" ca="1" si="1"/>
        <v>35.439922000000003</v>
      </c>
      <c r="AA110" s="40" t="s">
        <v>684</v>
      </c>
      <c r="AB110" s="264">
        <f t="shared" ca="1" si="2"/>
        <v>133.32801699999999</v>
      </c>
      <c r="AC110" s="40" t="s">
        <v>685</v>
      </c>
      <c r="AD110" s="264">
        <f t="shared" ca="1" si="3"/>
        <v>35.439287999999998</v>
      </c>
      <c r="AE110" s="40" t="s">
        <v>684</v>
      </c>
      <c r="AF110" s="264">
        <f t="shared" ca="1" si="4"/>
        <v>133.33141800000001</v>
      </c>
      <c r="AG110" s="40" t="s">
        <v>686</v>
      </c>
      <c r="AH110" s="264" t="str">
        <f t="shared" ca="1" si="5"/>
        <v xml:space="preserve"> </v>
      </c>
      <c r="AI110" s="40" t="s">
        <v>684</v>
      </c>
      <c r="AJ110" s="264" t="str">
        <f t="shared" ca="1" si="6"/>
        <v xml:space="preserve"> </v>
      </c>
      <c r="AK110" s="40" t="s">
        <v>687</v>
      </c>
      <c r="AL110" s="264" t="str">
        <f t="shared" ca="1" si="7"/>
        <v>teal</v>
      </c>
      <c r="AM110" s="40" t="s">
        <v>688</v>
      </c>
      <c r="AN110" s="40" t="str">
        <f t="shared" ca="1" si="8"/>
        <v>,{"type":"polygon","latLngs":[ {"lat":35.439922,"lng":133.328017}, {"lat":35.439288,"lng":133.331418},{"lat": ,"lng": }], "color":"teal"}</v>
      </c>
      <c r="AO110" s="266" t="s">
        <v>689</v>
      </c>
      <c r="AP110" s="56">
        <f t="shared" ca="1" si="9"/>
        <v>35.439922000000003</v>
      </c>
      <c r="AQ110" s="40" t="s">
        <v>684</v>
      </c>
      <c r="AR110" s="56">
        <f t="shared" ca="1" si="10"/>
        <v>133.32801699999999</v>
      </c>
      <c r="AS110" s="40" t="s">
        <v>686</v>
      </c>
      <c r="AT110" s="56">
        <f t="shared" ca="1" si="11"/>
        <v>35.439287999999998</v>
      </c>
      <c r="AU110" s="40" t="s">
        <v>684</v>
      </c>
      <c r="AV110" s="56">
        <f t="shared" ca="1" si="12"/>
        <v>133.33141800000001</v>
      </c>
      <c r="AW110" s="40" t="s">
        <v>690</v>
      </c>
      <c r="AX110" s="40" t="str">
        <f t="shared" ca="1" si="13"/>
        <v>teal</v>
      </c>
      <c r="AY110" s="40" t="s">
        <v>688</v>
      </c>
      <c r="AZ110" s="40" t="str">
        <f t="shared" ca="1" si="14"/>
        <v>,{"type":"polyline","latLngs":[{"lat":35.439922,"lng":133.328017},{"lat":35.439288,"lng":133.331418}],"color":"teal"}</v>
      </c>
      <c r="BA110" s="40" t="s">
        <v>691</v>
      </c>
      <c r="BB110" s="56">
        <f t="shared" ca="1" si="15"/>
        <v>35.439922000000003</v>
      </c>
      <c r="BC110" s="40" t="s">
        <v>684</v>
      </c>
      <c r="BD110" s="56">
        <f t="shared" ca="1" si="16"/>
        <v>133.32801699999999</v>
      </c>
      <c r="BE110" s="40" t="s">
        <v>692</v>
      </c>
      <c r="BF110" s="40" t="str">
        <f t="shared" ca="1" si="17"/>
        <v>teal</v>
      </c>
      <c r="BG110" s="40" t="s">
        <v>688</v>
      </c>
      <c r="BH110" s="40" t="str">
        <f t="shared" ca="1" si="18"/>
        <v>,{"type":"marker","latLng":{"lat":35.439922,"lng":133.328017},"color":"teal"}</v>
      </c>
      <c r="BI110" s="40" t="s">
        <v>693</v>
      </c>
      <c r="BJ110" s="40" t="s">
        <v>694</v>
      </c>
      <c r="BK110" s="267" t="str">
        <f t="shared" ca="1" si="19"/>
        <v>,{"type":"polyline","latLngs":[{"lat":35.439922,"lng":133.328017},{"lat":35.439288,"lng":133.331418}],"color":"teal"}</v>
      </c>
      <c r="BL110" s="40"/>
      <c r="BM110" s="40"/>
      <c r="BN110" s="40"/>
      <c r="BO110" s="40"/>
      <c r="BP110" s="40"/>
      <c r="BQ110" s="40"/>
      <c r="BR110" s="40"/>
      <c r="BS110" s="40"/>
      <c r="BT110" s="40"/>
      <c r="BU110" s="40"/>
      <c r="BV110" s="40"/>
      <c r="BW110" s="40"/>
      <c r="BX110" s="40"/>
      <c r="BY110" s="40"/>
      <c r="BZ110" s="40"/>
      <c r="CA110" s="40"/>
      <c r="CB110" s="40"/>
      <c r="CC110" s="40"/>
      <c r="CD110" s="40"/>
      <c r="CE110" s="40"/>
      <c r="CF110" s="40"/>
      <c r="CG110" s="40"/>
      <c r="CH110" s="40"/>
    </row>
    <row r="111" spans="1:86" ht="17.5">
      <c r="A111" s="40"/>
      <c r="B111" s="260" t="str">
        <f ca="1">IFERROR(__xludf.DUMMYFUNCTION("""COMPUTED_VALUE"""),"P103")</f>
        <v>P103</v>
      </c>
      <c r="C111" s="273" t="str">
        <f ca="1">IFERROR(__xludf.DUMMYFUNCTION("""COMPUTED_VALUE"""),"ソフトバンク米子中央")</f>
        <v>ソフトバンク米子中央</v>
      </c>
      <c r="D111" s="273">
        <f ca="1">IFERROR(__xludf.DUMMYFUNCTION("""COMPUTED_VALUE"""),35.442968)</f>
        <v>35.442968</v>
      </c>
      <c r="E111" s="273">
        <f ca="1">IFERROR(__xludf.DUMMYFUNCTION("""COMPUTED_VALUE"""),133.333583)</f>
        <v>133.333583</v>
      </c>
      <c r="F111" s="40"/>
      <c r="G111" s="261"/>
      <c r="H111" s="262" t="s">
        <v>672</v>
      </c>
      <c r="I111" s="271" t="str">
        <f ca="1">IFERROR(__xludf.DUMMYFUNCTION("""COMPUTED_VALUE"""),"Agent05")</f>
        <v>Agent05</v>
      </c>
      <c r="J111" s="271" t="str">
        <f ca="1">IFERROR(__xludf.DUMMYFUNCTION("""COMPUTED_VALUE"""),"P98")</f>
        <v>P98</v>
      </c>
      <c r="K111" s="271" t="str">
        <f ca="1">IFERROR(__xludf.DUMMYFUNCTION("""COMPUTED_VALUE"""),"P95")</f>
        <v>P95</v>
      </c>
      <c r="L111" s="242" t="s">
        <v>681</v>
      </c>
      <c r="M111" s="263" t="str">
        <f t="shared" ca="1" si="0"/>
        <v>teal</v>
      </c>
      <c r="N111" s="264" t="str">
        <f ca="1">IFERROR(__xludf.DUMMYFUNCTION("FILTER(C:E,B:B=J111)"),"公園のブランコ")</f>
        <v>公園のブランコ</v>
      </c>
      <c r="O111" s="265">
        <f ca="1">IFERROR(__xludf.DUMMYFUNCTION("""COMPUTED_VALUE"""),35.441902)</f>
        <v>35.441901999999999</v>
      </c>
      <c r="P111" s="265">
        <f ca="1">IFERROR(__xludf.DUMMYFUNCTION("""COMPUTED_VALUE"""),133.326213)</f>
        <v>133.326213</v>
      </c>
      <c r="Q111" s="264" t="str">
        <f ca="1">IFERROR(__xludf.DUMMYFUNCTION("FILTER(C:E,B:B=K111)"),"Casa Dea")</f>
        <v>Casa Dea</v>
      </c>
      <c r="R111" s="265">
        <f ca="1">IFERROR(__xludf.DUMMYFUNCTION("""COMPUTED_VALUE"""),35.441694)</f>
        <v>35.441693999999998</v>
      </c>
      <c r="S111" s="265">
        <f ca="1">IFERROR(__xludf.DUMMYFUNCTION("""COMPUTED_VALUE"""),133.324346)</f>
        <v>133.32434599999999</v>
      </c>
      <c r="T111" s="264" t="str">
        <f ca="1">IFERROR(__xludf.DUMMYFUNCTION("FILTER(C:E,B:B=L111)")," ")</f>
        <v xml:space="preserve"> </v>
      </c>
      <c r="U111" s="40" t="str">
        <f ca="1">IFERROR(__xludf.DUMMYFUNCTION("""COMPUTED_VALUE""")," ")</f>
        <v xml:space="preserve"> </v>
      </c>
      <c r="V111" s="40" t="str">
        <f ca="1">IFERROR(__xludf.DUMMYFUNCTION("""COMPUTED_VALUE""")," ")</f>
        <v xml:space="preserve"> </v>
      </c>
      <c r="W111" s="40" t="str">
        <f t="shared" ca="1" si="21"/>
        <v>,</v>
      </c>
      <c r="X111" s="40" t="s">
        <v>682</v>
      </c>
      <c r="Y111" s="40" t="s">
        <v>683</v>
      </c>
      <c r="Z111" s="264">
        <f t="shared" ca="1" si="1"/>
        <v>35.441901999999999</v>
      </c>
      <c r="AA111" s="40" t="s">
        <v>684</v>
      </c>
      <c r="AB111" s="264">
        <f t="shared" ca="1" si="2"/>
        <v>133.326213</v>
      </c>
      <c r="AC111" s="40" t="s">
        <v>685</v>
      </c>
      <c r="AD111" s="264">
        <f t="shared" ca="1" si="3"/>
        <v>35.441693999999998</v>
      </c>
      <c r="AE111" s="40" t="s">
        <v>684</v>
      </c>
      <c r="AF111" s="264">
        <f t="shared" ca="1" si="4"/>
        <v>133.32434599999999</v>
      </c>
      <c r="AG111" s="40" t="s">
        <v>686</v>
      </c>
      <c r="AH111" s="264" t="str">
        <f t="shared" ca="1" si="5"/>
        <v xml:space="preserve"> </v>
      </c>
      <c r="AI111" s="40" t="s">
        <v>684</v>
      </c>
      <c r="AJ111" s="264" t="str">
        <f t="shared" ca="1" si="6"/>
        <v xml:space="preserve"> </v>
      </c>
      <c r="AK111" s="40" t="s">
        <v>687</v>
      </c>
      <c r="AL111" s="264" t="str">
        <f t="shared" ca="1" si="7"/>
        <v>teal</v>
      </c>
      <c r="AM111" s="40" t="s">
        <v>688</v>
      </c>
      <c r="AN111" s="40" t="str">
        <f t="shared" ca="1" si="8"/>
        <v>,{"type":"polygon","latLngs":[ {"lat":35.441902,"lng":133.326213}, {"lat":35.441694,"lng":133.324346},{"lat": ,"lng": }], "color":"teal"}</v>
      </c>
      <c r="AO111" s="266" t="s">
        <v>689</v>
      </c>
      <c r="AP111" s="56">
        <f t="shared" ca="1" si="9"/>
        <v>35.441901999999999</v>
      </c>
      <c r="AQ111" s="40" t="s">
        <v>684</v>
      </c>
      <c r="AR111" s="56">
        <f t="shared" ca="1" si="10"/>
        <v>133.326213</v>
      </c>
      <c r="AS111" s="40" t="s">
        <v>686</v>
      </c>
      <c r="AT111" s="56">
        <f t="shared" ca="1" si="11"/>
        <v>35.441693999999998</v>
      </c>
      <c r="AU111" s="40" t="s">
        <v>684</v>
      </c>
      <c r="AV111" s="56">
        <f t="shared" ca="1" si="12"/>
        <v>133.32434599999999</v>
      </c>
      <c r="AW111" s="40" t="s">
        <v>690</v>
      </c>
      <c r="AX111" s="40" t="str">
        <f t="shared" ca="1" si="13"/>
        <v>teal</v>
      </c>
      <c r="AY111" s="40" t="s">
        <v>688</v>
      </c>
      <c r="AZ111" s="40" t="str">
        <f t="shared" ca="1" si="14"/>
        <v>,{"type":"polyline","latLngs":[{"lat":35.441902,"lng":133.326213},{"lat":35.441694,"lng":133.324346}],"color":"teal"}</v>
      </c>
      <c r="BA111" s="40" t="s">
        <v>691</v>
      </c>
      <c r="BB111" s="56">
        <f t="shared" ca="1" si="15"/>
        <v>35.441901999999999</v>
      </c>
      <c r="BC111" s="40" t="s">
        <v>684</v>
      </c>
      <c r="BD111" s="56">
        <f t="shared" ca="1" si="16"/>
        <v>133.326213</v>
      </c>
      <c r="BE111" s="40" t="s">
        <v>692</v>
      </c>
      <c r="BF111" s="40" t="str">
        <f t="shared" ca="1" si="17"/>
        <v>teal</v>
      </c>
      <c r="BG111" s="40" t="s">
        <v>688</v>
      </c>
      <c r="BH111" s="40" t="str">
        <f t="shared" ca="1" si="18"/>
        <v>,{"type":"marker","latLng":{"lat":35.441902,"lng":133.326213},"color":"teal"}</v>
      </c>
      <c r="BI111" s="40" t="s">
        <v>693</v>
      </c>
      <c r="BJ111" s="40" t="s">
        <v>694</v>
      </c>
      <c r="BK111" s="267" t="str">
        <f t="shared" ca="1" si="19"/>
        <v>,{"type":"polyline","latLngs":[{"lat":35.441902,"lng":133.326213},{"lat":35.441694,"lng":133.324346}],"color":"teal"}</v>
      </c>
      <c r="BL111" s="40"/>
      <c r="BM111" s="40"/>
      <c r="BN111" s="40"/>
      <c r="BO111" s="40"/>
      <c r="BP111" s="40"/>
      <c r="BQ111" s="40"/>
      <c r="BR111" s="40"/>
      <c r="BS111" s="40"/>
      <c r="BT111" s="40"/>
      <c r="BU111" s="40"/>
      <c r="BV111" s="40"/>
      <c r="BW111" s="40"/>
      <c r="BX111" s="40"/>
      <c r="BY111" s="40"/>
      <c r="BZ111" s="40"/>
      <c r="CA111" s="40"/>
      <c r="CB111" s="40"/>
      <c r="CC111" s="40"/>
      <c r="CD111" s="40"/>
      <c r="CE111" s="40"/>
      <c r="CF111" s="40"/>
      <c r="CG111" s="40"/>
      <c r="CH111" s="40"/>
    </row>
    <row r="112" spans="1:86" ht="17.5">
      <c r="A112" s="40"/>
      <c r="B112" s="260" t="str">
        <f ca="1">IFERROR(__xludf.DUMMYFUNCTION("""COMPUTED_VALUE"""),"P104")</f>
        <v>P104</v>
      </c>
      <c r="C112" s="273" t="str">
        <f ca="1">IFERROR(__xludf.DUMMYFUNCTION("""COMPUTED_VALUE"""),"ホリデイスポーツクラブ")</f>
        <v>ホリデイスポーツクラブ</v>
      </c>
      <c r="D112" s="273">
        <f ca="1">IFERROR(__xludf.DUMMYFUNCTION("""COMPUTED_VALUE"""),35.443406)</f>
        <v>35.443406000000003</v>
      </c>
      <c r="E112" s="273">
        <f ca="1">IFERROR(__xludf.DUMMYFUNCTION("""COMPUTED_VALUE"""),133.328615)</f>
        <v>133.32861500000001</v>
      </c>
      <c r="F112" s="40"/>
      <c r="G112" s="261"/>
      <c r="H112" s="262" t="s">
        <v>672</v>
      </c>
      <c r="I112" s="271" t="str">
        <f ca="1">IFERROR(__xludf.DUMMYFUNCTION("""COMPUTED_VALUE"""),"Agent05")</f>
        <v>Agent05</v>
      </c>
      <c r="J112" s="271" t="str">
        <f ca="1">IFERROR(__xludf.DUMMYFUNCTION("""COMPUTED_VALUE"""),"P92")</f>
        <v>P92</v>
      </c>
      <c r="K112" s="271" t="str">
        <f ca="1">IFERROR(__xludf.DUMMYFUNCTION("""COMPUTED_VALUE"""),"P95")</f>
        <v>P95</v>
      </c>
      <c r="L112" s="242" t="s">
        <v>681</v>
      </c>
      <c r="M112" s="263" t="str">
        <f t="shared" ca="1" si="0"/>
        <v>teal</v>
      </c>
      <c r="N112" s="264" t="str">
        <f ca="1">IFERROR(__xludf.DUMMYFUNCTION("FILTER(C:E,B:B=J112)"),"米子福音ルーテル教会")</f>
        <v>米子福音ルーテル教会</v>
      </c>
      <c r="O112" s="265">
        <f ca="1">IFERROR(__xludf.DUMMYFUNCTION("""COMPUTED_VALUE"""),35.440517)</f>
        <v>35.440517</v>
      </c>
      <c r="P112" s="265">
        <f ca="1">IFERROR(__xludf.DUMMYFUNCTION("""COMPUTED_VALUE"""),133.325712)</f>
        <v>133.32571200000001</v>
      </c>
      <c r="Q112" s="264" t="str">
        <f ca="1">IFERROR(__xludf.DUMMYFUNCTION("FILTER(C:E,B:B=K112)"),"Casa Dea")</f>
        <v>Casa Dea</v>
      </c>
      <c r="R112" s="265">
        <f ca="1">IFERROR(__xludf.DUMMYFUNCTION("""COMPUTED_VALUE"""),35.441694)</f>
        <v>35.441693999999998</v>
      </c>
      <c r="S112" s="265">
        <f ca="1">IFERROR(__xludf.DUMMYFUNCTION("""COMPUTED_VALUE"""),133.324346)</f>
        <v>133.32434599999999</v>
      </c>
      <c r="T112" s="264" t="str">
        <f ca="1">IFERROR(__xludf.DUMMYFUNCTION("FILTER(C:E,B:B=L112)")," ")</f>
        <v xml:space="preserve"> </v>
      </c>
      <c r="U112" s="40" t="str">
        <f ca="1">IFERROR(__xludf.DUMMYFUNCTION("""COMPUTED_VALUE""")," ")</f>
        <v xml:space="preserve"> </v>
      </c>
      <c r="V112" s="40" t="str">
        <f ca="1">IFERROR(__xludf.DUMMYFUNCTION("""COMPUTED_VALUE""")," ")</f>
        <v xml:space="preserve"> </v>
      </c>
      <c r="W112" s="40" t="str">
        <f t="shared" ca="1" si="21"/>
        <v>,</v>
      </c>
      <c r="X112" s="40" t="s">
        <v>682</v>
      </c>
      <c r="Y112" s="40" t="s">
        <v>683</v>
      </c>
      <c r="Z112" s="264">
        <f t="shared" ca="1" si="1"/>
        <v>35.440517</v>
      </c>
      <c r="AA112" s="40" t="s">
        <v>684</v>
      </c>
      <c r="AB112" s="264">
        <f t="shared" ca="1" si="2"/>
        <v>133.32571200000001</v>
      </c>
      <c r="AC112" s="40" t="s">
        <v>685</v>
      </c>
      <c r="AD112" s="264">
        <f t="shared" ca="1" si="3"/>
        <v>35.441693999999998</v>
      </c>
      <c r="AE112" s="40" t="s">
        <v>684</v>
      </c>
      <c r="AF112" s="264">
        <f t="shared" ca="1" si="4"/>
        <v>133.32434599999999</v>
      </c>
      <c r="AG112" s="40" t="s">
        <v>686</v>
      </c>
      <c r="AH112" s="264" t="str">
        <f t="shared" ca="1" si="5"/>
        <v xml:space="preserve"> </v>
      </c>
      <c r="AI112" s="40" t="s">
        <v>684</v>
      </c>
      <c r="AJ112" s="264" t="str">
        <f t="shared" ca="1" si="6"/>
        <v xml:space="preserve"> </v>
      </c>
      <c r="AK112" s="40" t="s">
        <v>687</v>
      </c>
      <c r="AL112" s="264" t="str">
        <f t="shared" ca="1" si="7"/>
        <v>teal</v>
      </c>
      <c r="AM112" s="40" t="s">
        <v>688</v>
      </c>
      <c r="AN112" s="40" t="str">
        <f t="shared" ca="1" si="8"/>
        <v>,{"type":"polygon","latLngs":[ {"lat":35.440517,"lng":133.325712}, {"lat":35.441694,"lng":133.324346},{"lat": ,"lng": }], "color":"teal"}</v>
      </c>
      <c r="AO112" s="266" t="s">
        <v>689</v>
      </c>
      <c r="AP112" s="56">
        <f t="shared" ca="1" si="9"/>
        <v>35.440517</v>
      </c>
      <c r="AQ112" s="40" t="s">
        <v>684</v>
      </c>
      <c r="AR112" s="56">
        <f t="shared" ca="1" si="10"/>
        <v>133.32571200000001</v>
      </c>
      <c r="AS112" s="40" t="s">
        <v>686</v>
      </c>
      <c r="AT112" s="56">
        <f t="shared" ca="1" si="11"/>
        <v>35.441693999999998</v>
      </c>
      <c r="AU112" s="40" t="s">
        <v>684</v>
      </c>
      <c r="AV112" s="56">
        <f t="shared" ca="1" si="12"/>
        <v>133.32434599999999</v>
      </c>
      <c r="AW112" s="40" t="s">
        <v>690</v>
      </c>
      <c r="AX112" s="40" t="str">
        <f t="shared" ca="1" si="13"/>
        <v>teal</v>
      </c>
      <c r="AY112" s="40" t="s">
        <v>688</v>
      </c>
      <c r="AZ112" s="40" t="str">
        <f t="shared" ca="1" si="14"/>
        <v>,{"type":"polyline","latLngs":[{"lat":35.440517,"lng":133.325712},{"lat":35.441694,"lng":133.324346}],"color":"teal"}</v>
      </c>
      <c r="BA112" s="40" t="s">
        <v>691</v>
      </c>
      <c r="BB112" s="56">
        <f t="shared" ca="1" si="15"/>
        <v>35.440517</v>
      </c>
      <c r="BC112" s="40" t="s">
        <v>684</v>
      </c>
      <c r="BD112" s="56">
        <f t="shared" ca="1" si="16"/>
        <v>133.32571200000001</v>
      </c>
      <c r="BE112" s="40" t="s">
        <v>692</v>
      </c>
      <c r="BF112" s="40" t="str">
        <f t="shared" ca="1" si="17"/>
        <v>teal</v>
      </c>
      <c r="BG112" s="40" t="s">
        <v>688</v>
      </c>
      <c r="BH112" s="40" t="str">
        <f t="shared" ca="1" si="18"/>
        <v>,{"type":"marker","latLng":{"lat":35.440517,"lng":133.325712},"color":"teal"}</v>
      </c>
      <c r="BI112" s="40" t="s">
        <v>693</v>
      </c>
      <c r="BJ112" s="40" t="s">
        <v>694</v>
      </c>
      <c r="BK112" s="267" t="str">
        <f t="shared" ca="1" si="19"/>
        <v>,{"type":"polyline","latLngs":[{"lat":35.440517,"lng":133.325712},{"lat":35.441694,"lng":133.324346}],"color":"teal"}</v>
      </c>
      <c r="BL112" s="40"/>
      <c r="BM112" s="40"/>
      <c r="BN112" s="40"/>
      <c r="BO112" s="40"/>
      <c r="BP112" s="40"/>
      <c r="BQ112" s="40"/>
      <c r="BR112" s="40"/>
      <c r="BS112" s="40"/>
      <c r="BT112" s="40"/>
      <c r="BU112" s="40"/>
      <c r="BV112" s="40"/>
      <c r="BW112" s="40"/>
      <c r="BX112" s="40"/>
      <c r="BY112" s="40"/>
      <c r="BZ112" s="40"/>
      <c r="CA112" s="40"/>
      <c r="CB112" s="40"/>
      <c r="CC112" s="40"/>
      <c r="CD112" s="40"/>
      <c r="CE112" s="40"/>
      <c r="CF112" s="40"/>
      <c r="CG112" s="40"/>
      <c r="CH112" s="40"/>
    </row>
    <row r="113" spans="1:86" ht="17.5">
      <c r="A113" s="40"/>
      <c r="B113" s="260" t="str">
        <f ca="1">IFERROR(__xludf.DUMMYFUNCTION("""COMPUTED_VALUE"""),"P105")</f>
        <v>P105</v>
      </c>
      <c r="C113" s="273" t="str">
        <f ca="1">IFERROR(__xludf.DUMMYFUNCTION("""COMPUTED_VALUE"""),"米子米原郵便局")</f>
        <v>米子米原郵便局</v>
      </c>
      <c r="D113" s="273">
        <f ca="1">IFERROR(__xludf.DUMMYFUNCTION("""COMPUTED_VALUE"""),35.444157)</f>
        <v>35.444156999999997</v>
      </c>
      <c r="E113" s="273">
        <f ca="1">IFERROR(__xludf.DUMMYFUNCTION("""COMPUTED_VALUE"""),133.332202)</f>
        <v>133.332202</v>
      </c>
      <c r="F113" s="40"/>
      <c r="G113" s="261"/>
      <c r="H113" s="262" t="s">
        <v>672</v>
      </c>
      <c r="I113" s="271" t="str">
        <f ca="1">IFERROR(__xludf.DUMMYFUNCTION("""COMPUTED_VALUE"""),"Agent05")</f>
        <v>Agent05</v>
      </c>
      <c r="J113" s="271" t="str">
        <f ca="1">IFERROR(__xludf.DUMMYFUNCTION("""COMPUTED_VALUE"""),"P92")</f>
        <v>P92</v>
      </c>
      <c r="K113" s="271" t="str">
        <f ca="1">IFERROR(__xludf.DUMMYFUNCTION("""COMPUTED_VALUE"""),"P77")</f>
        <v>P77</v>
      </c>
      <c r="L113" s="242" t="s">
        <v>681</v>
      </c>
      <c r="M113" s="263" t="str">
        <f t="shared" ca="1" si="0"/>
        <v>teal</v>
      </c>
      <c r="N113" s="264" t="str">
        <f ca="1">IFERROR(__xludf.DUMMYFUNCTION("FILTER(C:E,B:B=J113)"),"米子福音ルーテル教会")</f>
        <v>米子福音ルーテル教会</v>
      </c>
      <c r="O113" s="265">
        <f ca="1">IFERROR(__xludf.DUMMYFUNCTION("""COMPUTED_VALUE"""),35.440517)</f>
        <v>35.440517</v>
      </c>
      <c r="P113" s="265">
        <f ca="1">IFERROR(__xludf.DUMMYFUNCTION("""COMPUTED_VALUE"""),133.325712)</f>
        <v>133.32571200000001</v>
      </c>
      <c r="Q113" s="264" t="str">
        <f ca="1">IFERROR(__xludf.DUMMYFUNCTION("FILTER(C:E,B:B=K113)"),"理想教 米子法堂")</f>
        <v>理想教 米子法堂</v>
      </c>
      <c r="R113" s="265">
        <f ca="1">IFERROR(__xludf.DUMMYFUNCTION("""COMPUTED_VALUE"""),35.439227)</f>
        <v>35.439227000000002</v>
      </c>
      <c r="S113" s="265">
        <f ca="1">IFERROR(__xludf.DUMMYFUNCTION("""COMPUTED_VALUE"""),133.324762)</f>
        <v>133.32476199999999</v>
      </c>
      <c r="T113" s="264" t="str">
        <f ca="1">IFERROR(__xludf.DUMMYFUNCTION("FILTER(C:E,B:B=L113)")," ")</f>
        <v xml:space="preserve"> </v>
      </c>
      <c r="U113" s="40" t="str">
        <f ca="1">IFERROR(__xludf.DUMMYFUNCTION("""COMPUTED_VALUE""")," ")</f>
        <v xml:space="preserve"> </v>
      </c>
      <c r="V113" s="40" t="str">
        <f ca="1">IFERROR(__xludf.DUMMYFUNCTION("""COMPUTED_VALUE""")," ")</f>
        <v xml:space="preserve"> </v>
      </c>
      <c r="W113" s="40" t="str">
        <f t="shared" ca="1" si="21"/>
        <v>,</v>
      </c>
      <c r="X113" s="40" t="s">
        <v>682</v>
      </c>
      <c r="Y113" s="40" t="s">
        <v>683</v>
      </c>
      <c r="Z113" s="264">
        <f t="shared" ca="1" si="1"/>
        <v>35.440517</v>
      </c>
      <c r="AA113" s="40" t="s">
        <v>684</v>
      </c>
      <c r="AB113" s="264">
        <f t="shared" ca="1" si="2"/>
        <v>133.32571200000001</v>
      </c>
      <c r="AC113" s="40" t="s">
        <v>685</v>
      </c>
      <c r="AD113" s="264">
        <f t="shared" ca="1" si="3"/>
        <v>35.439227000000002</v>
      </c>
      <c r="AE113" s="40" t="s">
        <v>684</v>
      </c>
      <c r="AF113" s="264">
        <f t="shared" ca="1" si="4"/>
        <v>133.32476199999999</v>
      </c>
      <c r="AG113" s="40" t="s">
        <v>686</v>
      </c>
      <c r="AH113" s="264" t="str">
        <f t="shared" ca="1" si="5"/>
        <v xml:space="preserve"> </v>
      </c>
      <c r="AI113" s="40" t="s">
        <v>684</v>
      </c>
      <c r="AJ113" s="264" t="str">
        <f t="shared" ca="1" si="6"/>
        <v xml:space="preserve"> </v>
      </c>
      <c r="AK113" s="40" t="s">
        <v>687</v>
      </c>
      <c r="AL113" s="264" t="str">
        <f t="shared" ca="1" si="7"/>
        <v>teal</v>
      </c>
      <c r="AM113" s="40" t="s">
        <v>688</v>
      </c>
      <c r="AN113" s="40" t="str">
        <f t="shared" ca="1" si="8"/>
        <v>,{"type":"polygon","latLngs":[ {"lat":35.440517,"lng":133.325712}, {"lat":35.439227,"lng":133.324762},{"lat": ,"lng": }], "color":"teal"}</v>
      </c>
      <c r="AO113" s="266" t="s">
        <v>689</v>
      </c>
      <c r="AP113" s="56">
        <f t="shared" ca="1" si="9"/>
        <v>35.440517</v>
      </c>
      <c r="AQ113" s="40" t="s">
        <v>684</v>
      </c>
      <c r="AR113" s="56">
        <f t="shared" ca="1" si="10"/>
        <v>133.32571200000001</v>
      </c>
      <c r="AS113" s="40" t="s">
        <v>686</v>
      </c>
      <c r="AT113" s="56">
        <f t="shared" ca="1" si="11"/>
        <v>35.439227000000002</v>
      </c>
      <c r="AU113" s="40" t="s">
        <v>684</v>
      </c>
      <c r="AV113" s="56">
        <f t="shared" ca="1" si="12"/>
        <v>133.32476199999999</v>
      </c>
      <c r="AW113" s="40" t="s">
        <v>690</v>
      </c>
      <c r="AX113" s="40" t="str">
        <f t="shared" ca="1" si="13"/>
        <v>teal</v>
      </c>
      <c r="AY113" s="40" t="s">
        <v>688</v>
      </c>
      <c r="AZ113" s="40" t="str">
        <f t="shared" ca="1" si="14"/>
        <v>,{"type":"polyline","latLngs":[{"lat":35.440517,"lng":133.325712},{"lat":35.439227,"lng":133.324762}],"color":"teal"}</v>
      </c>
      <c r="BA113" s="40" t="s">
        <v>691</v>
      </c>
      <c r="BB113" s="56">
        <f t="shared" ca="1" si="15"/>
        <v>35.440517</v>
      </c>
      <c r="BC113" s="40" t="s">
        <v>684</v>
      </c>
      <c r="BD113" s="56">
        <f t="shared" ca="1" si="16"/>
        <v>133.32571200000001</v>
      </c>
      <c r="BE113" s="40" t="s">
        <v>692</v>
      </c>
      <c r="BF113" s="40" t="str">
        <f t="shared" ca="1" si="17"/>
        <v>teal</v>
      </c>
      <c r="BG113" s="40" t="s">
        <v>688</v>
      </c>
      <c r="BH113" s="40" t="str">
        <f t="shared" ca="1" si="18"/>
        <v>,{"type":"marker","latLng":{"lat":35.440517,"lng":133.325712},"color":"teal"}</v>
      </c>
      <c r="BI113" s="40" t="s">
        <v>693</v>
      </c>
      <c r="BJ113" s="40" t="s">
        <v>694</v>
      </c>
      <c r="BK113" s="267" t="str">
        <f t="shared" ca="1" si="19"/>
        <v>,{"type":"polyline","latLngs":[{"lat":35.440517,"lng":133.325712},{"lat":35.439227,"lng":133.324762}],"color":"teal"}</v>
      </c>
      <c r="BL113" s="40"/>
      <c r="BM113" s="40"/>
      <c r="BN113" s="40"/>
      <c r="BO113" s="40"/>
      <c r="BP113" s="40"/>
      <c r="BQ113" s="40"/>
      <c r="BR113" s="40"/>
      <c r="BS113" s="40"/>
      <c r="BT113" s="40"/>
      <c r="BU113" s="40"/>
      <c r="BV113" s="40"/>
      <c r="BW113" s="40"/>
      <c r="BX113" s="40"/>
      <c r="BY113" s="40"/>
      <c r="BZ113" s="40"/>
      <c r="CA113" s="40"/>
      <c r="CB113" s="40"/>
      <c r="CC113" s="40"/>
      <c r="CD113" s="40"/>
      <c r="CE113" s="40"/>
      <c r="CF113" s="40"/>
      <c r="CG113" s="40"/>
      <c r="CH113" s="40"/>
    </row>
    <row r="114" spans="1:86" ht="17.5">
      <c r="A114" s="40"/>
      <c r="B114" s="260" t="str">
        <f ca="1">IFERROR(__xludf.DUMMYFUNCTION("""COMPUTED_VALUE"""),"P201")</f>
        <v>P201</v>
      </c>
      <c r="C114" s="273" t="str">
        <f ca="1">IFERROR(__xludf.DUMMYFUNCTION("""COMPUTED_VALUE"""),"湊山体育館")</f>
        <v>湊山体育館</v>
      </c>
      <c r="D114" s="273">
        <f ca="1">IFERROR(__xludf.DUMMYFUNCTION("""COMPUTED_VALUE"""),35.41896)</f>
        <v>35.418959999999998</v>
      </c>
      <c r="E114" s="273">
        <f ca="1">IFERROR(__xludf.DUMMYFUNCTION("""COMPUTED_VALUE"""),133.332523)</f>
        <v>133.33252300000001</v>
      </c>
      <c r="F114" s="40"/>
      <c r="G114" s="261"/>
      <c r="H114" s="262" t="s">
        <v>672</v>
      </c>
      <c r="I114" s="271" t="str">
        <f ca="1">IFERROR(__xludf.DUMMYFUNCTION("""COMPUTED_VALUE"""),"Agent05")</f>
        <v>Agent05</v>
      </c>
      <c r="J114" s="271" t="str">
        <f ca="1">IFERROR(__xludf.DUMMYFUNCTION("""COMPUTED_VALUE"""),"P92")</f>
        <v>P92</v>
      </c>
      <c r="K114" s="271" t="str">
        <f ca="1">IFERROR(__xludf.DUMMYFUNCTION("""COMPUTED_VALUE"""),"P86")</f>
        <v>P86</v>
      </c>
      <c r="L114" s="242" t="s">
        <v>681</v>
      </c>
      <c r="M114" s="263" t="str">
        <f t="shared" ca="1" si="0"/>
        <v>teal</v>
      </c>
      <c r="N114" s="264" t="str">
        <f ca="1">IFERROR(__xludf.DUMMYFUNCTION("FILTER(C:E,B:B=J114)"),"米子福音ルーテル教会")</f>
        <v>米子福音ルーテル教会</v>
      </c>
      <c r="O114" s="265">
        <f ca="1">IFERROR(__xludf.DUMMYFUNCTION("""COMPUTED_VALUE"""),35.440517)</f>
        <v>35.440517</v>
      </c>
      <c r="P114" s="265">
        <f ca="1">IFERROR(__xludf.DUMMYFUNCTION("""COMPUTED_VALUE"""),133.325712)</f>
        <v>133.32571200000001</v>
      </c>
      <c r="Q114" s="264" t="str">
        <f ca="1">IFERROR(__xludf.DUMMYFUNCTION("FILTER(C:E,B:B=K114)"),"立町の遊歩道")</f>
        <v>立町の遊歩道</v>
      </c>
      <c r="R114" s="265">
        <f ca="1">IFERROR(__xludf.DUMMYFUNCTION("""COMPUTED_VALUE"""),35.439923)</f>
        <v>35.439923</v>
      </c>
      <c r="S114" s="265">
        <f ca="1">IFERROR(__xludf.DUMMYFUNCTION("""COMPUTED_VALUE"""),133.326469)</f>
        <v>133.326469</v>
      </c>
      <c r="T114" s="264" t="str">
        <f ca="1">IFERROR(__xludf.DUMMYFUNCTION("FILTER(C:E,B:B=L114)")," ")</f>
        <v xml:space="preserve"> </v>
      </c>
      <c r="U114" s="40" t="str">
        <f ca="1">IFERROR(__xludf.DUMMYFUNCTION("""COMPUTED_VALUE""")," ")</f>
        <v xml:space="preserve"> </v>
      </c>
      <c r="V114" s="40" t="str">
        <f ca="1">IFERROR(__xludf.DUMMYFUNCTION("""COMPUTED_VALUE""")," ")</f>
        <v xml:space="preserve"> </v>
      </c>
      <c r="W114" s="40" t="str">
        <f t="shared" ca="1" si="21"/>
        <v>,</v>
      </c>
      <c r="X114" s="40" t="s">
        <v>682</v>
      </c>
      <c r="Y114" s="40" t="s">
        <v>683</v>
      </c>
      <c r="Z114" s="264">
        <f t="shared" ca="1" si="1"/>
        <v>35.440517</v>
      </c>
      <c r="AA114" s="40" t="s">
        <v>684</v>
      </c>
      <c r="AB114" s="264">
        <f t="shared" ca="1" si="2"/>
        <v>133.32571200000001</v>
      </c>
      <c r="AC114" s="40" t="s">
        <v>685</v>
      </c>
      <c r="AD114" s="264">
        <f t="shared" ca="1" si="3"/>
        <v>35.439923</v>
      </c>
      <c r="AE114" s="40" t="s">
        <v>684</v>
      </c>
      <c r="AF114" s="264">
        <f t="shared" ca="1" si="4"/>
        <v>133.326469</v>
      </c>
      <c r="AG114" s="40" t="s">
        <v>686</v>
      </c>
      <c r="AH114" s="264" t="str">
        <f t="shared" ca="1" si="5"/>
        <v xml:space="preserve"> </v>
      </c>
      <c r="AI114" s="40" t="s">
        <v>684</v>
      </c>
      <c r="AJ114" s="264" t="str">
        <f t="shared" ca="1" si="6"/>
        <v xml:space="preserve"> </v>
      </c>
      <c r="AK114" s="40" t="s">
        <v>687</v>
      </c>
      <c r="AL114" s="264" t="str">
        <f t="shared" ca="1" si="7"/>
        <v>teal</v>
      </c>
      <c r="AM114" s="40" t="s">
        <v>688</v>
      </c>
      <c r="AN114" s="40" t="str">
        <f t="shared" ca="1" si="8"/>
        <v>,{"type":"polygon","latLngs":[ {"lat":35.440517,"lng":133.325712}, {"lat":35.439923,"lng":133.326469},{"lat": ,"lng": }], "color":"teal"}</v>
      </c>
      <c r="AO114" s="266" t="s">
        <v>689</v>
      </c>
      <c r="AP114" s="56">
        <f t="shared" ca="1" si="9"/>
        <v>35.440517</v>
      </c>
      <c r="AQ114" s="40" t="s">
        <v>684</v>
      </c>
      <c r="AR114" s="56">
        <f t="shared" ca="1" si="10"/>
        <v>133.32571200000001</v>
      </c>
      <c r="AS114" s="40" t="s">
        <v>686</v>
      </c>
      <c r="AT114" s="56">
        <f t="shared" ca="1" si="11"/>
        <v>35.439923</v>
      </c>
      <c r="AU114" s="40" t="s">
        <v>684</v>
      </c>
      <c r="AV114" s="56">
        <f t="shared" ca="1" si="12"/>
        <v>133.326469</v>
      </c>
      <c r="AW114" s="40" t="s">
        <v>690</v>
      </c>
      <c r="AX114" s="40" t="str">
        <f t="shared" ca="1" si="13"/>
        <v>teal</v>
      </c>
      <c r="AY114" s="40" t="s">
        <v>688</v>
      </c>
      <c r="AZ114" s="40" t="str">
        <f t="shared" ca="1" si="14"/>
        <v>,{"type":"polyline","latLngs":[{"lat":35.440517,"lng":133.325712},{"lat":35.439923,"lng":133.326469}],"color":"teal"}</v>
      </c>
      <c r="BA114" s="40" t="s">
        <v>691</v>
      </c>
      <c r="BB114" s="56">
        <f t="shared" ca="1" si="15"/>
        <v>35.440517</v>
      </c>
      <c r="BC114" s="40" t="s">
        <v>684</v>
      </c>
      <c r="BD114" s="56">
        <f t="shared" ca="1" si="16"/>
        <v>133.32571200000001</v>
      </c>
      <c r="BE114" s="40" t="s">
        <v>692</v>
      </c>
      <c r="BF114" s="40" t="str">
        <f t="shared" ca="1" si="17"/>
        <v>teal</v>
      </c>
      <c r="BG114" s="40" t="s">
        <v>688</v>
      </c>
      <c r="BH114" s="40" t="str">
        <f t="shared" ca="1" si="18"/>
        <v>,{"type":"marker","latLng":{"lat":35.440517,"lng":133.325712},"color":"teal"}</v>
      </c>
      <c r="BI114" s="40" t="s">
        <v>693</v>
      </c>
      <c r="BJ114" s="40" t="s">
        <v>694</v>
      </c>
      <c r="BK114" s="267" t="str">
        <f t="shared" ca="1" si="19"/>
        <v>,{"type":"polyline","latLngs":[{"lat":35.440517,"lng":133.325712},{"lat":35.439923,"lng":133.326469}],"color":"teal"}</v>
      </c>
      <c r="BL114" s="40"/>
      <c r="BM114" s="40"/>
      <c r="BN114" s="40"/>
      <c r="BO114" s="40"/>
      <c r="BP114" s="40"/>
      <c r="BQ114" s="40"/>
      <c r="BR114" s="40"/>
      <c r="BS114" s="40"/>
      <c r="BT114" s="40"/>
      <c r="BU114" s="40"/>
      <c r="BV114" s="40"/>
      <c r="BW114" s="40"/>
      <c r="BX114" s="40"/>
      <c r="BY114" s="40"/>
      <c r="BZ114" s="40"/>
      <c r="CA114" s="40"/>
      <c r="CB114" s="40"/>
      <c r="CC114" s="40"/>
      <c r="CD114" s="40"/>
      <c r="CE114" s="40"/>
      <c r="CF114" s="40"/>
      <c r="CG114" s="40"/>
      <c r="CH114" s="40"/>
    </row>
    <row r="115" spans="1:86" ht="17.5">
      <c r="A115" s="40"/>
      <c r="B115" s="260" t="str">
        <f ca="1">IFERROR(__xludf.DUMMYFUNCTION("""COMPUTED_VALUE"""),"P202")</f>
        <v>P202</v>
      </c>
      <c r="C115" s="273" t="str">
        <f ca="1">IFERROR(__xludf.DUMMYFUNCTION("""COMPUTED_VALUE"""),"総泉時 本堂")</f>
        <v>総泉時 本堂</v>
      </c>
      <c r="D115" s="273">
        <f ca="1">IFERROR(__xludf.DUMMYFUNCTION("""COMPUTED_VALUE"""),35.419396)</f>
        <v>35.419395999999999</v>
      </c>
      <c r="E115" s="273">
        <f ca="1">IFERROR(__xludf.DUMMYFUNCTION("""COMPUTED_VALUE"""),133.328658)</f>
        <v>133.32865799999999</v>
      </c>
      <c r="F115" s="40"/>
      <c r="G115" s="261"/>
      <c r="H115" s="262" t="s">
        <v>672</v>
      </c>
      <c r="I115" s="271" t="str">
        <f ca="1">IFERROR(__xludf.DUMMYFUNCTION("""COMPUTED_VALUE"""),"Agent05")</f>
        <v>Agent05</v>
      </c>
      <c r="J115" s="271" t="str">
        <f ca="1">IFERROR(__xludf.DUMMYFUNCTION("""COMPUTED_VALUE"""),"P96")</f>
        <v>P96</v>
      </c>
      <c r="K115" s="271" t="str">
        <f ca="1">IFERROR(__xludf.DUMMYFUNCTION("""COMPUTED_VALUE"""),"P95")</f>
        <v>P95</v>
      </c>
      <c r="L115" s="242" t="s">
        <v>681</v>
      </c>
      <c r="M115" s="263" t="str">
        <f t="shared" ca="1" si="0"/>
        <v>teal</v>
      </c>
      <c r="N115" s="264" t="str">
        <f ca="1">IFERROR(__xludf.DUMMYFUNCTION("FILTER(C:E,B:B=J115)"),"米原のINFORMATION")</f>
        <v>米原のINFORMATION</v>
      </c>
      <c r="O115" s="265">
        <f ca="1">IFERROR(__xludf.DUMMYFUNCTION("""COMPUTED_VALUE"""),35.441704)</f>
        <v>35.441704000000001</v>
      </c>
      <c r="P115" s="265">
        <f ca="1">IFERROR(__xludf.DUMMYFUNCTION("""COMPUTED_VALUE"""),133.329054)</f>
        <v>133.32905400000001</v>
      </c>
      <c r="Q115" s="264" t="str">
        <f ca="1">IFERROR(__xludf.DUMMYFUNCTION("FILTER(C:E,B:B=K115)"),"Casa Dea")</f>
        <v>Casa Dea</v>
      </c>
      <c r="R115" s="265">
        <f ca="1">IFERROR(__xludf.DUMMYFUNCTION("""COMPUTED_VALUE"""),35.441694)</f>
        <v>35.441693999999998</v>
      </c>
      <c r="S115" s="265">
        <f ca="1">IFERROR(__xludf.DUMMYFUNCTION("""COMPUTED_VALUE"""),133.324346)</f>
        <v>133.32434599999999</v>
      </c>
      <c r="T115" s="264" t="str">
        <f ca="1">IFERROR(__xludf.DUMMYFUNCTION("FILTER(C:E,B:B=L115)")," ")</f>
        <v xml:space="preserve"> </v>
      </c>
      <c r="U115" s="40" t="str">
        <f ca="1">IFERROR(__xludf.DUMMYFUNCTION("""COMPUTED_VALUE""")," ")</f>
        <v xml:space="preserve"> </v>
      </c>
      <c r="V115" s="40" t="str">
        <f ca="1">IFERROR(__xludf.DUMMYFUNCTION("""COMPUTED_VALUE""")," ")</f>
        <v xml:space="preserve"> </v>
      </c>
      <c r="W115" s="40" t="str">
        <f t="shared" ca="1" si="21"/>
        <v>,</v>
      </c>
      <c r="X115" s="40" t="s">
        <v>682</v>
      </c>
      <c r="Y115" s="40" t="s">
        <v>683</v>
      </c>
      <c r="Z115" s="264">
        <f t="shared" ca="1" si="1"/>
        <v>35.441704000000001</v>
      </c>
      <c r="AA115" s="40" t="s">
        <v>684</v>
      </c>
      <c r="AB115" s="264">
        <f t="shared" ca="1" si="2"/>
        <v>133.32905400000001</v>
      </c>
      <c r="AC115" s="40" t="s">
        <v>685</v>
      </c>
      <c r="AD115" s="264">
        <f t="shared" ca="1" si="3"/>
        <v>35.441693999999998</v>
      </c>
      <c r="AE115" s="40" t="s">
        <v>684</v>
      </c>
      <c r="AF115" s="264">
        <f t="shared" ca="1" si="4"/>
        <v>133.32434599999999</v>
      </c>
      <c r="AG115" s="40" t="s">
        <v>686</v>
      </c>
      <c r="AH115" s="264" t="str">
        <f t="shared" ca="1" si="5"/>
        <v xml:space="preserve"> </v>
      </c>
      <c r="AI115" s="40" t="s">
        <v>684</v>
      </c>
      <c r="AJ115" s="264" t="str">
        <f t="shared" ca="1" si="6"/>
        <v xml:space="preserve"> </v>
      </c>
      <c r="AK115" s="40" t="s">
        <v>687</v>
      </c>
      <c r="AL115" s="264" t="str">
        <f t="shared" ca="1" si="7"/>
        <v>teal</v>
      </c>
      <c r="AM115" s="40" t="s">
        <v>688</v>
      </c>
      <c r="AN115" s="40" t="str">
        <f t="shared" ca="1" si="8"/>
        <v>,{"type":"polygon","latLngs":[ {"lat":35.441704,"lng":133.329054}, {"lat":35.441694,"lng":133.324346},{"lat": ,"lng": }], "color":"teal"}</v>
      </c>
      <c r="AO115" s="266" t="s">
        <v>689</v>
      </c>
      <c r="AP115" s="56">
        <f t="shared" ca="1" si="9"/>
        <v>35.441704000000001</v>
      </c>
      <c r="AQ115" s="40" t="s">
        <v>684</v>
      </c>
      <c r="AR115" s="56">
        <f t="shared" ca="1" si="10"/>
        <v>133.32905400000001</v>
      </c>
      <c r="AS115" s="40" t="s">
        <v>686</v>
      </c>
      <c r="AT115" s="56">
        <f t="shared" ca="1" si="11"/>
        <v>35.441693999999998</v>
      </c>
      <c r="AU115" s="40" t="s">
        <v>684</v>
      </c>
      <c r="AV115" s="56">
        <f t="shared" ca="1" si="12"/>
        <v>133.32434599999999</v>
      </c>
      <c r="AW115" s="40" t="s">
        <v>690</v>
      </c>
      <c r="AX115" s="40" t="str">
        <f t="shared" ca="1" si="13"/>
        <v>teal</v>
      </c>
      <c r="AY115" s="40" t="s">
        <v>688</v>
      </c>
      <c r="AZ115" s="40" t="str">
        <f t="shared" ca="1" si="14"/>
        <v>,{"type":"polyline","latLngs":[{"lat":35.441704,"lng":133.329054},{"lat":35.441694,"lng":133.324346}],"color":"teal"}</v>
      </c>
      <c r="BA115" s="40" t="s">
        <v>691</v>
      </c>
      <c r="BB115" s="56">
        <f t="shared" ca="1" si="15"/>
        <v>35.441704000000001</v>
      </c>
      <c r="BC115" s="40" t="s">
        <v>684</v>
      </c>
      <c r="BD115" s="56">
        <f t="shared" ca="1" si="16"/>
        <v>133.32905400000001</v>
      </c>
      <c r="BE115" s="40" t="s">
        <v>692</v>
      </c>
      <c r="BF115" s="40" t="str">
        <f t="shared" ca="1" si="17"/>
        <v>teal</v>
      </c>
      <c r="BG115" s="40" t="s">
        <v>688</v>
      </c>
      <c r="BH115" s="40" t="str">
        <f t="shared" ca="1" si="18"/>
        <v>,{"type":"marker","latLng":{"lat":35.441704,"lng":133.329054},"color":"teal"}</v>
      </c>
      <c r="BI115" s="40" t="s">
        <v>693</v>
      </c>
      <c r="BJ115" s="40" t="s">
        <v>694</v>
      </c>
      <c r="BK115" s="267" t="str">
        <f t="shared" ca="1" si="19"/>
        <v>,{"type":"polyline","latLngs":[{"lat":35.441704,"lng":133.329054},{"lat":35.441694,"lng":133.324346}],"color":"teal"}</v>
      </c>
      <c r="BL115" s="40"/>
      <c r="BM115" s="40"/>
      <c r="BN115" s="40"/>
      <c r="BO115" s="40"/>
      <c r="BP115" s="40"/>
      <c r="BQ115" s="40"/>
      <c r="BR115" s="40"/>
      <c r="BS115" s="40"/>
      <c r="BT115" s="40"/>
      <c r="BU115" s="40"/>
      <c r="BV115" s="40"/>
      <c r="BW115" s="40"/>
      <c r="BX115" s="40"/>
      <c r="BY115" s="40"/>
      <c r="BZ115" s="40"/>
      <c r="CA115" s="40"/>
      <c r="CB115" s="40"/>
      <c r="CC115" s="40"/>
      <c r="CD115" s="40"/>
      <c r="CE115" s="40"/>
      <c r="CF115" s="40"/>
      <c r="CG115" s="40"/>
      <c r="CH115" s="40"/>
    </row>
    <row r="116" spans="1:86" ht="17.5">
      <c r="A116" s="40"/>
      <c r="B116" s="260" t="str">
        <f ca="1">IFERROR(__xludf.DUMMYFUNCTION("""COMPUTED_VALUE"""),"P203")</f>
        <v>P203</v>
      </c>
      <c r="C116" s="273" t="str">
        <f ca="1">IFERROR(__xludf.DUMMYFUNCTION("""COMPUTED_VALUE"""),"JR米子駅南口")</f>
        <v>JR米子駅南口</v>
      </c>
      <c r="D116" s="273">
        <f ca="1">IFERROR(__xludf.DUMMYFUNCTION("""COMPUTED_VALUE"""),35.422583)</f>
        <v>35.422583000000003</v>
      </c>
      <c r="E116" s="273">
        <f ca="1">IFERROR(__xludf.DUMMYFUNCTION("""COMPUTED_VALUE"""),133.337411)</f>
        <v>133.337411</v>
      </c>
      <c r="F116" s="40"/>
      <c r="G116" s="261"/>
      <c r="H116" s="262" t="s">
        <v>672</v>
      </c>
      <c r="I116" s="271" t="str">
        <f ca="1">IFERROR(__xludf.DUMMYFUNCTION("""COMPUTED_VALUE"""),"Agent05")</f>
        <v>Agent05</v>
      </c>
      <c r="J116" s="271" t="str">
        <f ca="1">IFERROR(__xludf.DUMMYFUNCTION("""COMPUTED_VALUE"""),"P96")</f>
        <v>P96</v>
      </c>
      <c r="K116" s="271" t="str">
        <f ca="1">IFERROR(__xludf.DUMMYFUNCTION("""COMPUTED_VALUE"""),"P98")</f>
        <v>P98</v>
      </c>
      <c r="L116" s="242" t="s">
        <v>681</v>
      </c>
      <c r="M116" s="263" t="str">
        <f t="shared" ca="1" si="0"/>
        <v>teal</v>
      </c>
      <c r="N116" s="264" t="str">
        <f ca="1">IFERROR(__xludf.DUMMYFUNCTION("FILTER(C:E,B:B=J116)"),"米原のINFORMATION")</f>
        <v>米原のINFORMATION</v>
      </c>
      <c r="O116" s="265">
        <f ca="1">IFERROR(__xludf.DUMMYFUNCTION("""COMPUTED_VALUE"""),35.441704)</f>
        <v>35.441704000000001</v>
      </c>
      <c r="P116" s="265">
        <f ca="1">IFERROR(__xludf.DUMMYFUNCTION("""COMPUTED_VALUE"""),133.329054)</f>
        <v>133.32905400000001</v>
      </c>
      <c r="Q116" s="264" t="str">
        <f ca="1">IFERROR(__xludf.DUMMYFUNCTION("FILTER(C:E,B:B=K116)"),"公園のブランコ")</f>
        <v>公園のブランコ</v>
      </c>
      <c r="R116" s="265">
        <f ca="1">IFERROR(__xludf.DUMMYFUNCTION("""COMPUTED_VALUE"""),35.441902)</f>
        <v>35.441901999999999</v>
      </c>
      <c r="S116" s="265">
        <f ca="1">IFERROR(__xludf.DUMMYFUNCTION("""COMPUTED_VALUE"""),133.326213)</f>
        <v>133.326213</v>
      </c>
      <c r="T116" s="264" t="str">
        <f ca="1">IFERROR(__xludf.DUMMYFUNCTION("FILTER(C:E,B:B=L116)")," ")</f>
        <v xml:space="preserve"> </v>
      </c>
      <c r="U116" s="40" t="str">
        <f ca="1">IFERROR(__xludf.DUMMYFUNCTION("""COMPUTED_VALUE""")," ")</f>
        <v xml:space="preserve"> </v>
      </c>
      <c r="V116" s="40" t="str">
        <f ca="1">IFERROR(__xludf.DUMMYFUNCTION("""COMPUTED_VALUE""")," ")</f>
        <v xml:space="preserve"> </v>
      </c>
      <c r="W116" s="40" t="str">
        <f t="shared" ca="1" si="21"/>
        <v>,</v>
      </c>
      <c r="X116" s="40" t="s">
        <v>682</v>
      </c>
      <c r="Y116" s="40" t="s">
        <v>683</v>
      </c>
      <c r="Z116" s="264">
        <f t="shared" ca="1" si="1"/>
        <v>35.441704000000001</v>
      </c>
      <c r="AA116" s="40" t="s">
        <v>684</v>
      </c>
      <c r="AB116" s="264">
        <f t="shared" ca="1" si="2"/>
        <v>133.32905400000001</v>
      </c>
      <c r="AC116" s="40" t="s">
        <v>685</v>
      </c>
      <c r="AD116" s="264">
        <f t="shared" ca="1" si="3"/>
        <v>35.441901999999999</v>
      </c>
      <c r="AE116" s="40" t="s">
        <v>684</v>
      </c>
      <c r="AF116" s="264">
        <f t="shared" ca="1" si="4"/>
        <v>133.326213</v>
      </c>
      <c r="AG116" s="40" t="s">
        <v>686</v>
      </c>
      <c r="AH116" s="264" t="str">
        <f t="shared" ca="1" si="5"/>
        <v xml:space="preserve"> </v>
      </c>
      <c r="AI116" s="40" t="s">
        <v>684</v>
      </c>
      <c r="AJ116" s="264" t="str">
        <f t="shared" ca="1" si="6"/>
        <v xml:space="preserve"> </v>
      </c>
      <c r="AK116" s="40" t="s">
        <v>687</v>
      </c>
      <c r="AL116" s="264" t="str">
        <f t="shared" ca="1" si="7"/>
        <v>teal</v>
      </c>
      <c r="AM116" s="40" t="s">
        <v>688</v>
      </c>
      <c r="AN116" s="40" t="str">
        <f t="shared" ca="1" si="8"/>
        <v>,{"type":"polygon","latLngs":[ {"lat":35.441704,"lng":133.329054}, {"lat":35.441902,"lng":133.326213},{"lat": ,"lng": }], "color":"teal"}</v>
      </c>
      <c r="AO116" s="266" t="s">
        <v>689</v>
      </c>
      <c r="AP116" s="56">
        <f t="shared" ca="1" si="9"/>
        <v>35.441704000000001</v>
      </c>
      <c r="AQ116" s="40" t="s">
        <v>684</v>
      </c>
      <c r="AR116" s="56">
        <f t="shared" ca="1" si="10"/>
        <v>133.32905400000001</v>
      </c>
      <c r="AS116" s="40" t="s">
        <v>686</v>
      </c>
      <c r="AT116" s="56">
        <f t="shared" ca="1" si="11"/>
        <v>35.441901999999999</v>
      </c>
      <c r="AU116" s="40" t="s">
        <v>684</v>
      </c>
      <c r="AV116" s="56">
        <f t="shared" ca="1" si="12"/>
        <v>133.326213</v>
      </c>
      <c r="AW116" s="40" t="s">
        <v>690</v>
      </c>
      <c r="AX116" s="40" t="str">
        <f t="shared" ca="1" si="13"/>
        <v>teal</v>
      </c>
      <c r="AY116" s="40" t="s">
        <v>688</v>
      </c>
      <c r="AZ116" s="40" t="str">
        <f t="shared" ca="1" si="14"/>
        <v>,{"type":"polyline","latLngs":[{"lat":35.441704,"lng":133.329054},{"lat":35.441902,"lng":133.326213}],"color":"teal"}</v>
      </c>
      <c r="BA116" s="40" t="s">
        <v>691</v>
      </c>
      <c r="BB116" s="56">
        <f t="shared" ca="1" si="15"/>
        <v>35.441704000000001</v>
      </c>
      <c r="BC116" s="40" t="s">
        <v>684</v>
      </c>
      <c r="BD116" s="56">
        <f t="shared" ca="1" si="16"/>
        <v>133.32905400000001</v>
      </c>
      <c r="BE116" s="40" t="s">
        <v>692</v>
      </c>
      <c r="BF116" s="40" t="str">
        <f t="shared" ca="1" si="17"/>
        <v>teal</v>
      </c>
      <c r="BG116" s="40" t="s">
        <v>688</v>
      </c>
      <c r="BH116" s="40" t="str">
        <f t="shared" ca="1" si="18"/>
        <v>,{"type":"marker","latLng":{"lat":35.441704,"lng":133.329054},"color":"teal"}</v>
      </c>
      <c r="BI116" s="40" t="s">
        <v>693</v>
      </c>
      <c r="BJ116" s="40" t="s">
        <v>694</v>
      </c>
      <c r="BK116" s="267" t="str">
        <f t="shared" ca="1" si="19"/>
        <v>,{"type":"polyline","latLngs":[{"lat":35.441704,"lng":133.329054},{"lat":35.441902,"lng":133.326213}],"color":"teal"}</v>
      </c>
      <c r="BL116" s="40"/>
      <c r="BM116" s="40"/>
      <c r="BN116" s="40"/>
      <c r="BO116" s="40"/>
      <c r="BP116" s="40"/>
      <c r="BQ116" s="40"/>
      <c r="BR116" s="40"/>
      <c r="BS116" s="40"/>
      <c r="BT116" s="40"/>
      <c r="BU116" s="40"/>
      <c r="BV116" s="40"/>
      <c r="BW116" s="40"/>
      <c r="BX116" s="40"/>
      <c r="BY116" s="40"/>
      <c r="BZ116" s="40"/>
      <c r="CA116" s="40"/>
      <c r="CB116" s="40"/>
      <c r="CC116" s="40"/>
      <c r="CD116" s="40"/>
      <c r="CE116" s="40"/>
      <c r="CF116" s="40"/>
      <c r="CG116" s="40"/>
      <c r="CH116" s="40"/>
    </row>
    <row r="117" spans="1:86" ht="17.5">
      <c r="A117" s="40"/>
      <c r="B117" s="260" t="str">
        <f ca="1">IFERROR(__xludf.DUMMYFUNCTION("""COMPUTED_VALUE"""),"P204")</f>
        <v>P204</v>
      </c>
      <c r="C117" s="273" t="str">
        <f ca="1">IFERROR(__xludf.DUMMYFUNCTION("""COMPUTED_VALUE"""),"彫刻ロード「はる」")</f>
        <v>彫刻ロード「はる」</v>
      </c>
      <c r="D117" s="273">
        <f ca="1">IFERROR(__xludf.DUMMYFUNCTION("""COMPUTED_VALUE"""),35.422584)</f>
        <v>35.422584000000001</v>
      </c>
      <c r="E117" s="273">
        <f ca="1">IFERROR(__xludf.DUMMYFUNCTION("""COMPUTED_VALUE"""),133.333923)</f>
        <v>133.333923</v>
      </c>
      <c r="F117" s="40"/>
      <c r="G117" s="261"/>
      <c r="H117" s="262" t="s">
        <v>672</v>
      </c>
      <c r="I117" s="271" t="str">
        <f ca="1">IFERROR(__xludf.DUMMYFUNCTION("""COMPUTED_VALUE"""),"Agent05")</f>
        <v>Agent05</v>
      </c>
      <c r="J117" s="271" t="str">
        <f ca="1">IFERROR(__xludf.DUMMYFUNCTION("""COMPUTED_VALUE"""),"P96")</f>
        <v>P96</v>
      </c>
      <c r="K117" s="271" t="str">
        <f ca="1">IFERROR(__xludf.DUMMYFUNCTION("""COMPUTED_VALUE"""),"P92")</f>
        <v>P92</v>
      </c>
      <c r="L117" s="242" t="s">
        <v>681</v>
      </c>
      <c r="M117" s="263" t="str">
        <f t="shared" ca="1" si="0"/>
        <v>teal</v>
      </c>
      <c r="N117" s="264" t="str">
        <f ca="1">IFERROR(__xludf.DUMMYFUNCTION("FILTER(C:E,B:B=J117)"),"米原のINFORMATION")</f>
        <v>米原のINFORMATION</v>
      </c>
      <c r="O117" s="265">
        <f ca="1">IFERROR(__xludf.DUMMYFUNCTION("""COMPUTED_VALUE"""),35.441704)</f>
        <v>35.441704000000001</v>
      </c>
      <c r="P117" s="265">
        <f ca="1">IFERROR(__xludf.DUMMYFUNCTION("""COMPUTED_VALUE"""),133.329054)</f>
        <v>133.32905400000001</v>
      </c>
      <c r="Q117" s="264" t="str">
        <f ca="1">IFERROR(__xludf.DUMMYFUNCTION("FILTER(C:E,B:B=K117)"),"米子福音ルーテル教会")</f>
        <v>米子福音ルーテル教会</v>
      </c>
      <c r="R117" s="265">
        <f ca="1">IFERROR(__xludf.DUMMYFUNCTION("""COMPUTED_VALUE"""),35.440517)</f>
        <v>35.440517</v>
      </c>
      <c r="S117" s="265">
        <f ca="1">IFERROR(__xludf.DUMMYFUNCTION("""COMPUTED_VALUE"""),133.325712)</f>
        <v>133.32571200000001</v>
      </c>
      <c r="T117" s="264" t="str">
        <f ca="1">IFERROR(__xludf.DUMMYFUNCTION("FILTER(C:E,B:B=L117)")," ")</f>
        <v xml:space="preserve"> </v>
      </c>
      <c r="U117" s="40" t="str">
        <f ca="1">IFERROR(__xludf.DUMMYFUNCTION("""COMPUTED_VALUE""")," ")</f>
        <v xml:space="preserve"> </v>
      </c>
      <c r="V117" s="40" t="str">
        <f ca="1">IFERROR(__xludf.DUMMYFUNCTION("""COMPUTED_VALUE""")," ")</f>
        <v xml:space="preserve"> </v>
      </c>
      <c r="W117" s="40" t="str">
        <f t="shared" ca="1" si="21"/>
        <v>,</v>
      </c>
      <c r="X117" s="40" t="s">
        <v>682</v>
      </c>
      <c r="Y117" s="40" t="s">
        <v>683</v>
      </c>
      <c r="Z117" s="264">
        <f t="shared" ca="1" si="1"/>
        <v>35.441704000000001</v>
      </c>
      <c r="AA117" s="40" t="s">
        <v>684</v>
      </c>
      <c r="AB117" s="264">
        <f t="shared" ca="1" si="2"/>
        <v>133.32905400000001</v>
      </c>
      <c r="AC117" s="40" t="s">
        <v>685</v>
      </c>
      <c r="AD117" s="264">
        <f t="shared" ca="1" si="3"/>
        <v>35.440517</v>
      </c>
      <c r="AE117" s="40" t="s">
        <v>684</v>
      </c>
      <c r="AF117" s="264">
        <f t="shared" ca="1" si="4"/>
        <v>133.32571200000001</v>
      </c>
      <c r="AG117" s="40" t="s">
        <v>686</v>
      </c>
      <c r="AH117" s="264" t="str">
        <f t="shared" ca="1" si="5"/>
        <v xml:space="preserve"> </v>
      </c>
      <c r="AI117" s="40" t="s">
        <v>684</v>
      </c>
      <c r="AJ117" s="264" t="str">
        <f t="shared" ca="1" si="6"/>
        <v xml:space="preserve"> </v>
      </c>
      <c r="AK117" s="40" t="s">
        <v>687</v>
      </c>
      <c r="AL117" s="264" t="str">
        <f t="shared" ca="1" si="7"/>
        <v>teal</v>
      </c>
      <c r="AM117" s="40" t="s">
        <v>688</v>
      </c>
      <c r="AN117" s="40" t="str">
        <f t="shared" ca="1" si="8"/>
        <v>,{"type":"polygon","latLngs":[ {"lat":35.441704,"lng":133.329054}, {"lat":35.440517,"lng":133.325712},{"lat": ,"lng": }], "color":"teal"}</v>
      </c>
      <c r="AO117" s="266" t="s">
        <v>689</v>
      </c>
      <c r="AP117" s="56">
        <f t="shared" ca="1" si="9"/>
        <v>35.441704000000001</v>
      </c>
      <c r="AQ117" s="40" t="s">
        <v>684</v>
      </c>
      <c r="AR117" s="56">
        <f t="shared" ca="1" si="10"/>
        <v>133.32905400000001</v>
      </c>
      <c r="AS117" s="40" t="s">
        <v>686</v>
      </c>
      <c r="AT117" s="56">
        <f t="shared" ca="1" si="11"/>
        <v>35.440517</v>
      </c>
      <c r="AU117" s="40" t="s">
        <v>684</v>
      </c>
      <c r="AV117" s="56">
        <f t="shared" ca="1" si="12"/>
        <v>133.32571200000001</v>
      </c>
      <c r="AW117" s="40" t="s">
        <v>690</v>
      </c>
      <c r="AX117" s="40" t="str">
        <f t="shared" ca="1" si="13"/>
        <v>teal</v>
      </c>
      <c r="AY117" s="40" t="s">
        <v>688</v>
      </c>
      <c r="AZ117" s="40" t="str">
        <f t="shared" ca="1" si="14"/>
        <v>,{"type":"polyline","latLngs":[{"lat":35.441704,"lng":133.329054},{"lat":35.440517,"lng":133.325712}],"color":"teal"}</v>
      </c>
      <c r="BA117" s="40" t="s">
        <v>691</v>
      </c>
      <c r="BB117" s="56">
        <f t="shared" ca="1" si="15"/>
        <v>35.441704000000001</v>
      </c>
      <c r="BC117" s="40" t="s">
        <v>684</v>
      </c>
      <c r="BD117" s="56">
        <f t="shared" ca="1" si="16"/>
        <v>133.32905400000001</v>
      </c>
      <c r="BE117" s="40" t="s">
        <v>692</v>
      </c>
      <c r="BF117" s="40" t="str">
        <f t="shared" ca="1" si="17"/>
        <v>teal</v>
      </c>
      <c r="BG117" s="40" t="s">
        <v>688</v>
      </c>
      <c r="BH117" s="40" t="str">
        <f t="shared" ca="1" si="18"/>
        <v>,{"type":"marker","latLng":{"lat":35.441704,"lng":133.329054},"color":"teal"}</v>
      </c>
      <c r="BI117" s="40" t="s">
        <v>693</v>
      </c>
      <c r="BJ117" s="40" t="s">
        <v>694</v>
      </c>
      <c r="BK117" s="267" t="str">
        <f t="shared" ca="1" si="19"/>
        <v>,{"type":"polyline","latLngs":[{"lat":35.441704,"lng":133.329054},{"lat":35.440517,"lng":133.325712}],"color":"teal"}</v>
      </c>
      <c r="BL117" s="40"/>
      <c r="BM117" s="40"/>
      <c r="BN117" s="40"/>
      <c r="BO117" s="40"/>
      <c r="BP117" s="40"/>
      <c r="BQ117" s="40"/>
      <c r="BR117" s="40"/>
      <c r="BS117" s="40"/>
      <c r="BT117" s="40"/>
      <c r="BU117" s="40"/>
      <c r="BV117" s="40"/>
      <c r="BW117" s="40"/>
      <c r="BX117" s="40"/>
      <c r="BY117" s="40"/>
      <c r="BZ117" s="40"/>
      <c r="CA117" s="40"/>
      <c r="CB117" s="40"/>
      <c r="CC117" s="40"/>
      <c r="CD117" s="40"/>
      <c r="CE117" s="40"/>
      <c r="CF117" s="40"/>
      <c r="CG117" s="40"/>
      <c r="CH117" s="40"/>
    </row>
    <row r="118" spans="1:86" ht="17.5">
      <c r="A118" s="40"/>
      <c r="B118" s="260" t="str">
        <f ca="1">IFERROR(__xludf.DUMMYFUNCTION("""COMPUTED_VALUE"""),"P205")</f>
        <v>P205</v>
      </c>
      <c r="C118" s="273" t="str">
        <f ca="1">IFERROR(__xludf.DUMMYFUNCTION("""COMPUTED_VALUE"""),"大地の刻")</f>
        <v>大地の刻</v>
      </c>
      <c r="D118" s="273">
        <f ca="1">IFERROR(__xludf.DUMMYFUNCTION("""COMPUTED_VALUE"""),35.422658)</f>
        <v>35.422657999999998</v>
      </c>
      <c r="E118" s="273">
        <f ca="1">IFERROR(__xludf.DUMMYFUNCTION("""COMPUTED_VALUE"""),133.333708)</f>
        <v>133.333708</v>
      </c>
      <c r="F118" s="40"/>
      <c r="G118" s="261"/>
      <c r="H118" s="262" t="s">
        <v>672</v>
      </c>
      <c r="I118" s="271" t="str">
        <f ca="1">IFERROR(__xludf.DUMMYFUNCTION("""COMPUTED_VALUE"""),"Agent05")</f>
        <v>Agent05</v>
      </c>
      <c r="J118" s="271" t="str">
        <f ca="1">IFERROR(__xludf.DUMMYFUNCTION("""COMPUTED_VALUE"""),"P96")</f>
        <v>P96</v>
      </c>
      <c r="K118" s="271" t="str">
        <f ca="1">IFERROR(__xludf.DUMMYFUNCTION("""COMPUTED_VALUE"""),"P86")</f>
        <v>P86</v>
      </c>
      <c r="L118" s="242" t="s">
        <v>681</v>
      </c>
      <c r="M118" s="263" t="str">
        <f t="shared" ca="1" si="0"/>
        <v>teal</v>
      </c>
      <c r="N118" s="264" t="str">
        <f ca="1">IFERROR(__xludf.DUMMYFUNCTION("FILTER(C:E,B:B=J118)"),"米原のINFORMATION")</f>
        <v>米原のINFORMATION</v>
      </c>
      <c r="O118" s="265">
        <f ca="1">IFERROR(__xludf.DUMMYFUNCTION("""COMPUTED_VALUE"""),35.441704)</f>
        <v>35.441704000000001</v>
      </c>
      <c r="P118" s="265">
        <f ca="1">IFERROR(__xludf.DUMMYFUNCTION("""COMPUTED_VALUE"""),133.329054)</f>
        <v>133.32905400000001</v>
      </c>
      <c r="Q118" s="264" t="str">
        <f ca="1">IFERROR(__xludf.DUMMYFUNCTION("FILTER(C:E,B:B=K118)"),"立町の遊歩道")</f>
        <v>立町の遊歩道</v>
      </c>
      <c r="R118" s="265">
        <f ca="1">IFERROR(__xludf.DUMMYFUNCTION("""COMPUTED_VALUE"""),35.439923)</f>
        <v>35.439923</v>
      </c>
      <c r="S118" s="265">
        <f ca="1">IFERROR(__xludf.DUMMYFUNCTION("""COMPUTED_VALUE"""),133.326469)</f>
        <v>133.326469</v>
      </c>
      <c r="T118" s="264" t="str">
        <f ca="1">IFERROR(__xludf.DUMMYFUNCTION("FILTER(C:E,B:B=L118)")," ")</f>
        <v xml:space="preserve"> </v>
      </c>
      <c r="U118" s="40" t="str">
        <f ca="1">IFERROR(__xludf.DUMMYFUNCTION("""COMPUTED_VALUE""")," ")</f>
        <v xml:space="preserve"> </v>
      </c>
      <c r="V118" s="40" t="str">
        <f ca="1">IFERROR(__xludf.DUMMYFUNCTION("""COMPUTED_VALUE""")," ")</f>
        <v xml:space="preserve"> </v>
      </c>
      <c r="W118" s="40" t="str">
        <f t="shared" ca="1" si="21"/>
        <v>,</v>
      </c>
      <c r="X118" s="40" t="s">
        <v>682</v>
      </c>
      <c r="Y118" s="40" t="s">
        <v>683</v>
      </c>
      <c r="Z118" s="264">
        <f t="shared" ca="1" si="1"/>
        <v>35.441704000000001</v>
      </c>
      <c r="AA118" s="40" t="s">
        <v>684</v>
      </c>
      <c r="AB118" s="264">
        <f t="shared" ca="1" si="2"/>
        <v>133.32905400000001</v>
      </c>
      <c r="AC118" s="40" t="s">
        <v>685</v>
      </c>
      <c r="AD118" s="264">
        <f t="shared" ca="1" si="3"/>
        <v>35.439923</v>
      </c>
      <c r="AE118" s="40" t="s">
        <v>684</v>
      </c>
      <c r="AF118" s="264">
        <f t="shared" ca="1" si="4"/>
        <v>133.326469</v>
      </c>
      <c r="AG118" s="40" t="s">
        <v>686</v>
      </c>
      <c r="AH118" s="264" t="str">
        <f t="shared" ca="1" si="5"/>
        <v xml:space="preserve"> </v>
      </c>
      <c r="AI118" s="40" t="s">
        <v>684</v>
      </c>
      <c r="AJ118" s="264" t="str">
        <f t="shared" ca="1" si="6"/>
        <v xml:space="preserve"> </v>
      </c>
      <c r="AK118" s="40" t="s">
        <v>687</v>
      </c>
      <c r="AL118" s="264" t="str">
        <f t="shared" ca="1" si="7"/>
        <v>teal</v>
      </c>
      <c r="AM118" s="40" t="s">
        <v>688</v>
      </c>
      <c r="AN118" s="40" t="str">
        <f t="shared" ca="1" si="8"/>
        <v>,{"type":"polygon","latLngs":[ {"lat":35.441704,"lng":133.329054}, {"lat":35.439923,"lng":133.326469},{"lat": ,"lng": }], "color":"teal"}</v>
      </c>
      <c r="AO118" s="266" t="s">
        <v>689</v>
      </c>
      <c r="AP118" s="56">
        <f t="shared" ca="1" si="9"/>
        <v>35.441704000000001</v>
      </c>
      <c r="AQ118" s="40" t="s">
        <v>684</v>
      </c>
      <c r="AR118" s="56">
        <f t="shared" ca="1" si="10"/>
        <v>133.32905400000001</v>
      </c>
      <c r="AS118" s="40" t="s">
        <v>686</v>
      </c>
      <c r="AT118" s="56">
        <f t="shared" ca="1" si="11"/>
        <v>35.439923</v>
      </c>
      <c r="AU118" s="40" t="s">
        <v>684</v>
      </c>
      <c r="AV118" s="56">
        <f t="shared" ca="1" si="12"/>
        <v>133.326469</v>
      </c>
      <c r="AW118" s="40" t="s">
        <v>690</v>
      </c>
      <c r="AX118" s="40" t="str">
        <f t="shared" ca="1" si="13"/>
        <v>teal</v>
      </c>
      <c r="AY118" s="40" t="s">
        <v>688</v>
      </c>
      <c r="AZ118" s="40" t="str">
        <f t="shared" ca="1" si="14"/>
        <v>,{"type":"polyline","latLngs":[{"lat":35.441704,"lng":133.329054},{"lat":35.439923,"lng":133.326469}],"color":"teal"}</v>
      </c>
      <c r="BA118" s="40" t="s">
        <v>691</v>
      </c>
      <c r="BB118" s="56">
        <f t="shared" ca="1" si="15"/>
        <v>35.441704000000001</v>
      </c>
      <c r="BC118" s="40" t="s">
        <v>684</v>
      </c>
      <c r="BD118" s="56">
        <f t="shared" ca="1" si="16"/>
        <v>133.32905400000001</v>
      </c>
      <c r="BE118" s="40" t="s">
        <v>692</v>
      </c>
      <c r="BF118" s="40" t="str">
        <f t="shared" ca="1" si="17"/>
        <v>teal</v>
      </c>
      <c r="BG118" s="40" t="s">
        <v>688</v>
      </c>
      <c r="BH118" s="40" t="str">
        <f t="shared" ca="1" si="18"/>
        <v>,{"type":"marker","latLng":{"lat":35.441704,"lng":133.329054},"color":"teal"}</v>
      </c>
      <c r="BI118" s="40" t="s">
        <v>693</v>
      </c>
      <c r="BJ118" s="40" t="s">
        <v>694</v>
      </c>
      <c r="BK118" s="267" t="str">
        <f t="shared" ca="1" si="19"/>
        <v>,{"type":"polyline","latLngs":[{"lat":35.441704,"lng":133.329054},{"lat":35.439923,"lng":133.326469}],"color":"teal"}</v>
      </c>
      <c r="BL118" s="40"/>
      <c r="BM118" s="40"/>
      <c r="BN118" s="40"/>
      <c r="BO118" s="40"/>
      <c r="BP118" s="40"/>
      <c r="BQ118" s="40"/>
      <c r="BR118" s="40"/>
      <c r="BS118" s="40"/>
      <c r="BT118" s="40"/>
      <c r="BU118" s="40"/>
      <c r="BV118" s="40"/>
      <c r="BW118" s="40"/>
      <c r="BX118" s="40"/>
      <c r="BY118" s="40"/>
      <c r="BZ118" s="40"/>
      <c r="CA118" s="40"/>
      <c r="CB118" s="40"/>
      <c r="CC118" s="40"/>
      <c r="CD118" s="40"/>
      <c r="CE118" s="40"/>
      <c r="CF118" s="40"/>
      <c r="CG118" s="40"/>
      <c r="CH118" s="40"/>
    </row>
    <row r="119" spans="1:86" ht="17.5">
      <c r="A119" s="40"/>
      <c r="B119" s="260" t="str">
        <f ca="1">IFERROR(__xludf.DUMMYFUNCTION("""COMPUTED_VALUE"""),"P206")</f>
        <v>P206</v>
      </c>
      <c r="C119" s="273" t="str">
        <f ca="1">IFERROR(__xludf.DUMMYFUNCTION("""COMPUTED_VALUE"""),"米子駅バス乗り場 観光案内地図")</f>
        <v>米子駅バス乗り場 観光案内地図</v>
      </c>
      <c r="D119" s="273">
        <f ca="1">IFERROR(__xludf.DUMMYFUNCTION("""COMPUTED_VALUE"""),35.422825)</f>
        <v>35.422825000000003</v>
      </c>
      <c r="E119" s="273">
        <f ca="1">IFERROR(__xludf.DUMMYFUNCTION("""COMPUTED_VALUE"""),133.335512)</f>
        <v>133.33551199999999</v>
      </c>
      <c r="F119" s="40"/>
      <c r="G119" s="261"/>
      <c r="H119" s="262" t="s">
        <v>672</v>
      </c>
      <c r="I119" s="271" t="str">
        <f ca="1">IFERROR(__xludf.DUMMYFUNCTION("""COMPUTED_VALUE"""),"Agent05")</f>
        <v>Agent05</v>
      </c>
      <c r="J119" s="271" t="str">
        <f ca="1">IFERROR(__xludf.DUMMYFUNCTION("""COMPUTED_VALUE"""),"P96")</f>
        <v>P96</v>
      </c>
      <c r="K119" s="271" t="str">
        <f ca="1">IFERROR(__xludf.DUMMYFUNCTION("""COMPUTED_VALUE"""),"P85")</f>
        <v>P85</v>
      </c>
      <c r="L119" s="242" t="s">
        <v>681</v>
      </c>
      <c r="M119" s="263" t="str">
        <f t="shared" ca="1" si="0"/>
        <v>teal</v>
      </c>
      <c r="N119" s="264" t="str">
        <f ca="1">IFERROR(__xludf.DUMMYFUNCTION("FILTER(C:E,B:B=J119)"),"米原のINFORMATION")</f>
        <v>米原のINFORMATION</v>
      </c>
      <c r="O119" s="265">
        <f ca="1">IFERROR(__xludf.DUMMYFUNCTION("""COMPUTED_VALUE"""),35.441704)</f>
        <v>35.441704000000001</v>
      </c>
      <c r="P119" s="265">
        <f ca="1">IFERROR(__xludf.DUMMYFUNCTION("""COMPUTED_VALUE"""),133.329054)</f>
        <v>133.32905400000001</v>
      </c>
      <c r="Q119" s="264" t="str">
        <f ca="1">IFERROR(__xludf.DUMMYFUNCTION("FILTER(C:E,B:B=K119)"),"揺れるパンダ")</f>
        <v>揺れるパンダ</v>
      </c>
      <c r="R119" s="265">
        <f ca="1">IFERROR(__xludf.DUMMYFUNCTION("""COMPUTED_VALUE"""),35.439922)</f>
        <v>35.439922000000003</v>
      </c>
      <c r="S119" s="265">
        <f ca="1">IFERROR(__xludf.DUMMYFUNCTION("""COMPUTED_VALUE"""),133.328017)</f>
        <v>133.32801699999999</v>
      </c>
      <c r="T119" s="264" t="str">
        <f ca="1">IFERROR(__xludf.DUMMYFUNCTION("FILTER(C:E,B:B=L119)")," ")</f>
        <v xml:space="preserve"> </v>
      </c>
      <c r="U119" s="40" t="str">
        <f ca="1">IFERROR(__xludf.DUMMYFUNCTION("""COMPUTED_VALUE""")," ")</f>
        <v xml:space="preserve"> </v>
      </c>
      <c r="V119" s="40" t="str">
        <f ca="1">IFERROR(__xludf.DUMMYFUNCTION("""COMPUTED_VALUE""")," ")</f>
        <v xml:space="preserve"> </v>
      </c>
      <c r="W119" s="40" t="str">
        <f t="shared" ca="1" si="21"/>
        <v>,</v>
      </c>
      <c r="X119" s="40" t="s">
        <v>682</v>
      </c>
      <c r="Y119" s="40" t="s">
        <v>683</v>
      </c>
      <c r="Z119" s="264">
        <f t="shared" ca="1" si="1"/>
        <v>35.441704000000001</v>
      </c>
      <c r="AA119" s="40" t="s">
        <v>684</v>
      </c>
      <c r="AB119" s="264">
        <f t="shared" ca="1" si="2"/>
        <v>133.32905400000001</v>
      </c>
      <c r="AC119" s="40" t="s">
        <v>685</v>
      </c>
      <c r="AD119" s="264">
        <f t="shared" ca="1" si="3"/>
        <v>35.439922000000003</v>
      </c>
      <c r="AE119" s="40" t="s">
        <v>684</v>
      </c>
      <c r="AF119" s="264">
        <f t="shared" ca="1" si="4"/>
        <v>133.32801699999999</v>
      </c>
      <c r="AG119" s="40" t="s">
        <v>686</v>
      </c>
      <c r="AH119" s="264" t="str">
        <f t="shared" ca="1" si="5"/>
        <v xml:space="preserve"> </v>
      </c>
      <c r="AI119" s="40" t="s">
        <v>684</v>
      </c>
      <c r="AJ119" s="264" t="str">
        <f t="shared" ca="1" si="6"/>
        <v xml:space="preserve"> </v>
      </c>
      <c r="AK119" s="40" t="s">
        <v>687</v>
      </c>
      <c r="AL119" s="264" t="str">
        <f t="shared" ca="1" si="7"/>
        <v>teal</v>
      </c>
      <c r="AM119" s="40" t="s">
        <v>688</v>
      </c>
      <c r="AN119" s="40" t="str">
        <f t="shared" ca="1" si="8"/>
        <v>,{"type":"polygon","latLngs":[ {"lat":35.441704,"lng":133.329054}, {"lat":35.439922,"lng":133.328017},{"lat": ,"lng": }], "color":"teal"}</v>
      </c>
      <c r="AO119" s="266" t="s">
        <v>689</v>
      </c>
      <c r="AP119" s="56">
        <f t="shared" ca="1" si="9"/>
        <v>35.441704000000001</v>
      </c>
      <c r="AQ119" s="40" t="s">
        <v>684</v>
      </c>
      <c r="AR119" s="56">
        <f t="shared" ca="1" si="10"/>
        <v>133.32905400000001</v>
      </c>
      <c r="AS119" s="40" t="s">
        <v>686</v>
      </c>
      <c r="AT119" s="56">
        <f t="shared" ca="1" si="11"/>
        <v>35.439922000000003</v>
      </c>
      <c r="AU119" s="40" t="s">
        <v>684</v>
      </c>
      <c r="AV119" s="56">
        <f t="shared" ca="1" si="12"/>
        <v>133.32801699999999</v>
      </c>
      <c r="AW119" s="40" t="s">
        <v>690</v>
      </c>
      <c r="AX119" s="40" t="str">
        <f t="shared" ca="1" si="13"/>
        <v>teal</v>
      </c>
      <c r="AY119" s="40" t="s">
        <v>688</v>
      </c>
      <c r="AZ119" s="40" t="str">
        <f t="shared" ca="1" si="14"/>
        <v>,{"type":"polyline","latLngs":[{"lat":35.441704,"lng":133.329054},{"lat":35.439922,"lng":133.328017}],"color":"teal"}</v>
      </c>
      <c r="BA119" s="40" t="s">
        <v>691</v>
      </c>
      <c r="BB119" s="56">
        <f t="shared" ca="1" si="15"/>
        <v>35.441704000000001</v>
      </c>
      <c r="BC119" s="40" t="s">
        <v>684</v>
      </c>
      <c r="BD119" s="56">
        <f t="shared" ca="1" si="16"/>
        <v>133.32905400000001</v>
      </c>
      <c r="BE119" s="40" t="s">
        <v>692</v>
      </c>
      <c r="BF119" s="40" t="str">
        <f t="shared" ca="1" si="17"/>
        <v>teal</v>
      </c>
      <c r="BG119" s="40" t="s">
        <v>688</v>
      </c>
      <c r="BH119" s="40" t="str">
        <f t="shared" ca="1" si="18"/>
        <v>,{"type":"marker","latLng":{"lat":35.441704,"lng":133.329054},"color":"teal"}</v>
      </c>
      <c r="BI119" s="40" t="s">
        <v>693</v>
      </c>
      <c r="BJ119" s="40" t="s">
        <v>694</v>
      </c>
      <c r="BK119" s="267" t="str">
        <f t="shared" ca="1" si="19"/>
        <v>,{"type":"polyline","latLngs":[{"lat":35.441704,"lng":133.329054},{"lat":35.439922,"lng":133.328017}],"color":"teal"}</v>
      </c>
      <c r="BL119" s="40"/>
      <c r="BM119" s="40"/>
      <c r="BN119" s="40"/>
      <c r="BO119" s="40"/>
      <c r="BP119" s="40"/>
      <c r="BQ119" s="40"/>
      <c r="BR119" s="40"/>
      <c r="BS119" s="40"/>
      <c r="BT119" s="40"/>
      <c r="BU119" s="40"/>
      <c r="BV119" s="40"/>
      <c r="BW119" s="40"/>
      <c r="BX119" s="40"/>
      <c r="BY119" s="40"/>
      <c r="BZ119" s="40"/>
      <c r="CA119" s="40"/>
      <c r="CB119" s="40"/>
      <c r="CC119" s="40"/>
      <c r="CD119" s="40"/>
      <c r="CE119" s="40"/>
      <c r="CF119" s="40"/>
      <c r="CG119" s="40"/>
      <c r="CH119" s="40"/>
    </row>
    <row r="120" spans="1:86" ht="17.5">
      <c r="A120" s="40"/>
      <c r="B120" s="260" t="str">
        <f ca="1">IFERROR(__xludf.DUMMYFUNCTION("""COMPUTED_VALUE"""),"P207")</f>
        <v>P207</v>
      </c>
      <c r="C120" s="273" t="str">
        <f ca="1">IFERROR(__xludf.DUMMYFUNCTION("""COMPUTED_VALUE"""),"Gravitation")</f>
        <v>Gravitation</v>
      </c>
      <c r="D120" s="273">
        <f ca="1">IFERROR(__xludf.DUMMYFUNCTION("""COMPUTED_VALUE"""),35.422867)</f>
        <v>35.422866999999997</v>
      </c>
      <c r="E120" s="273">
        <f ca="1">IFERROR(__xludf.DUMMYFUNCTION("""COMPUTED_VALUE"""),133.330184)</f>
        <v>133.330184</v>
      </c>
      <c r="F120" s="40"/>
      <c r="G120" s="261"/>
      <c r="H120" s="262" t="s">
        <v>672</v>
      </c>
      <c r="I120" s="271" t="str">
        <f ca="1">IFERROR(__xludf.DUMMYFUNCTION("""COMPUTED_VALUE"""),"Agent05")</f>
        <v>Agent05</v>
      </c>
      <c r="J120" s="271" t="str">
        <f ca="1">IFERROR(__xludf.DUMMYFUNCTION("""COMPUTED_VALUE"""),"P96")</f>
        <v>P96</v>
      </c>
      <c r="K120" s="271" t="str">
        <f ca="1">IFERROR(__xludf.DUMMYFUNCTION("""COMPUTED_VALUE"""),"P78")</f>
        <v>P78</v>
      </c>
      <c r="L120" s="242" t="s">
        <v>681</v>
      </c>
      <c r="M120" s="263" t="str">
        <f t="shared" ca="1" si="0"/>
        <v>teal</v>
      </c>
      <c r="N120" s="264" t="str">
        <f ca="1">IFERROR(__xludf.DUMMYFUNCTION("FILTER(C:E,B:B=J120)"),"米原のINFORMATION")</f>
        <v>米原のINFORMATION</v>
      </c>
      <c r="O120" s="265">
        <f ca="1">IFERROR(__xludf.DUMMYFUNCTION("""COMPUTED_VALUE"""),35.441704)</f>
        <v>35.441704000000001</v>
      </c>
      <c r="P120" s="265">
        <f ca="1">IFERROR(__xludf.DUMMYFUNCTION("""COMPUTED_VALUE"""),133.329054)</f>
        <v>133.32905400000001</v>
      </c>
      <c r="Q120" s="264" t="str">
        <f ca="1">IFERROR(__xludf.DUMMYFUNCTION("FILTER(C:E,B:B=K120)"),"米子市中心市街地地図")</f>
        <v>米子市中心市街地地図</v>
      </c>
      <c r="R120" s="265">
        <f ca="1">IFERROR(__xludf.DUMMYFUNCTION("""COMPUTED_VALUE"""),35.439288)</f>
        <v>35.439287999999998</v>
      </c>
      <c r="S120" s="265">
        <f ca="1">IFERROR(__xludf.DUMMYFUNCTION("""COMPUTED_VALUE"""),133.331418)</f>
        <v>133.33141800000001</v>
      </c>
      <c r="T120" s="264" t="str">
        <f ca="1">IFERROR(__xludf.DUMMYFUNCTION("FILTER(C:E,B:B=L120)")," ")</f>
        <v xml:space="preserve"> </v>
      </c>
      <c r="U120" s="40" t="str">
        <f ca="1">IFERROR(__xludf.DUMMYFUNCTION("""COMPUTED_VALUE""")," ")</f>
        <v xml:space="preserve"> </v>
      </c>
      <c r="V120" s="40" t="str">
        <f ca="1">IFERROR(__xludf.DUMMYFUNCTION("""COMPUTED_VALUE""")," ")</f>
        <v xml:space="preserve"> </v>
      </c>
      <c r="W120" s="40" t="str">
        <f t="shared" ca="1" si="21"/>
        <v>,</v>
      </c>
      <c r="X120" s="40" t="s">
        <v>682</v>
      </c>
      <c r="Y120" s="40" t="s">
        <v>683</v>
      </c>
      <c r="Z120" s="264">
        <f t="shared" ca="1" si="1"/>
        <v>35.441704000000001</v>
      </c>
      <c r="AA120" s="40" t="s">
        <v>684</v>
      </c>
      <c r="AB120" s="264">
        <f t="shared" ca="1" si="2"/>
        <v>133.32905400000001</v>
      </c>
      <c r="AC120" s="40" t="s">
        <v>685</v>
      </c>
      <c r="AD120" s="264">
        <f t="shared" ca="1" si="3"/>
        <v>35.439287999999998</v>
      </c>
      <c r="AE120" s="40" t="s">
        <v>684</v>
      </c>
      <c r="AF120" s="264">
        <f t="shared" ca="1" si="4"/>
        <v>133.33141800000001</v>
      </c>
      <c r="AG120" s="40" t="s">
        <v>686</v>
      </c>
      <c r="AH120" s="264" t="str">
        <f t="shared" ca="1" si="5"/>
        <v xml:space="preserve"> </v>
      </c>
      <c r="AI120" s="40" t="s">
        <v>684</v>
      </c>
      <c r="AJ120" s="264" t="str">
        <f t="shared" ca="1" si="6"/>
        <v xml:space="preserve"> </v>
      </c>
      <c r="AK120" s="40" t="s">
        <v>687</v>
      </c>
      <c r="AL120" s="264" t="str">
        <f t="shared" ca="1" si="7"/>
        <v>teal</v>
      </c>
      <c r="AM120" s="40" t="s">
        <v>688</v>
      </c>
      <c r="AN120" s="40" t="str">
        <f t="shared" ca="1" si="8"/>
        <v>,{"type":"polygon","latLngs":[ {"lat":35.441704,"lng":133.329054}, {"lat":35.439288,"lng":133.331418},{"lat": ,"lng": }], "color":"teal"}</v>
      </c>
      <c r="AO120" s="266" t="s">
        <v>689</v>
      </c>
      <c r="AP120" s="56">
        <f t="shared" ca="1" si="9"/>
        <v>35.441704000000001</v>
      </c>
      <c r="AQ120" s="40" t="s">
        <v>684</v>
      </c>
      <c r="AR120" s="56">
        <f t="shared" ca="1" si="10"/>
        <v>133.32905400000001</v>
      </c>
      <c r="AS120" s="40" t="s">
        <v>686</v>
      </c>
      <c r="AT120" s="56">
        <f t="shared" ca="1" si="11"/>
        <v>35.439287999999998</v>
      </c>
      <c r="AU120" s="40" t="s">
        <v>684</v>
      </c>
      <c r="AV120" s="56">
        <f t="shared" ca="1" si="12"/>
        <v>133.33141800000001</v>
      </c>
      <c r="AW120" s="40" t="s">
        <v>690</v>
      </c>
      <c r="AX120" s="40" t="str">
        <f t="shared" ca="1" si="13"/>
        <v>teal</v>
      </c>
      <c r="AY120" s="40" t="s">
        <v>688</v>
      </c>
      <c r="AZ120" s="40" t="str">
        <f t="shared" ca="1" si="14"/>
        <v>,{"type":"polyline","latLngs":[{"lat":35.441704,"lng":133.329054},{"lat":35.439288,"lng":133.331418}],"color":"teal"}</v>
      </c>
      <c r="BA120" s="40" t="s">
        <v>691</v>
      </c>
      <c r="BB120" s="56">
        <f t="shared" ca="1" si="15"/>
        <v>35.441704000000001</v>
      </c>
      <c r="BC120" s="40" t="s">
        <v>684</v>
      </c>
      <c r="BD120" s="56">
        <f t="shared" ca="1" si="16"/>
        <v>133.32905400000001</v>
      </c>
      <c r="BE120" s="40" t="s">
        <v>692</v>
      </c>
      <c r="BF120" s="40" t="str">
        <f t="shared" ca="1" si="17"/>
        <v>teal</v>
      </c>
      <c r="BG120" s="40" t="s">
        <v>688</v>
      </c>
      <c r="BH120" s="40" t="str">
        <f t="shared" ca="1" si="18"/>
        <v>,{"type":"marker","latLng":{"lat":35.441704,"lng":133.329054},"color":"teal"}</v>
      </c>
      <c r="BI120" s="40" t="s">
        <v>693</v>
      </c>
      <c r="BJ120" s="40" t="s">
        <v>694</v>
      </c>
      <c r="BK120" s="267" t="str">
        <f t="shared" ca="1" si="19"/>
        <v>,{"type":"polyline","latLngs":[{"lat":35.441704,"lng":133.329054},{"lat":35.439288,"lng":133.331418}],"color":"teal"}</v>
      </c>
      <c r="BL120" s="40"/>
      <c r="BM120" s="40"/>
      <c r="BN120" s="40"/>
      <c r="BO120" s="40"/>
      <c r="BP120" s="40"/>
      <c r="BQ120" s="40"/>
      <c r="BR120" s="40"/>
      <c r="BS120" s="40"/>
      <c r="BT120" s="40"/>
      <c r="BU120" s="40"/>
      <c r="BV120" s="40"/>
      <c r="BW120" s="40"/>
      <c r="BX120" s="40"/>
      <c r="BY120" s="40"/>
      <c r="BZ120" s="40"/>
      <c r="CA120" s="40"/>
      <c r="CB120" s="40"/>
      <c r="CC120" s="40"/>
      <c r="CD120" s="40"/>
      <c r="CE120" s="40"/>
      <c r="CF120" s="40"/>
      <c r="CG120" s="40"/>
      <c r="CH120" s="40"/>
    </row>
    <row r="121" spans="1:86" ht="17.5">
      <c r="A121" s="40"/>
      <c r="B121" s="260" t="str">
        <f ca="1">IFERROR(__xludf.DUMMYFUNCTION("""COMPUTED_VALUE"""),"P208")</f>
        <v>P208</v>
      </c>
      <c r="C121" s="273" t="str">
        <f ca="1">IFERROR(__xludf.DUMMYFUNCTION("""COMPUTED_VALUE"""),"だれ")</f>
        <v>だれ</v>
      </c>
      <c r="D121" s="273">
        <f ca="1">IFERROR(__xludf.DUMMYFUNCTION("""COMPUTED_VALUE"""),35.423014)</f>
        <v>35.423014000000002</v>
      </c>
      <c r="E121" s="273">
        <f ca="1">IFERROR(__xludf.DUMMYFUNCTION("""COMPUTED_VALUE"""),133.335086)</f>
        <v>133.33508599999999</v>
      </c>
      <c r="F121" s="40"/>
      <c r="G121" s="261"/>
      <c r="H121" s="262" t="s">
        <v>672</v>
      </c>
      <c r="I121" s="271" t="str">
        <f ca="1">IFERROR(__xludf.DUMMYFUNCTION("""COMPUTED_VALUE"""),"Agent05")</f>
        <v>Agent05</v>
      </c>
      <c r="J121" s="271" t="str">
        <f ca="1">IFERROR(__xludf.DUMMYFUNCTION("""COMPUTED_VALUE"""),"P96")</f>
        <v>P96</v>
      </c>
      <c r="K121" s="271" t="str">
        <f ca="1">IFERROR(__xludf.DUMMYFUNCTION("""COMPUTED_VALUE"""),"P87")</f>
        <v>P87</v>
      </c>
      <c r="L121" s="242" t="s">
        <v>681</v>
      </c>
      <c r="M121" s="263" t="str">
        <f t="shared" ca="1" si="0"/>
        <v>teal</v>
      </c>
      <c r="N121" s="264" t="str">
        <f ca="1">IFERROR(__xludf.DUMMYFUNCTION("FILTER(C:E,B:B=J121)"),"米原のINFORMATION")</f>
        <v>米原のINFORMATION</v>
      </c>
      <c r="O121" s="265">
        <f ca="1">IFERROR(__xludf.DUMMYFUNCTION("""COMPUTED_VALUE"""),35.441704)</f>
        <v>35.441704000000001</v>
      </c>
      <c r="P121" s="265">
        <f ca="1">IFERROR(__xludf.DUMMYFUNCTION("""COMPUTED_VALUE"""),133.329054)</f>
        <v>133.32905400000001</v>
      </c>
      <c r="Q121" s="264" t="str">
        <f ca="1">IFERROR(__xludf.DUMMYFUNCTION("FILTER(C:E,B:B=K121)"),"米原1丁目住宅案内図")</f>
        <v>米原1丁目住宅案内図</v>
      </c>
      <c r="R121" s="265">
        <f ca="1">IFERROR(__xludf.DUMMYFUNCTION("""COMPUTED_VALUE"""),35.43998)</f>
        <v>35.439979999999998</v>
      </c>
      <c r="S121" s="265">
        <f ca="1">IFERROR(__xludf.DUMMYFUNCTION("""COMPUTED_VALUE"""),133.328953)</f>
        <v>133.32895300000001</v>
      </c>
      <c r="T121" s="264" t="str">
        <f ca="1">IFERROR(__xludf.DUMMYFUNCTION("FILTER(C:E,B:B=L121)")," ")</f>
        <v xml:space="preserve"> </v>
      </c>
      <c r="U121" s="40" t="str">
        <f ca="1">IFERROR(__xludf.DUMMYFUNCTION("""COMPUTED_VALUE""")," ")</f>
        <v xml:space="preserve"> </v>
      </c>
      <c r="V121" s="40" t="str">
        <f ca="1">IFERROR(__xludf.DUMMYFUNCTION("""COMPUTED_VALUE""")," ")</f>
        <v xml:space="preserve"> </v>
      </c>
      <c r="W121" s="40" t="str">
        <f t="shared" ca="1" si="21"/>
        <v>,</v>
      </c>
      <c r="X121" s="40" t="s">
        <v>682</v>
      </c>
      <c r="Y121" s="40" t="s">
        <v>683</v>
      </c>
      <c r="Z121" s="264">
        <f t="shared" ca="1" si="1"/>
        <v>35.441704000000001</v>
      </c>
      <c r="AA121" s="40" t="s">
        <v>684</v>
      </c>
      <c r="AB121" s="264">
        <f t="shared" ca="1" si="2"/>
        <v>133.32905400000001</v>
      </c>
      <c r="AC121" s="40" t="s">
        <v>685</v>
      </c>
      <c r="AD121" s="264">
        <f t="shared" ca="1" si="3"/>
        <v>35.439979999999998</v>
      </c>
      <c r="AE121" s="40" t="s">
        <v>684</v>
      </c>
      <c r="AF121" s="264">
        <f t="shared" ca="1" si="4"/>
        <v>133.32895300000001</v>
      </c>
      <c r="AG121" s="40" t="s">
        <v>686</v>
      </c>
      <c r="AH121" s="264" t="str">
        <f t="shared" ca="1" si="5"/>
        <v xml:space="preserve"> </v>
      </c>
      <c r="AI121" s="40" t="s">
        <v>684</v>
      </c>
      <c r="AJ121" s="264" t="str">
        <f t="shared" ca="1" si="6"/>
        <v xml:space="preserve"> </v>
      </c>
      <c r="AK121" s="40" t="s">
        <v>687</v>
      </c>
      <c r="AL121" s="264" t="str">
        <f t="shared" ca="1" si="7"/>
        <v>teal</v>
      </c>
      <c r="AM121" s="40" t="s">
        <v>688</v>
      </c>
      <c r="AN121" s="40" t="str">
        <f t="shared" ca="1" si="8"/>
        <v>,{"type":"polygon","latLngs":[ {"lat":35.441704,"lng":133.329054}, {"lat":35.43998,"lng":133.328953},{"lat": ,"lng": }], "color":"teal"}</v>
      </c>
      <c r="AO121" s="266" t="s">
        <v>689</v>
      </c>
      <c r="AP121" s="56">
        <f t="shared" ca="1" si="9"/>
        <v>35.441704000000001</v>
      </c>
      <c r="AQ121" s="40" t="s">
        <v>684</v>
      </c>
      <c r="AR121" s="56">
        <f t="shared" ca="1" si="10"/>
        <v>133.32905400000001</v>
      </c>
      <c r="AS121" s="40" t="s">
        <v>686</v>
      </c>
      <c r="AT121" s="56">
        <f t="shared" ca="1" si="11"/>
        <v>35.439979999999998</v>
      </c>
      <c r="AU121" s="40" t="s">
        <v>684</v>
      </c>
      <c r="AV121" s="56">
        <f t="shared" ca="1" si="12"/>
        <v>133.32895300000001</v>
      </c>
      <c r="AW121" s="40" t="s">
        <v>690</v>
      </c>
      <c r="AX121" s="40" t="str">
        <f t="shared" ca="1" si="13"/>
        <v>teal</v>
      </c>
      <c r="AY121" s="40" t="s">
        <v>688</v>
      </c>
      <c r="AZ121" s="40" t="str">
        <f t="shared" ca="1" si="14"/>
        <v>,{"type":"polyline","latLngs":[{"lat":35.441704,"lng":133.329054},{"lat":35.43998,"lng":133.328953}],"color":"teal"}</v>
      </c>
      <c r="BA121" s="40" t="s">
        <v>691</v>
      </c>
      <c r="BB121" s="56">
        <f t="shared" ca="1" si="15"/>
        <v>35.441704000000001</v>
      </c>
      <c r="BC121" s="40" t="s">
        <v>684</v>
      </c>
      <c r="BD121" s="56">
        <f t="shared" ca="1" si="16"/>
        <v>133.32905400000001</v>
      </c>
      <c r="BE121" s="40" t="s">
        <v>692</v>
      </c>
      <c r="BF121" s="40" t="str">
        <f t="shared" ca="1" si="17"/>
        <v>teal</v>
      </c>
      <c r="BG121" s="40" t="s">
        <v>688</v>
      </c>
      <c r="BH121" s="40" t="str">
        <f t="shared" ca="1" si="18"/>
        <v>,{"type":"marker","latLng":{"lat":35.441704,"lng":133.329054},"color":"teal"}</v>
      </c>
      <c r="BI121" s="40" t="s">
        <v>693</v>
      </c>
      <c r="BJ121" s="40" t="s">
        <v>694</v>
      </c>
      <c r="BK121" s="267" t="str">
        <f t="shared" ca="1" si="19"/>
        <v>,{"type":"polyline","latLngs":[{"lat":35.441704,"lng":133.329054},{"lat":35.43998,"lng":133.328953}],"color":"teal"}</v>
      </c>
      <c r="BL121" s="40"/>
      <c r="BM121" s="40"/>
      <c r="BN121" s="40"/>
      <c r="BO121" s="40"/>
      <c r="BP121" s="40"/>
      <c r="BQ121" s="40"/>
      <c r="BR121" s="40"/>
      <c r="BS121" s="40"/>
      <c r="BT121" s="40"/>
      <c r="BU121" s="40"/>
      <c r="BV121" s="40"/>
      <c r="BW121" s="40"/>
      <c r="BX121" s="40"/>
      <c r="BY121" s="40"/>
      <c r="BZ121" s="40"/>
      <c r="CA121" s="40"/>
      <c r="CB121" s="40"/>
      <c r="CC121" s="40"/>
      <c r="CD121" s="40"/>
      <c r="CE121" s="40"/>
      <c r="CF121" s="40"/>
      <c r="CG121" s="40"/>
      <c r="CH121" s="40"/>
    </row>
    <row r="122" spans="1:86" ht="17.5">
      <c r="A122" s="40"/>
      <c r="B122" s="260" t="str">
        <f ca="1">IFERROR(__xludf.DUMMYFUNCTION("""COMPUTED_VALUE"""),"P209")</f>
        <v>P209</v>
      </c>
      <c r="C122" s="273" t="str">
        <f ca="1">IFERROR(__xludf.DUMMYFUNCTION("""COMPUTED_VALUE"""),"地殻-cocoon3-")</f>
        <v>地殻-cocoon3-</v>
      </c>
      <c r="D122" s="273">
        <f ca="1">IFERROR(__xludf.DUMMYFUNCTION("""COMPUTED_VALUE"""),35.423136)</f>
        <v>35.423136</v>
      </c>
      <c r="E122" s="273">
        <f ca="1">IFERROR(__xludf.DUMMYFUNCTION("""COMPUTED_VALUE"""),133.329783)</f>
        <v>133.32978299999999</v>
      </c>
      <c r="F122" s="40"/>
      <c r="G122" s="261"/>
      <c r="H122" s="262" t="s">
        <v>672</v>
      </c>
      <c r="I122" s="271" t="str">
        <f ca="1">IFERROR(__xludf.DUMMYFUNCTION("""COMPUTED_VALUE"""),"Agent05")</f>
        <v>Agent05</v>
      </c>
      <c r="J122" s="271" t="str">
        <f ca="1">IFERROR(__xludf.DUMMYFUNCTION("""COMPUTED_VALUE"""),"P96")</f>
        <v>P96</v>
      </c>
      <c r="K122" s="271" t="str">
        <f ca="1">IFERROR(__xludf.DUMMYFUNCTION("""COMPUTED_VALUE"""),"P88")</f>
        <v>P88</v>
      </c>
      <c r="L122" s="242" t="s">
        <v>681</v>
      </c>
      <c r="M122" s="263" t="str">
        <f t="shared" ca="1" si="0"/>
        <v>teal</v>
      </c>
      <c r="N122" s="264" t="str">
        <f ca="1">IFERROR(__xludf.DUMMYFUNCTION("FILTER(C:E,B:B=J122)"),"米原のINFORMATION")</f>
        <v>米原のINFORMATION</v>
      </c>
      <c r="O122" s="265">
        <f ca="1">IFERROR(__xludf.DUMMYFUNCTION("""COMPUTED_VALUE"""),35.441704)</f>
        <v>35.441704000000001</v>
      </c>
      <c r="P122" s="265">
        <f ca="1">IFERROR(__xludf.DUMMYFUNCTION("""COMPUTED_VALUE"""),133.329054)</f>
        <v>133.32905400000001</v>
      </c>
      <c r="Q122" s="264" t="str">
        <f ca="1">IFERROR(__xludf.DUMMYFUNCTION("FILTER(C:E,B:B=K122)"),"どろたぼう駅")</f>
        <v>どろたぼう駅</v>
      </c>
      <c r="R122" s="265">
        <f ca="1">IFERROR(__xludf.DUMMYFUNCTION("""COMPUTED_VALUE"""),35.439991)</f>
        <v>35.439990999999999</v>
      </c>
      <c r="S122" s="265">
        <f ca="1">IFERROR(__xludf.DUMMYFUNCTION("""COMPUTED_VALUE"""),133.331279)</f>
        <v>133.33127899999999</v>
      </c>
      <c r="T122" s="264" t="str">
        <f ca="1">IFERROR(__xludf.DUMMYFUNCTION("FILTER(C:E,B:B=L122)")," ")</f>
        <v xml:space="preserve"> </v>
      </c>
      <c r="U122" s="40" t="str">
        <f ca="1">IFERROR(__xludf.DUMMYFUNCTION("""COMPUTED_VALUE""")," ")</f>
        <v xml:space="preserve"> </v>
      </c>
      <c r="V122" s="40" t="str">
        <f ca="1">IFERROR(__xludf.DUMMYFUNCTION("""COMPUTED_VALUE""")," ")</f>
        <v xml:space="preserve"> </v>
      </c>
      <c r="W122" s="40" t="str">
        <f t="shared" ca="1" si="21"/>
        <v>,</v>
      </c>
      <c r="X122" s="40" t="s">
        <v>682</v>
      </c>
      <c r="Y122" s="40" t="s">
        <v>683</v>
      </c>
      <c r="Z122" s="264">
        <f t="shared" ca="1" si="1"/>
        <v>35.441704000000001</v>
      </c>
      <c r="AA122" s="40" t="s">
        <v>684</v>
      </c>
      <c r="AB122" s="264">
        <f t="shared" ca="1" si="2"/>
        <v>133.32905400000001</v>
      </c>
      <c r="AC122" s="40" t="s">
        <v>685</v>
      </c>
      <c r="AD122" s="264">
        <f t="shared" ca="1" si="3"/>
        <v>35.439990999999999</v>
      </c>
      <c r="AE122" s="40" t="s">
        <v>684</v>
      </c>
      <c r="AF122" s="264">
        <f t="shared" ca="1" si="4"/>
        <v>133.33127899999999</v>
      </c>
      <c r="AG122" s="40" t="s">
        <v>686</v>
      </c>
      <c r="AH122" s="264" t="str">
        <f t="shared" ca="1" si="5"/>
        <v xml:space="preserve"> </v>
      </c>
      <c r="AI122" s="40" t="s">
        <v>684</v>
      </c>
      <c r="AJ122" s="264" t="str">
        <f t="shared" ca="1" si="6"/>
        <v xml:space="preserve"> </v>
      </c>
      <c r="AK122" s="40" t="s">
        <v>687</v>
      </c>
      <c r="AL122" s="264" t="str">
        <f t="shared" ca="1" si="7"/>
        <v>teal</v>
      </c>
      <c r="AM122" s="40" t="s">
        <v>688</v>
      </c>
      <c r="AN122" s="40" t="str">
        <f t="shared" ca="1" si="8"/>
        <v>,{"type":"polygon","latLngs":[ {"lat":35.441704,"lng":133.329054}, {"lat":35.439991,"lng":133.331279},{"lat": ,"lng": }], "color":"teal"}</v>
      </c>
      <c r="AO122" s="266" t="s">
        <v>689</v>
      </c>
      <c r="AP122" s="56">
        <f t="shared" ca="1" si="9"/>
        <v>35.441704000000001</v>
      </c>
      <c r="AQ122" s="40" t="s">
        <v>684</v>
      </c>
      <c r="AR122" s="56">
        <f t="shared" ca="1" si="10"/>
        <v>133.32905400000001</v>
      </c>
      <c r="AS122" s="40" t="s">
        <v>686</v>
      </c>
      <c r="AT122" s="56">
        <f t="shared" ca="1" si="11"/>
        <v>35.439990999999999</v>
      </c>
      <c r="AU122" s="40" t="s">
        <v>684</v>
      </c>
      <c r="AV122" s="56">
        <f t="shared" ca="1" si="12"/>
        <v>133.33127899999999</v>
      </c>
      <c r="AW122" s="40" t="s">
        <v>690</v>
      </c>
      <c r="AX122" s="40" t="str">
        <f t="shared" ca="1" si="13"/>
        <v>teal</v>
      </c>
      <c r="AY122" s="40" t="s">
        <v>688</v>
      </c>
      <c r="AZ122" s="40" t="str">
        <f t="shared" ca="1" si="14"/>
        <v>,{"type":"polyline","latLngs":[{"lat":35.441704,"lng":133.329054},{"lat":35.439991,"lng":133.331279}],"color":"teal"}</v>
      </c>
      <c r="BA122" s="40" t="s">
        <v>691</v>
      </c>
      <c r="BB122" s="56">
        <f t="shared" ca="1" si="15"/>
        <v>35.441704000000001</v>
      </c>
      <c r="BC122" s="40" t="s">
        <v>684</v>
      </c>
      <c r="BD122" s="56">
        <f t="shared" ca="1" si="16"/>
        <v>133.32905400000001</v>
      </c>
      <c r="BE122" s="40" t="s">
        <v>692</v>
      </c>
      <c r="BF122" s="40" t="str">
        <f t="shared" ca="1" si="17"/>
        <v>teal</v>
      </c>
      <c r="BG122" s="40" t="s">
        <v>688</v>
      </c>
      <c r="BH122" s="40" t="str">
        <f t="shared" ca="1" si="18"/>
        <v>,{"type":"marker","latLng":{"lat":35.441704,"lng":133.329054},"color":"teal"}</v>
      </c>
      <c r="BI122" s="40" t="s">
        <v>693</v>
      </c>
      <c r="BJ122" s="40" t="s">
        <v>694</v>
      </c>
      <c r="BK122" s="267" t="str">
        <f t="shared" ca="1" si="19"/>
        <v>,{"type":"polyline","latLngs":[{"lat":35.441704,"lng":133.329054},{"lat":35.439991,"lng":133.331279}],"color":"teal"}</v>
      </c>
      <c r="BL122" s="40"/>
      <c r="BM122" s="40"/>
      <c r="BN122" s="40"/>
      <c r="BO122" s="40"/>
      <c r="BP122" s="40"/>
      <c r="BQ122" s="40"/>
      <c r="BR122" s="40"/>
      <c r="BS122" s="40"/>
      <c r="BT122" s="40"/>
      <c r="BU122" s="40"/>
      <c r="BV122" s="40"/>
      <c r="BW122" s="40"/>
      <c r="BX122" s="40"/>
      <c r="BY122" s="40"/>
      <c r="BZ122" s="40"/>
      <c r="CA122" s="40"/>
      <c r="CB122" s="40"/>
      <c r="CC122" s="40"/>
      <c r="CD122" s="40"/>
      <c r="CE122" s="40"/>
      <c r="CF122" s="40"/>
      <c r="CG122" s="40"/>
      <c r="CH122" s="40"/>
    </row>
    <row r="123" spans="1:86" ht="17.5">
      <c r="A123" s="40"/>
      <c r="B123" s="260" t="str">
        <f ca="1">IFERROR(__xludf.DUMMYFUNCTION("""COMPUTED_VALUE"""),"P210")</f>
        <v>P210</v>
      </c>
      <c r="C123" s="273" t="str">
        <f ca="1">IFERROR(__xludf.DUMMYFUNCTION("""COMPUTED_VALUE"""),"祇園地蔵")</f>
        <v>祇園地蔵</v>
      </c>
      <c r="D123" s="273">
        <f ca="1">IFERROR(__xludf.DUMMYFUNCTION("""COMPUTED_VALUE"""),35.423166)</f>
        <v>35.423166000000002</v>
      </c>
      <c r="E123" s="273">
        <f ca="1">IFERROR(__xludf.DUMMYFUNCTION("""COMPUTED_VALUE"""),133.327908)</f>
        <v>133.32790800000001</v>
      </c>
      <c r="F123" s="40"/>
      <c r="G123" s="261"/>
      <c r="H123" s="262" t="s">
        <v>672</v>
      </c>
      <c r="I123" s="271" t="str">
        <f ca="1">IFERROR(__xludf.DUMMYFUNCTION("""COMPUTED_VALUE"""),"Agent05")</f>
        <v>Agent05</v>
      </c>
      <c r="J123" s="271" t="str">
        <f ca="1">IFERROR(__xludf.DUMMYFUNCTION("""COMPUTED_VALUE"""),"P96")</f>
        <v>P96</v>
      </c>
      <c r="K123" s="271" t="str">
        <f ca="1">IFERROR(__xludf.DUMMYFUNCTION("""COMPUTED_VALUE"""),"P100")</f>
        <v>P100</v>
      </c>
      <c r="L123" s="242" t="s">
        <v>681</v>
      </c>
      <c r="M123" s="263" t="str">
        <f t="shared" ca="1" si="0"/>
        <v>teal</v>
      </c>
      <c r="N123" s="264" t="str">
        <f ca="1">IFERROR(__xludf.DUMMYFUNCTION("FILTER(C:E,B:B=J123)"),"米原のINFORMATION")</f>
        <v>米原のINFORMATION</v>
      </c>
      <c r="O123" s="265">
        <f ca="1">IFERROR(__xludf.DUMMYFUNCTION("""COMPUTED_VALUE"""),35.441704)</f>
        <v>35.441704000000001</v>
      </c>
      <c r="P123" s="265">
        <f ca="1">IFERROR(__xludf.DUMMYFUNCTION("""COMPUTED_VALUE"""),133.329054)</f>
        <v>133.32905400000001</v>
      </c>
      <c r="Q123" s="264" t="str">
        <f ca="1">IFERROR(__xludf.DUMMYFUNCTION("FILTER(C:E,B:B=K123)"),"MEGAドン・キホーテ米子店の壁画")</f>
        <v>MEGAドン・キホーテ米子店の壁画</v>
      </c>
      <c r="R123" s="265">
        <f ca="1">IFERROR(__xludf.DUMMYFUNCTION("""COMPUTED_VALUE"""),35.442218)</f>
        <v>35.442217999999997</v>
      </c>
      <c r="S123" s="265">
        <f ca="1">IFERROR(__xludf.DUMMYFUNCTION("""COMPUTED_VALUE"""),133.331059)</f>
        <v>133.33105900000001</v>
      </c>
      <c r="T123" s="264" t="str">
        <f ca="1">IFERROR(__xludf.DUMMYFUNCTION("FILTER(C:E,B:B=L123)")," ")</f>
        <v xml:space="preserve"> </v>
      </c>
      <c r="U123" s="40" t="str">
        <f ca="1">IFERROR(__xludf.DUMMYFUNCTION("""COMPUTED_VALUE""")," ")</f>
        <v xml:space="preserve"> </v>
      </c>
      <c r="V123" s="40" t="str">
        <f ca="1">IFERROR(__xludf.DUMMYFUNCTION("""COMPUTED_VALUE""")," ")</f>
        <v xml:space="preserve"> </v>
      </c>
      <c r="W123" s="40" t="str">
        <f t="shared" ca="1" si="21"/>
        <v>,</v>
      </c>
      <c r="X123" s="40" t="s">
        <v>682</v>
      </c>
      <c r="Y123" s="40" t="s">
        <v>683</v>
      </c>
      <c r="Z123" s="264">
        <f t="shared" ca="1" si="1"/>
        <v>35.441704000000001</v>
      </c>
      <c r="AA123" s="40" t="s">
        <v>684</v>
      </c>
      <c r="AB123" s="264">
        <f t="shared" ca="1" si="2"/>
        <v>133.32905400000001</v>
      </c>
      <c r="AC123" s="40" t="s">
        <v>685</v>
      </c>
      <c r="AD123" s="264">
        <f t="shared" ca="1" si="3"/>
        <v>35.442217999999997</v>
      </c>
      <c r="AE123" s="40" t="s">
        <v>684</v>
      </c>
      <c r="AF123" s="264">
        <f t="shared" ca="1" si="4"/>
        <v>133.33105900000001</v>
      </c>
      <c r="AG123" s="40" t="s">
        <v>686</v>
      </c>
      <c r="AH123" s="264" t="str">
        <f t="shared" ca="1" si="5"/>
        <v xml:space="preserve"> </v>
      </c>
      <c r="AI123" s="40" t="s">
        <v>684</v>
      </c>
      <c r="AJ123" s="264" t="str">
        <f t="shared" ca="1" si="6"/>
        <v xml:space="preserve"> </v>
      </c>
      <c r="AK123" s="40" t="s">
        <v>687</v>
      </c>
      <c r="AL123" s="264" t="str">
        <f t="shared" ca="1" si="7"/>
        <v>teal</v>
      </c>
      <c r="AM123" s="40" t="s">
        <v>688</v>
      </c>
      <c r="AN123" s="40" t="str">
        <f t="shared" ca="1" si="8"/>
        <v>,{"type":"polygon","latLngs":[ {"lat":35.441704,"lng":133.329054}, {"lat":35.442218,"lng":133.331059},{"lat": ,"lng": }], "color":"teal"}</v>
      </c>
      <c r="AO123" s="266" t="s">
        <v>689</v>
      </c>
      <c r="AP123" s="56">
        <f t="shared" ca="1" si="9"/>
        <v>35.441704000000001</v>
      </c>
      <c r="AQ123" s="40" t="s">
        <v>684</v>
      </c>
      <c r="AR123" s="56">
        <f t="shared" ca="1" si="10"/>
        <v>133.32905400000001</v>
      </c>
      <c r="AS123" s="40" t="s">
        <v>686</v>
      </c>
      <c r="AT123" s="56">
        <f t="shared" ca="1" si="11"/>
        <v>35.442217999999997</v>
      </c>
      <c r="AU123" s="40" t="s">
        <v>684</v>
      </c>
      <c r="AV123" s="56">
        <f t="shared" ca="1" si="12"/>
        <v>133.33105900000001</v>
      </c>
      <c r="AW123" s="40" t="s">
        <v>690</v>
      </c>
      <c r="AX123" s="40" t="str">
        <f t="shared" ca="1" si="13"/>
        <v>teal</v>
      </c>
      <c r="AY123" s="40" t="s">
        <v>688</v>
      </c>
      <c r="AZ123" s="40" t="str">
        <f t="shared" ca="1" si="14"/>
        <v>,{"type":"polyline","latLngs":[{"lat":35.441704,"lng":133.329054},{"lat":35.442218,"lng":133.331059}],"color":"teal"}</v>
      </c>
      <c r="BA123" s="40" t="s">
        <v>691</v>
      </c>
      <c r="BB123" s="56">
        <f t="shared" ca="1" si="15"/>
        <v>35.441704000000001</v>
      </c>
      <c r="BC123" s="40" t="s">
        <v>684</v>
      </c>
      <c r="BD123" s="56">
        <f t="shared" ca="1" si="16"/>
        <v>133.32905400000001</v>
      </c>
      <c r="BE123" s="40" t="s">
        <v>692</v>
      </c>
      <c r="BF123" s="40" t="str">
        <f t="shared" ca="1" si="17"/>
        <v>teal</v>
      </c>
      <c r="BG123" s="40" t="s">
        <v>688</v>
      </c>
      <c r="BH123" s="40" t="str">
        <f t="shared" ca="1" si="18"/>
        <v>,{"type":"marker","latLng":{"lat":35.441704,"lng":133.329054},"color":"teal"}</v>
      </c>
      <c r="BI123" s="40" t="s">
        <v>693</v>
      </c>
      <c r="BJ123" s="40" t="s">
        <v>694</v>
      </c>
      <c r="BK123" s="267" t="str">
        <f t="shared" ca="1" si="19"/>
        <v>,{"type":"polyline","latLngs":[{"lat":35.441704,"lng":133.329054},{"lat":35.442218,"lng":133.331059}],"color":"teal"}</v>
      </c>
      <c r="BL123" s="40"/>
      <c r="BM123" s="40"/>
      <c r="BN123" s="40"/>
      <c r="BO123" s="40"/>
      <c r="BP123" s="40"/>
      <c r="BQ123" s="40"/>
      <c r="BR123" s="40"/>
      <c r="BS123" s="40"/>
      <c r="BT123" s="40"/>
      <c r="BU123" s="40"/>
      <c r="BV123" s="40"/>
      <c r="BW123" s="40"/>
      <c r="BX123" s="40"/>
      <c r="BY123" s="40"/>
      <c r="BZ123" s="40"/>
      <c r="CA123" s="40"/>
      <c r="CB123" s="40"/>
      <c r="CC123" s="40"/>
      <c r="CD123" s="40"/>
      <c r="CE123" s="40"/>
      <c r="CF123" s="40"/>
      <c r="CG123" s="40"/>
      <c r="CH123" s="40"/>
    </row>
    <row r="124" spans="1:86" ht="17.5">
      <c r="A124" s="40"/>
      <c r="B124" s="260" t="str">
        <f ca="1">IFERROR(__xludf.DUMMYFUNCTION("""COMPUTED_VALUE"""),"P211")</f>
        <v>P211</v>
      </c>
      <c r="C124" s="273" t="str">
        <f ca="1">IFERROR(__xludf.DUMMYFUNCTION("""COMPUTED_VALUE"""),"油そば 笑ちゃん")</f>
        <v>油そば 笑ちゃん</v>
      </c>
      <c r="D124" s="273">
        <f ca="1">IFERROR(__xludf.DUMMYFUNCTION("""COMPUTED_VALUE"""),35.423185)</f>
        <v>35.423184999999997</v>
      </c>
      <c r="E124" s="273">
        <f ca="1">IFERROR(__xludf.DUMMYFUNCTION("""COMPUTED_VALUE"""),133.33409)</f>
        <v>133.33409</v>
      </c>
      <c r="F124" s="40"/>
      <c r="G124" s="261"/>
      <c r="H124" s="262" t="s">
        <v>672</v>
      </c>
      <c r="I124" s="271" t="str">
        <f ca="1">IFERROR(__xludf.DUMMYFUNCTION("""COMPUTED_VALUE"""),"Agent05")</f>
        <v>Agent05</v>
      </c>
      <c r="J124" s="271" t="str">
        <f ca="1">IFERROR(__xludf.DUMMYFUNCTION("""COMPUTED_VALUE"""),"P96")</f>
        <v>P96</v>
      </c>
      <c r="K124" s="271" t="str">
        <f ca="1">IFERROR(__xludf.DUMMYFUNCTION("""COMPUTED_VALUE"""),"P101")</f>
        <v>P101</v>
      </c>
      <c r="L124" s="242" t="s">
        <v>681</v>
      </c>
      <c r="M124" s="263" t="str">
        <f t="shared" ca="1" si="0"/>
        <v>teal</v>
      </c>
      <c r="N124" s="264" t="str">
        <f ca="1">IFERROR(__xludf.DUMMYFUNCTION("FILTER(C:E,B:B=J124)"),"米原のINFORMATION")</f>
        <v>米原のINFORMATION</v>
      </c>
      <c r="O124" s="265">
        <f ca="1">IFERROR(__xludf.DUMMYFUNCTION("""COMPUTED_VALUE"""),35.441704)</f>
        <v>35.441704000000001</v>
      </c>
      <c r="P124" s="265">
        <f ca="1">IFERROR(__xludf.DUMMYFUNCTION("""COMPUTED_VALUE"""),133.329054)</f>
        <v>133.32905400000001</v>
      </c>
      <c r="Q124" s="264" t="str">
        <f ca="1">IFERROR(__xludf.DUMMYFUNCTION("FILTER(C:E,B:B=K124)"),"弓ヶ浜の母なる水 米川")</f>
        <v>弓ヶ浜の母なる水 米川</v>
      </c>
      <c r="R124" s="265">
        <f ca="1">IFERROR(__xludf.DUMMYFUNCTION("""COMPUTED_VALUE"""),35.442265)</f>
        <v>35.442264999999999</v>
      </c>
      <c r="S124" s="265">
        <f ca="1">IFERROR(__xludf.DUMMYFUNCTION("""COMPUTED_VALUE"""),133.331829)</f>
        <v>133.331829</v>
      </c>
      <c r="T124" s="264" t="str">
        <f ca="1">IFERROR(__xludf.DUMMYFUNCTION("FILTER(C:E,B:B=L124)")," ")</f>
        <v xml:space="preserve"> </v>
      </c>
      <c r="U124" s="40" t="str">
        <f ca="1">IFERROR(__xludf.DUMMYFUNCTION("""COMPUTED_VALUE""")," ")</f>
        <v xml:space="preserve"> </v>
      </c>
      <c r="V124" s="40" t="str">
        <f ca="1">IFERROR(__xludf.DUMMYFUNCTION("""COMPUTED_VALUE""")," ")</f>
        <v xml:space="preserve"> </v>
      </c>
      <c r="W124" s="40" t="str">
        <f t="shared" ca="1" si="21"/>
        <v>,</v>
      </c>
      <c r="X124" s="40" t="s">
        <v>682</v>
      </c>
      <c r="Y124" s="40" t="s">
        <v>683</v>
      </c>
      <c r="Z124" s="264">
        <f t="shared" ca="1" si="1"/>
        <v>35.441704000000001</v>
      </c>
      <c r="AA124" s="40" t="s">
        <v>684</v>
      </c>
      <c r="AB124" s="264">
        <f t="shared" ca="1" si="2"/>
        <v>133.32905400000001</v>
      </c>
      <c r="AC124" s="40" t="s">
        <v>685</v>
      </c>
      <c r="AD124" s="264">
        <f t="shared" ca="1" si="3"/>
        <v>35.442264999999999</v>
      </c>
      <c r="AE124" s="40" t="s">
        <v>684</v>
      </c>
      <c r="AF124" s="264">
        <f t="shared" ca="1" si="4"/>
        <v>133.331829</v>
      </c>
      <c r="AG124" s="40" t="s">
        <v>686</v>
      </c>
      <c r="AH124" s="264" t="str">
        <f t="shared" ca="1" si="5"/>
        <v xml:space="preserve"> </v>
      </c>
      <c r="AI124" s="40" t="s">
        <v>684</v>
      </c>
      <c r="AJ124" s="264" t="str">
        <f t="shared" ca="1" si="6"/>
        <v xml:space="preserve"> </v>
      </c>
      <c r="AK124" s="40" t="s">
        <v>687</v>
      </c>
      <c r="AL124" s="264" t="str">
        <f t="shared" ca="1" si="7"/>
        <v>teal</v>
      </c>
      <c r="AM124" s="40" t="s">
        <v>688</v>
      </c>
      <c r="AN124" s="40" t="str">
        <f t="shared" ca="1" si="8"/>
        <v>,{"type":"polygon","latLngs":[ {"lat":35.441704,"lng":133.329054}, {"lat":35.442265,"lng":133.331829},{"lat": ,"lng": }], "color":"teal"}</v>
      </c>
      <c r="AO124" s="266" t="s">
        <v>689</v>
      </c>
      <c r="AP124" s="56">
        <f t="shared" ca="1" si="9"/>
        <v>35.441704000000001</v>
      </c>
      <c r="AQ124" s="40" t="s">
        <v>684</v>
      </c>
      <c r="AR124" s="56">
        <f t="shared" ca="1" si="10"/>
        <v>133.32905400000001</v>
      </c>
      <c r="AS124" s="40" t="s">
        <v>686</v>
      </c>
      <c r="AT124" s="56">
        <f t="shared" ca="1" si="11"/>
        <v>35.442264999999999</v>
      </c>
      <c r="AU124" s="40" t="s">
        <v>684</v>
      </c>
      <c r="AV124" s="56">
        <f t="shared" ca="1" si="12"/>
        <v>133.331829</v>
      </c>
      <c r="AW124" s="40" t="s">
        <v>690</v>
      </c>
      <c r="AX124" s="40" t="str">
        <f t="shared" ca="1" si="13"/>
        <v>teal</v>
      </c>
      <c r="AY124" s="40" t="s">
        <v>688</v>
      </c>
      <c r="AZ124" s="40" t="str">
        <f t="shared" ca="1" si="14"/>
        <v>,{"type":"polyline","latLngs":[{"lat":35.441704,"lng":133.329054},{"lat":35.442265,"lng":133.331829}],"color":"teal"}</v>
      </c>
      <c r="BA124" s="40" t="s">
        <v>691</v>
      </c>
      <c r="BB124" s="56">
        <f t="shared" ca="1" si="15"/>
        <v>35.441704000000001</v>
      </c>
      <c r="BC124" s="40" t="s">
        <v>684</v>
      </c>
      <c r="BD124" s="56">
        <f t="shared" ca="1" si="16"/>
        <v>133.32905400000001</v>
      </c>
      <c r="BE124" s="40" t="s">
        <v>692</v>
      </c>
      <c r="BF124" s="40" t="str">
        <f t="shared" ca="1" si="17"/>
        <v>teal</v>
      </c>
      <c r="BG124" s="40" t="s">
        <v>688</v>
      </c>
      <c r="BH124" s="40" t="str">
        <f t="shared" ca="1" si="18"/>
        <v>,{"type":"marker","latLng":{"lat":35.441704,"lng":133.329054},"color":"teal"}</v>
      </c>
      <c r="BI124" s="40" t="s">
        <v>693</v>
      </c>
      <c r="BJ124" s="40" t="s">
        <v>694</v>
      </c>
      <c r="BK124" s="267" t="str">
        <f t="shared" ca="1" si="19"/>
        <v>,{"type":"polyline","latLngs":[{"lat":35.441704,"lng":133.329054},{"lat":35.442265,"lng":133.331829}],"color":"teal"}</v>
      </c>
      <c r="BL124" s="40"/>
      <c r="BM124" s="40"/>
      <c r="BN124" s="40"/>
      <c r="BO124" s="40"/>
      <c r="BP124" s="40"/>
      <c r="BQ124" s="40"/>
      <c r="BR124" s="40"/>
      <c r="BS124" s="40"/>
      <c r="BT124" s="40"/>
      <c r="BU124" s="40"/>
      <c r="BV124" s="40"/>
      <c r="BW124" s="40"/>
      <c r="BX124" s="40"/>
      <c r="BY124" s="40"/>
      <c r="BZ124" s="40"/>
      <c r="CA124" s="40"/>
      <c r="CB124" s="40"/>
      <c r="CC124" s="40"/>
      <c r="CD124" s="40"/>
      <c r="CE124" s="40"/>
      <c r="CF124" s="40"/>
      <c r="CG124" s="40"/>
      <c r="CH124" s="40"/>
    </row>
    <row r="125" spans="1:86" ht="17.5">
      <c r="A125" s="40"/>
      <c r="B125" s="260" t="str">
        <f ca="1">IFERROR(__xludf.DUMMYFUNCTION("""COMPUTED_VALUE"""),"P212")</f>
        <v>P212</v>
      </c>
      <c r="C125" s="273" t="str">
        <f ca="1">IFERROR(__xludf.DUMMYFUNCTION("""COMPUTED_VALUE"""),"彫刻ロード「光」")</f>
        <v>彫刻ロード「光」</v>
      </c>
      <c r="D125" s="273">
        <f ca="1">IFERROR(__xludf.DUMMYFUNCTION("""COMPUTED_VALUE"""),35.423258)</f>
        <v>35.423257999999997</v>
      </c>
      <c r="E125" s="273">
        <f ca="1">IFERROR(__xludf.DUMMYFUNCTION("""COMPUTED_VALUE"""),133.326555)</f>
        <v>133.32655500000001</v>
      </c>
      <c r="F125" s="40"/>
      <c r="G125" s="261"/>
      <c r="H125" s="262" t="s">
        <v>672</v>
      </c>
      <c r="I125" s="271" t="str">
        <f ca="1">IFERROR(__xludf.DUMMYFUNCTION("""COMPUTED_VALUE"""),"Agent05")</f>
        <v>Agent05</v>
      </c>
      <c r="J125" s="271" t="str">
        <f ca="1">IFERROR(__xludf.DUMMYFUNCTION("""COMPUTED_VALUE"""),"P96")</f>
        <v>P96</v>
      </c>
      <c r="K125" s="271" t="str">
        <f ca="1">IFERROR(__xludf.DUMMYFUNCTION("""COMPUTED_VALUE"""),"P76")</f>
        <v>P76</v>
      </c>
      <c r="L125" s="242" t="s">
        <v>681</v>
      </c>
      <c r="M125" s="263" t="str">
        <f t="shared" ca="1" si="0"/>
        <v>teal</v>
      </c>
      <c r="N125" s="264" t="str">
        <f ca="1">IFERROR(__xludf.DUMMYFUNCTION("FILTER(C:E,B:B=J125)"),"米原のINFORMATION")</f>
        <v>米原のINFORMATION</v>
      </c>
      <c r="O125" s="265">
        <f ca="1">IFERROR(__xludf.DUMMYFUNCTION("""COMPUTED_VALUE"""),35.441704)</f>
        <v>35.441704000000001</v>
      </c>
      <c r="P125" s="265">
        <f ca="1">IFERROR(__xludf.DUMMYFUNCTION("""COMPUTED_VALUE"""),133.329054)</f>
        <v>133.32905400000001</v>
      </c>
      <c r="Q125" s="264" t="str">
        <f ca="1">IFERROR(__xludf.DUMMYFUNCTION("FILTER(C:E,B:B=K125)"),"焼肉大門")</f>
        <v>焼肉大門</v>
      </c>
      <c r="R125" s="265">
        <f ca="1">IFERROR(__xludf.DUMMYFUNCTION("""COMPUTED_VALUE"""),35.438687)</f>
        <v>35.438687000000002</v>
      </c>
      <c r="S125" s="265">
        <f ca="1">IFERROR(__xludf.DUMMYFUNCTION("""COMPUTED_VALUE"""),133.325304)</f>
        <v>133.32530399999999</v>
      </c>
      <c r="T125" s="264" t="str">
        <f ca="1">IFERROR(__xludf.DUMMYFUNCTION("FILTER(C:E,B:B=L125)")," ")</f>
        <v xml:space="preserve"> </v>
      </c>
      <c r="U125" s="40" t="str">
        <f ca="1">IFERROR(__xludf.DUMMYFUNCTION("""COMPUTED_VALUE""")," ")</f>
        <v xml:space="preserve"> </v>
      </c>
      <c r="V125" s="40" t="str">
        <f ca="1">IFERROR(__xludf.DUMMYFUNCTION("""COMPUTED_VALUE""")," ")</f>
        <v xml:space="preserve"> </v>
      </c>
      <c r="W125" s="40" t="str">
        <f t="shared" ca="1" si="21"/>
        <v>,</v>
      </c>
      <c r="X125" s="40" t="s">
        <v>682</v>
      </c>
      <c r="Y125" s="40" t="s">
        <v>683</v>
      </c>
      <c r="Z125" s="264">
        <f t="shared" ca="1" si="1"/>
        <v>35.441704000000001</v>
      </c>
      <c r="AA125" s="40" t="s">
        <v>684</v>
      </c>
      <c r="AB125" s="264">
        <f t="shared" ca="1" si="2"/>
        <v>133.32905400000001</v>
      </c>
      <c r="AC125" s="40" t="s">
        <v>685</v>
      </c>
      <c r="AD125" s="264">
        <f t="shared" ca="1" si="3"/>
        <v>35.438687000000002</v>
      </c>
      <c r="AE125" s="40" t="s">
        <v>684</v>
      </c>
      <c r="AF125" s="264">
        <f t="shared" ca="1" si="4"/>
        <v>133.32530399999999</v>
      </c>
      <c r="AG125" s="40" t="s">
        <v>686</v>
      </c>
      <c r="AH125" s="264" t="str">
        <f t="shared" ca="1" si="5"/>
        <v xml:space="preserve"> </v>
      </c>
      <c r="AI125" s="40" t="s">
        <v>684</v>
      </c>
      <c r="AJ125" s="264" t="str">
        <f t="shared" ca="1" si="6"/>
        <v xml:space="preserve"> </v>
      </c>
      <c r="AK125" s="40" t="s">
        <v>687</v>
      </c>
      <c r="AL125" s="264" t="str">
        <f t="shared" ca="1" si="7"/>
        <v>teal</v>
      </c>
      <c r="AM125" s="40" t="s">
        <v>688</v>
      </c>
      <c r="AN125" s="40" t="str">
        <f t="shared" ca="1" si="8"/>
        <v>,{"type":"polygon","latLngs":[ {"lat":35.441704,"lng":133.329054}, {"lat":35.438687,"lng":133.325304},{"lat": ,"lng": }], "color":"teal"}</v>
      </c>
      <c r="AO125" s="266" t="s">
        <v>689</v>
      </c>
      <c r="AP125" s="56">
        <f t="shared" ca="1" si="9"/>
        <v>35.441704000000001</v>
      </c>
      <c r="AQ125" s="40" t="s">
        <v>684</v>
      </c>
      <c r="AR125" s="56">
        <f t="shared" ca="1" si="10"/>
        <v>133.32905400000001</v>
      </c>
      <c r="AS125" s="40" t="s">
        <v>686</v>
      </c>
      <c r="AT125" s="56">
        <f t="shared" ca="1" si="11"/>
        <v>35.438687000000002</v>
      </c>
      <c r="AU125" s="40" t="s">
        <v>684</v>
      </c>
      <c r="AV125" s="56">
        <f t="shared" ca="1" si="12"/>
        <v>133.32530399999999</v>
      </c>
      <c r="AW125" s="40" t="s">
        <v>690</v>
      </c>
      <c r="AX125" s="40" t="str">
        <f t="shared" ca="1" si="13"/>
        <v>teal</v>
      </c>
      <c r="AY125" s="40" t="s">
        <v>688</v>
      </c>
      <c r="AZ125" s="40" t="str">
        <f t="shared" ca="1" si="14"/>
        <v>,{"type":"polyline","latLngs":[{"lat":35.441704,"lng":133.329054},{"lat":35.438687,"lng":133.325304}],"color":"teal"}</v>
      </c>
      <c r="BA125" s="40" t="s">
        <v>691</v>
      </c>
      <c r="BB125" s="56">
        <f t="shared" ca="1" si="15"/>
        <v>35.441704000000001</v>
      </c>
      <c r="BC125" s="40" t="s">
        <v>684</v>
      </c>
      <c r="BD125" s="56">
        <f t="shared" ca="1" si="16"/>
        <v>133.32905400000001</v>
      </c>
      <c r="BE125" s="40" t="s">
        <v>692</v>
      </c>
      <c r="BF125" s="40" t="str">
        <f t="shared" ca="1" si="17"/>
        <v>teal</v>
      </c>
      <c r="BG125" s="40" t="s">
        <v>688</v>
      </c>
      <c r="BH125" s="40" t="str">
        <f t="shared" ca="1" si="18"/>
        <v>,{"type":"marker","latLng":{"lat":35.441704,"lng":133.329054},"color":"teal"}</v>
      </c>
      <c r="BI125" s="40" t="s">
        <v>693</v>
      </c>
      <c r="BJ125" s="40" t="s">
        <v>694</v>
      </c>
      <c r="BK125" s="267" t="str">
        <f t="shared" ca="1" si="19"/>
        <v>,{"type":"polyline","latLngs":[{"lat":35.441704,"lng":133.329054},{"lat":35.438687,"lng":133.325304}],"color":"teal"}</v>
      </c>
      <c r="BL125" s="40"/>
      <c r="BM125" s="40"/>
      <c r="BN125" s="40"/>
      <c r="BO125" s="40"/>
      <c r="BP125" s="40"/>
      <c r="BQ125" s="40"/>
      <c r="BR125" s="40"/>
      <c r="BS125" s="40"/>
      <c r="BT125" s="40"/>
      <c r="BU125" s="40"/>
      <c r="BV125" s="40"/>
      <c r="BW125" s="40"/>
      <c r="BX125" s="40"/>
      <c r="BY125" s="40"/>
      <c r="BZ125" s="40"/>
      <c r="CA125" s="40"/>
      <c r="CB125" s="40"/>
      <c r="CC125" s="40"/>
      <c r="CD125" s="40"/>
      <c r="CE125" s="40"/>
      <c r="CF125" s="40"/>
      <c r="CG125" s="40"/>
      <c r="CH125" s="40"/>
    </row>
    <row r="126" spans="1:86" ht="17.5">
      <c r="A126" s="40"/>
      <c r="B126" s="260" t="str">
        <f ca="1">IFERROR(__xludf.DUMMYFUNCTION("""COMPUTED_VALUE"""),"P213")</f>
        <v>P213</v>
      </c>
      <c r="C126" s="273" t="str">
        <f ca="1">IFERROR(__xludf.DUMMYFUNCTION("""COMPUTED_VALUE"""),"白鳥")</f>
        <v>白鳥</v>
      </c>
      <c r="D126" s="273">
        <f ca="1">IFERROR(__xludf.DUMMYFUNCTION("""COMPUTED_VALUE"""),35.423286)</f>
        <v>35.423285999999997</v>
      </c>
      <c r="E126" s="273">
        <f ca="1">IFERROR(__xludf.DUMMYFUNCTION("""COMPUTED_VALUE"""),133.329341)</f>
        <v>133.329341</v>
      </c>
      <c r="F126" s="40"/>
      <c r="G126" s="261"/>
      <c r="H126" s="262" t="s">
        <v>672</v>
      </c>
      <c r="I126" s="271" t="str">
        <f ca="1">IFERROR(__xludf.DUMMYFUNCTION("""COMPUTED_VALUE"""),"Agent05")</f>
        <v>Agent05</v>
      </c>
      <c r="J126" s="271" t="str">
        <f ca="1">IFERROR(__xludf.DUMMYFUNCTION("""COMPUTED_VALUE"""),"P104")</f>
        <v>P104</v>
      </c>
      <c r="K126" s="271" t="str">
        <f ca="1">IFERROR(__xludf.DUMMYFUNCTION("""COMPUTED_VALUE"""),"P96")</f>
        <v>P96</v>
      </c>
      <c r="L126" s="242" t="s">
        <v>681</v>
      </c>
      <c r="M126" s="263" t="str">
        <f t="shared" ca="1" si="0"/>
        <v>teal</v>
      </c>
      <c r="N126" s="264" t="str">
        <f ca="1">IFERROR(__xludf.DUMMYFUNCTION("FILTER(C:E,B:B=J126)"),"ホリデイスポーツクラブ")</f>
        <v>ホリデイスポーツクラブ</v>
      </c>
      <c r="O126" s="265">
        <f ca="1">IFERROR(__xludf.DUMMYFUNCTION("""COMPUTED_VALUE"""),35.443406)</f>
        <v>35.443406000000003</v>
      </c>
      <c r="P126" s="265">
        <f ca="1">IFERROR(__xludf.DUMMYFUNCTION("""COMPUTED_VALUE"""),133.328615)</f>
        <v>133.32861500000001</v>
      </c>
      <c r="Q126" s="264" t="str">
        <f ca="1">IFERROR(__xludf.DUMMYFUNCTION("FILTER(C:E,B:B=K126)"),"米原のINFORMATION")</f>
        <v>米原のINFORMATION</v>
      </c>
      <c r="R126" s="265">
        <f ca="1">IFERROR(__xludf.DUMMYFUNCTION("""COMPUTED_VALUE"""),35.441704)</f>
        <v>35.441704000000001</v>
      </c>
      <c r="S126" s="265">
        <f ca="1">IFERROR(__xludf.DUMMYFUNCTION("""COMPUTED_VALUE"""),133.329054)</f>
        <v>133.32905400000001</v>
      </c>
      <c r="T126" s="264" t="str">
        <f ca="1">IFERROR(__xludf.DUMMYFUNCTION("FILTER(C:E,B:B=L126)")," ")</f>
        <v xml:space="preserve"> </v>
      </c>
      <c r="U126" s="40" t="str">
        <f ca="1">IFERROR(__xludf.DUMMYFUNCTION("""COMPUTED_VALUE""")," ")</f>
        <v xml:space="preserve"> </v>
      </c>
      <c r="V126" s="40" t="str">
        <f ca="1">IFERROR(__xludf.DUMMYFUNCTION("""COMPUTED_VALUE""")," ")</f>
        <v xml:space="preserve"> </v>
      </c>
      <c r="W126" s="40" t="str">
        <f t="shared" ca="1" si="21"/>
        <v>,</v>
      </c>
      <c r="X126" s="40" t="s">
        <v>682</v>
      </c>
      <c r="Y126" s="40" t="s">
        <v>683</v>
      </c>
      <c r="Z126" s="264">
        <f t="shared" ca="1" si="1"/>
        <v>35.443406000000003</v>
      </c>
      <c r="AA126" s="40" t="s">
        <v>684</v>
      </c>
      <c r="AB126" s="264">
        <f t="shared" ca="1" si="2"/>
        <v>133.32861500000001</v>
      </c>
      <c r="AC126" s="40" t="s">
        <v>685</v>
      </c>
      <c r="AD126" s="264">
        <f t="shared" ca="1" si="3"/>
        <v>35.441704000000001</v>
      </c>
      <c r="AE126" s="40" t="s">
        <v>684</v>
      </c>
      <c r="AF126" s="264">
        <f t="shared" ca="1" si="4"/>
        <v>133.32905400000001</v>
      </c>
      <c r="AG126" s="40" t="s">
        <v>686</v>
      </c>
      <c r="AH126" s="264" t="str">
        <f t="shared" ca="1" si="5"/>
        <v xml:space="preserve"> </v>
      </c>
      <c r="AI126" s="40" t="s">
        <v>684</v>
      </c>
      <c r="AJ126" s="264" t="str">
        <f t="shared" ca="1" si="6"/>
        <v xml:space="preserve"> </v>
      </c>
      <c r="AK126" s="40" t="s">
        <v>687</v>
      </c>
      <c r="AL126" s="264" t="str">
        <f t="shared" ca="1" si="7"/>
        <v>teal</v>
      </c>
      <c r="AM126" s="40" t="s">
        <v>688</v>
      </c>
      <c r="AN126" s="40" t="str">
        <f t="shared" ca="1" si="8"/>
        <v>,{"type":"polygon","latLngs":[ {"lat":35.443406,"lng":133.328615}, {"lat":35.441704,"lng":133.329054},{"lat": ,"lng": }], "color":"teal"}</v>
      </c>
      <c r="AO126" s="266" t="s">
        <v>689</v>
      </c>
      <c r="AP126" s="56">
        <f t="shared" ca="1" si="9"/>
        <v>35.443406000000003</v>
      </c>
      <c r="AQ126" s="40" t="s">
        <v>684</v>
      </c>
      <c r="AR126" s="56">
        <f t="shared" ca="1" si="10"/>
        <v>133.32861500000001</v>
      </c>
      <c r="AS126" s="40" t="s">
        <v>686</v>
      </c>
      <c r="AT126" s="56">
        <f t="shared" ca="1" si="11"/>
        <v>35.441704000000001</v>
      </c>
      <c r="AU126" s="40" t="s">
        <v>684</v>
      </c>
      <c r="AV126" s="56">
        <f t="shared" ca="1" si="12"/>
        <v>133.32905400000001</v>
      </c>
      <c r="AW126" s="40" t="s">
        <v>690</v>
      </c>
      <c r="AX126" s="40" t="str">
        <f t="shared" ca="1" si="13"/>
        <v>teal</v>
      </c>
      <c r="AY126" s="40" t="s">
        <v>688</v>
      </c>
      <c r="AZ126" s="40" t="str">
        <f t="shared" ca="1" si="14"/>
        <v>,{"type":"polyline","latLngs":[{"lat":35.443406,"lng":133.328615},{"lat":35.441704,"lng":133.329054}],"color":"teal"}</v>
      </c>
      <c r="BA126" s="40" t="s">
        <v>691</v>
      </c>
      <c r="BB126" s="56">
        <f t="shared" ca="1" si="15"/>
        <v>35.443406000000003</v>
      </c>
      <c r="BC126" s="40" t="s">
        <v>684</v>
      </c>
      <c r="BD126" s="56">
        <f t="shared" ca="1" si="16"/>
        <v>133.32861500000001</v>
      </c>
      <c r="BE126" s="40" t="s">
        <v>692</v>
      </c>
      <c r="BF126" s="40" t="str">
        <f t="shared" ca="1" si="17"/>
        <v>teal</v>
      </c>
      <c r="BG126" s="40" t="s">
        <v>688</v>
      </c>
      <c r="BH126" s="40" t="str">
        <f t="shared" ca="1" si="18"/>
        <v>,{"type":"marker","latLng":{"lat":35.443406,"lng":133.328615},"color":"teal"}</v>
      </c>
      <c r="BI126" s="40" t="s">
        <v>693</v>
      </c>
      <c r="BJ126" s="40" t="s">
        <v>694</v>
      </c>
      <c r="BK126" s="267" t="str">
        <f t="shared" ca="1" si="19"/>
        <v>,{"type":"polyline","latLngs":[{"lat":35.443406,"lng":133.328615},{"lat":35.441704,"lng":133.329054}],"color":"teal"}</v>
      </c>
      <c r="BL126" s="40"/>
      <c r="BM126" s="40"/>
      <c r="BN126" s="40"/>
      <c r="BO126" s="40"/>
      <c r="BP126" s="40"/>
      <c r="BQ126" s="40"/>
      <c r="BR126" s="40"/>
      <c r="BS126" s="40"/>
      <c r="BT126" s="40"/>
      <c r="BU126" s="40"/>
      <c r="BV126" s="40"/>
      <c r="BW126" s="40"/>
      <c r="BX126" s="40"/>
      <c r="BY126" s="40"/>
      <c r="BZ126" s="40"/>
      <c r="CA126" s="40"/>
      <c r="CB126" s="40"/>
      <c r="CC126" s="40"/>
      <c r="CD126" s="40"/>
      <c r="CE126" s="40"/>
      <c r="CF126" s="40"/>
      <c r="CG126" s="40"/>
      <c r="CH126" s="40"/>
    </row>
    <row r="127" spans="1:86" ht="17.5">
      <c r="A127" s="40"/>
      <c r="B127" s="260" t="str">
        <f ca="1">IFERROR(__xludf.DUMMYFUNCTION("""COMPUTED_VALUE"""),"P214")</f>
        <v>P214</v>
      </c>
      <c r="C127" s="273" t="str">
        <f ca="1">IFERROR(__xludf.DUMMYFUNCTION("""COMPUTED_VALUE"""),"Café ら・ぼーる")</f>
        <v>Café ら・ぼーる</v>
      </c>
      <c r="D127" s="273">
        <f ca="1">IFERROR(__xludf.DUMMYFUNCTION("""COMPUTED_VALUE"""),35.423439)</f>
        <v>35.423439000000002</v>
      </c>
      <c r="E127" s="273">
        <f ca="1">IFERROR(__xludf.DUMMYFUNCTION("""COMPUTED_VALUE"""),133.333081)</f>
        <v>133.33308099999999</v>
      </c>
      <c r="F127" s="40"/>
      <c r="G127" s="261"/>
      <c r="H127" s="262" t="s">
        <v>672</v>
      </c>
      <c r="I127" s="271" t="str">
        <f ca="1">IFERROR(__xludf.DUMMYFUNCTION("""COMPUTED_VALUE"""),"Agent05")</f>
        <v>Agent05</v>
      </c>
      <c r="J127" s="271" t="str">
        <f ca="1">IFERROR(__xludf.DUMMYFUNCTION("""COMPUTED_VALUE"""),"P104")</f>
        <v>P104</v>
      </c>
      <c r="K127" s="271" t="str">
        <f ca="1">IFERROR(__xludf.DUMMYFUNCTION("""COMPUTED_VALUE"""),"P95")</f>
        <v>P95</v>
      </c>
      <c r="L127" s="242" t="s">
        <v>681</v>
      </c>
      <c r="M127" s="263" t="str">
        <f t="shared" ca="1" si="0"/>
        <v>teal</v>
      </c>
      <c r="N127" s="264" t="str">
        <f ca="1">IFERROR(__xludf.DUMMYFUNCTION("FILTER(C:E,B:B=J127)"),"ホリデイスポーツクラブ")</f>
        <v>ホリデイスポーツクラブ</v>
      </c>
      <c r="O127" s="265">
        <f ca="1">IFERROR(__xludf.DUMMYFUNCTION("""COMPUTED_VALUE"""),35.443406)</f>
        <v>35.443406000000003</v>
      </c>
      <c r="P127" s="265">
        <f ca="1">IFERROR(__xludf.DUMMYFUNCTION("""COMPUTED_VALUE"""),133.328615)</f>
        <v>133.32861500000001</v>
      </c>
      <c r="Q127" s="264" t="str">
        <f ca="1">IFERROR(__xludf.DUMMYFUNCTION("FILTER(C:E,B:B=K127)"),"Casa Dea")</f>
        <v>Casa Dea</v>
      </c>
      <c r="R127" s="265">
        <f ca="1">IFERROR(__xludf.DUMMYFUNCTION("""COMPUTED_VALUE"""),35.441694)</f>
        <v>35.441693999999998</v>
      </c>
      <c r="S127" s="265">
        <f ca="1">IFERROR(__xludf.DUMMYFUNCTION("""COMPUTED_VALUE"""),133.324346)</f>
        <v>133.32434599999999</v>
      </c>
      <c r="T127" s="264" t="str">
        <f ca="1">IFERROR(__xludf.DUMMYFUNCTION("FILTER(C:E,B:B=L127)")," ")</f>
        <v xml:space="preserve"> </v>
      </c>
      <c r="U127" s="40" t="str">
        <f ca="1">IFERROR(__xludf.DUMMYFUNCTION("""COMPUTED_VALUE""")," ")</f>
        <v xml:space="preserve"> </v>
      </c>
      <c r="V127" s="40" t="str">
        <f ca="1">IFERROR(__xludf.DUMMYFUNCTION("""COMPUTED_VALUE""")," ")</f>
        <v xml:space="preserve"> </v>
      </c>
      <c r="W127" s="40" t="str">
        <f t="shared" ca="1" si="21"/>
        <v>,</v>
      </c>
      <c r="X127" s="40" t="s">
        <v>682</v>
      </c>
      <c r="Y127" s="40" t="s">
        <v>683</v>
      </c>
      <c r="Z127" s="264">
        <f t="shared" ca="1" si="1"/>
        <v>35.443406000000003</v>
      </c>
      <c r="AA127" s="40" t="s">
        <v>684</v>
      </c>
      <c r="AB127" s="264">
        <f t="shared" ca="1" si="2"/>
        <v>133.32861500000001</v>
      </c>
      <c r="AC127" s="40" t="s">
        <v>685</v>
      </c>
      <c r="AD127" s="264">
        <f t="shared" ca="1" si="3"/>
        <v>35.441693999999998</v>
      </c>
      <c r="AE127" s="40" t="s">
        <v>684</v>
      </c>
      <c r="AF127" s="264">
        <f t="shared" ca="1" si="4"/>
        <v>133.32434599999999</v>
      </c>
      <c r="AG127" s="40" t="s">
        <v>686</v>
      </c>
      <c r="AH127" s="264" t="str">
        <f t="shared" ca="1" si="5"/>
        <v xml:space="preserve"> </v>
      </c>
      <c r="AI127" s="40" t="s">
        <v>684</v>
      </c>
      <c r="AJ127" s="264" t="str">
        <f t="shared" ca="1" si="6"/>
        <v xml:space="preserve"> </v>
      </c>
      <c r="AK127" s="40" t="s">
        <v>687</v>
      </c>
      <c r="AL127" s="264" t="str">
        <f t="shared" ca="1" si="7"/>
        <v>teal</v>
      </c>
      <c r="AM127" s="40" t="s">
        <v>688</v>
      </c>
      <c r="AN127" s="40" t="str">
        <f t="shared" ca="1" si="8"/>
        <v>,{"type":"polygon","latLngs":[ {"lat":35.443406,"lng":133.328615}, {"lat":35.441694,"lng":133.324346},{"lat": ,"lng": }], "color":"teal"}</v>
      </c>
      <c r="AO127" s="266" t="s">
        <v>689</v>
      </c>
      <c r="AP127" s="56">
        <f t="shared" ca="1" si="9"/>
        <v>35.443406000000003</v>
      </c>
      <c r="AQ127" s="40" t="s">
        <v>684</v>
      </c>
      <c r="AR127" s="56">
        <f t="shared" ca="1" si="10"/>
        <v>133.32861500000001</v>
      </c>
      <c r="AS127" s="40" t="s">
        <v>686</v>
      </c>
      <c r="AT127" s="56">
        <f t="shared" ca="1" si="11"/>
        <v>35.441693999999998</v>
      </c>
      <c r="AU127" s="40" t="s">
        <v>684</v>
      </c>
      <c r="AV127" s="56">
        <f t="shared" ca="1" si="12"/>
        <v>133.32434599999999</v>
      </c>
      <c r="AW127" s="40" t="s">
        <v>690</v>
      </c>
      <c r="AX127" s="40" t="str">
        <f t="shared" ca="1" si="13"/>
        <v>teal</v>
      </c>
      <c r="AY127" s="40" t="s">
        <v>688</v>
      </c>
      <c r="AZ127" s="40" t="str">
        <f t="shared" ca="1" si="14"/>
        <v>,{"type":"polyline","latLngs":[{"lat":35.443406,"lng":133.328615},{"lat":35.441694,"lng":133.324346}],"color":"teal"}</v>
      </c>
      <c r="BA127" s="40" t="s">
        <v>691</v>
      </c>
      <c r="BB127" s="56">
        <f t="shared" ca="1" si="15"/>
        <v>35.443406000000003</v>
      </c>
      <c r="BC127" s="40" t="s">
        <v>684</v>
      </c>
      <c r="BD127" s="56">
        <f t="shared" ca="1" si="16"/>
        <v>133.32861500000001</v>
      </c>
      <c r="BE127" s="40" t="s">
        <v>692</v>
      </c>
      <c r="BF127" s="40" t="str">
        <f t="shared" ca="1" si="17"/>
        <v>teal</v>
      </c>
      <c r="BG127" s="40" t="s">
        <v>688</v>
      </c>
      <c r="BH127" s="40" t="str">
        <f t="shared" ca="1" si="18"/>
        <v>,{"type":"marker","latLng":{"lat":35.443406,"lng":133.328615},"color":"teal"}</v>
      </c>
      <c r="BI127" s="40" t="s">
        <v>693</v>
      </c>
      <c r="BJ127" s="40" t="s">
        <v>694</v>
      </c>
      <c r="BK127" s="267" t="str">
        <f t="shared" ca="1" si="19"/>
        <v>,{"type":"polyline","latLngs":[{"lat":35.443406,"lng":133.328615},{"lat":35.441694,"lng":133.324346}],"color":"teal"}</v>
      </c>
      <c r="BL127" s="40"/>
      <c r="BM127" s="40"/>
      <c r="BN127" s="40"/>
      <c r="BO127" s="40"/>
      <c r="BP127" s="40"/>
      <c r="BQ127" s="40"/>
      <c r="BR127" s="40"/>
      <c r="BS127" s="40"/>
      <c r="BT127" s="40"/>
      <c r="BU127" s="40"/>
      <c r="BV127" s="40"/>
      <c r="BW127" s="40"/>
      <c r="BX127" s="40"/>
      <c r="BY127" s="40"/>
      <c r="BZ127" s="40"/>
      <c r="CA127" s="40"/>
      <c r="CB127" s="40"/>
      <c r="CC127" s="40"/>
      <c r="CD127" s="40"/>
      <c r="CE127" s="40"/>
      <c r="CF127" s="40"/>
      <c r="CG127" s="40"/>
      <c r="CH127" s="40"/>
    </row>
    <row r="128" spans="1:86" ht="17.5">
      <c r="A128" s="40"/>
      <c r="B128" s="260" t="str">
        <f ca="1">IFERROR(__xludf.DUMMYFUNCTION("""COMPUTED_VALUE"""),"P215")</f>
        <v>P215</v>
      </c>
      <c r="C128" s="273" t="str">
        <f ca="1">IFERROR(__xludf.DUMMYFUNCTION("""COMPUTED_VALUE"""),"彫刻ロード「再生」")</f>
        <v>彫刻ロード「再生」</v>
      </c>
      <c r="D128" s="273">
        <f ca="1">IFERROR(__xludf.DUMMYFUNCTION("""COMPUTED_VALUE"""),35.423592)</f>
        <v>35.423591999999999</v>
      </c>
      <c r="E128" s="273">
        <f ca="1">IFERROR(__xludf.DUMMYFUNCTION("""COMPUTED_VALUE"""),133.328052)</f>
        <v>133.32805200000001</v>
      </c>
      <c r="F128" s="40"/>
      <c r="G128" s="261"/>
      <c r="H128" s="262" t="s">
        <v>672</v>
      </c>
      <c r="I128" s="271" t="str">
        <f ca="1">IFERROR(__xludf.DUMMYFUNCTION("""COMPUTED_VALUE"""),"Agent05")</f>
        <v>Agent05</v>
      </c>
      <c r="J128" s="271" t="str">
        <f ca="1">IFERROR(__xludf.DUMMYFUNCTION("""COMPUTED_VALUE"""),"P104")</f>
        <v>P104</v>
      </c>
      <c r="K128" s="271" t="str">
        <f ca="1">IFERROR(__xludf.DUMMYFUNCTION("""COMPUTED_VALUE"""),"P98")</f>
        <v>P98</v>
      </c>
      <c r="L128" s="242" t="s">
        <v>681</v>
      </c>
      <c r="M128" s="263" t="str">
        <f t="shared" ca="1" si="0"/>
        <v>teal</v>
      </c>
      <c r="N128" s="264" t="str">
        <f ca="1">IFERROR(__xludf.DUMMYFUNCTION("FILTER(C:E,B:B=J128)"),"ホリデイスポーツクラブ")</f>
        <v>ホリデイスポーツクラブ</v>
      </c>
      <c r="O128" s="265">
        <f ca="1">IFERROR(__xludf.DUMMYFUNCTION("""COMPUTED_VALUE"""),35.443406)</f>
        <v>35.443406000000003</v>
      </c>
      <c r="P128" s="265">
        <f ca="1">IFERROR(__xludf.DUMMYFUNCTION("""COMPUTED_VALUE"""),133.328615)</f>
        <v>133.32861500000001</v>
      </c>
      <c r="Q128" s="264" t="str">
        <f ca="1">IFERROR(__xludf.DUMMYFUNCTION("FILTER(C:E,B:B=K128)"),"公園のブランコ")</f>
        <v>公園のブランコ</v>
      </c>
      <c r="R128" s="265">
        <f ca="1">IFERROR(__xludf.DUMMYFUNCTION("""COMPUTED_VALUE"""),35.441902)</f>
        <v>35.441901999999999</v>
      </c>
      <c r="S128" s="265">
        <f ca="1">IFERROR(__xludf.DUMMYFUNCTION("""COMPUTED_VALUE"""),133.326213)</f>
        <v>133.326213</v>
      </c>
      <c r="T128" s="264" t="str">
        <f ca="1">IFERROR(__xludf.DUMMYFUNCTION("FILTER(C:E,B:B=L128)")," ")</f>
        <v xml:space="preserve"> </v>
      </c>
      <c r="U128" s="40" t="str">
        <f ca="1">IFERROR(__xludf.DUMMYFUNCTION("""COMPUTED_VALUE""")," ")</f>
        <v xml:space="preserve"> </v>
      </c>
      <c r="V128" s="40" t="str">
        <f ca="1">IFERROR(__xludf.DUMMYFUNCTION("""COMPUTED_VALUE""")," ")</f>
        <v xml:space="preserve"> </v>
      </c>
      <c r="W128" s="40" t="str">
        <f t="shared" ca="1" si="21"/>
        <v>,</v>
      </c>
      <c r="X128" s="40" t="s">
        <v>682</v>
      </c>
      <c r="Y128" s="40" t="s">
        <v>683</v>
      </c>
      <c r="Z128" s="264">
        <f t="shared" ca="1" si="1"/>
        <v>35.443406000000003</v>
      </c>
      <c r="AA128" s="40" t="s">
        <v>684</v>
      </c>
      <c r="AB128" s="264">
        <f t="shared" ca="1" si="2"/>
        <v>133.32861500000001</v>
      </c>
      <c r="AC128" s="40" t="s">
        <v>685</v>
      </c>
      <c r="AD128" s="264">
        <f t="shared" ca="1" si="3"/>
        <v>35.441901999999999</v>
      </c>
      <c r="AE128" s="40" t="s">
        <v>684</v>
      </c>
      <c r="AF128" s="264">
        <f t="shared" ca="1" si="4"/>
        <v>133.326213</v>
      </c>
      <c r="AG128" s="40" t="s">
        <v>686</v>
      </c>
      <c r="AH128" s="264" t="str">
        <f t="shared" ca="1" si="5"/>
        <v xml:space="preserve"> </v>
      </c>
      <c r="AI128" s="40" t="s">
        <v>684</v>
      </c>
      <c r="AJ128" s="264" t="str">
        <f t="shared" ca="1" si="6"/>
        <v xml:space="preserve"> </v>
      </c>
      <c r="AK128" s="40" t="s">
        <v>687</v>
      </c>
      <c r="AL128" s="264" t="str">
        <f t="shared" ca="1" si="7"/>
        <v>teal</v>
      </c>
      <c r="AM128" s="40" t="s">
        <v>688</v>
      </c>
      <c r="AN128" s="40" t="str">
        <f t="shared" ca="1" si="8"/>
        <v>,{"type":"polygon","latLngs":[ {"lat":35.443406,"lng":133.328615}, {"lat":35.441902,"lng":133.326213},{"lat": ,"lng": }], "color":"teal"}</v>
      </c>
      <c r="AO128" s="266" t="s">
        <v>689</v>
      </c>
      <c r="AP128" s="56">
        <f t="shared" ca="1" si="9"/>
        <v>35.443406000000003</v>
      </c>
      <c r="AQ128" s="40" t="s">
        <v>684</v>
      </c>
      <c r="AR128" s="56">
        <f t="shared" ca="1" si="10"/>
        <v>133.32861500000001</v>
      </c>
      <c r="AS128" s="40" t="s">
        <v>686</v>
      </c>
      <c r="AT128" s="56">
        <f t="shared" ca="1" si="11"/>
        <v>35.441901999999999</v>
      </c>
      <c r="AU128" s="40" t="s">
        <v>684</v>
      </c>
      <c r="AV128" s="56">
        <f t="shared" ca="1" si="12"/>
        <v>133.326213</v>
      </c>
      <c r="AW128" s="40" t="s">
        <v>690</v>
      </c>
      <c r="AX128" s="40" t="str">
        <f t="shared" ca="1" si="13"/>
        <v>teal</v>
      </c>
      <c r="AY128" s="40" t="s">
        <v>688</v>
      </c>
      <c r="AZ128" s="40" t="str">
        <f t="shared" ca="1" si="14"/>
        <v>,{"type":"polyline","latLngs":[{"lat":35.443406,"lng":133.328615},{"lat":35.441902,"lng":133.326213}],"color":"teal"}</v>
      </c>
      <c r="BA128" s="40" t="s">
        <v>691</v>
      </c>
      <c r="BB128" s="56">
        <f t="shared" ca="1" si="15"/>
        <v>35.443406000000003</v>
      </c>
      <c r="BC128" s="40" t="s">
        <v>684</v>
      </c>
      <c r="BD128" s="56">
        <f t="shared" ca="1" si="16"/>
        <v>133.32861500000001</v>
      </c>
      <c r="BE128" s="40" t="s">
        <v>692</v>
      </c>
      <c r="BF128" s="40" t="str">
        <f t="shared" ca="1" si="17"/>
        <v>teal</v>
      </c>
      <c r="BG128" s="40" t="s">
        <v>688</v>
      </c>
      <c r="BH128" s="40" t="str">
        <f t="shared" ca="1" si="18"/>
        <v>,{"type":"marker","latLng":{"lat":35.443406,"lng":133.328615},"color":"teal"}</v>
      </c>
      <c r="BI128" s="40" t="s">
        <v>693</v>
      </c>
      <c r="BJ128" s="40" t="s">
        <v>694</v>
      </c>
      <c r="BK128" s="267" t="str">
        <f t="shared" ca="1" si="19"/>
        <v>,{"type":"polyline","latLngs":[{"lat":35.443406,"lng":133.328615},{"lat":35.441902,"lng":133.326213}],"color":"teal"}</v>
      </c>
      <c r="BL128" s="40"/>
      <c r="BM128" s="40"/>
      <c r="BN128" s="40"/>
      <c r="BO128" s="40"/>
      <c r="BP128" s="40"/>
      <c r="BQ128" s="40"/>
      <c r="BR128" s="40"/>
      <c r="BS128" s="40"/>
      <c r="BT128" s="40"/>
      <c r="BU128" s="40"/>
      <c r="BV128" s="40"/>
      <c r="BW128" s="40"/>
      <c r="BX128" s="40"/>
      <c r="BY128" s="40"/>
      <c r="BZ128" s="40"/>
      <c r="CA128" s="40"/>
      <c r="CB128" s="40"/>
      <c r="CC128" s="40"/>
      <c r="CD128" s="40"/>
      <c r="CE128" s="40"/>
      <c r="CF128" s="40"/>
      <c r="CG128" s="40"/>
      <c r="CH128" s="40"/>
    </row>
    <row r="129" spans="1:86" ht="17.5">
      <c r="A129" s="40"/>
      <c r="B129" s="260" t="str">
        <f ca="1">IFERROR(__xludf.DUMMYFUNCTION("""COMPUTED_VALUE"""),"P216")</f>
        <v>P216</v>
      </c>
      <c r="C129" s="273" t="str">
        <f ca="1">IFERROR(__xludf.DUMMYFUNCTION("""COMPUTED_VALUE"""),"繁多寺")</f>
        <v>繁多寺</v>
      </c>
      <c r="D129" s="273">
        <f ca="1">IFERROR(__xludf.DUMMYFUNCTION("""COMPUTED_VALUE"""),35.424037)</f>
        <v>35.424036999999998</v>
      </c>
      <c r="E129" s="273">
        <f ca="1">IFERROR(__xludf.DUMMYFUNCTION("""COMPUTED_VALUE"""),133.323137)</f>
        <v>133.323137</v>
      </c>
      <c r="F129" s="40"/>
      <c r="G129" s="261"/>
      <c r="H129" s="262" t="s">
        <v>672</v>
      </c>
      <c r="I129" s="271" t="str">
        <f ca="1">IFERROR(__xludf.DUMMYFUNCTION("""COMPUTED_VALUE"""),"Agent05")</f>
        <v>Agent05</v>
      </c>
      <c r="J129" s="271" t="str">
        <f ca="1">IFERROR(__xludf.DUMMYFUNCTION("""COMPUTED_VALUE"""),"P104")</f>
        <v>P104</v>
      </c>
      <c r="K129" s="271" t="str">
        <f ca="1">IFERROR(__xludf.DUMMYFUNCTION("""COMPUTED_VALUE"""),"P101")</f>
        <v>P101</v>
      </c>
      <c r="L129" s="242" t="s">
        <v>681</v>
      </c>
      <c r="M129" s="263" t="str">
        <f t="shared" ca="1" si="0"/>
        <v>teal</v>
      </c>
      <c r="N129" s="264" t="str">
        <f ca="1">IFERROR(__xludf.DUMMYFUNCTION("FILTER(C:E,B:B=J129)"),"ホリデイスポーツクラブ")</f>
        <v>ホリデイスポーツクラブ</v>
      </c>
      <c r="O129" s="265">
        <f ca="1">IFERROR(__xludf.DUMMYFUNCTION("""COMPUTED_VALUE"""),35.443406)</f>
        <v>35.443406000000003</v>
      </c>
      <c r="P129" s="265">
        <f ca="1">IFERROR(__xludf.DUMMYFUNCTION("""COMPUTED_VALUE"""),133.328615)</f>
        <v>133.32861500000001</v>
      </c>
      <c r="Q129" s="264" t="str">
        <f ca="1">IFERROR(__xludf.DUMMYFUNCTION("FILTER(C:E,B:B=K129)"),"弓ヶ浜の母なる水 米川")</f>
        <v>弓ヶ浜の母なる水 米川</v>
      </c>
      <c r="R129" s="265">
        <f ca="1">IFERROR(__xludf.DUMMYFUNCTION("""COMPUTED_VALUE"""),35.442265)</f>
        <v>35.442264999999999</v>
      </c>
      <c r="S129" s="265">
        <f ca="1">IFERROR(__xludf.DUMMYFUNCTION("""COMPUTED_VALUE"""),133.331829)</f>
        <v>133.331829</v>
      </c>
      <c r="T129" s="264" t="str">
        <f ca="1">IFERROR(__xludf.DUMMYFUNCTION("FILTER(C:E,B:B=L129)")," ")</f>
        <v xml:space="preserve"> </v>
      </c>
      <c r="U129" s="40" t="str">
        <f ca="1">IFERROR(__xludf.DUMMYFUNCTION("""COMPUTED_VALUE""")," ")</f>
        <v xml:space="preserve"> </v>
      </c>
      <c r="V129" s="40" t="str">
        <f ca="1">IFERROR(__xludf.DUMMYFUNCTION("""COMPUTED_VALUE""")," ")</f>
        <v xml:space="preserve"> </v>
      </c>
      <c r="W129" s="40" t="str">
        <f t="shared" ca="1" si="21"/>
        <v>,</v>
      </c>
      <c r="X129" s="40" t="s">
        <v>682</v>
      </c>
      <c r="Y129" s="40" t="s">
        <v>683</v>
      </c>
      <c r="Z129" s="264">
        <f t="shared" ca="1" si="1"/>
        <v>35.443406000000003</v>
      </c>
      <c r="AA129" s="40" t="s">
        <v>684</v>
      </c>
      <c r="AB129" s="264">
        <f t="shared" ca="1" si="2"/>
        <v>133.32861500000001</v>
      </c>
      <c r="AC129" s="40" t="s">
        <v>685</v>
      </c>
      <c r="AD129" s="264">
        <f t="shared" ca="1" si="3"/>
        <v>35.442264999999999</v>
      </c>
      <c r="AE129" s="40" t="s">
        <v>684</v>
      </c>
      <c r="AF129" s="264">
        <f t="shared" ca="1" si="4"/>
        <v>133.331829</v>
      </c>
      <c r="AG129" s="40" t="s">
        <v>686</v>
      </c>
      <c r="AH129" s="264" t="str">
        <f t="shared" ca="1" si="5"/>
        <v xml:space="preserve"> </v>
      </c>
      <c r="AI129" s="40" t="s">
        <v>684</v>
      </c>
      <c r="AJ129" s="264" t="str">
        <f t="shared" ca="1" si="6"/>
        <v xml:space="preserve"> </v>
      </c>
      <c r="AK129" s="40" t="s">
        <v>687</v>
      </c>
      <c r="AL129" s="264" t="str">
        <f t="shared" ca="1" si="7"/>
        <v>teal</v>
      </c>
      <c r="AM129" s="40" t="s">
        <v>688</v>
      </c>
      <c r="AN129" s="40" t="str">
        <f t="shared" ca="1" si="8"/>
        <v>,{"type":"polygon","latLngs":[ {"lat":35.443406,"lng":133.328615}, {"lat":35.442265,"lng":133.331829},{"lat": ,"lng": }], "color":"teal"}</v>
      </c>
      <c r="AO129" s="266" t="s">
        <v>689</v>
      </c>
      <c r="AP129" s="56">
        <f t="shared" ca="1" si="9"/>
        <v>35.443406000000003</v>
      </c>
      <c r="AQ129" s="40" t="s">
        <v>684</v>
      </c>
      <c r="AR129" s="56">
        <f t="shared" ca="1" si="10"/>
        <v>133.32861500000001</v>
      </c>
      <c r="AS129" s="40" t="s">
        <v>686</v>
      </c>
      <c r="AT129" s="56">
        <f t="shared" ca="1" si="11"/>
        <v>35.442264999999999</v>
      </c>
      <c r="AU129" s="40" t="s">
        <v>684</v>
      </c>
      <c r="AV129" s="56">
        <f t="shared" ca="1" si="12"/>
        <v>133.331829</v>
      </c>
      <c r="AW129" s="40" t="s">
        <v>690</v>
      </c>
      <c r="AX129" s="40" t="str">
        <f t="shared" ca="1" si="13"/>
        <v>teal</v>
      </c>
      <c r="AY129" s="40" t="s">
        <v>688</v>
      </c>
      <c r="AZ129" s="40" t="str">
        <f t="shared" ca="1" si="14"/>
        <v>,{"type":"polyline","latLngs":[{"lat":35.443406,"lng":133.328615},{"lat":35.442265,"lng":133.331829}],"color":"teal"}</v>
      </c>
      <c r="BA129" s="40" t="s">
        <v>691</v>
      </c>
      <c r="BB129" s="56">
        <f t="shared" ca="1" si="15"/>
        <v>35.443406000000003</v>
      </c>
      <c r="BC129" s="40" t="s">
        <v>684</v>
      </c>
      <c r="BD129" s="56">
        <f t="shared" ca="1" si="16"/>
        <v>133.32861500000001</v>
      </c>
      <c r="BE129" s="40" t="s">
        <v>692</v>
      </c>
      <c r="BF129" s="40" t="str">
        <f t="shared" ca="1" si="17"/>
        <v>teal</v>
      </c>
      <c r="BG129" s="40" t="s">
        <v>688</v>
      </c>
      <c r="BH129" s="40" t="str">
        <f t="shared" ca="1" si="18"/>
        <v>,{"type":"marker","latLng":{"lat":35.443406,"lng":133.328615},"color":"teal"}</v>
      </c>
      <c r="BI129" s="40" t="s">
        <v>693</v>
      </c>
      <c r="BJ129" s="40" t="s">
        <v>694</v>
      </c>
      <c r="BK129" s="267" t="str">
        <f t="shared" ca="1" si="19"/>
        <v>,{"type":"polyline","latLngs":[{"lat":35.443406,"lng":133.328615},{"lat":35.442265,"lng":133.331829}],"color":"teal"}</v>
      </c>
      <c r="BL129" s="40"/>
      <c r="BM129" s="40"/>
      <c r="BN129" s="40"/>
      <c r="BO129" s="40"/>
      <c r="BP129" s="40"/>
      <c r="BQ129" s="40"/>
      <c r="BR129" s="40"/>
      <c r="BS129" s="40"/>
      <c r="BT129" s="40"/>
      <c r="BU129" s="40"/>
      <c r="BV129" s="40"/>
      <c r="BW129" s="40"/>
      <c r="BX129" s="40"/>
      <c r="BY129" s="40"/>
      <c r="BZ129" s="40"/>
      <c r="CA129" s="40"/>
      <c r="CB129" s="40"/>
      <c r="CC129" s="40"/>
      <c r="CD129" s="40"/>
      <c r="CE129" s="40"/>
      <c r="CF129" s="40"/>
      <c r="CG129" s="40"/>
      <c r="CH129" s="40"/>
    </row>
    <row r="130" spans="1:86" ht="17.5">
      <c r="A130" s="40"/>
      <c r="B130" s="260" t="str">
        <f ca="1">IFERROR(__xludf.DUMMYFUNCTION("""COMPUTED_VALUE"""),"P217")</f>
        <v>P217</v>
      </c>
      <c r="C130" s="273" t="str">
        <f ca="1">IFERROR(__xludf.DUMMYFUNCTION("""COMPUTED_VALUE"""),"明治第一公園のパーゴラ休憩所")</f>
        <v>明治第一公園のパーゴラ休憩所</v>
      </c>
      <c r="D130" s="273">
        <f ca="1">IFERROR(__xludf.DUMMYFUNCTION("""COMPUTED_VALUE"""),35.42404)</f>
        <v>35.424039999999998</v>
      </c>
      <c r="E130" s="273">
        <f ca="1">IFERROR(__xludf.DUMMYFUNCTION("""COMPUTED_VALUE"""),133.33353)</f>
        <v>133.33353</v>
      </c>
      <c r="F130" s="40"/>
      <c r="G130" s="261"/>
      <c r="H130" s="262" t="s">
        <v>672</v>
      </c>
      <c r="I130" s="271" t="str">
        <f ca="1">IFERROR(__xludf.DUMMYFUNCTION("""COMPUTED_VALUE"""),"Agent05")</f>
        <v>Agent05</v>
      </c>
      <c r="J130" s="271" t="str">
        <f ca="1">IFERROR(__xludf.DUMMYFUNCTION("""COMPUTED_VALUE"""),"P104")</f>
        <v>P104</v>
      </c>
      <c r="K130" s="271" t="str">
        <f ca="1">IFERROR(__xludf.DUMMYFUNCTION("""COMPUTED_VALUE"""),"P100")</f>
        <v>P100</v>
      </c>
      <c r="L130" s="242" t="s">
        <v>681</v>
      </c>
      <c r="M130" s="263" t="str">
        <f t="shared" ca="1" si="0"/>
        <v>teal</v>
      </c>
      <c r="N130" s="264" t="str">
        <f ca="1">IFERROR(__xludf.DUMMYFUNCTION("FILTER(C:E,B:B=J130)"),"ホリデイスポーツクラブ")</f>
        <v>ホリデイスポーツクラブ</v>
      </c>
      <c r="O130" s="265">
        <f ca="1">IFERROR(__xludf.DUMMYFUNCTION("""COMPUTED_VALUE"""),35.443406)</f>
        <v>35.443406000000003</v>
      </c>
      <c r="P130" s="265">
        <f ca="1">IFERROR(__xludf.DUMMYFUNCTION("""COMPUTED_VALUE"""),133.328615)</f>
        <v>133.32861500000001</v>
      </c>
      <c r="Q130" s="264" t="str">
        <f ca="1">IFERROR(__xludf.DUMMYFUNCTION("FILTER(C:E,B:B=K130)"),"MEGAドン・キホーテ米子店の壁画")</f>
        <v>MEGAドン・キホーテ米子店の壁画</v>
      </c>
      <c r="R130" s="265">
        <f ca="1">IFERROR(__xludf.DUMMYFUNCTION("""COMPUTED_VALUE"""),35.442218)</f>
        <v>35.442217999999997</v>
      </c>
      <c r="S130" s="265">
        <f ca="1">IFERROR(__xludf.DUMMYFUNCTION("""COMPUTED_VALUE"""),133.331059)</f>
        <v>133.33105900000001</v>
      </c>
      <c r="T130" s="264" t="str">
        <f ca="1">IFERROR(__xludf.DUMMYFUNCTION("FILTER(C:E,B:B=L130)")," ")</f>
        <v xml:space="preserve"> </v>
      </c>
      <c r="U130" s="40" t="str">
        <f ca="1">IFERROR(__xludf.DUMMYFUNCTION("""COMPUTED_VALUE""")," ")</f>
        <v xml:space="preserve"> </v>
      </c>
      <c r="V130" s="40" t="str">
        <f ca="1">IFERROR(__xludf.DUMMYFUNCTION("""COMPUTED_VALUE""")," ")</f>
        <v xml:space="preserve"> </v>
      </c>
      <c r="W130" s="40" t="str">
        <f t="shared" ca="1" si="21"/>
        <v>,</v>
      </c>
      <c r="X130" s="40" t="s">
        <v>682</v>
      </c>
      <c r="Y130" s="40" t="s">
        <v>683</v>
      </c>
      <c r="Z130" s="264">
        <f t="shared" ca="1" si="1"/>
        <v>35.443406000000003</v>
      </c>
      <c r="AA130" s="40" t="s">
        <v>684</v>
      </c>
      <c r="AB130" s="264">
        <f t="shared" ca="1" si="2"/>
        <v>133.32861500000001</v>
      </c>
      <c r="AC130" s="40" t="s">
        <v>685</v>
      </c>
      <c r="AD130" s="264">
        <f t="shared" ca="1" si="3"/>
        <v>35.442217999999997</v>
      </c>
      <c r="AE130" s="40" t="s">
        <v>684</v>
      </c>
      <c r="AF130" s="264">
        <f t="shared" ca="1" si="4"/>
        <v>133.33105900000001</v>
      </c>
      <c r="AG130" s="40" t="s">
        <v>686</v>
      </c>
      <c r="AH130" s="264" t="str">
        <f t="shared" ca="1" si="5"/>
        <v xml:space="preserve"> </v>
      </c>
      <c r="AI130" s="40" t="s">
        <v>684</v>
      </c>
      <c r="AJ130" s="264" t="str">
        <f t="shared" ca="1" si="6"/>
        <v xml:space="preserve"> </v>
      </c>
      <c r="AK130" s="40" t="s">
        <v>687</v>
      </c>
      <c r="AL130" s="264" t="str">
        <f t="shared" ca="1" si="7"/>
        <v>teal</v>
      </c>
      <c r="AM130" s="40" t="s">
        <v>688</v>
      </c>
      <c r="AN130" s="40" t="str">
        <f t="shared" ca="1" si="8"/>
        <v>,{"type":"polygon","latLngs":[ {"lat":35.443406,"lng":133.328615}, {"lat":35.442218,"lng":133.331059},{"lat": ,"lng": }], "color":"teal"}</v>
      </c>
      <c r="AO130" s="266" t="s">
        <v>689</v>
      </c>
      <c r="AP130" s="56">
        <f t="shared" ca="1" si="9"/>
        <v>35.443406000000003</v>
      </c>
      <c r="AQ130" s="40" t="s">
        <v>684</v>
      </c>
      <c r="AR130" s="56">
        <f t="shared" ca="1" si="10"/>
        <v>133.32861500000001</v>
      </c>
      <c r="AS130" s="40" t="s">
        <v>686</v>
      </c>
      <c r="AT130" s="56">
        <f t="shared" ca="1" si="11"/>
        <v>35.442217999999997</v>
      </c>
      <c r="AU130" s="40" t="s">
        <v>684</v>
      </c>
      <c r="AV130" s="56">
        <f t="shared" ca="1" si="12"/>
        <v>133.33105900000001</v>
      </c>
      <c r="AW130" s="40" t="s">
        <v>690</v>
      </c>
      <c r="AX130" s="40" t="str">
        <f t="shared" ca="1" si="13"/>
        <v>teal</v>
      </c>
      <c r="AY130" s="40" t="s">
        <v>688</v>
      </c>
      <c r="AZ130" s="40" t="str">
        <f t="shared" ca="1" si="14"/>
        <v>,{"type":"polyline","latLngs":[{"lat":35.443406,"lng":133.328615},{"lat":35.442218,"lng":133.331059}],"color":"teal"}</v>
      </c>
      <c r="BA130" s="40" t="s">
        <v>691</v>
      </c>
      <c r="BB130" s="56">
        <f t="shared" ca="1" si="15"/>
        <v>35.443406000000003</v>
      </c>
      <c r="BC130" s="40" t="s">
        <v>684</v>
      </c>
      <c r="BD130" s="56">
        <f t="shared" ca="1" si="16"/>
        <v>133.32861500000001</v>
      </c>
      <c r="BE130" s="40" t="s">
        <v>692</v>
      </c>
      <c r="BF130" s="40" t="str">
        <f t="shared" ca="1" si="17"/>
        <v>teal</v>
      </c>
      <c r="BG130" s="40" t="s">
        <v>688</v>
      </c>
      <c r="BH130" s="40" t="str">
        <f t="shared" ca="1" si="18"/>
        <v>,{"type":"marker","latLng":{"lat":35.443406,"lng":133.328615},"color":"teal"}</v>
      </c>
      <c r="BI130" s="40" t="s">
        <v>693</v>
      </c>
      <c r="BJ130" s="40" t="s">
        <v>694</v>
      </c>
      <c r="BK130" s="267" t="str">
        <f t="shared" ca="1" si="19"/>
        <v>,{"type":"polyline","latLngs":[{"lat":35.443406,"lng":133.328615},{"lat":35.442218,"lng":133.331059}],"color":"teal"}</v>
      </c>
      <c r="BL130" s="40"/>
      <c r="BM130" s="40"/>
      <c r="BN130" s="40"/>
      <c r="BO130" s="40"/>
      <c r="BP130" s="40"/>
      <c r="BQ130" s="40"/>
      <c r="BR130" s="40"/>
      <c r="BS130" s="40"/>
      <c r="BT130" s="40"/>
      <c r="BU130" s="40"/>
      <c r="BV130" s="40"/>
      <c r="BW130" s="40"/>
      <c r="BX130" s="40"/>
      <c r="BY130" s="40"/>
      <c r="BZ130" s="40"/>
      <c r="CA130" s="40"/>
      <c r="CB130" s="40"/>
      <c r="CC130" s="40"/>
      <c r="CD130" s="40"/>
      <c r="CE130" s="40"/>
      <c r="CF130" s="40"/>
      <c r="CG130" s="40"/>
      <c r="CH130" s="40"/>
    </row>
    <row r="131" spans="1:86" ht="17.5">
      <c r="A131" s="40"/>
      <c r="B131" s="260" t="str">
        <f ca="1">IFERROR(__xludf.DUMMYFUNCTION("""COMPUTED_VALUE"""),"P218")</f>
        <v>P218</v>
      </c>
      <c r="C131" s="273" t="str">
        <f ca="1">IFERROR(__xludf.DUMMYFUNCTION("""COMPUTED_VALUE"""),"ローダンのラーメン 米子駅前店")</f>
        <v>ローダンのラーメン 米子駅前店</v>
      </c>
      <c r="D131" s="273">
        <f ca="1">IFERROR(__xludf.DUMMYFUNCTION("""COMPUTED_VALUE"""),35.424068)</f>
        <v>35.424067999999998</v>
      </c>
      <c r="E131" s="273">
        <f ca="1">IFERROR(__xludf.DUMMYFUNCTION("""COMPUTED_VALUE"""),133.332378)</f>
        <v>133.33237800000001</v>
      </c>
      <c r="F131" s="40"/>
      <c r="G131" s="261"/>
      <c r="H131" s="262" t="s">
        <v>672</v>
      </c>
      <c r="I131" s="271" t="str">
        <f ca="1">IFERROR(__xludf.DUMMYFUNCTION("""COMPUTED_VALUE"""),"Agent06")</f>
        <v>Agent06</v>
      </c>
      <c r="J131" s="271" t="str">
        <f ca="1">IFERROR(__xludf.DUMMYFUNCTION("""COMPUTED_VALUE"""),"P101")</f>
        <v>P101</v>
      </c>
      <c r="K131" s="271" t="str">
        <f ca="1">IFERROR(__xludf.DUMMYFUNCTION("""COMPUTED_VALUE"""),"P100")</f>
        <v>P100</v>
      </c>
      <c r="L131" s="242" t="s">
        <v>681</v>
      </c>
      <c r="M131" s="263" t="str">
        <f t="shared" ca="1" si="0"/>
        <v>DarkRed</v>
      </c>
      <c r="N131" s="264" t="str">
        <f ca="1">IFERROR(__xludf.DUMMYFUNCTION("FILTER(C:E,B:B=J131)"),"弓ヶ浜の母なる水 米川")</f>
        <v>弓ヶ浜の母なる水 米川</v>
      </c>
      <c r="O131" s="265">
        <f ca="1">IFERROR(__xludf.DUMMYFUNCTION("""COMPUTED_VALUE"""),35.442265)</f>
        <v>35.442264999999999</v>
      </c>
      <c r="P131" s="265">
        <f ca="1">IFERROR(__xludf.DUMMYFUNCTION("""COMPUTED_VALUE"""),133.331829)</f>
        <v>133.331829</v>
      </c>
      <c r="Q131" s="264" t="str">
        <f ca="1">IFERROR(__xludf.DUMMYFUNCTION("FILTER(C:E,B:B=K131)"),"MEGAドン・キホーテ米子店の壁画")</f>
        <v>MEGAドン・キホーテ米子店の壁画</v>
      </c>
      <c r="R131" s="265">
        <f ca="1">IFERROR(__xludf.DUMMYFUNCTION("""COMPUTED_VALUE"""),35.442218)</f>
        <v>35.442217999999997</v>
      </c>
      <c r="S131" s="265">
        <f ca="1">IFERROR(__xludf.DUMMYFUNCTION("""COMPUTED_VALUE"""),133.331059)</f>
        <v>133.33105900000001</v>
      </c>
      <c r="T131" s="264" t="str">
        <f ca="1">IFERROR(__xludf.DUMMYFUNCTION("FILTER(C:E,B:B=L131)")," ")</f>
        <v xml:space="preserve"> </v>
      </c>
      <c r="U131" s="40" t="str">
        <f ca="1">IFERROR(__xludf.DUMMYFUNCTION("""COMPUTED_VALUE""")," ")</f>
        <v xml:space="preserve"> </v>
      </c>
      <c r="V131" s="40" t="str">
        <f ca="1">IFERROR(__xludf.DUMMYFUNCTION("""COMPUTED_VALUE""")," ")</f>
        <v xml:space="preserve"> </v>
      </c>
      <c r="W131" s="40" t="str">
        <f t="shared" ca="1" si="21"/>
        <v>,</v>
      </c>
      <c r="X131" s="40" t="s">
        <v>682</v>
      </c>
      <c r="Y131" s="40" t="s">
        <v>683</v>
      </c>
      <c r="Z131" s="264">
        <f t="shared" ca="1" si="1"/>
        <v>35.442264999999999</v>
      </c>
      <c r="AA131" s="40" t="s">
        <v>684</v>
      </c>
      <c r="AB131" s="264">
        <f t="shared" ca="1" si="2"/>
        <v>133.331829</v>
      </c>
      <c r="AC131" s="40" t="s">
        <v>685</v>
      </c>
      <c r="AD131" s="264">
        <f t="shared" ca="1" si="3"/>
        <v>35.442217999999997</v>
      </c>
      <c r="AE131" s="40" t="s">
        <v>684</v>
      </c>
      <c r="AF131" s="264">
        <f t="shared" ca="1" si="4"/>
        <v>133.33105900000001</v>
      </c>
      <c r="AG131" s="40" t="s">
        <v>686</v>
      </c>
      <c r="AH131" s="264" t="str">
        <f t="shared" ca="1" si="5"/>
        <v xml:space="preserve"> </v>
      </c>
      <c r="AI131" s="40" t="s">
        <v>684</v>
      </c>
      <c r="AJ131" s="264" t="str">
        <f t="shared" ca="1" si="6"/>
        <v xml:space="preserve"> </v>
      </c>
      <c r="AK131" s="40" t="s">
        <v>687</v>
      </c>
      <c r="AL131" s="264" t="str">
        <f t="shared" ca="1" si="7"/>
        <v>DarkRed</v>
      </c>
      <c r="AM131" s="40" t="s">
        <v>688</v>
      </c>
      <c r="AN131" s="40" t="str">
        <f t="shared" ca="1" si="8"/>
        <v>,{"type":"polygon","latLngs":[ {"lat":35.442265,"lng":133.331829}, {"lat":35.442218,"lng":133.331059},{"lat": ,"lng": }], "color":"DarkRed"}</v>
      </c>
      <c r="AO131" s="266" t="s">
        <v>689</v>
      </c>
      <c r="AP131" s="56">
        <f t="shared" ca="1" si="9"/>
        <v>35.442264999999999</v>
      </c>
      <c r="AQ131" s="40" t="s">
        <v>684</v>
      </c>
      <c r="AR131" s="56">
        <f t="shared" ca="1" si="10"/>
        <v>133.331829</v>
      </c>
      <c r="AS131" s="40" t="s">
        <v>686</v>
      </c>
      <c r="AT131" s="56">
        <f t="shared" ca="1" si="11"/>
        <v>35.442217999999997</v>
      </c>
      <c r="AU131" s="40" t="s">
        <v>684</v>
      </c>
      <c r="AV131" s="56">
        <f t="shared" ca="1" si="12"/>
        <v>133.33105900000001</v>
      </c>
      <c r="AW131" s="40" t="s">
        <v>690</v>
      </c>
      <c r="AX131" s="40" t="str">
        <f t="shared" ca="1" si="13"/>
        <v>DarkRed</v>
      </c>
      <c r="AY131" s="40" t="s">
        <v>688</v>
      </c>
      <c r="AZ131" s="40" t="str">
        <f t="shared" ca="1" si="14"/>
        <v>,{"type":"polyline","latLngs":[{"lat":35.442265,"lng":133.331829},{"lat":35.442218,"lng":133.331059}],"color":"DarkRed"}</v>
      </c>
      <c r="BA131" s="40" t="s">
        <v>691</v>
      </c>
      <c r="BB131" s="56">
        <f t="shared" ca="1" si="15"/>
        <v>35.442264999999999</v>
      </c>
      <c r="BC131" s="40" t="s">
        <v>684</v>
      </c>
      <c r="BD131" s="56">
        <f t="shared" ca="1" si="16"/>
        <v>133.331829</v>
      </c>
      <c r="BE131" s="40" t="s">
        <v>692</v>
      </c>
      <c r="BF131" s="40" t="str">
        <f t="shared" ca="1" si="17"/>
        <v>DarkRed</v>
      </c>
      <c r="BG131" s="40" t="s">
        <v>688</v>
      </c>
      <c r="BH131" s="40" t="str">
        <f t="shared" ca="1" si="18"/>
        <v>,{"type":"marker","latLng":{"lat":35.442265,"lng":133.331829},"color":"DarkRed"}</v>
      </c>
      <c r="BI131" s="40" t="s">
        <v>693</v>
      </c>
      <c r="BJ131" s="40" t="s">
        <v>694</v>
      </c>
      <c r="BK131" s="267" t="str">
        <f t="shared" ca="1" si="19"/>
        <v>,{"type":"polyline","latLngs":[{"lat":35.442265,"lng":133.331829},{"lat":35.442218,"lng":133.331059}],"color":"DarkRed"}</v>
      </c>
      <c r="BL131" s="40"/>
      <c r="BM131" s="40"/>
      <c r="BN131" s="40"/>
      <c r="BO131" s="40"/>
      <c r="BP131" s="40"/>
      <c r="BQ131" s="40"/>
      <c r="BR131" s="40"/>
      <c r="BS131" s="40"/>
      <c r="BT131" s="40"/>
      <c r="BU131" s="40"/>
      <c r="BV131" s="40"/>
      <c r="BW131" s="40"/>
      <c r="BX131" s="40"/>
      <c r="BY131" s="40"/>
      <c r="BZ131" s="40"/>
      <c r="CA131" s="40"/>
      <c r="CB131" s="40"/>
      <c r="CC131" s="40"/>
      <c r="CD131" s="40"/>
      <c r="CE131" s="40"/>
      <c r="CF131" s="40"/>
      <c r="CG131" s="40"/>
      <c r="CH131" s="40"/>
    </row>
    <row r="132" spans="1:86" ht="17.5">
      <c r="A132" s="40"/>
      <c r="B132" s="260" t="str">
        <f ca="1">IFERROR(__xludf.DUMMYFUNCTION("""COMPUTED_VALUE"""),"P219")</f>
        <v>P219</v>
      </c>
      <c r="C132" s="273" t="str">
        <f ca="1">IFERROR(__xludf.DUMMYFUNCTION("""COMPUTED_VALUE"""),"塩町地蔵")</f>
        <v>塩町地蔵</v>
      </c>
      <c r="D132" s="273">
        <f ca="1">IFERROR(__xludf.DUMMYFUNCTION("""COMPUTED_VALUE"""),35.424164)</f>
        <v>35.424163999999998</v>
      </c>
      <c r="E132" s="273">
        <f ca="1">IFERROR(__xludf.DUMMYFUNCTION("""COMPUTED_VALUE"""),133.331871)</f>
        <v>133.33187100000001</v>
      </c>
      <c r="F132" s="40"/>
      <c r="G132" s="261"/>
      <c r="H132" s="262" t="s">
        <v>672</v>
      </c>
      <c r="I132" s="271" t="str">
        <f ca="1">IFERROR(__xludf.DUMMYFUNCTION("""COMPUTED_VALUE"""),"Agent06")</f>
        <v>Agent06</v>
      </c>
      <c r="J132" s="271" t="str">
        <f ca="1">IFERROR(__xludf.DUMMYFUNCTION("""COMPUTED_VALUE"""),"P101")</f>
        <v>P101</v>
      </c>
      <c r="K132" s="271" t="str">
        <f ca="1">IFERROR(__xludf.DUMMYFUNCTION("""COMPUTED_VALUE"""),"P88")</f>
        <v>P88</v>
      </c>
      <c r="L132" s="242" t="s">
        <v>681</v>
      </c>
      <c r="M132" s="263" t="str">
        <f t="shared" ca="1" si="0"/>
        <v>DarkRed</v>
      </c>
      <c r="N132" s="264" t="str">
        <f ca="1">IFERROR(__xludf.DUMMYFUNCTION("FILTER(C:E,B:B=J132)"),"弓ヶ浜の母なる水 米川")</f>
        <v>弓ヶ浜の母なる水 米川</v>
      </c>
      <c r="O132" s="265">
        <f ca="1">IFERROR(__xludf.DUMMYFUNCTION("""COMPUTED_VALUE"""),35.442265)</f>
        <v>35.442264999999999</v>
      </c>
      <c r="P132" s="265">
        <f ca="1">IFERROR(__xludf.DUMMYFUNCTION("""COMPUTED_VALUE"""),133.331829)</f>
        <v>133.331829</v>
      </c>
      <c r="Q132" s="264" t="str">
        <f ca="1">IFERROR(__xludf.DUMMYFUNCTION("FILTER(C:E,B:B=K132)"),"どろたぼう駅")</f>
        <v>どろたぼう駅</v>
      </c>
      <c r="R132" s="265">
        <f ca="1">IFERROR(__xludf.DUMMYFUNCTION("""COMPUTED_VALUE"""),35.439991)</f>
        <v>35.439990999999999</v>
      </c>
      <c r="S132" s="265">
        <f ca="1">IFERROR(__xludf.DUMMYFUNCTION("""COMPUTED_VALUE"""),133.331279)</f>
        <v>133.33127899999999</v>
      </c>
      <c r="T132" s="264" t="str">
        <f ca="1">IFERROR(__xludf.DUMMYFUNCTION("FILTER(C:E,B:B=L132)")," ")</f>
        <v xml:space="preserve"> </v>
      </c>
      <c r="U132" s="40" t="str">
        <f ca="1">IFERROR(__xludf.DUMMYFUNCTION("""COMPUTED_VALUE""")," ")</f>
        <v xml:space="preserve"> </v>
      </c>
      <c r="V132" s="40" t="str">
        <f ca="1">IFERROR(__xludf.DUMMYFUNCTION("""COMPUTED_VALUE""")," ")</f>
        <v xml:space="preserve"> </v>
      </c>
      <c r="W132" s="40" t="str">
        <f t="shared" ca="1" si="21"/>
        <v>,</v>
      </c>
      <c r="X132" s="40" t="s">
        <v>682</v>
      </c>
      <c r="Y132" s="40" t="s">
        <v>683</v>
      </c>
      <c r="Z132" s="264">
        <f t="shared" ca="1" si="1"/>
        <v>35.442264999999999</v>
      </c>
      <c r="AA132" s="40" t="s">
        <v>684</v>
      </c>
      <c r="AB132" s="264">
        <f t="shared" ca="1" si="2"/>
        <v>133.331829</v>
      </c>
      <c r="AC132" s="40" t="s">
        <v>685</v>
      </c>
      <c r="AD132" s="264">
        <f t="shared" ca="1" si="3"/>
        <v>35.439990999999999</v>
      </c>
      <c r="AE132" s="40" t="s">
        <v>684</v>
      </c>
      <c r="AF132" s="264">
        <f t="shared" ca="1" si="4"/>
        <v>133.33127899999999</v>
      </c>
      <c r="AG132" s="40" t="s">
        <v>686</v>
      </c>
      <c r="AH132" s="264" t="str">
        <f t="shared" ca="1" si="5"/>
        <v xml:space="preserve"> </v>
      </c>
      <c r="AI132" s="40" t="s">
        <v>684</v>
      </c>
      <c r="AJ132" s="264" t="str">
        <f t="shared" ca="1" si="6"/>
        <v xml:space="preserve"> </v>
      </c>
      <c r="AK132" s="40" t="s">
        <v>687</v>
      </c>
      <c r="AL132" s="264" t="str">
        <f t="shared" ca="1" si="7"/>
        <v>DarkRed</v>
      </c>
      <c r="AM132" s="40" t="s">
        <v>688</v>
      </c>
      <c r="AN132" s="40" t="str">
        <f t="shared" ca="1" si="8"/>
        <v>,{"type":"polygon","latLngs":[ {"lat":35.442265,"lng":133.331829}, {"lat":35.439991,"lng":133.331279},{"lat": ,"lng": }], "color":"DarkRed"}</v>
      </c>
      <c r="AO132" s="266" t="s">
        <v>689</v>
      </c>
      <c r="AP132" s="56">
        <f t="shared" ca="1" si="9"/>
        <v>35.442264999999999</v>
      </c>
      <c r="AQ132" s="40" t="s">
        <v>684</v>
      </c>
      <c r="AR132" s="56">
        <f t="shared" ca="1" si="10"/>
        <v>133.331829</v>
      </c>
      <c r="AS132" s="40" t="s">
        <v>686</v>
      </c>
      <c r="AT132" s="56">
        <f t="shared" ca="1" si="11"/>
        <v>35.439990999999999</v>
      </c>
      <c r="AU132" s="40" t="s">
        <v>684</v>
      </c>
      <c r="AV132" s="56">
        <f t="shared" ca="1" si="12"/>
        <v>133.33127899999999</v>
      </c>
      <c r="AW132" s="40" t="s">
        <v>690</v>
      </c>
      <c r="AX132" s="40" t="str">
        <f t="shared" ca="1" si="13"/>
        <v>DarkRed</v>
      </c>
      <c r="AY132" s="40" t="s">
        <v>688</v>
      </c>
      <c r="AZ132" s="40" t="str">
        <f t="shared" ca="1" si="14"/>
        <v>,{"type":"polyline","latLngs":[{"lat":35.442265,"lng":133.331829},{"lat":35.439991,"lng":133.331279}],"color":"DarkRed"}</v>
      </c>
      <c r="BA132" s="40" t="s">
        <v>691</v>
      </c>
      <c r="BB132" s="56">
        <f t="shared" ca="1" si="15"/>
        <v>35.442264999999999</v>
      </c>
      <c r="BC132" s="40" t="s">
        <v>684</v>
      </c>
      <c r="BD132" s="56">
        <f t="shared" ca="1" si="16"/>
        <v>133.331829</v>
      </c>
      <c r="BE132" s="40" t="s">
        <v>692</v>
      </c>
      <c r="BF132" s="40" t="str">
        <f t="shared" ca="1" si="17"/>
        <v>DarkRed</v>
      </c>
      <c r="BG132" s="40" t="s">
        <v>688</v>
      </c>
      <c r="BH132" s="40" t="str">
        <f t="shared" ca="1" si="18"/>
        <v>,{"type":"marker","latLng":{"lat":35.442265,"lng":133.331829},"color":"DarkRed"}</v>
      </c>
      <c r="BI132" s="40" t="s">
        <v>693</v>
      </c>
      <c r="BJ132" s="40" t="s">
        <v>694</v>
      </c>
      <c r="BK132" s="267" t="str">
        <f t="shared" ca="1" si="19"/>
        <v>,{"type":"polyline","latLngs":[{"lat":35.442265,"lng":133.331829},{"lat":35.439991,"lng":133.331279}],"color":"DarkRed"}</v>
      </c>
      <c r="BL132" s="40"/>
      <c r="BM132" s="40"/>
      <c r="BN132" s="40"/>
      <c r="BO132" s="40"/>
      <c r="BP132" s="40"/>
      <c r="BQ132" s="40"/>
      <c r="BR132" s="40"/>
      <c r="BS132" s="40"/>
      <c r="BT132" s="40"/>
      <c r="BU132" s="40"/>
      <c r="BV132" s="40"/>
      <c r="BW132" s="40"/>
      <c r="BX132" s="40"/>
      <c r="BY132" s="40"/>
      <c r="BZ132" s="40"/>
      <c r="CA132" s="40"/>
      <c r="CB132" s="40"/>
      <c r="CC132" s="40"/>
      <c r="CD132" s="40"/>
      <c r="CE132" s="40"/>
      <c r="CF132" s="40"/>
      <c r="CG132" s="40"/>
      <c r="CH132" s="40"/>
    </row>
    <row r="133" spans="1:86" ht="17.5">
      <c r="A133" s="40"/>
      <c r="B133" s="260" t="str">
        <f ca="1">IFERROR(__xludf.DUMMYFUNCTION("""COMPUTED_VALUE"""),"P220")</f>
        <v>P220</v>
      </c>
      <c r="C133" s="273" t="str">
        <f ca="1">IFERROR(__xludf.DUMMYFUNCTION("""COMPUTED_VALUE"""),"焼肉ホルモン だんだん")</f>
        <v>焼肉ホルモン だんだん</v>
      </c>
      <c r="D133" s="273">
        <f ca="1">IFERROR(__xludf.DUMMYFUNCTION("""COMPUTED_VALUE"""),35.424242)</f>
        <v>35.424242</v>
      </c>
      <c r="E133" s="273">
        <f ca="1">IFERROR(__xludf.DUMMYFUNCTION("""COMPUTED_VALUE"""),133.334677)</f>
        <v>133.334677</v>
      </c>
      <c r="F133" s="40"/>
      <c r="G133" s="261"/>
      <c r="H133" s="262" t="s">
        <v>672</v>
      </c>
      <c r="I133" s="271" t="str">
        <f ca="1">IFERROR(__xludf.DUMMYFUNCTION("""COMPUTED_VALUE"""),"Agent06")</f>
        <v>Agent06</v>
      </c>
      <c r="J133" s="271" t="str">
        <f ca="1">IFERROR(__xludf.DUMMYFUNCTION("""COMPUTED_VALUE"""),"P101")</f>
        <v>P101</v>
      </c>
      <c r="K133" s="271" t="str">
        <f ca="1">IFERROR(__xludf.DUMMYFUNCTION("""COMPUTED_VALUE"""),"P80")</f>
        <v>P80</v>
      </c>
      <c r="L133" s="242" t="s">
        <v>681</v>
      </c>
      <c r="M133" s="263" t="str">
        <f t="shared" ca="1" si="0"/>
        <v>DarkRed</v>
      </c>
      <c r="N133" s="264" t="str">
        <f ca="1">IFERROR(__xludf.DUMMYFUNCTION("FILTER(C:E,B:B=J133)"),"弓ヶ浜の母なる水 米川")</f>
        <v>弓ヶ浜の母なる水 米川</v>
      </c>
      <c r="O133" s="265">
        <f ca="1">IFERROR(__xludf.DUMMYFUNCTION("""COMPUTED_VALUE"""),35.442265)</f>
        <v>35.442264999999999</v>
      </c>
      <c r="P133" s="265">
        <f ca="1">IFERROR(__xludf.DUMMYFUNCTION("""COMPUTED_VALUE"""),133.331829)</f>
        <v>133.331829</v>
      </c>
      <c r="Q133" s="264" t="str">
        <f ca="1">IFERROR(__xludf.DUMMYFUNCTION("FILTER(C:E,B:B=K133)"),"JR後藤駅")</f>
        <v>JR後藤駅</v>
      </c>
      <c r="R133" s="265">
        <f ca="1">IFERROR(__xludf.DUMMYFUNCTION("""COMPUTED_VALUE"""),35.439526)</f>
        <v>35.439526000000001</v>
      </c>
      <c r="S133" s="265">
        <f ca="1">IFERROR(__xludf.DUMMYFUNCTION("""COMPUTED_VALUE"""),133.331533)</f>
        <v>133.33153300000001</v>
      </c>
      <c r="T133" s="264" t="str">
        <f ca="1">IFERROR(__xludf.DUMMYFUNCTION("FILTER(C:E,B:B=L133)")," ")</f>
        <v xml:space="preserve"> </v>
      </c>
      <c r="U133" s="40" t="str">
        <f ca="1">IFERROR(__xludf.DUMMYFUNCTION("""COMPUTED_VALUE""")," ")</f>
        <v xml:space="preserve"> </v>
      </c>
      <c r="V133" s="40" t="str">
        <f ca="1">IFERROR(__xludf.DUMMYFUNCTION("""COMPUTED_VALUE""")," ")</f>
        <v xml:space="preserve"> </v>
      </c>
      <c r="W133" s="40" t="str">
        <f t="shared" ca="1" si="21"/>
        <v>,</v>
      </c>
      <c r="X133" s="40" t="s">
        <v>682</v>
      </c>
      <c r="Y133" s="40" t="s">
        <v>683</v>
      </c>
      <c r="Z133" s="264">
        <f t="shared" ca="1" si="1"/>
        <v>35.442264999999999</v>
      </c>
      <c r="AA133" s="40" t="s">
        <v>684</v>
      </c>
      <c r="AB133" s="264">
        <f t="shared" ca="1" si="2"/>
        <v>133.331829</v>
      </c>
      <c r="AC133" s="40" t="s">
        <v>685</v>
      </c>
      <c r="AD133" s="264">
        <f t="shared" ca="1" si="3"/>
        <v>35.439526000000001</v>
      </c>
      <c r="AE133" s="40" t="s">
        <v>684</v>
      </c>
      <c r="AF133" s="264">
        <f t="shared" ca="1" si="4"/>
        <v>133.33153300000001</v>
      </c>
      <c r="AG133" s="40" t="s">
        <v>686</v>
      </c>
      <c r="AH133" s="264" t="str">
        <f t="shared" ca="1" si="5"/>
        <v xml:space="preserve"> </v>
      </c>
      <c r="AI133" s="40" t="s">
        <v>684</v>
      </c>
      <c r="AJ133" s="264" t="str">
        <f t="shared" ca="1" si="6"/>
        <v xml:space="preserve"> </v>
      </c>
      <c r="AK133" s="40" t="s">
        <v>687</v>
      </c>
      <c r="AL133" s="264" t="str">
        <f t="shared" ca="1" si="7"/>
        <v>DarkRed</v>
      </c>
      <c r="AM133" s="40" t="s">
        <v>688</v>
      </c>
      <c r="AN133" s="40" t="str">
        <f t="shared" ca="1" si="8"/>
        <v>,{"type":"polygon","latLngs":[ {"lat":35.442265,"lng":133.331829}, {"lat":35.439526,"lng":133.331533},{"lat": ,"lng": }], "color":"DarkRed"}</v>
      </c>
      <c r="AO133" s="266" t="s">
        <v>689</v>
      </c>
      <c r="AP133" s="56">
        <f t="shared" ca="1" si="9"/>
        <v>35.442264999999999</v>
      </c>
      <c r="AQ133" s="40" t="s">
        <v>684</v>
      </c>
      <c r="AR133" s="56">
        <f t="shared" ca="1" si="10"/>
        <v>133.331829</v>
      </c>
      <c r="AS133" s="40" t="s">
        <v>686</v>
      </c>
      <c r="AT133" s="56">
        <f t="shared" ca="1" si="11"/>
        <v>35.439526000000001</v>
      </c>
      <c r="AU133" s="40" t="s">
        <v>684</v>
      </c>
      <c r="AV133" s="56">
        <f t="shared" ca="1" si="12"/>
        <v>133.33153300000001</v>
      </c>
      <c r="AW133" s="40" t="s">
        <v>690</v>
      </c>
      <c r="AX133" s="40" t="str">
        <f t="shared" ca="1" si="13"/>
        <v>DarkRed</v>
      </c>
      <c r="AY133" s="40" t="s">
        <v>688</v>
      </c>
      <c r="AZ133" s="40" t="str">
        <f t="shared" ca="1" si="14"/>
        <v>,{"type":"polyline","latLngs":[{"lat":35.442265,"lng":133.331829},{"lat":35.439526,"lng":133.331533}],"color":"DarkRed"}</v>
      </c>
      <c r="BA133" s="40" t="s">
        <v>691</v>
      </c>
      <c r="BB133" s="56">
        <f t="shared" ca="1" si="15"/>
        <v>35.442264999999999</v>
      </c>
      <c r="BC133" s="40" t="s">
        <v>684</v>
      </c>
      <c r="BD133" s="56">
        <f t="shared" ca="1" si="16"/>
        <v>133.331829</v>
      </c>
      <c r="BE133" s="40" t="s">
        <v>692</v>
      </c>
      <c r="BF133" s="40" t="str">
        <f t="shared" ca="1" si="17"/>
        <v>DarkRed</v>
      </c>
      <c r="BG133" s="40" t="s">
        <v>688</v>
      </c>
      <c r="BH133" s="40" t="str">
        <f t="shared" ca="1" si="18"/>
        <v>,{"type":"marker","latLng":{"lat":35.442265,"lng":133.331829},"color":"DarkRed"}</v>
      </c>
      <c r="BI133" s="40" t="s">
        <v>693</v>
      </c>
      <c r="BJ133" s="40" t="s">
        <v>694</v>
      </c>
      <c r="BK133" s="267" t="str">
        <f t="shared" ca="1" si="19"/>
        <v>,{"type":"polyline","latLngs":[{"lat":35.442265,"lng":133.331829},{"lat":35.439526,"lng":133.331533}],"color":"DarkRed"}</v>
      </c>
      <c r="BL133" s="40"/>
      <c r="BM133" s="40"/>
      <c r="BN133" s="40"/>
      <c r="BO133" s="40"/>
      <c r="BP133" s="40"/>
      <c r="BQ133" s="40"/>
      <c r="BR133" s="40"/>
      <c r="BS133" s="40"/>
      <c r="BT133" s="40"/>
      <c r="BU133" s="40"/>
      <c r="BV133" s="40"/>
      <c r="BW133" s="40"/>
      <c r="BX133" s="40"/>
      <c r="BY133" s="40"/>
      <c r="BZ133" s="40"/>
      <c r="CA133" s="40"/>
      <c r="CB133" s="40"/>
      <c r="CC133" s="40"/>
      <c r="CD133" s="40"/>
      <c r="CE133" s="40"/>
      <c r="CF133" s="40"/>
      <c r="CG133" s="40"/>
      <c r="CH133" s="40"/>
    </row>
    <row r="134" spans="1:86" ht="17.5">
      <c r="A134" s="40"/>
      <c r="B134" s="260" t="str">
        <f ca="1">IFERROR(__xludf.DUMMYFUNCTION("""COMPUTED_VALUE"""),"P221")</f>
        <v>P221</v>
      </c>
      <c r="C134" s="273" t="str">
        <f ca="1">IFERROR(__xludf.DUMMYFUNCTION("""COMPUTED_VALUE"""),"お食事小料理すえ")</f>
        <v>お食事小料理すえ</v>
      </c>
      <c r="D134" s="273">
        <f ca="1">IFERROR(__xludf.DUMMYFUNCTION("""COMPUTED_VALUE"""),35.424733)</f>
        <v>35.424733000000003</v>
      </c>
      <c r="E134" s="273">
        <f ca="1">IFERROR(__xludf.DUMMYFUNCTION("""COMPUTED_VALUE"""),133.331703)</f>
        <v>133.331703</v>
      </c>
      <c r="F134" s="40"/>
      <c r="G134" s="261"/>
      <c r="H134" s="262" t="s">
        <v>672</v>
      </c>
      <c r="I134" s="271" t="str">
        <f ca="1">IFERROR(__xludf.DUMMYFUNCTION("""COMPUTED_VALUE"""),"Agent06")</f>
        <v>Agent06</v>
      </c>
      <c r="J134" s="271" t="str">
        <f ca="1">IFERROR(__xludf.DUMMYFUNCTION("""COMPUTED_VALUE"""),"P101")</f>
        <v>P101</v>
      </c>
      <c r="K134" s="271" t="str">
        <f ca="1">IFERROR(__xludf.DUMMYFUNCTION("""COMPUTED_VALUE"""),"P78")</f>
        <v>P78</v>
      </c>
      <c r="L134" s="242" t="s">
        <v>681</v>
      </c>
      <c r="M134" s="263" t="str">
        <f t="shared" ca="1" si="0"/>
        <v>DarkRed</v>
      </c>
      <c r="N134" s="264" t="str">
        <f ca="1">IFERROR(__xludf.DUMMYFUNCTION("FILTER(C:E,B:B=J134)"),"弓ヶ浜の母なる水 米川")</f>
        <v>弓ヶ浜の母なる水 米川</v>
      </c>
      <c r="O134" s="265">
        <f ca="1">IFERROR(__xludf.DUMMYFUNCTION("""COMPUTED_VALUE"""),35.442265)</f>
        <v>35.442264999999999</v>
      </c>
      <c r="P134" s="265">
        <f ca="1">IFERROR(__xludf.DUMMYFUNCTION("""COMPUTED_VALUE"""),133.331829)</f>
        <v>133.331829</v>
      </c>
      <c r="Q134" s="264" t="str">
        <f ca="1">IFERROR(__xludf.DUMMYFUNCTION("FILTER(C:E,B:B=K134)"),"米子市中心市街地地図")</f>
        <v>米子市中心市街地地図</v>
      </c>
      <c r="R134" s="265">
        <f ca="1">IFERROR(__xludf.DUMMYFUNCTION("""COMPUTED_VALUE"""),35.439288)</f>
        <v>35.439287999999998</v>
      </c>
      <c r="S134" s="265">
        <f ca="1">IFERROR(__xludf.DUMMYFUNCTION("""COMPUTED_VALUE"""),133.331418)</f>
        <v>133.33141800000001</v>
      </c>
      <c r="T134" s="264" t="str">
        <f ca="1">IFERROR(__xludf.DUMMYFUNCTION("FILTER(C:E,B:B=L134)")," ")</f>
        <v xml:space="preserve"> </v>
      </c>
      <c r="U134" s="40" t="str">
        <f ca="1">IFERROR(__xludf.DUMMYFUNCTION("""COMPUTED_VALUE""")," ")</f>
        <v xml:space="preserve"> </v>
      </c>
      <c r="V134" s="40" t="str">
        <f ca="1">IFERROR(__xludf.DUMMYFUNCTION("""COMPUTED_VALUE""")," ")</f>
        <v xml:space="preserve"> </v>
      </c>
      <c r="W134" s="40" t="str">
        <f t="shared" ca="1" si="21"/>
        <v>,</v>
      </c>
      <c r="X134" s="40" t="s">
        <v>682</v>
      </c>
      <c r="Y134" s="40" t="s">
        <v>683</v>
      </c>
      <c r="Z134" s="264">
        <f t="shared" ca="1" si="1"/>
        <v>35.442264999999999</v>
      </c>
      <c r="AA134" s="40" t="s">
        <v>684</v>
      </c>
      <c r="AB134" s="264">
        <f t="shared" ca="1" si="2"/>
        <v>133.331829</v>
      </c>
      <c r="AC134" s="40" t="s">
        <v>685</v>
      </c>
      <c r="AD134" s="264">
        <f t="shared" ca="1" si="3"/>
        <v>35.439287999999998</v>
      </c>
      <c r="AE134" s="40" t="s">
        <v>684</v>
      </c>
      <c r="AF134" s="264">
        <f t="shared" ca="1" si="4"/>
        <v>133.33141800000001</v>
      </c>
      <c r="AG134" s="40" t="s">
        <v>686</v>
      </c>
      <c r="AH134" s="264" t="str">
        <f t="shared" ca="1" si="5"/>
        <v xml:space="preserve"> </v>
      </c>
      <c r="AI134" s="40" t="s">
        <v>684</v>
      </c>
      <c r="AJ134" s="264" t="str">
        <f t="shared" ca="1" si="6"/>
        <v xml:space="preserve"> </v>
      </c>
      <c r="AK134" s="40" t="s">
        <v>687</v>
      </c>
      <c r="AL134" s="264" t="str">
        <f t="shared" ca="1" si="7"/>
        <v>DarkRed</v>
      </c>
      <c r="AM134" s="40" t="s">
        <v>688</v>
      </c>
      <c r="AN134" s="40" t="str">
        <f t="shared" ca="1" si="8"/>
        <v>,{"type":"polygon","latLngs":[ {"lat":35.442265,"lng":133.331829}, {"lat":35.439288,"lng":133.331418},{"lat": ,"lng": }], "color":"DarkRed"}</v>
      </c>
      <c r="AO134" s="266" t="s">
        <v>689</v>
      </c>
      <c r="AP134" s="56">
        <f t="shared" ca="1" si="9"/>
        <v>35.442264999999999</v>
      </c>
      <c r="AQ134" s="40" t="s">
        <v>684</v>
      </c>
      <c r="AR134" s="56">
        <f t="shared" ca="1" si="10"/>
        <v>133.331829</v>
      </c>
      <c r="AS134" s="40" t="s">
        <v>686</v>
      </c>
      <c r="AT134" s="56">
        <f t="shared" ca="1" si="11"/>
        <v>35.439287999999998</v>
      </c>
      <c r="AU134" s="40" t="s">
        <v>684</v>
      </c>
      <c r="AV134" s="56">
        <f t="shared" ca="1" si="12"/>
        <v>133.33141800000001</v>
      </c>
      <c r="AW134" s="40" t="s">
        <v>690</v>
      </c>
      <c r="AX134" s="40" t="str">
        <f t="shared" ca="1" si="13"/>
        <v>DarkRed</v>
      </c>
      <c r="AY134" s="40" t="s">
        <v>688</v>
      </c>
      <c r="AZ134" s="40" t="str">
        <f t="shared" ca="1" si="14"/>
        <v>,{"type":"polyline","latLngs":[{"lat":35.442265,"lng":133.331829},{"lat":35.439288,"lng":133.331418}],"color":"DarkRed"}</v>
      </c>
      <c r="BA134" s="40" t="s">
        <v>691</v>
      </c>
      <c r="BB134" s="56">
        <f t="shared" ca="1" si="15"/>
        <v>35.442264999999999</v>
      </c>
      <c r="BC134" s="40" t="s">
        <v>684</v>
      </c>
      <c r="BD134" s="56">
        <f t="shared" ca="1" si="16"/>
        <v>133.331829</v>
      </c>
      <c r="BE134" s="40" t="s">
        <v>692</v>
      </c>
      <c r="BF134" s="40" t="str">
        <f t="shared" ca="1" si="17"/>
        <v>DarkRed</v>
      </c>
      <c r="BG134" s="40" t="s">
        <v>688</v>
      </c>
      <c r="BH134" s="40" t="str">
        <f t="shared" ca="1" si="18"/>
        <v>,{"type":"marker","latLng":{"lat":35.442265,"lng":133.331829},"color":"DarkRed"}</v>
      </c>
      <c r="BI134" s="40" t="s">
        <v>693</v>
      </c>
      <c r="BJ134" s="40" t="s">
        <v>694</v>
      </c>
      <c r="BK134" s="267" t="str">
        <f t="shared" ca="1" si="19"/>
        <v>,{"type":"polyline","latLngs":[{"lat":35.442265,"lng":133.331829},{"lat":35.439288,"lng":133.331418}],"color":"DarkRed"}</v>
      </c>
      <c r="BL134" s="40"/>
      <c r="BM134" s="40"/>
      <c r="BN134" s="40"/>
      <c r="BO134" s="40"/>
      <c r="BP134" s="40"/>
      <c r="BQ134" s="40"/>
      <c r="BR134" s="40"/>
      <c r="BS134" s="40"/>
      <c r="BT134" s="40"/>
      <c r="BU134" s="40"/>
      <c r="BV134" s="40"/>
      <c r="BW134" s="40"/>
      <c r="BX134" s="40"/>
      <c r="BY134" s="40"/>
      <c r="BZ134" s="40"/>
      <c r="CA134" s="40"/>
      <c r="CB134" s="40"/>
      <c r="CC134" s="40"/>
      <c r="CD134" s="40"/>
      <c r="CE134" s="40"/>
      <c r="CF134" s="40"/>
      <c r="CG134" s="40"/>
      <c r="CH134" s="40"/>
    </row>
    <row r="135" spans="1:86" ht="17.5">
      <c r="A135" s="40"/>
      <c r="B135" s="260" t="str">
        <f ca="1">IFERROR(__xludf.DUMMYFUNCTION("""COMPUTED_VALUE"""),"P222")</f>
        <v>P222</v>
      </c>
      <c r="C135" s="273" t="str">
        <f ca="1">IFERROR(__xludf.DUMMYFUNCTION("""COMPUTED_VALUE"""),"米子城跡 上り口")</f>
        <v>米子城跡 上り口</v>
      </c>
      <c r="D135" s="273">
        <f ca="1">IFERROR(__xludf.DUMMYFUNCTION("""COMPUTED_VALUE"""),35.424862)</f>
        <v>35.424861999999997</v>
      </c>
      <c r="E135" s="273">
        <f ca="1">IFERROR(__xludf.DUMMYFUNCTION("""COMPUTED_VALUE"""),133.326159)</f>
        <v>133.32615899999999</v>
      </c>
      <c r="F135" s="40"/>
      <c r="G135" s="261"/>
      <c r="H135" s="262" t="s">
        <v>672</v>
      </c>
      <c r="I135" s="271" t="str">
        <f ca="1">IFERROR(__xludf.DUMMYFUNCTION("""COMPUTED_VALUE"""),"Agent06")</f>
        <v>Agent06</v>
      </c>
      <c r="J135" s="271" t="str">
        <f ca="1">IFERROR(__xludf.DUMMYFUNCTION("""COMPUTED_VALUE"""),"P105")</f>
        <v>P105</v>
      </c>
      <c r="K135" s="271" t="str">
        <f ca="1">IFERROR(__xludf.DUMMYFUNCTION("""COMPUTED_VALUE"""),"P101")</f>
        <v>P101</v>
      </c>
      <c r="L135" s="242" t="s">
        <v>681</v>
      </c>
      <c r="M135" s="263" t="str">
        <f t="shared" ca="1" si="0"/>
        <v>DarkRed</v>
      </c>
      <c r="N135" s="264" t="str">
        <f ca="1">IFERROR(__xludf.DUMMYFUNCTION("FILTER(C:E,B:B=J135)"),"米子米原郵便局")</f>
        <v>米子米原郵便局</v>
      </c>
      <c r="O135" s="265">
        <f ca="1">IFERROR(__xludf.DUMMYFUNCTION("""COMPUTED_VALUE"""),35.444157)</f>
        <v>35.444156999999997</v>
      </c>
      <c r="P135" s="265">
        <f ca="1">IFERROR(__xludf.DUMMYFUNCTION("""COMPUTED_VALUE"""),133.332202)</f>
        <v>133.332202</v>
      </c>
      <c r="Q135" s="264" t="str">
        <f ca="1">IFERROR(__xludf.DUMMYFUNCTION("FILTER(C:E,B:B=K135)"),"弓ヶ浜の母なる水 米川")</f>
        <v>弓ヶ浜の母なる水 米川</v>
      </c>
      <c r="R135" s="265">
        <f ca="1">IFERROR(__xludf.DUMMYFUNCTION("""COMPUTED_VALUE"""),35.442265)</f>
        <v>35.442264999999999</v>
      </c>
      <c r="S135" s="265">
        <f ca="1">IFERROR(__xludf.DUMMYFUNCTION("""COMPUTED_VALUE"""),133.331829)</f>
        <v>133.331829</v>
      </c>
      <c r="T135" s="264" t="str">
        <f ca="1">IFERROR(__xludf.DUMMYFUNCTION("FILTER(C:E,B:B=L135)")," ")</f>
        <v xml:space="preserve"> </v>
      </c>
      <c r="U135" s="40" t="str">
        <f ca="1">IFERROR(__xludf.DUMMYFUNCTION("""COMPUTED_VALUE""")," ")</f>
        <v xml:space="preserve"> </v>
      </c>
      <c r="V135" s="40" t="str">
        <f ca="1">IFERROR(__xludf.DUMMYFUNCTION("""COMPUTED_VALUE""")," ")</f>
        <v xml:space="preserve"> </v>
      </c>
      <c r="W135" s="40" t="str">
        <f t="shared" ca="1" si="21"/>
        <v>,</v>
      </c>
      <c r="X135" s="40" t="s">
        <v>682</v>
      </c>
      <c r="Y135" s="40" t="s">
        <v>683</v>
      </c>
      <c r="Z135" s="264">
        <f t="shared" ca="1" si="1"/>
        <v>35.444156999999997</v>
      </c>
      <c r="AA135" s="40" t="s">
        <v>684</v>
      </c>
      <c r="AB135" s="264">
        <f t="shared" ca="1" si="2"/>
        <v>133.332202</v>
      </c>
      <c r="AC135" s="40" t="s">
        <v>685</v>
      </c>
      <c r="AD135" s="264">
        <f t="shared" ca="1" si="3"/>
        <v>35.442264999999999</v>
      </c>
      <c r="AE135" s="40" t="s">
        <v>684</v>
      </c>
      <c r="AF135" s="264">
        <f t="shared" ca="1" si="4"/>
        <v>133.331829</v>
      </c>
      <c r="AG135" s="40" t="s">
        <v>686</v>
      </c>
      <c r="AH135" s="264" t="str">
        <f t="shared" ca="1" si="5"/>
        <v xml:space="preserve"> </v>
      </c>
      <c r="AI135" s="40" t="s">
        <v>684</v>
      </c>
      <c r="AJ135" s="264" t="str">
        <f t="shared" ca="1" si="6"/>
        <v xml:space="preserve"> </v>
      </c>
      <c r="AK135" s="40" t="s">
        <v>687</v>
      </c>
      <c r="AL135" s="264" t="str">
        <f t="shared" ca="1" si="7"/>
        <v>DarkRed</v>
      </c>
      <c r="AM135" s="40" t="s">
        <v>688</v>
      </c>
      <c r="AN135" s="40" t="str">
        <f t="shared" ca="1" si="8"/>
        <v>,{"type":"polygon","latLngs":[ {"lat":35.444157,"lng":133.332202}, {"lat":35.442265,"lng":133.331829},{"lat": ,"lng": }], "color":"DarkRed"}</v>
      </c>
      <c r="AO135" s="266" t="s">
        <v>689</v>
      </c>
      <c r="AP135" s="56">
        <f t="shared" ca="1" si="9"/>
        <v>35.444156999999997</v>
      </c>
      <c r="AQ135" s="40" t="s">
        <v>684</v>
      </c>
      <c r="AR135" s="56">
        <f t="shared" ca="1" si="10"/>
        <v>133.332202</v>
      </c>
      <c r="AS135" s="40" t="s">
        <v>686</v>
      </c>
      <c r="AT135" s="56">
        <f t="shared" ca="1" si="11"/>
        <v>35.442264999999999</v>
      </c>
      <c r="AU135" s="40" t="s">
        <v>684</v>
      </c>
      <c r="AV135" s="56">
        <f t="shared" ca="1" si="12"/>
        <v>133.331829</v>
      </c>
      <c r="AW135" s="40" t="s">
        <v>690</v>
      </c>
      <c r="AX135" s="40" t="str">
        <f t="shared" ca="1" si="13"/>
        <v>DarkRed</v>
      </c>
      <c r="AY135" s="40" t="s">
        <v>688</v>
      </c>
      <c r="AZ135" s="40" t="str">
        <f t="shared" ca="1" si="14"/>
        <v>,{"type":"polyline","latLngs":[{"lat":35.444157,"lng":133.332202},{"lat":35.442265,"lng":133.331829}],"color":"DarkRed"}</v>
      </c>
      <c r="BA135" s="40" t="s">
        <v>691</v>
      </c>
      <c r="BB135" s="56">
        <f t="shared" ca="1" si="15"/>
        <v>35.444156999999997</v>
      </c>
      <c r="BC135" s="40" t="s">
        <v>684</v>
      </c>
      <c r="BD135" s="56">
        <f t="shared" ca="1" si="16"/>
        <v>133.332202</v>
      </c>
      <c r="BE135" s="40" t="s">
        <v>692</v>
      </c>
      <c r="BF135" s="40" t="str">
        <f t="shared" ca="1" si="17"/>
        <v>DarkRed</v>
      </c>
      <c r="BG135" s="40" t="s">
        <v>688</v>
      </c>
      <c r="BH135" s="40" t="str">
        <f t="shared" ca="1" si="18"/>
        <v>,{"type":"marker","latLng":{"lat":35.444157,"lng":133.332202},"color":"DarkRed"}</v>
      </c>
      <c r="BI135" s="40" t="s">
        <v>693</v>
      </c>
      <c r="BJ135" s="40" t="s">
        <v>694</v>
      </c>
      <c r="BK135" s="267" t="str">
        <f t="shared" ca="1" si="19"/>
        <v>,{"type":"polyline","latLngs":[{"lat":35.444157,"lng":133.332202},{"lat":35.442265,"lng":133.331829}],"color":"DarkRed"}</v>
      </c>
      <c r="BL135" s="40"/>
      <c r="BM135" s="40"/>
      <c r="BN135" s="40"/>
      <c r="BO135" s="40"/>
      <c r="BP135" s="40"/>
      <c r="BQ135" s="40"/>
      <c r="BR135" s="40"/>
      <c r="BS135" s="40"/>
      <c r="BT135" s="40"/>
      <c r="BU135" s="40"/>
      <c r="BV135" s="40"/>
      <c r="BW135" s="40"/>
      <c r="BX135" s="40"/>
      <c r="BY135" s="40"/>
      <c r="BZ135" s="40"/>
      <c r="CA135" s="40"/>
      <c r="CB135" s="40"/>
      <c r="CC135" s="40"/>
      <c r="CD135" s="40"/>
      <c r="CE135" s="40"/>
      <c r="CF135" s="40"/>
      <c r="CG135" s="40"/>
      <c r="CH135" s="40"/>
    </row>
    <row r="136" spans="1:86" ht="17.5">
      <c r="A136" s="40"/>
      <c r="B136" s="260" t="str">
        <f ca="1">IFERROR(__xludf.DUMMYFUNCTION("""COMPUTED_VALUE"""),"P223")</f>
        <v>P223</v>
      </c>
      <c r="C136" s="273" t="str">
        <f ca="1">IFERROR(__xludf.DUMMYFUNCTION("""COMPUTED_VALUE"""),"焼肉韓国料理 大力家族亭")</f>
        <v>焼肉韓国料理 大力家族亭</v>
      </c>
      <c r="D136" s="273">
        <f ca="1">IFERROR(__xludf.DUMMYFUNCTION("""COMPUTED_VALUE"""),35.42498)</f>
        <v>35.424979999999998</v>
      </c>
      <c r="E136" s="273">
        <f ca="1">IFERROR(__xludf.DUMMYFUNCTION("""COMPUTED_VALUE"""),133.330266)</f>
        <v>133.33026599999999</v>
      </c>
      <c r="F136" s="40"/>
      <c r="G136" s="261"/>
      <c r="H136" s="262" t="s">
        <v>672</v>
      </c>
      <c r="I136" s="271" t="str">
        <f ca="1">IFERROR(__xludf.DUMMYFUNCTION("""COMPUTED_VALUE"""),"Agent06")</f>
        <v>Agent06</v>
      </c>
      <c r="J136" s="271" t="str">
        <f ca="1">IFERROR(__xludf.DUMMYFUNCTION("""COMPUTED_VALUE"""),"P103")</f>
        <v>P103</v>
      </c>
      <c r="K136" s="271" t="str">
        <f ca="1">IFERROR(__xludf.DUMMYFUNCTION("""COMPUTED_VALUE"""),"P105")</f>
        <v>P105</v>
      </c>
      <c r="L136" s="242" t="s">
        <v>681</v>
      </c>
      <c r="M136" s="263" t="str">
        <f t="shared" ca="1" si="0"/>
        <v>DarkRed</v>
      </c>
      <c r="N136" s="264" t="str">
        <f ca="1">IFERROR(__xludf.DUMMYFUNCTION("FILTER(C:E,B:B=J136)"),"ソフトバンク米子中央")</f>
        <v>ソフトバンク米子中央</v>
      </c>
      <c r="O136" s="265">
        <f ca="1">IFERROR(__xludf.DUMMYFUNCTION("""COMPUTED_VALUE"""),35.442968)</f>
        <v>35.442968</v>
      </c>
      <c r="P136" s="265">
        <f ca="1">IFERROR(__xludf.DUMMYFUNCTION("""COMPUTED_VALUE"""),133.333583)</f>
        <v>133.333583</v>
      </c>
      <c r="Q136" s="264" t="str">
        <f ca="1">IFERROR(__xludf.DUMMYFUNCTION("FILTER(C:E,B:B=K136)"),"米子米原郵便局")</f>
        <v>米子米原郵便局</v>
      </c>
      <c r="R136" s="265">
        <f ca="1">IFERROR(__xludf.DUMMYFUNCTION("""COMPUTED_VALUE"""),35.444157)</f>
        <v>35.444156999999997</v>
      </c>
      <c r="S136" s="265">
        <f ca="1">IFERROR(__xludf.DUMMYFUNCTION("""COMPUTED_VALUE"""),133.332202)</f>
        <v>133.332202</v>
      </c>
      <c r="T136" s="264" t="str">
        <f ca="1">IFERROR(__xludf.DUMMYFUNCTION("FILTER(C:E,B:B=L136)")," ")</f>
        <v xml:space="preserve"> </v>
      </c>
      <c r="U136" s="40" t="str">
        <f ca="1">IFERROR(__xludf.DUMMYFUNCTION("""COMPUTED_VALUE""")," ")</f>
        <v xml:space="preserve"> </v>
      </c>
      <c r="V136" s="40" t="str">
        <f ca="1">IFERROR(__xludf.DUMMYFUNCTION("""COMPUTED_VALUE""")," ")</f>
        <v xml:space="preserve"> </v>
      </c>
      <c r="W136" s="40" t="str">
        <f t="shared" ca="1" si="21"/>
        <v>,</v>
      </c>
      <c r="X136" s="40" t="s">
        <v>682</v>
      </c>
      <c r="Y136" s="40" t="s">
        <v>683</v>
      </c>
      <c r="Z136" s="264">
        <f t="shared" ca="1" si="1"/>
        <v>35.442968</v>
      </c>
      <c r="AA136" s="40" t="s">
        <v>684</v>
      </c>
      <c r="AB136" s="264">
        <f t="shared" ca="1" si="2"/>
        <v>133.333583</v>
      </c>
      <c r="AC136" s="40" t="s">
        <v>685</v>
      </c>
      <c r="AD136" s="264">
        <f t="shared" ca="1" si="3"/>
        <v>35.444156999999997</v>
      </c>
      <c r="AE136" s="40" t="s">
        <v>684</v>
      </c>
      <c r="AF136" s="264">
        <f t="shared" ca="1" si="4"/>
        <v>133.332202</v>
      </c>
      <c r="AG136" s="40" t="s">
        <v>686</v>
      </c>
      <c r="AH136" s="264" t="str">
        <f t="shared" ca="1" si="5"/>
        <v xml:space="preserve"> </v>
      </c>
      <c r="AI136" s="40" t="s">
        <v>684</v>
      </c>
      <c r="AJ136" s="264" t="str">
        <f t="shared" ca="1" si="6"/>
        <v xml:space="preserve"> </v>
      </c>
      <c r="AK136" s="40" t="s">
        <v>687</v>
      </c>
      <c r="AL136" s="264" t="str">
        <f t="shared" ca="1" si="7"/>
        <v>DarkRed</v>
      </c>
      <c r="AM136" s="40" t="s">
        <v>688</v>
      </c>
      <c r="AN136" s="40" t="str">
        <f t="shared" ca="1" si="8"/>
        <v>,{"type":"polygon","latLngs":[ {"lat":35.442968,"lng":133.333583}, {"lat":35.444157,"lng":133.332202},{"lat": ,"lng": }], "color":"DarkRed"}</v>
      </c>
      <c r="AO136" s="266" t="s">
        <v>689</v>
      </c>
      <c r="AP136" s="56">
        <f t="shared" ca="1" si="9"/>
        <v>35.442968</v>
      </c>
      <c r="AQ136" s="40" t="s">
        <v>684</v>
      </c>
      <c r="AR136" s="56">
        <f t="shared" ca="1" si="10"/>
        <v>133.333583</v>
      </c>
      <c r="AS136" s="40" t="s">
        <v>686</v>
      </c>
      <c r="AT136" s="56">
        <f t="shared" ca="1" si="11"/>
        <v>35.444156999999997</v>
      </c>
      <c r="AU136" s="40" t="s">
        <v>684</v>
      </c>
      <c r="AV136" s="56">
        <f t="shared" ca="1" si="12"/>
        <v>133.332202</v>
      </c>
      <c r="AW136" s="40" t="s">
        <v>690</v>
      </c>
      <c r="AX136" s="40" t="str">
        <f t="shared" ca="1" si="13"/>
        <v>DarkRed</v>
      </c>
      <c r="AY136" s="40" t="s">
        <v>688</v>
      </c>
      <c r="AZ136" s="40" t="str">
        <f t="shared" ca="1" si="14"/>
        <v>,{"type":"polyline","latLngs":[{"lat":35.442968,"lng":133.333583},{"lat":35.444157,"lng":133.332202}],"color":"DarkRed"}</v>
      </c>
      <c r="BA136" s="40" t="s">
        <v>691</v>
      </c>
      <c r="BB136" s="56">
        <f t="shared" ca="1" si="15"/>
        <v>35.442968</v>
      </c>
      <c r="BC136" s="40" t="s">
        <v>684</v>
      </c>
      <c r="BD136" s="56">
        <f t="shared" ca="1" si="16"/>
        <v>133.333583</v>
      </c>
      <c r="BE136" s="40" t="s">
        <v>692</v>
      </c>
      <c r="BF136" s="40" t="str">
        <f t="shared" ca="1" si="17"/>
        <v>DarkRed</v>
      </c>
      <c r="BG136" s="40" t="s">
        <v>688</v>
      </c>
      <c r="BH136" s="40" t="str">
        <f t="shared" ca="1" si="18"/>
        <v>,{"type":"marker","latLng":{"lat":35.442968,"lng":133.333583},"color":"DarkRed"}</v>
      </c>
      <c r="BI136" s="40" t="s">
        <v>693</v>
      </c>
      <c r="BJ136" s="40" t="s">
        <v>694</v>
      </c>
      <c r="BK136" s="267" t="str">
        <f t="shared" ca="1" si="19"/>
        <v>,{"type":"polyline","latLngs":[{"lat":35.442968,"lng":133.333583},{"lat":35.444157,"lng":133.332202}],"color":"DarkRed"}</v>
      </c>
      <c r="BL136" s="40"/>
      <c r="BM136" s="40"/>
      <c r="BN136" s="40"/>
      <c r="BO136" s="40"/>
      <c r="BP136" s="40"/>
      <c r="BQ136" s="40"/>
      <c r="BR136" s="40"/>
      <c r="BS136" s="40"/>
      <c r="BT136" s="40"/>
      <c r="BU136" s="40"/>
      <c r="BV136" s="40"/>
      <c r="BW136" s="40"/>
      <c r="BX136" s="40"/>
      <c r="BY136" s="40"/>
      <c r="BZ136" s="40"/>
      <c r="CA136" s="40"/>
      <c r="CB136" s="40"/>
      <c r="CC136" s="40"/>
      <c r="CD136" s="40"/>
      <c r="CE136" s="40"/>
      <c r="CF136" s="40"/>
      <c r="CG136" s="40"/>
      <c r="CH136" s="40"/>
    </row>
    <row r="137" spans="1:86" ht="17.5">
      <c r="A137" s="40"/>
      <c r="B137" s="260" t="str">
        <f ca="1">IFERROR(__xludf.DUMMYFUNCTION("""COMPUTED_VALUE"""),"P224")</f>
        <v>P224</v>
      </c>
      <c r="C137" s="273" t="str">
        <f ca="1">IFERROR(__xludf.DUMMYFUNCTION("""COMPUTED_VALUE"""),"住居表示街区案内図 米子市東福原1丁目")</f>
        <v>住居表示街区案内図 米子市東福原1丁目</v>
      </c>
      <c r="D137" s="273">
        <f ca="1">IFERROR(__xludf.DUMMYFUNCTION("""COMPUTED_VALUE"""),35.437492)</f>
        <v>35.437491999999999</v>
      </c>
      <c r="E137" s="273">
        <f ca="1">IFERROR(__xludf.DUMMYFUNCTION("""COMPUTED_VALUE"""),133.340979)</f>
        <v>133.340979</v>
      </c>
      <c r="F137" s="40"/>
      <c r="G137" s="261"/>
      <c r="H137" s="262" t="s">
        <v>672</v>
      </c>
      <c r="I137" s="271" t="str">
        <f ca="1">IFERROR(__xludf.DUMMYFUNCTION("""COMPUTED_VALUE"""),"Agent06")</f>
        <v>Agent06</v>
      </c>
      <c r="J137" s="271" t="str">
        <f ca="1">IFERROR(__xludf.DUMMYFUNCTION("""COMPUTED_VALUE"""),"P97")</f>
        <v>P97</v>
      </c>
      <c r="K137" s="271" t="str">
        <f ca="1">IFERROR(__xludf.DUMMYFUNCTION("""COMPUTED_VALUE"""),"P105")</f>
        <v>P105</v>
      </c>
      <c r="L137" s="242" t="s">
        <v>681</v>
      </c>
      <c r="M137" s="263" t="str">
        <f t="shared" ca="1" si="0"/>
        <v>DarkRed</v>
      </c>
      <c r="N137" s="264" t="str">
        <f ca="1">IFERROR(__xludf.DUMMYFUNCTION("FILTER(C:E,B:B=J137)"),"世界真光文明教団 米子センター")</f>
        <v>世界真光文明教団 米子センター</v>
      </c>
      <c r="O137" s="265">
        <f ca="1">IFERROR(__xludf.DUMMYFUNCTION("""COMPUTED_VALUE"""),35.441888)</f>
        <v>35.441887999999999</v>
      </c>
      <c r="P137" s="265">
        <f ca="1">IFERROR(__xludf.DUMMYFUNCTION("""COMPUTED_VALUE"""),133.335563)</f>
        <v>133.33556300000001</v>
      </c>
      <c r="Q137" s="264" t="str">
        <f ca="1">IFERROR(__xludf.DUMMYFUNCTION("FILTER(C:E,B:B=K137)"),"米子米原郵便局")</f>
        <v>米子米原郵便局</v>
      </c>
      <c r="R137" s="265">
        <f ca="1">IFERROR(__xludf.DUMMYFUNCTION("""COMPUTED_VALUE"""),35.444157)</f>
        <v>35.444156999999997</v>
      </c>
      <c r="S137" s="265">
        <f ca="1">IFERROR(__xludf.DUMMYFUNCTION("""COMPUTED_VALUE"""),133.332202)</f>
        <v>133.332202</v>
      </c>
      <c r="T137" s="264" t="str">
        <f ca="1">IFERROR(__xludf.DUMMYFUNCTION("FILTER(C:E,B:B=L137)")," ")</f>
        <v xml:space="preserve"> </v>
      </c>
      <c r="U137" s="40" t="str">
        <f ca="1">IFERROR(__xludf.DUMMYFUNCTION("""COMPUTED_VALUE""")," ")</f>
        <v xml:space="preserve"> </v>
      </c>
      <c r="V137" s="40" t="str">
        <f ca="1">IFERROR(__xludf.DUMMYFUNCTION("""COMPUTED_VALUE""")," ")</f>
        <v xml:space="preserve"> </v>
      </c>
      <c r="W137" s="40" t="str">
        <f t="shared" ca="1" si="21"/>
        <v>,</v>
      </c>
      <c r="X137" s="40" t="s">
        <v>682</v>
      </c>
      <c r="Y137" s="40" t="s">
        <v>683</v>
      </c>
      <c r="Z137" s="264">
        <f t="shared" ca="1" si="1"/>
        <v>35.441887999999999</v>
      </c>
      <c r="AA137" s="40" t="s">
        <v>684</v>
      </c>
      <c r="AB137" s="264">
        <f t="shared" ca="1" si="2"/>
        <v>133.33556300000001</v>
      </c>
      <c r="AC137" s="40" t="s">
        <v>685</v>
      </c>
      <c r="AD137" s="264">
        <f t="shared" ca="1" si="3"/>
        <v>35.444156999999997</v>
      </c>
      <c r="AE137" s="40" t="s">
        <v>684</v>
      </c>
      <c r="AF137" s="264">
        <f t="shared" ca="1" si="4"/>
        <v>133.332202</v>
      </c>
      <c r="AG137" s="40" t="s">
        <v>686</v>
      </c>
      <c r="AH137" s="264" t="str">
        <f t="shared" ca="1" si="5"/>
        <v xml:space="preserve"> </v>
      </c>
      <c r="AI137" s="40" t="s">
        <v>684</v>
      </c>
      <c r="AJ137" s="264" t="str">
        <f t="shared" ca="1" si="6"/>
        <v xml:space="preserve"> </v>
      </c>
      <c r="AK137" s="40" t="s">
        <v>687</v>
      </c>
      <c r="AL137" s="264" t="str">
        <f t="shared" ca="1" si="7"/>
        <v>DarkRed</v>
      </c>
      <c r="AM137" s="40" t="s">
        <v>688</v>
      </c>
      <c r="AN137" s="40" t="str">
        <f t="shared" ca="1" si="8"/>
        <v>,{"type":"polygon","latLngs":[ {"lat":35.441888,"lng":133.335563}, {"lat":35.444157,"lng":133.332202},{"lat": ,"lng": }], "color":"DarkRed"}</v>
      </c>
      <c r="AO137" s="266" t="s">
        <v>689</v>
      </c>
      <c r="AP137" s="56">
        <f t="shared" ca="1" si="9"/>
        <v>35.441887999999999</v>
      </c>
      <c r="AQ137" s="40" t="s">
        <v>684</v>
      </c>
      <c r="AR137" s="56">
        <f t="shared" ca="1" si="10"/>
        <v>133.33556300000001</v>
      </c>
      <c r="AS137" s="40" t="s">
        <v>686</v>
      </c>
      <c r="AT137" s="56">
        <f t="shared" ca="1" si="11"/>
        <v>35.444156999999997</v>
      </c>
      <c r="AU137" s="40" t="s">
        <v>684</v>
      </c>
      <c r="AV137" s="56">
        <f t="shared" ca="1" si="12"/>
        <v>133.332202</v>
      </c>
      <c r="AW137" s="40" t="s">
        <v>690</v>
      </c>
      <c r="AX137" s="40" t="str">
        <f t="shared" ca="1" si="13"/>
        <v>DarkRed</v>
      </c>
      <c r="AY137" s="40" t="s">
        <v>688</v>
      </c>
      <c r="AZ137" s="40" t="str">
        <f t="shared" ca="1" si="14"/>
        <v>,{"type":"polyline","latLngs":[{"lat":35.441888,"lng":133.335563},{"lat":35.444157,"lng":133.332202}],"color":"DarkRed"}</v>
      </c>
      <c r="BA137" s="40" t="s">
        <v>691</v>
      </c>
      <c r="BB137" s="56">
        <f t="shared" ca="1" si="15"/>
        <v>35.441887999999999</v>
      </c>
      <c r="BC137" s="40" t="s">
        <v>684</v>
      </c>
      <c r="BD137" s="56">
        <f t="shared" ca="1" si="16"/>
        <v>133.33556300000001</v>
      </c>
      <c r="BE137" s="40" t="s">
        <v>692</v>
      </c>
      <c r="BF137" s="40" t="str">
        <f t="shared" ca="1" si="17"/>
        <v>DarkRed</v>
      </c>
      <c r="BG137" s="40" t="s">
        <v>688</v>
      </c>
      <c r="BH137" s="40" t="str">
        <f t="shared" ca="1" si="18"/>
        <v>,{"type":"marker","latLng":{"lat":35.441888,"lng":133.335563},"color":"DarkRed"}</v>
      </c>
      <c r="BI137" s="40" t="s">
        <v>693</v>
      </c>
      <c r="BJ137" s="40" t="s">
        <v>694</v>
      </c>
      <c r="BK137" s="267" t="str">
        <f t="shared" ca="1" si="19"/>
        <v>,{"type":"polyline","latLngs":[{"lat":35.441888,"lng":133.335563},{"lat":35.444157,"lng":133.332202}],"color":"DarkRed"}</v>
      </c>
      <c r="BL137" s="40"/>
      <c r="BM137" s="40"/>
      <c r="BN137" s="40"/>
      <c r="BO137" s="40"/>
      <c r="BP137" s="40"/>
      <c r="BQ137" s="40"/>
      <c r="BR137" s="40"/>
      <c r="BS137" s="40"/>
      <c r="BT137" s="40"/>
      <c r="BU137" s="40"/>
      <c r="BV137" s="40"/>
      <c r="BW137" s="40"/>
      <c r="BX137" s="40"/>
      <c r="BY137" s="40"/>
      <c r="BZ137" s="40"/>
      <c r="CA137" s="40"/>
      <c r="CB137" s="40"/>
      <c r="CC137" s="40"/>
      <c r="CD137" s="40"/>
      <c r="CE137" s="40"/>
      <c r="CF137" s="40"/>
      <c r="CG137" s="40"/>
      <c r="CH137" s="40"/>
    </row>
    <row r="138" spans="1:86" ht="17.5">
      <c r="A138" s="40"/>
      <c r="B138" s="260" t="str">
        <f ca="1">IFERROR(__xludf.DUMMYFUNCTION("""COMPUTED_VALUE"""),"P225")</f>
        <v>P225</v>
      </c>
      <c r="C138" s="273" t="str">
        <f ca="1">IFERROR(__xludf.DUMMYFUNCTION("""COMPUTED_VALUE"""),"米川堤防のつつじ")</f>
        <v>米川堤防のつつじ</v>
      </c>
      <c r="D138" s="273">
        <f ca="1">IFERROR(__xludf.DUMMYFUNCTION("""COMPUTED_VALUE"""),35.437507)</f>
        <v>35.437506999999997</v>
      </c>
      <c r="E138" s="273">
        <f ca="1">IFERROR(__xludf.DUMMYFUNCTION("""COMPUTED_VALUE"""),133.340544)</f>
        <v>133.34054399999999</v>
      </c>
      <c r="F138" s="40"/>
      <c r="G138" s="261"/>
      <c r="H138" s="262" t="s">
        <v>672</v>
      </c>
      <c r="I138" s="271" t="str">
        <f ca="1">IFERROR(__xludf.DUMMYFUNCTION("""COMPUTED_VALUE"""),"Agent06")</f>
        <v>Agent06</v>
      </c>
      <c r="J138" s="271" t="str">
        <f ca="1">IFERROR(__xludf.DUMMYFUNCTION("""COMPUTED_VALUE"""),"P97")</f>
        <v>P97</v>
      </c>
      <c r="K138" s="271" t="str">
        <f ca="1">IFERROR(__xludf.DUMMYFUNCTION("""COMPUTED_VALUE"""),"P103")</f>
        <v>P103</v>
      </c>
      <c r="L138" s="242" t="s">
        <v>681</v>
      </c>
      <c r="M138" s="263" t="str">
        <f t="shared" ca="1" si="0"/>
        <v>DarkRed</v>
      </c>
      <c r="N138" s="264" t="str">
        <f ca="1">IFERROR(__xludf.DUMMYFUNCTION("FILTER(C:E,B:B=J138)"),"世界真光文明教団 米子センター")</f>
        <v>世界真光文明教団 米子センター</v>
      </c>
      <c r="O138" s="265">
        <f ca="1">IFERROR(__xludf.DUMMYFUNCTION("""COMPUTED_VALUE"""),35.441888)</f>
        <v>35.441887999999999</v>
      </c>
      <c r="P138" s="265">
        <f ca="1">IFERROR(__xludf.DUMMYFUNCTION("""COMPUTED_VALUE"""),133.335563)</f>
        <v>133.33556300000001</v>
      </c>
      <c r="Q138" s="264" t="str">
        <f ca="1">IFERROR(__xludf.DUMMYFUNCTION("FILTER(C:E,B:B=K138)"),"ソフトバンク米子中央")</f>
        <v>ソフトバンク米子中央</v>
      </c>
      <c r="R138" s="265">
        <f ca="1">IFERROR(__xludf.DUMMYFUNCTION("""COMPUTED_VALUE"""),35.442968)</f>
        <v>35.442968</v>
      </c>
      <c r="S138" s="265">
        <f ca="1">IFERROR(__xludf.DUMMYFUNCTION("""COMPUTED_VALUE"""),133.333583)</f>
        <v>133.333583</v>
      </c>
      <c r="T138" s="264" t="str">
        <f ca="1">IFERROR(__xludf.DUMMYFUNCTION("FILTER(C:E,B:B=L138)")," ")</f>
        <v xml:space="preserve"> </v>
      </c>
      <c r="U138" s="40" t="str">
        <f ca="1">IFERROR(__xludf.DUMMYFUNCTION("""COMPUTED_VALUE""")," ")</f>
        <v xml:space="preserve"> </v>
      </c>
      <c r="V138" s="40" t="str">
        <f ca="1">IFERROR(__xludf.DUMMYFUNCTION("""COMPUTED_VALUE""")," ")</f>
        <v xml:space="preserve"> </v>
      </c>
      <c r="W138" s="40" t="str">
        <f t="shared" ca="1" si="21"/>
        <v>,</v>
      </c>
      <c r="X138" s="40" t="s">
        <v>682</v>
      </c>
      <c r="Y138" s="40" t="s">
        <v>683</v>
      </c>
      <c r="Z138" s="264">
        <f t="shared" ca="1" si="1"/>
        <v>35.441887999999999</v>
      </c>
      <c r="AA138" s="40" t="s">
        <v>684</v>
      </c>
      <c r="AB138" s="264">
        <f t="shared" ca="1" si="2"/>
        <v>133.33556300000001</v>
      </c>
      <c r="AC138" s="40" t="s">
        <v>685</v>
      </c>
      <c r="AD138" s="264">
        <f t="shared" ca="1" si="3"/>
        <v>35.442968</v>
      </c>
      <c r="AE138" s="40" t="s">
        <v>684</v>
      </c>
      <c r="AF138" s="264">
        <f t="shared" ca="1" si="4"/>
        <v>133.333583</v>
      </c>
      <c r="AG138" s="40" t="s">
        <v>686</v>
      </c>
      <c r="AH138" s="264" t="str">
        <f t="shared" ca="1" si="5"/>
        <v xml:space="preserve"> </v>
      </c>
      <c r="AI138" s="40" t="s">
        <v>684</v>
      </c>
      <c r="AJ138" s="264" t="str">
        <f t="shared" ca="1" si="6"/>
        <v xml:space="preserve"> </v>
      </c>
      <c r="AK138" s="40" t="s">
        <v>687</v>
      </c>
      <c r="AL138" s="264" t="str">
        <f t="shared" ca="1" si="7"/>
        <v>DarkRed</v>
      </c>
      <c r="AM138" s="40" t="s">
        <v>688</v>
      </c>
      <c r="AN138" s="40" t="str">
        <f t="shared" ca="1" si="8"/>
        <v>,{"type":"polygon","latLngs":[ {"lat":35.441888,"lng":133.335563}, {"lat":35.442968,"lng":133.333583},{"lat": ,"lng": }], "color":"DarkRed"}</v>
      </c>
      <c r="AO138" s="266" t="s">
        <v>689</v>
      </c>
      <c r="AP138" s="56">
        <f t="shared" ca="1" si="9"/>
        <v>35.441887999999999</v>
      </c>
      <c r="AQ138" s="40" t="s">
        <v>684</v>
      </c>
      <c r="AR138" s="56">
        <f t="shared" ca="1" si="10"/>
        <v>133.33556300000001</v>
      </c>
      <c r="AS138" s="40" t="s">
        <v>686</v>
      </c>
      <c r="AT138" s="56">
        <f t="shared" ca="1" si="11"/>
        <v>35.442968</v>
      </c>
      <c r="AU138" s="40" t="s">
        <v>684</v>
      </c>
      <c r="AV138" s="56">
        <f t="shared" ca="1" si="12"/>
        <v>133.333583</v>
      </c>
      <c r="AW138" s="40" t="s">
        <v>690</v>
      </c>
      <c r="AX138" s="40" t="str">
        <f t="shared" ca="1" si="13"/>
        <v>DarkRed</v>
      </c>
      <c r="AY138" s="40" t="s">
        <v>688</v>
      </c>
      <c r="AZ138" s="40" t="str">
        <f t="shared" ca="1" si="14"/>
        <v>,{"type":"polyline","latLngs":[{"lat":35.441888,"lng":133.335563},{"lat":35.442968,"lng":133.333583}],"color":"DarkRed"}</v>
      </c>
      <c r="BA138" s="40" t="s">
        <v>691</v>
      </c>
      <c r="BB138" s="56">
        <f t="shared" ca="1" si="15"/>
        <v>35.441887999999999</v>
      </c>
      <c r="BC138" s="40" t="s">
        <v>684</v>
      </c>
      <c r="BD138" s="56">
        <f t="shared" ca="1" si="16"/>
        <v>133.33556300000001</v>
      </c>
      <c r="BE138" s="40" t="s">
        <v>692</v>
      </c>
      <c r="BF138" s="40" t="str">
        <f t="shared" ca="1" si="17"/>
        <v>DarkRed</v>
      </c>
      <c r="BG138" s="40" t="s">
        <v>688</v>
      </c>
      <c r="BH138" s="40" t="str">
        <f t="shared" ca="1" si="18"/>
        <v>,{"type":"marker","latLng":{"lat":35.441888,"lng":133.335563},"color":"DarkRed"}</v>
      </c>
      <c r="BI138" s="40" t="s">
        <v>693</v>
      </c>
      <c r="BJ138" s="40" t="s">
        <v>694</v>
      </c>
      <c r="BK138" s="267" t="str">
        <f t="shared" ca="1" si="19"/>
        <v>,{"type":"polyline","latLngs":[{"lat":35.441888,"lng":133.335563},{"lat":35.442968,"lng":133.333583}],"color":"DarkRed"}</v>
      </c>
      <c r="BL138" s="40"/>
      <c r="BM138" s="40"/>
      <c r="BN138" s="40"/>
      <c r="BO138" s="40"/>
      <c r="BP138" s="40"/>
      <c r="BQ138" s="40"/>
      <c r="BR138" s="40"/>
      <c r="BS138" s="40"/>
      <c r="BT138" s="40"/>
      <c r="BU138" s="40"/>
      <c r="BV138" s="40"/>
      <c r="BW138" s="40"/>
      <c r="BX138" s="40"/>
      <c r="BY138" s="40"/>
      <c r="BZ138" s="40"/>
      <c r="CA138" s="40"/>
      <c r="CB138" s="40"/>
      <c r="CC138" s="40"/>
      <c r="CD138" s="40"/>
      <c r="CE138" s="40"/>
      <c r="CF138" s="40"/>
      <c r="CG138" s="40"/>
      <c r="CH138" s="40"/>
    </row>
    <row r="139" spans="1:86" ht="17.5">
      <c r="A139" s="40"/>
      <c r="B139" s="260" t="str">
        <f ca="1">IFERROR(__xludf.DUMMYFUNCTION("""COMPUTED_VALUE"""),"P301")</f>
        <v>P301</v>
      </c>
      <c r="C139" s="273" t="str">
        <f ca="1">IFERROR(__xludf.DUMMYFUNCTION("""COMPUTED_VALUE"""),"天理教京伯分教会")</f>
        <v>天理教京伯分教会</v>
      </c>
      <c r="D139" s="273">
        <f ca="1">IFERROR(__xludf.DUMMYFUNCTION("""COMPUTED_VALUE"""),35.427028)</f>
        <v>35.427028</v>
      </c>
      <c r="E139" s="273">
        <f ca="1">IFERROR(__xludf.DUMMYFUNCTION("""COMPUTED_VALUE"""),133.349948)</f>
        <v>133.34994800000001</v>
      </c>
      <c r="F139" s="40"/>
      <c r="G139" s="261"/>
      <c r="H139" s="262" t="s">
        <v>672</v>
      </c>
      <c r="I139" s="271" t="str">
        <f ca="1">IFERROR(__xludf.DUMMYFUNCTION("""COMPUTED_VALUE"""),"Agent06")</f>
        <v>Agent06</v>
      </c>
      <c r="J139" s="271" t="str">
        <f ca="1">IFERROR(__xludf.DUMMYFUNCTION("""COMPUTED_VALUE"""),"P99")</f>
        <v>P99</v>
      </c>
      <c r="K139" s="271" t="str">
        <f ca="1">IFERROR(__xludf.DUMMYFUNCTION("""COMPUTED_VALUE"""),"P97")</f>
        <v>P97</v>
      </c>
      <c r="L139" s="242" t="s">
        <v>681</v>
      </c>
      <c r="M139" s="263" t="str">
        <f t="shared" ca="1" si="0"/>
        <v>DarkRed</v>
      </c>
      <c r="N139" s="264" t="str">
        <f ca="1">IFERROR(__xludf.DUMMYFUNCTION("FILTER(C:E,B:B=J139)"),"米子復活教会")</f>
        <v>米子復活教会</v>
      </c>
      <c r="O139" s="265">
        <f ca="1">IFERROR(__xludf.DUMMYFUNCTION("""COMPUTED_VALUE"""),35.441903)</f>
        <v>35.441903000000003</v>
      </c>
      <c r="P139" s="265">
        <f ca="1">IFERROR(__xludf.DUMMYFUNCTION("""COMPUTED_VALUE"""),133.336361)</f>
        <v>133.33636100000001</v>
      </c>
      <c r="Q139" s="264" t="str">
        <f ca="1">IFERROR(__xludf.DUMMYFUNCTION("FILTER(C:E,B:B=K139)"),"世界真光文明教団 米子センター")</f>
        <v>世界真光文明教団 米子センター</v>
      </c>
      <c r="R139" s="265">
        <f ca="1">IFERROR(__xludf.DUMMYFUNCTION("""COMPUTED_VALUE"""),35.441888)</f>
        <v>35.441887999999999</v>
      </c>
      <c r="S139" s="265">
        <f ca="1">IFERROR(__xludf.DUMMYFUNCTION("""COMPUTED_VALUE"""),133.335563)</f>
        <v>133.33556300000001</v>
      </c>
      <c r="T139" s="264" t="str">
        <f ca="1">IFERROR(__xludf.DUMMYFUNCTION("FILTER(C:E,B:B=L139)")," ")</f>
        <v xml:space="preserve"> </v>
      </c>
      <c r="U139" s="40" t="str">
        <f ca="1">IFERROR(__xludf.DUMMYFUNCTION("""COMPUTED_VALUE""")," ")</f>
        <v xml:space="preserve"> </v>
      </c>
      <c r="V139" s="40" t="str">
        <f ca="1">IFERROR(__xludf.DUMMYFUNCTION("""COMPUTED_VALUE""")," ")</f>
        <v xml:space="preserve"> </v>
      </c>
      <c r="W139" s="40" t="str">
        <f t="shared" ca="1" si="21"/>
        <v>,</v>
      </c>
      <c r="X139" s="40" t="s">
        <v>682</v>
      </c>
      <c r="Y139" s="40" t="s">
        <v>683</v>
      </c>
      <c r="Z139" s="264">
        <f t="shared" ca="1" si="1"/>
        <v>35.441903000000003</v>
      </c>
      <c r="AA139" s="40" t="s">
        <v>684</v>
      </c>
      <c r="AB139" s="264">
        <f t="shared" ca="1" si="2"/>
        <v>133.33636100000001</v>
      </c>
      <c r="AC139" s="40" t="s">
        <v>685</v>
      </c>
      <c r="AD139" s="264">
        <f t="shared" ca="1" si="3"/>
        <v>35.441887999999999</v>
      </c>
      <c r="AE139" s="40" t="s">
        <v>684</v>
      </c>
      <c r="AF139" s="264">
        <f t="shared" ca="1" si="4"/>
        <v>133.33556300000001</v>
      </c>
      <c r="AG139" s="40" t="s">
        <v>686</v>
      </c>
      <c r="AH139" s="264" t="str">
        <f t="shared" ca="1" si="5"/>
        <v xml:space="preserve"> </v>
      </c>
      <c r="AI139" s="40" t="s">
        <v>684</v>
      </c>
      <c r="AJ139" s="264" t="str">
        <f t="shared" ca="1" si="6"/>
        <v xml:space="preserve"> </v>
      </c>
      <c r="AK139" s="40" t="s">
        <v>687</v>
      </c>
      <c r="AL139" s="264" t="str">
        <f t="shared" ca="1" si="7"/>
        <v>DarkRed</v>
      </c>
      <c r="AM139" s="40" t="s">
        <v>688</v>
      </c>
      <c r="AN139" s="40" t="str">
        <f t="shared" ca="1" si="8"/>
        <v>,{"type":"polygon","latLngs":[ {"lat":35.441903,"lng":133.336361}, {"lat":35.441888,"lng":133.335563},{"lat": ,"lng": }], "color":"DarkRed"}</v>
      </c>
      <c r="AO139" s="266" t="s">
        <v>689</v>
      </c>
      <c r="AP139" s="56">
        <f t="shared" ca="1" si="9"/>
        <v>35.441903000000003</v>
      </c>
      <c r="AQ139" s="40" t="s">
        <v>684</v>
      </c>
      <c r="AR139" s="56">
        <f t="shared" ca="1" si="10"/>
        <v>133.33636100000001</v>
      </c>
      <c r="AS139" s="40" t="s">
        <v>686</v>
      </c>
      <c r="AT139" s="56">
        <f t="shared" ca="1" si="11"/>
        <v>35.441887999999999</v>
      </c>
      <c r="AU139" s="40" t="s">
        <v>684</v>
      </c>
      <c r="AV139" s="56">
        <f t="shared" ca="1" si="12"/>
        <v>133.33556300000001</v>
      </c>
      <c r="AW139" s="40" t="s">
        <v>690</v>
      </c>
      <c r="AX139" s="40" t="str">
        <f t="shared" ca="1" si="13"/>
        <v>DarkRed</v>
      </c>
      <c r="AY139" s="40" t="s">
        <v>688</v>
      </c>
      <c r="AZ139" s="40" t="str">
        <f t="shared" ca="1" si="14"/>
        <v>,{"type":"polyline","latLngs":[{"lat":35.441903,"lng":133.336361},{"lat":35.441888,"lng":133.335563}],"color":"DarkRed"}</v>
      </c>
      <c r="BA139" s="40" t="s">
        <v>691</v>
      </c>
      <c r="BB139" s="56">
        <f t="shared" ca="1" si="15"/>
        <v>35.441903000000003</v>
      </c>
      <c r="BC139" s="40" t="s">
        <v>684</v>
      </c>
      <c r="BD139" s="56">
        <f t="shared" ca="1" si="16"/>
        <v>133.33636100000001</v>
      </c>
      <c r="BE139" s="40" t="s">
        <v>692</v>
      </c>
      <c r="BF139" s="40" t="str">
        <f t="shared" ca="1" si="17"/>
        <v>DarkRed</v>
      </c>
      <c r="BG139" s="40" t="s">
        <v>688</v>
      </c>
      <c r="BH139" s="40" t="str">
        <f t="shared" ca="1" si="18"/>
        <v>,{"type":"marker","latLng":{"lat":35.441903,"lng":133.336361},"color":"DarkRed"}</v>
      </c>
      <c r="BI139" s="40" t="s">
        <v>693</v>
      </c>
      <c r="BJ139" s="40" t="s">
        <v>694</v>
      </c>
      <c r="BK139" s="267" t="str">
        <f t="shared" ca="1" si="19"/>
        <v>,{"type":"polyline","latLngs":[{"lat":35.441903,"lng":133.336361},{"lat":35.441888,"lng":133.335563}],"color":"DarkRed"}</v>
      </c>
      <c r="BL139" s="40"/>
      <c r="BM139" s="40"/>
      <c r="BN139" s="40"/>
      <c r="BO139" s="40"/>
      <c r="BP139" s="40"/>
      <c r="BQ139" s="40"/>
      <c r="BR139" s="40"/>
      <c r="BS139" s="40"/>
      <c r="BT139" s="40"/>
      <c r="BU139" s="40"/>
      <c r="BV139" s="40"/>
      <c r="BW139" s="40"/>
      <c r="BX139" s="40"/>
      <c r="BY139" s="40"/>
      <c r="BZ139" s="40"/>
      <c r="CA139" s="40"/>
      <c r="CB139" s="40"/>
      <c r="CC139" s="40"/>
      <c r="CD139" s="40"/>
      <c r="CE139" s="40"/>
      <c r="CF139" s="40"/>
      <c r="CG139" s="40"/>
      <c r="CH139" s="40"/>
    </row>
    <row r="140" spans="1:86" ht="17.5">
      <c r="A140" s="40"/>
      <c r="B140" s="260" t="str">
        <f ca="1">IFERROR(__xludf.DUMMYFUNCTION("""COMPUTED_VALUE"""),"P302")</f>
        <v>P302</v>
      </c>
      <c r="C140" s="273" t="str">
        <f ca="1">IFERROR(__xludf.DUMMYFUNCTION("""COMPUTED_VALUE"""),"陽田山 経王寺")</f>
        <v>陽田山 経王寺</v>
      </c>
      <c r="D140" s="273">
        <f ca="1">IFERROR(__xludf.DUMMYFUNCTION("""COMPUTED_VALUE"""),35.427756)</f>
        <v>35.427756000000002</v>
      </c>
      <c r="E140" s="273">
        <f ca="1">IFERROR(__xludf.DUMMYFUNCTION("""COMPUTED_VALUE"""),133.346015)</f>
        <v>133.34601499999999</v>
      </c>
      <c r="F140" s="40"/>
      <c r="G140" s="261"/>
      <c r="H140" s="262" t="s">
        <v>672</v>
      </c>
      <c r="I140" s="271" t="str">
        <f ca="1">IFERROR(__xludf.DUMMYFUNCTION("""COMPUTED_VALUE"""),"Agent06")</f>
        <v>Agent06</v>
      </c>
      <c r="J140" s="271" t="str">
        <f ca="1">IFERROR(__xludf.DUMMYFUNCTION("""COMPUTED_VALUE"""),"P91")</f>
        <v>P91</v>
      </c>
      <c r="K140" s="271" t="str">
        <f ca="1">IFERROR(__xludf.DUMMYFUNCTION("""COMPUTED_VALUE"""),"P97")</f>
        <v>P97</v>
      </c>
      <c r="L140" s="242" t="s">
        <v>681</v>
      </c>
      <c r="M140" s="263" t="str">
        <f t="shared" ca="1" si="0"/>
        <v>DarkRed</v>
      </c>
      <c r="N140" s="264" t="str">
        <f ca="1">IFERROR(__xludf.DUMMYFUNCTION("FILTER(C:E,B:B=J140)"),"YONAGO SWIMING SCHOOL")</f>
        <v>YONAGO SWIMING SCHOOL</v>
      </c>
      <c r="O140" s="265">
        <f ca="1">IFERROR(__xludf.DUMMYFUNCTION("""COMPUTED_VALUE"""),35.440515)</f>
        <v>35.440514999999998</v>
      </c>
      <c r="P140" s="265">
        <f ca="1">IFERROR(__xludf.DUMMYFUNCTION("""COMPUTED_VALUE"""),133.335782)</f>
        <v>133.33578199999999</v>
      </c>
      <c r="Q140" s="264" t="str">
        <f ca="1">IFERROR(__xludf.DUMMYFUNCTION("FILTER(C:E,B:B=K140)"),"世界真光文明教団 米子センター")</f>
        <v>世界真光文明教団 米子センター</v>
      </c>
      <c r="R140" s="265">
        <f ca="1">IFERROR(__xludf.DUMMYFUNCTION("""COMPUTED_VALUE"""),35.441888)</f>
        <v>35.441887999999999</v>
      </c>
      <c r="S140" s="265">
        <f ca="1">IFERROR(__xludf.DUMMYFUNCTION("""COMPUTED_VALUE"""),133.335563)</f>
        <v>133.33556300000001</v>
      </c>
      <c r="T140" s="264" t="str">
        <f ca="1">IFERROR(__xludf.DUMMYFUNCTION("FILTER(C:E,B:B=L140)")," ")</f>
        <v xml:space="preserve"> </v>
      </c>
      <c r="U140" s="40" t="str">
        <f ca="1">IFERROR(__xludf.DUMMYFUNCTION("""COMPUTED_VALUE""")," ")</f>
        <v xml:space="preserve"> </v>
      </c>
      <c r="V140" s="40" t="str">
        <f ca="1">IFERROR(__xludf.DUMMYFUNCTION("""COMPUTED_VALUE""")," ")</f>
        <v xml:space="preserve"> </v>
      </c>
      <c r="W140" s="40" t="str">
        <f t="shared" ca="1" si="21"/>
        <v>,</v>
      </c>
      <c r="X140" s="40" t="s">
        <v>682</v>
      </c>
      <c r="Y140" s="40" t="s">
        <v>683</v>
      </c>
      <c r="Z140" s="264">
        <f t="shared" ca="1" si="1"/>
        <v>35.440514999999998</v>
      </c>
      <c r="AA140" s="40" t="s">
        <v>684</v>
      </c>
      <c r="AB140" s="264">
        <f t="shared" ca="1" si="2"/>
        <v>133.33578199999999</v>
      </c>
      <c r="AC140" s="40" t="s">
        <v>685</v>
      </c>
      <c r="AD140" s="264">
        <f t="shared" ca="1" si="3"/>
        <v>35.441887999999999</v>
      </c>
      <c r="AE140" s="40" t="s">
        <v>684</v>
      </c>
      <c r="AF140" s="264">
        <f t="shared" ca="1" si="4"/>
        <v>133.33556300000001</v>
      </c>
      <c r="AG140" s="40" t="s">
        <v>686</v>
      </c>
      <c r="AH140" s="264" t="str">
        <f t="shared" ca="1" si="5"/>
        <v xml:space="preserve"> </v>
      </c>
      <c r="AI140" s="40" t="s">
        <v>684</v>
      </c>
      <c r="AJ140" s="264" t="str">
        <f t="shared" ca="1" si="6"/>
        <v xml:space="preserve"> </v>
      </c>
      <c r="AK140" s="40" t="s">
        <v>687</v>
      </c>
      <c r="AL140" s="264" t="str">
        <f t="shared" ca="1" si="7"/>
        <v>DarkRed</v>
      </c>
      <c r="AM140" s="40" t="s">
        <v>688</v>
      </c>
      <c r="AN140" s="40" t="str">
        <f t="shared" ca="1" si="8"/>
        <v>,{"type":"polygon","latLngs":[ {"lat":35.440515,"lng":133.335782}, {"lat":35.441888,"lng":133.335563},{"lat": ,"lng": }], "color":"DarkRed"}</v>
      </c>
      <c r="AO140" s="266" t="s">
        <v>689</v>
      </c>
      <c r="AP140" s="56">
        <f t="shared" ca="1" si="9"/>
        <v>35.440514999999998</v>
      </c>
      <c r="AQ140" s="40" t="s">
        <v>684</v>
      </c>
      <c r="AR140" s="56">
        <f t="shared" ca="1" si="10"/>
        <v>133.33578199999999</v>
      </c>
      <c r="AS140" s="40" t="s">
        <v>686</v>
      </c>
      <c r="AT140" s="56">
        <f t="shared" ca="1" si="11"/>
        <v>35.441887999999999</v>
      </c>
      <c r="AU140" s="40" t="s">
        <v>684</v>
      </c>
      <c r="AV140" s="56">
        <f t="shared" ca="1" si="12"/>
        <v>133.33556300000001</v>
      </c>
      <c r="AW140" s="40" t="s">
        <v>690</v>
      </c>
      <c r="AX140" s="40" t="str">
        <f t="shared" ca="1" si="13"/>
        <v>DarkRed</v>
      </c>
      <c r="AY140" s="40" t="s">
        <v>688</v>
      </c>
      <c r="AZ140" s="40" t="str">
        <f t="shared" ca="1" si="14"/>
        <v>,{"type":"polyline","latLngs":[{"lat":35.440515,"lng":133.335782},{"lat":35.441888,"lng":133.335563}],"color":"DarkRed"}</v>
      </c>
      <c r="BA140" s="40" t="s">
        <v>691</v>
      </c>
      <c r="BB140" s="56">
        <f t="shared" ca="1" si="15"/>
        <v>35.440514999999998</v>
      </c>
      <c r="BC140" s="40" t="s">
        <v>684</v>
      </c>
      <c r="BD140" s="56">
        <f t="shared" ca="1" si="16"/>
        <v>133.33578199999999</v>
      </c>
      <c r="BE140" s="40" t="s">
        <v>692</v>
      </c>
      <c r="BF140" s="40" t="str">
        <f t="shared" ca="1" si="17"/>
        <v>DarkRed</v>
      </c>
      <c r="BG140" s="40" t="s">
        <v>688</v>
      </c>
      <c r="BH140" s="40" t="str">
        <f t="shared" ca="1" si="18"/>
        <v>,{"type":"marker","latLng":{"lat":35.440515,"lng":133.335782},"color":"DarkRed"}</v>
      </c>
      <c r="BI140" s="40" t="s">
        <v>693</v>
      </c>
      <c r="BJ140" s="40" t="s">
        <v>694</v>
      </c>
      <c r="BK140" s="267" t="str">
        <f t="shared" ca="1" si="19"/>
        <v>,{"type":"polyline","latLngs":[{"lat":35.440515,"lng":133.335782},{"lat":35.441888,"lng":133.335563}],"color":"DarkRed"}</v>
      </c>
      <c r="BL140" s="40"/>
      <c r="BM140" s="40"/>
      <c r="BN140" s="40"/>
      <c r="BO140" s="40"/>
      <c r="BP140" s="40"/>
      <c r="BQ140" s="40"/>
      <c r="BR140" s="40"/>
      <c r="BS140" s="40"/>
      <c r="BT140" s="40"/>
      <c r="BU140" s="40"/>
      <c r="BV140" s="40"/>
      <c r="BW140" s="40"/>
      <c r="BX140" s="40"/>
      <c r="BY140" s="40"/>
      <c r="BZ140" s="40"/>
      <c r="CA140" s="40"/>
      <c r="CB140" s="40"/>
      <c r="CC140" s="40"/>
      <c r="CD140" s="40"/>
      <c r="CE140" s="40"/>
      <c r="CF140" s="40"/>
      <c r="CG140" s="40"/>
      <c r="CH140" s="40"/>
    </row>
    <row r="141" spans="1:86" ht="17.5">
      <c r="A141" s="40"/>
      <c r="B141" s="260" t="str">
        <f ca="1">IFERROR(__xludf.DUMMYFUNCTION("""COMPUTED_VALUE"""),"P303")</f>
        <v>P303</v>
      </c>
      <c r="C141" s="273" t="str">
        <f ca="1">IFERROR(__xludf.DUMMYFUNCTION("""COMPUTED_VALUE"""),"留魂碑")</f>
        <v>留魂碑</v>
      </c>
      <c r="D141" s="273">
        <f ca="1">IFERROR(__xludf.DUMMYFUNCTION("""COMPUTED_VALUE"""),35.427938)</f>
        <v>35.427937999999997</v>
      </c>
      <c r="E141" s="273">
        <f ca="1">IFERROR(__xludf.DUMMYFUNCTION("""COMPUTED_VALUE"""),133.341278)</f>
        <v>133.34127799999999</v>
      </c>
      <c r="F141" s="40"/>
      <c r="G141" s="261"/>
      <c r="H141" s="262" t="s">
        <v>672</v>
      </c>
      <c r="I141" s="271" t="str">
        <f ca="1">IFERROR(__xludf.DUMMYFUNCTION("""COMPUTED_VALUE"""),"Agent06")</f>
        <v>Agent06</v>
      </c>
      <c r="J141" s="271" t="str">
        <f ca="1">IFERROR(__xludf.DUMMYFUNCTION("""COMPUTED_VALUE"""),"P94")</f>
        <v>P94</v>
      </c>
      <c r="K141" s="271" t="str">
        <f ca="1">IFERROR(__xludf.DUMMYFUNCTION("""COMPUTED_VALUE"""),"P97")</f>
        <v>P97</v>
      </c>
      <c r="L141" s="242" t="s">
        <v>681</v>
      </c>
      <c r="M141" s="263" t="str">
        <f t="shared" ca="1" si="0"/>
        <v>DarkRed</v>
      </c>
      <c r="N141" s="264" t="str">
        <f ca="1">IFERROR(__xludf.DUMMYFUNCTION("FILTER(C:E,B:B=J141)"),"住居表示街区案内図 米子市米原3丁目")</f>
        <v>住居表示街区案内図 米子市米原3丁目</v>
      </c>
      <c r="O141" s="265">
        <f ca="1">IFERROR(__xludf.DUMMYFUNCTION("""COMPUTED_VALUE"""),35.440964)</f>
        <v>35.440964000000001</v>
      </c>
      <c r="P141" s="265">
        <f ca="1">IFERROR(__xludf.DUMMYFUNCTION("""COMPUTED_VALUE"""),133.334346)</f>
        <v>133.33434600000001</v>
      </c>
      <c r="Q141" s="264" t="str">
        <f ca="1">IFERROR(__xludf.DUMMYFUNCTION("FILTER(C:E,B:B=K141)"),"世界真光文明教団 米子センター")</f>
        <v>世界真光文明教団 米子センター</v>
      </c>
      <c r="R141" s="265">
        <f ca="1">IFERROR(__xludf.DUMMYFUNCTION("""COMPUTED_VALUE"""),35.441888)</f>
        <v>35.441887999999999</v>
      </c>
      <c r="S141" s="265">
        <f ca="1">IFERROR(__xludf.DUMMYFUNCTION("""COMPUTED_VALUE"""),133.335563)</f>
        <v>133.33556300000001</v>
      </c>
      <c r="T141" s="264" t="str">
        <f ca="1">IFERROR(__xludf.DUMMYFUNCTION("FILTER(C:E,B:B=L141)")," ")</f>
        <v xml:space="preserve"> </v>
      </c>
      <c r="U141" s="40" t="str">
        <f ca="1">IFERROR(__xludf.DUMMYFUNCTION("""COMPUTED_VALUE""")," ")</f>
        <v xml:space="preserve"> </v>
      </c>
      <c r="V141" s="40" t="str">
        <f ca="1">IFERROR(__xludf.DUMMYFUNCTION("""COMPUTED_VALUE""")," ")</f>
        <v xml:space="preserve"> </v>
      </c>
      <c r="W141" s="40" t="str">
        <f t="shared" ca="1" si="21"/>
        <v>,</v>
      </c>
      <c r="X141" s="40" t="s">
        <v>682</v>
      </c>
      <c r="Y141" s="40" t="s">
        <v>683</v>
      </c>
      <c r="Z141" s="264">
        <f t="shared" ca="1" si="1"/>
        <v>35.440964000000001</v>
      </c>
      <c r="AA141" s="40" t="s">
        <v>684</v>
      </c>
      <c r="AB141" s="264">
        <f t="shared" ca="1" si="2"/>
        <v>133.33434600000001</v>
      </c>
      <c r="AC141" s="40" t="s">
        <v>685</v>
      </c>
      <c r="AD141" s="264">
        <f t="shared" ca="1" si="3"/>
        <v>35.441887999999999</v>
      </c>
      <c r="AE141" s="40" t="s">
        <v>684</v>
      </c>
      <c r="AF141" s="264">
        <f t="shared" ca="1" si="4"/>
        <v>133.33556300000001</v>
      </c>
      <c r="AG141" s="40" t="s">
        <v>686</v>
      </c>
      <c r="AH141" s="264" t="str">
        <f t="shared" ca="1" si="5"/>
        <v xml:space="preserve"> </v>
      </c>
      <c r="AI141" s="40" t="s">
        <v>684</v>
      </c>
      <c r="AJ141" s="264" t="str">
        <f t="shared" ca="1" si="6"/>
        <v xml:space="preserve"> </v>
      </c>
      <c r="AK141" s="40" t="s">
        <v>687</v>
      </c>
      <c r="AL141" s="264" t="str">
        <f t="shared" ca="1" si="7"/>
        <v>DarkRed</v>
      </c>
      <c r="AM141" s="40" t="s">
        <v>688</v>
      </c>
      <c r="AN141" s="40" t="str">
        <f t="shared" ca="1" si="8"/>
        <v>,{"type":"polygon","latLngs":[ {"lat":35.440964,"lng":133.334346}, {"lat":35.441888,"lng":133.335563},{"lat": ,"lng": }], "color":"DarkRed"}</v>
      </c>
      <c r="AO141" s="266" t="s">
        <v>689</v>
      </c>
      <c r="AP141" s="56">
        <f t="shared" ca="1" si="9"/>
        <v>35.440964000000001</v>
      </c>
      <c r="AQ141" s="40" t="s">
        <v>684</v>
      </c>
      <c r="AR141" s="56">
        <f t="shared" ca="1" si="10"/>
        <v>133.33434600000001</v>
      </c>
      <c r="AS141" s="40" t="s">
        <v>686</v>
      </c>
      <c r="AT141" s="56">
        <f t="shared" ca="1" si="11"/>
        <v>35.441887999999999</v>
      </c>
      <c r="AU141" s="40" t="s">
        <v>684</v>
      </c>
      <c r="AV141" s="56">
        <f t="shared" ca="1" si="12"/>
        <v>133.33556300000001</v>
      </c>
      <c r="AW141" s="40" t="s">
        <v>690</v>
      </c>
      <c r="AX141" s="40" t="str">
        <f t="shared" ca="1" si="13"/>
        <v>DarkRed</v>
      </c>
      <c r="AY141" s="40" t="s">
        <v>688</v>
      </c>
      <c r="AZ141" s="40" t="str">
        <f t="shared" ca="1" si="14"/>
        <v>,{"type":"polyline","latLngs":[{"lat":35.440964,"lng":133.334346},{"lat":35.441888,"lng":133.335563}],"color":"DarkRed"}</v>
      </c>
      <c r="BA141" s="40" t="s">
        <v>691</v>
      </c>
      <c r="BB141" s="56">
        <f t="shared" ca="1" si="15"/>
        <v>35.440964000000001</v>
      </c>
      <c r="BC141" s="40" t="s">
        <v>684</v>
      </c>
      <c r="BD141" s="56">
        <f t="shared" ca="1" si="16"/>
        <v>133.33434600000001</v>
      </c>
      <c r="BE141" s="40" t="s">
        <v>692</v>
      </c>
      <c r="BF141" s="40" t="str">
        <f t="shared" ca="1" si="17"/>
        <v>DarkRed</v>
      </c>
      <c r="BG141" s="40" t="s">
        <v>688</v>
      </c>
      <c r="BH141" s="40" t="str">
        <f t="shared" ca="1" si="18"/>
        <v>,{"type":"marker","latLng":{"lat":35.440964,"lng":133.334346},"color":"DarkRed"}</v>
      </c>
      <c r="BI141" s="40" t="s">
        <v>693</v>
      </c>
      <c r="BJ141" s="40" t="s">
        <v>694</v>
      </c>
      <c r="BK141" s="267" t="str">
        <f t="shared" ca="1" si="19"/>
        <v>,{"type":"polyline","latLngs":[{"lat":35.440964,"lng":133.334346},{"lat":35.441888,"lng":133.335563}],"color":"DarkRed"}</v>
      </c>
      <c r="BL141" s="40"/>
      <c r="BM141" s="40"/>
      <c r="BN141" s="40"/>
      <c r="BO141" s="40"/>
      <c r="BP141" s="40"/>
      <c r="BQ141" s="40"/>
      <c r="BR141" s="40"/>
      <c r="BS141" s="40"/>
      <c r="BT141" s="40"/>
      <c r="BU141" s="40"/>
      <c r="BV141" s="40"/>
      <c r="BW141" s="40"/>
      <c r="BX141" s="40"/>
      <c r="BY141" s="40"/>
      <c r="BZ141" s="40"/>
      <c r="CA141" s="40"/>
      <c r="CB141" s="40"/>
      <c r="CC141" s="40"/>
      <c r="CD141" s="40"/>
      <c r="CE141" s="40"/>
      <c r="CF141" s="40"/>
      <c r="CG141" s="40"/>
      <c r="CH141" s="40"/>
    </row>
    <row r="142" spans="1:86" ht="17.5">
      <c r="A142" s="40"/>
      <c r="B142" s="260" t="str">
        <f ca="1">IFERROR(__xludf.DUMMYFUNCTION("""COMPUTED_VALUE"""),"P304")</f>
        <v>P304</v>
      </c>
      <c r="C142" s="273" t="str">
        <f ca="1">IFERROR(__xludf.DUMMYFUNCTION("""COMPUTED_VALUE"""),"犬の像")</f>
        <v>犬の像</v>
      </c>
      <c r="D142" s="273">
        <f ca="1">IFERROR(__xludf.DUMMYFUNCTION("""COMPUTED_VALUE"""),35.42879)</f>
        <v>35.428789999999999</v>
      </c>
      <c r="E142" s="273">
        <f ca="1">IFERROR(__xludf.DUMMYFUNCTION("""COMPUTED_VALUE"""),133.345732)</f>
        <v>133.345732</v>
      </c>
      <c r="F142" s="40"/>
      <c r="G142" s="261"/>
      <c r="H142" s="262" t="s">
        <v>672</v>
      </c>
      <c r="I142" s="271" t="str">
        <f ca="1">IFERROR(__xludf.DUMMYFUNCTION("""COMPUTED_VALUE"""),"Agent06")</f>
        <v>Agent06</v>
      </c>
      <c r="J142" s="271" t="str">
        <f ca="1">IFERROR(__xludf.DUMMYFUNCTION("""COMPUTED_VALUE"""),"P94")</f>
        <v>P94</v>
      </c>
      <c r="K142" s="271" t="str">
        <f ca="1">IFERROR(__xludf.DUMMYFUNCTION("""COMPUTED_VALUE"""),"P91")</f>
        <v>P91</v>
      </c>
      <c r="L142" s="242" t="s">
        <v>681</v>
      </c>
      <c r="M142" s="263" t="str">
        <f t="shared" ca="1" si="0"/>
        <v>DarkRed</v>
      </c>
      <c r="N142" s="264" t="str">
        <f ca="1">IFERROR(__xludf.DUMMYFUNCTION("FILTER(C:E,B:B=J142)"),"住居表示街区案内図 米子市米原3丁目")</f>
        <v>住居表示街区案内図 米子市米原3丁目</v>
      </c>
      <c r="O142" s="265">
        <f ca="1">IFERROR(__xludf.DUMMYFUNCTION("""COMPUTED_VALUE"""),35.440964)</f>
        <v>35.440964000000001</v>
      </c>
      <c r="P142" s="265">
        <f ca="1">IFERROR(__xludf.DUMMYFUNCTION("""COMPUTED_VALUE"""),133.334346)</f>
        <v>133.33434600000001</v>
      </c>
      <c r="Q142" s="264" t="str">
        <f ca="1">IFERROR(__xludf.DUMMYFUNCTION("FILTER(C:E,B:B=K142)"),"YONAGO SWIMING SCHOOL")</f>
        <v>YONAGO SWIMING SCHOOL</v>
      </c>
      <c r="R142" s="265">
        <f ca="1">IFERROR(__xludf.DUMMYFUNCTION("""COMPUTED_VALUE"""),35.440515)</f>
        <v>35.440514999999998</v>
      </c>
      <c r="S142" s="265">
        <f ca="1">IFERROR(__xludf.DUMMYFUNCTION("""COMPUTED_VALUE"""),133.335782)</f>
        <v>133.33578199999999</v>
      </c>
      <c r="T142" s="264" t="str">
        <f ca="1">IFERROR(__xludf.DUMMYFUNCTION("FILTER(C:E,B:B=L142)")," ")</f>
        <v xml:space="preserve"> </v>
      </c>
      <c r="U142" s="40" t="str">
        <f ca="1">IFERROR(__xludf.DUMMYFUNCTION("""COMPUTED_VALUE""")," ")</f>
        <v xml:space="preserve"> </v>
      </c>
      <c r="V142" s="40" t="str">
        <f ca="1">IFERROR(__xludf.DUMMYFUNCTION("""COMPUTED_VALUE""")," ")</f>
        <v xml:space="preserve"> </v>
      </c>
      <c r="W142" s="40" t="str">
        <f t="shared" ca="1" si="21"/>
        <v>,</v>
      </c>
      <c r="X142" s="40" t="s">
        <v>682</v>
      </c>
      <c r="Y142" s="40" t="s">
        <v>683</v>
      </c>
      <c r="Z142" s="264">
        <f t="shared" ca="1" si="1"/>
        <v>35.440964000000001</v>
      </c>
      <c r="AA142" s="40" t="s">
        <v>684</v>
      </c>
      <c r="AB142" s="264">
        <f t="shared" ca="1" si="2"/>
        <v>133.33434600000001</v>
      </c>
      <c r="AC142" s="40" t="s">
        <v>685</v>
      </c>
      <c r="AD142" s="264">
        <f t="shared" ca="1" si="3"/>
        <v>35.440514999999998</v>
      </c>
      <c r="AE142" s="40" t="s">
        <v>684</v>
      </c>
      <c r="AF142" s="264">
        <f t="shared" ca="1" si="4"/>
        <v>133.33578199999999</v>
      </c>
      <c r="AG142" s="40" t="s">
        <v>686</v>
      </c>
      <c r="AH142" s="264" t="str">
        <f t="shared" ca="1" si="5"/>
        <v xml:space="preserve"> </v>
      </c>
      <c r="AI142" s="40" t="s">
        <v>684</v>
      </c>
      <c r="AJ142" s="264" t="str">
        <f t="shared" ca="1" si="6"/>
        <v xml:space="preserve"> </v>
      </c>
      <c r="AK142" s="40" t="s">
        <v>687</v>
      </c>
      <c r="AL142" s="264" t="str">
        <f t="shared" ca="1" si="7"/>
        <v>DarkRed</v>
      </c>
      <c r="AM142" s="40" t="s">
        <v>688</v>
      </c>
      <c r="AN142" s="40" t="str">
        <f t="shared" ca="1" si="8"/>
        <v>,{"type":"polygon","latLngs":[ {"lat":35.440964,"lng":133.334346}, {"lat":35.440515,"lng":133.335782},{"lat": ,"lng": }], "color":"DarkRed"}</v>
      </c>
      <c r="AO142" s="266" t="s">
        <v>689</v>
      </c>
      <c r="AP142" s="56">
        <f t="shared" ca="1" si="9"/>
        <v>35.440964000000001</v>
      </c>
      <c r="AQ142" s="40" t="s">
        <v>684</v>
      </c>
      <c r="AR142" s="56">
        <f t="shared" ca="1" si="10"/>
        <v>133.33434600000001</v>
      </c>
      <c r="AS142" s="40" t="s">
        <v>686</v>
      </c>
      <c r="AT142" s="56">
        <f t="shared" ca="1" si="11"/>
        <v>35.440514999999998</v>
      </c>
      <c r="AU142" s="40" t="s">
        <v>684</v>
      </c>
      <c r="AV142" s="56">
        <f t="shared" ca="1" si="12"/>
        <v>133.33578199999999</v>
      </c>
      <c r="AW142" s="40" t="s">
        <v>690</v>
      </c>
      <c r="AX142" s="40" t="str">
        <f t="shared" ca="1" si="13"/>
        <v>DarkRed</v>
      </c>
      <c r="AY142" s="40" t="s">
        <v>688</v>
      </c>
      <c r="AZ142" s="40" t="str">
        <f t="shared" ca="1" si="14"/>
        <v>,{"type":"polyline","latLngs":[{"lat":35.440964,"lng":133.334346},{"lat":35.440515,"lng":133.335782}],"color":"DarkRed"}</v>
      </c>
      <c r="BA142" s="40" t="s">
        <v>691</v>
      </c>
      <c r="BB142" s="56">
        <f t="shared" ca="1" si="15"/>
        <v>35.440964000000001</v>
      </c>
      <c r="BC142" s="40" t="s">
        <v>684</v>
      </c>
      <c r="BD142" s="56">
        <f t="shared" ca="1" si="16"/>
        <v>133.33434600000001</v>
      </c>
      <c r="BE142" s="40" t="s">
        <v>692</v>
      </c>
      <c r="BF142" s="40" t="str">
        <f t="shared" ca="1" si="17"/>
        <v>DarkRed</v>
      </c>
      <c r="BG142" s="40" t="s">
        <v>688</v>
      </c>
      <c r="BH142" s="40" t="str">
        <f t="shared" ca="1" si="18"/>
        <v>,{"type":"marker","latLng":{"lat":35.440964,"lng":133.334346},"color":"DarkRed"}</v>
      </c>
      <c r="BI142" s="40" t="s">
        <v>693</v>
      </c>
      <c r="BJ142" s="40" t="s">
        <v>694</v>
      </c>
      <c r="BK142" s="267" t="str">
        <f t="shared" ca="1" si="19"/>
        <v>,{"type":"polyline","latLngs":[{"lat":35.440964,"lng":133.334346},{"lat":35.440515,"lng":133.335782}],"color":"DarkRed"}</v>
      </c>
      <c r="BL142" s="40"/>
      <c r="BM142" s="40"/>
      <c r="BN142" s="40"/>
      <c r="BO142" s="40"/>
      <c r="BP142" s="40"/>
      <c r="BQ142" s="40"/>
      <c r="BR142" s="40"/>
      <c r="BS142" s="40"/>
      <c r="BT142" s="40"/>
      <c r="BU142" s="40"/>
      <c r="BV142" s="40"/>
      <c r="BW142" s="40"/>
      <c r="BX142" s="40"/>
      <c r="BY142" s="40"/>
      <c r="BZ142" s="40"/>
      <c r="CA142" s="40"/>
      <c r="CB142" s="40"/>
      <c r="CC142" s="40"/>
      <c r="CD142" s="40"/>
      <c r="CE142" s="40"/>
      <c r="CF142" s="40"/>
      <c r="CG142" s="40"/>
      <c r="CH142" s="40"/>
    </row>
    <row r="143" spans="1:86" ht="17.5">
      <c r="A143" s="40"/>
      <c r="B143" s="260" t="str">
        <f ca="1">IFERROR(__xludf.DUMMYFUNCTION("""COMPUTED_VALUE"""),"P305")</f>
        <v>P305</v>
      </c>
      <c r="C143" s="273" t="str">
        <f ca="1">IFERROR(__xludf.DUMMYFUNCTION("""COMPUTED_VALUE"""),"イルカ")</f>
        <v>イルカ</v>
      </c>
      <c r="D143" s="273">
        <f ca="1">IFERROR(__xludf.DUMMYFUNCTION("""COMPUTED_VALUE"""),35.429056)</f>
        <v>35.429056000000003</v>
      </c>
      <c r="E143" s="273">
        <f ca="1">IFERROR(__xludf.DUMMYFUNCTION("""COMPUTED_VALUE"""),133.34528)</f>
        <v>133.34528</v>
      </c>
      <c r="F143" s="40"/>
      <c r="G143" s="261"/>
      <c r="H143" s="262" t="s">
        <v>672</v>
      </c>
      <c r="I143" s="271" t="str">
        <f ca="1">IFERROR(__xludf.DUMMYFUNCTION("""COMPUTED_VALUE"""),"Agent06")</f>
        <v>Agent06</v>
      </c>
      <c r="J143" s="271" t="str">
        <f ca="1">IFERROR(__xludf.DUMMYFUNCTION("""COMPUTED_VALUE"""),"P94")</f>
        <v>P94</v>
      </c>
      <c r="K143" s="271" t="str">
        <f ca="1">IFERROR(__xludf.DUMMYFUNCTION("""COMPUTED_VALUE"""),"P105")</f>
        <v>P105</v>
      </c>
      <c r="L143" s="242" t="s">
        <v>681</v>
      </c>
      <c r="M143" s="263" t="str">
        <f t="shared" ca="1" si="0"/>
        <v>DarkRed</v>
      </c>
      <c r="N143" s="264" t="str">
        <f ca="1">IFERROR(__xludf.DUMMYFUNCTION("FILTER(C:E,B:B=J143)"),"住居表示街区案内図 米子市米原3丁目")</f>
        <v>住居表示街区案内図 米子市米原3丁目</v>
      </c>
      <c r="O143" s="265">
        <f ca="1">IFERROR(__xludf.DUMMYFUNCTION("""COMPUTED_VALUE"""),35.440964)</f>
        <v>35.440964000000001</v>
      </c>
      <c r="P143" s="265">
        <f ca="1">IFERROR(__xludf.DUMMYFUNCTION("""COMPUTED_VALUE"""),133.334346)</f>
        <v>133.33434600000001</v>
      </c>
      <c r="Q143" s="264" t="str">
        <f ca="1">IFERROR(__xludf.DUMMYFUNCTION("FILTER(C:E,B:B=K143)"),"米子米原郵便局")</f>
        <v>米子米原郵便局</v>
      </c>
      <c r="R143" s="265">
        <f ca="1">IFERROR(__xludf.DUMMYFUNCTION("""COMPUTED_VALUE"""),35.444157)</f>
        <v>35.444156999999997</v>
      </c>
      <c r="S143" s="265">
        <f ca="1">IFERROR(__xludf.DUMMYFUNCTION("""COMPUTED_VALUE"""),133.332202)</f>
        <v>133.332202</v>
      </c>
      <c r="T143" s="264" t="str">
        <f ca="1">IFERROR(__xludf.DUMMYFUNCTION("FILTER(C:E,B:B=L143)")," ")</f>
        <v xml:space="preserve"> </v>
      </c>
      <c r="U143" s="40" t="str">
        <f ca="1">IFERROR(__xludf.DUMMYFUNCTION("""COMPUTED_VALUE""")," ")</f>
        <v xml:space="preserve"> </v>
      </c>
      <c r="V143" s="40" t="str">
        <f ca="1">IFERROR(__xludf.DUMMYFUNCTION("""COMPUTED_VALUE""")," ")</f>
        <v xml:space="preserve"> </v>
      </c>
      <c r="W143" s="40" t="str">
        <f t="shared" ca="1" si="21"/>
        <v>,</v>
      </c>
      <c r="X143" s="40" t="s">
        <v>682</v>
      </c>
      <c r="Y143" s="40" t="s">
        <v>683</v>
      </c>
      <c r="Z143" s="264">
        <f t="shared" ca="1" si="1"/>
        <v>35.440964000000001</v>
      </c>
      <c r="AA143" s="40" t="s">
        <v>684</v>
      </c>
      <c r="AB143" s="264">
        <f t="shared" ca="1" si="2"/>
        <v>133.33434600000001</v>
      </c>
      <c r="AC143" s="40" t="s">
        <v>685</v>
      </c>
      <c r="AD143" s="264">
        <f t="shared" ca="1" si="3"/>
        <v>35.444156999999997</v>
      </c>
      <c r="AE143" s="40" t="s">
        <v>684</v>
      </c>
      <c r="AF143" s="264">
        <f t="shared" ca="1" si="4"/>
        <v>133.332202</v>
      </c>
      <c r="AG143" s="40" t="s">
        <v>686</v>
      </c>
      <c r="AH143" s="264" t="str">
        <f t="shared" ca="1" si="5"/>
        <v xml:space="preserve"> </v>
      </c>
      <c r="AI143" s="40" t="s">
        <v>684</v>
      </c>
      <c r="AJ143" s="264" t="str">
        <f t="shared" ca="1" si="6"/>
        <v xml:space="preserve"> </v>
      </c>
      <c r="AK143" s="40" t="s">
        <v>687</v>
      </c>
      <c r="AL143" s="264" t="str">
        <f t="shared" ca="1" si="7"/>
        <v>DarkRed</v>
      </c>
      <c r="AM143" s="40" t="s">
        <v>688</v>
      </c>
      <c r="AN143" s="40" t="str">
        <f t="shared" ca="1" si="8"/>
        <v>,{"type":"polygon","latLngs":[ {"lat":35.440964,"lng":133.334346}, {"lat":35.444157,"lng":133.332202},{"lat": ,"lng": }], "color":"DarkRed"}</v>
      </c>
      <c r="AO143" s="266" t="s">
        <v>689</v>
      </c>
      <c r="AP143" s="56">
        <f t="shared" ca="1" si="9"/>
        <v>35.440964000000001</v>
      </c>
      <c r="AQ143" s="40" t="s">
        <v>684</v>
      </c>
      <c r="AR143" s="56">
        <f t="shared" ca="1" si="10"/>
        <v>133.33434600000001</v>
      </c>
      <c r="AS143" s="40" t="s">
        <v>686</v>
      </c>
      <c r="AT143" s="56">
        <f t="shared" ca="1" si="11"/>
        <v>35.444156999999997</v>
      </c>
      <c r="AU143" s="40" t="s">
        <v>684</v>
      </c>
      <c r="AV143" s="56">
        <f t="shared" ca="1" si="12"/>
        <v>133.332202</v>
      </c>
      <c r="AW143" s="40" t="s">
        <v>690</v>
      </c>
      <c r="AX143" s="40" t="str">
        <f t="shared" ca="1" si="13"/>
        <v>DarkRed</v>
      </c>
      <c r="AY143" s="40" t="s">
        <v>688</v>
      </c>
      <c r="AZ143" s="40" t="str">
        <f t="shared" ca="1" si="14"/>
        <v>,{"type":"polyline","latLngs":[{"lat":35.440964,"lng":133.334346},{"lat":35.444157,"lng":133.332202}],"color":"DarkRed"}</v>
      </c>
      <c r="BA143" s="40" t="s">
        <v>691</v>
      </c>
      <c r="BB143" s="56">
        <f t="shared" ca="1" si="15"/>
        <v>35.440964000000001</v>
      </c>
      <c r="BC143" s="40" t="s">
        <v>684</v>
      </c>
      <c r="BD143" s="56">
        <f t="shared" ca="1" si="16"/>
        <v>133.33434600000001</v>
      </c>
      <c r="BE143" s="40" t="s">
        <v>692</v>
      </c>
      <c r="BF143" s="40" t="str">
        <f t="shared" ca="1" si="17"/>
        <v>DarkRed</v>
      </c>
      <c r="BG143" s="40" t="s">
        <v>688</v>
      </c>
      <c r="BH143" s="40" t="str">
        <f t="shared" ca="1" si="18"/>
        <v>,{"type":"marker","latLng":{"lat":35.440964,"lng":133.334346},"color":"DarkRed"}</v>
      </c>
      <c r="BI143" s="40" t="s">
        <v>693</v>
      </c>
      <c r="BJ143" s="40" t="s">
        <v>694</v>
      </c>
      <c r="BK143" s="267" t="str">
        <f t="shared" ca="1" si="19"/>
        <v>,{"type":"polyline","latLngs":[{"lat":35.440964,"lng":133.334346},{"lat":35.444157,"lng":133.332202}],"color":"DarkRed"}</v>
      </c>
      <c r="BL143" s="40"/>
      <c r="BM143" s="40"/>
      <c r="BN143" s="40"/>
      <c r="BO143" s="40"/>
      <c r="BP143" s="40"/>
      <c r="BQ143" s="40"/>
      <c r="BR143" s="40"/>
      <c r="BS143" s="40"/>
      <c r="BT143" s="40"/>
      <c r="BU143" s="40"/>
      <c r="BV143" s="40"/>
      <c r="BW143" s="40"/>
      <c r="BX143" s="40"/>
      <c r="BY143" s="40"/>
      <c r="BZ143" s="40"/>
      <c r="CA143" s="40"/>
      <c r="CB143" s="40"/>
      <c r="CC143" s="40"/>
      <c r="CD143" s="40"/>
      <c r="CE143" s="40"/>
      <c r="CF143" s="40"/>
      <c r="CG143" s="40"/>
      <c r="CH143" s="40"/>
    </row>
    <row r="144" spans="1:86" ht="17.5">
      <c r="A144" s="40"/>
      <c r="B144" s="260" t="str">
        <f ca="1">IFERROR(__xludf.DUMMYFUNCTION("""COMPUTED_VALUE"""),"P306")</f>
        <v>P306</v>
      </c>
      <c r="C144" s="273" t="str">
        <f ca="1">IFERROR(__xludf.DUMMYFUNCTION("""COMPUTED_VALUE"""),"どらドラパーク米子庭球場")</f>
        <v>どらドラパーク米子庭球場</v>
      </c>
      <c r="D144" s="273">
        <f ca="1">IFERROR(__xludf.DUMMYFUNCTION("""COMPUTED_VALUE"""),35.429373)</f>
        <v>35.429372999999998</v>
      </c>
      <c r="E144" s="273">
        <f ca="1">IFERROR(__xludf.DUMMYFUNCTION("""COMPUTED_VALUE"""),133.3503)</f>
        <v>133.3503</v>
      </c>
      <c r="F144" s="40"/>
      <c r="G144" s="261"/>
      <c r="H144" s="262" t="s">
        <v>672</v>
      </c>
      <c r="I144" s="271" t="str">
        <f ca="1">IFERROR(__xludf.DUMMYFUNCTION("""COMPUTED_VALUE"""),"Agent06")</f>
        <v>Agent06</v>
      </c>
      <c r="J144" s="271" t="str">
        <f ca="1">IFERROR(__xludf.DUMMYFUNCTION("""COMPUTED_VALUE"""),"P94")</f>
        <v>P94</v>
      </c>
      <c r="K144" s="271" t="str">
        <f ca="1">IFERROR(__xludf.DUMMYFUNCTION("""COMPUTED_VALUE"""),"P103")</f>
        <v>P103</v>
      </c>
      <c r="L144" s="242" t="s">
        <v>681</v>
      </c>
      <c r="M144" s="263" t="str">
        <f t="shared" ca="1" si="0"/>
        <v>DarkRed</v>
      </c>
      <c r="N144" s="264" t="str">
        <f ca="1">IFERROR(__xludf.DUMMYFUNCTION("FILTER(C:E,B:B=J144)"),"住居表示街区案内図 米子市米原3丁目")</f>
        <v>住居表示街区案内図 米子市米原3丁目</v>
      </c>
      <c r="O144" s="265">
        <f ca="1">IFERROR(__xludf.DUMMYFUNCTION("""COMPUTED_VALUE"""),35.440964)</f>
        <v>35.440964000000001</v>
      </c>
      <c r="P144" s="265">
        <f ca="1">IFERROR(__xludf.DUMMYFUNCTION("""COMPUTED_VALUE"""),133.334346)</f>
        <v>133.33434600000001</v>
      </c>
      <c r="Q144" s="264" t="str">
        <f ca="1">IFERROR(__xludf.DUMMYFUNCTION("FILTER(C:E,B:B=K144)"),"ソフトバンク米子中央")</f>
        <v>ソフトバンク米子中央</v>
      </c>
      <c r="R144" s="265">
        <f ca="1">IFERROR(__xludf.DUMMYFUNCTION("""COMPUTED_VALUE"""),35.442968)</f>
        <v>35.442968</v>
      </c>
      <c r="S144" s="265">
        <f ca="1">IFERROR(__xludf.DUMMYFUNCTION("""COMPUTED_VALUE"""),133.333583)</f>
        <v>133.333583</v>
      </c>
      <c r="T144" s="264" t="str">
        <f ca="1">IFERROR(__xludf.DUMMYFUNCTION("FILTER(C:E,B:B=L144)")," ")</f>
        <v xml:space="preserve"> </v>
      </c>
      <c r="U144" s="40" t="str">
        <f ca="1">IFERROR(__xludf.DUMMYFUNCTION("""COMPUTED_VALUE""")," ")</f>
        <v xml:space="preserve"> </v>
      </c>
      <c r="V144" s="40" t="str">
        <f ca="1">IFERROR(__xludf.DUMMYFUNCTION("""COMPUTED_VALUE""")," ")</f>
        <v xml:space="preserve"> </v>
      </c>
      <c r="W144" s="40" t="str">
        <f t="shared" ca="1" si="21"/>
        <v>,</v>
      </c>
      <c r="X144" s="40" t="s">
        <v>682</v>
      </c>
      <c r="Y144" s="40" t="s">
        <v>683</v>
      </c>
      <c r="Z144" s="264">
        <f t="shared" ca="1" si="1"/>
        <v>35.440964000000001</v>
      </c>
      <c r="AA144" s="40" t="s">
        <v>684</v>
      </c>
      <c r="AB144" s="264">
        <f t="shared" ca="1" si="2"/>
        <v>133.33434600000001</v>
      </c>
      <c r="AC144" s="40" t="s">
        <v>685</v>
      </c>
      <c r="AD144" s="264">
        <f t="shared" ca="1" si="3"/>
        <v>35.442968</v>
      </c>
      <c r="AE144" s="40" t="s">
        <v>684</v>
      </c>
      <c r="AF144" s="264">
        <f t="shared" ca="1" si="4"/>
        <v>133.333583</v>
      </c>
      <c r="AG144" s="40" t="s">
        <v>686</v>
      </c>
      <c r="AH144" s="264" t="str">
        <f t="shared" ca="1" si="5"/>
        <v xml:space="preserve"> </v>
      </c>
      <c r="AI144" s="40" t="s">
        <v>684</v>
      </c>
      <c r="AJ144" s="264" t="str">
        <f t="shared" ca="1" si="6"/>
        <v xml:space="preserve"> </v>
      </c>
      <c r="AK144" s="40" t="s">
        <v>687</v>
      </c>
      <c r="AL144" s="264" t="str">
        <f t="shared" ca="1" si="7"/>
        <v>DarkRed</v>
      </c>
      <c r="AM144" s="40" t="s">
        <v>688</v>
      </c>
      <c r="AN144" s="40" t="str">
        <f t="shared" ca="1" si="8"/>
        <v>,{"type":"polygon","latLngs":[ {"lat":35.440964,"lng":133.334346}, {"lat":35.442968,"lng":133.333583},{"lat": ,"lng": }], "color":"DarkRed"}</v>
      </c>
      <c r="AO144" s="266" t="s">
        <v>689</v>
      </c>
      <c r="AP144" s="56">
        <f t="shared" ca="1" si="9"/>
        <v>35.440964000000001</v>
      </c>
      <c r="AQ144" s="40" t="s">
        <v>684</v>
      </c>
      <c r="AR144" s="56">
        <f t="shared" ca="1" si="10"/>
        <v>133.33434600000001</v>
      </c>
      <c r="AS144" s="40" t="s">
        <v>686</v>
      </c>
      <c r="AT144" s="56">
        <f t="shared" ca="1" si="11"/>
        <v>35.442968</v>
      </c>
      <c r="AU144" s="40" t="s">
        <v>684</v>
      </c>
      <c r="AV144" s="56">
        <f t="shared" ca="1" si="12"/>
        <v>133.333583</v>
      </c>
      <c r="AW144" s="40" t="s">
        <v>690</v>
      </c>
      <c r="AX144" s="40" t="str">
        <f t="shared" ca="1" si="13"/>
        <v>DarkRed</v>
      </c>
      <c r="AY144" s="40" t="s">
        <v>688</v>
      </c>
      <c r="AZ144" s="40" t="str">
        <f t="shared" ca="1" si="14"/>
        <v>,{"type":"polyline","latLngs":[{"lat":35.440964,"lng":133.334346},{"lat":35.442968,"lng":133.333583}],"color":"DarkRed"}</v>
      </c>
      <c r="BA144" s="40" t="s">
        <v>691</v>
      </c>
      <c r="BB144" s="56">
        <f t="shared" ca="1" si="15"/>
        <v>35.440964000000001</v>
      </c>
      <c r="BC144" s="40" t="s">
        <v>684</v>
      </c>
      <c r="BD144" s="56">
        <f t="shared" ca="1" si="16"/>
        <v>133.33434600000001</v>
      </c>
      <c r="BE144" s="40" t="s">
        <v>692</v>
      </c>
      <c r="BF144" s="40" t="str">
        <f t="shared" ca="1" si="17"/>
        <v>DarkRed</v>
      </c>
      <c r="BG144" s="40" t="s">
        <v>688</v>
      </c>
      <c r="BH144" s="40" t="str">
        <f t="shared" ca="1" si="18"/>
        <v>,{"type":"marker","latLng":{"lat":35.440964,"lng":133.334346},"color":"DarkRed"}</v>
      </c>
      <c r="BI144" s="40" t="s">
        <v>693</v>
      </c>
      <c r="BJ144" s="40" t="s">
        <v>694</v>
      </c>
      <c r="BK144" s="267" t="str">
        <f t="shared" ca="1" si="19"/>
        <v>,{"type":"polyline","latLngs":[{"lat":35.440964,"lng":133.334346},{"lat":35.442968,"lng":133.333583}],"color":"DarkRed"}</v>
      </c>
      <c r="BL144" s="40"/>
      <c r="BM144" s="40"/>
      <c r="BN144" s="40"/>
      <c r="BO144" s="40"/>
      <c r="BP144" s="40"/>
      <c r="BQ144" s="40"/>
      <c r="BR144" s="40"/>
      <c r="BS144" s="40"/>
      <c r="BT144" s="40"/>
      <c r="BU144" s="40"/>
      <c r="BV144" s="40"/>
      <c r="BW144" s="40"/>
      <c r="BX144" s="40"/>
      <c r="BY144" s="40"/>
      <c r="BZ144" s="40"/>
      <c r="CA144" s="40"/>
      <c r="CB144" s="40"/>
      <c r="CC144" s="40"/>
      <c r="CD144" s="40"/>
      <c r="CE144" s="40"/>
      <c r="CF144" s="40"/>
      <c r="CG144" s="40"/>
      <c r="CH144" s="40"/>
    </row>
    <row r="145" spans="1:86" ht="17.5">
      <c r="A145" s="40"/>
      <c r="B145" s="260" t="str">
        <f ca="1">IFERROR(__xludf.DUMMYFUNCTION("""COMPUTED_VALUE"""),"P307")</f>
        <v>P307</v>
      </c>
      <c r="C145" s="273" t="str">
        <f ca="1">IFERROR(__xludf.DUMMYFUNCTION("""COMPUTED_VALUE"""),"NPB 未来の侍プロジェクト")</f>
        <v>NPB 未来の侍プロジェクト</v>
      </c>
      <c r="D145" s="273">
        <f ca="1">IFERROR(__xludf.DUMMYFUNCTION("""COMPUTED_VALUE"""),35.429607)</f>
        <v>35.429606999999997</v>
      </c>
      <c r="E145" s="273">
        <f ca="1">IFERROR(__xludf.DUMMYFUNCTION("""COMPUTED_VALUE"""),133.348251)</f>
        <v>133.348251</v>
      </c>
      <c r="F145" s="40"/>
      <c r="G145" s="261"/>
      <c r="H145" s="262" t="s">
        <v>672</v>
      </c>
      <c r="I145" s="271" t="str">
        <f ca="1">IFERROR(__xludf.DUMMYFUNCTION("""COMPUTED_VALUE"""),"Agent06")</f>
        <v>Agent06</v>
      </c>
      <c r="J145" s="271" t="str">
        <f ca="1">IFERROR(__xludf.DUMMYFUNCTION("""COMPUTED_VALUE"""),"P94")</f>
        <v>P94</v>
      </c>
      <c r="K145" s="271" t="str">
        <f ca="1">IFERROR(__xludf.DUMMYFUNCTION("""COMPUTED_VALUE"""),"P101")</f>
        <v>P101</v>
      </c>
      <c r="L145" s="242" t="s">
        <v>681</v>
      </c>
      <c r="M145" s="263" t="str">
        <f t="shared" ca="1" si="0"/>
        <v>DarkRed</v>
      </c>
      <c r="N145" s="264" t="str">
        <f ca="1">IFERROR(__xludf.DUMMYFUNCTION("FILTER(C:E,B:B=J145)"),"住居表示街区案内図 米子市米原3丁目")</f>
        <v>住居表示街区案内図 米子市米原3丁目</v>
      </c>
      <c r="O145" s="265">
        <f ca="1">IFERROR(__xludf.DUMMYFUNCTION("""COMPUTED_VALUE"""),35.440964)</f>
        <v>35.440964000000001</v>
      </c>
      <c r="P145" s="265">
        <f ca="1">IFERROR(__xludf.DUMMYFUNCTION("""COMPUTED_VALUE"""),133.334346)</f>
        <v>133.33434600000001</v>
      </c>
      <c r="Q145" s="264" t="str">
        <f ca="1">IFERROR(__xludf.DUMMYFUNCTION("FILTER(C:E,B:B=K145)"),"弓ヶ浜の母なる水 米川")</f>
        <v>弓ヶ浜の母なる水 米川</v>
      </c>
      <c r="R145" s="265">
        <f ca="1">IFERROR(__xludf.DUMMYFUNCTION("""COMPUTED_VALUE"""),35.442265)</f>
        <v>35.442264999999999</v>
      </c>
      <c r="S145" s="265">
        <f ca="1">IFERROR(__xludf.DUMMYFUNCTION("""COMPUTED_VALUE"""),133.331829)</f>
        <v>133.331829</v>
      </c>
      <c r="T145" s="264" t="str">
        <f ca="1">IFERROR(__xludf.DUMMYFUNCTION("FILTER(C:E,B:B=L145)")," ")</f>
        <v xml:space="preserve"> </v>
      </c>
      <c r="U145" s="40" t="str">
        <f ca="1">IFERROR(__xludf.DUMMYFUNCTION("""COMPUTED_VALUE""")," ")</f>
        <v xml:space="preserve"> </v>
      </c>
      <c r="V145" s="40" t="str">
        <f ca="1">IFERROR(__xludf.DUMMYFUNCTION("""COMPUTED_VALUE""")," ")</f>
        <v xml:space="preserve"> </v>
      </c>
      <c r="W145" s="40" t="str">
        <f t="shared" ca="1" si="21"/>
        <v>,</v>
      </c>
      <c r="X145" s="40" t="s">
        <v>682</v>
      </c>
      <c r="Y145" s="40" t="s">
        <v>683</v>
      </c>
      <c r="Z145" s="264">
        <f t="shared" ca="1" si="1"/>
        <v>35.440964000000001</v>
      </c>
      <c r="AA145" s="40" t="s">
        <v>684</v>
      </c>
      <c r="AB145" s="264">
        <f t="shared" ca="1" si="2"/>
        <v>133.33434600000001</v>
      </c>
      <c r="AC145" s="40" t="s">
        <v>685</v>
      </c>
      <c r="AD145" s="264">
        <f t="shared" ca="1" si="3"/>
        <v>35.442264999999999</v>
      </c>
      <c r="AE145" s="40" t="s">
        <v>684</v>
      </c>
      <c r="AF145" s="264">
        <f t="shared" ca="1" si="4"/>
        <v>133.331829</v>
      </c>
      <c r="AG145" s="40" t="s">
        <v>686</v>
      </c>
      <c r="AH145" s="264" t="str">
        <f t="shared" ca="1" si="5"/>
        <v xml:space="preserve"> </v>
      </c>
      <c r="AI145" s="40" t="s">
        <v>684</v>
      </c>
      <c r="AJ145" s="264" t="str">
        <f t="shared" ca="1" si="6"/>
        <v xml:space="preserve"> </v>
      </c>
      <c r="AK145" s="40" t="s">
        <v>687</v>
      </c>
      <c r="AL145" s="264" t="str">
        <f t="shared" ca="1" si="7"/>
        <v>DarkRed</v>
      </c>
      <c r="AM145" s="40" t="s">
        <v>688</v>
      </c>
      <c r="AN145" s="40" t="str">
        <f t="shared" ca="1" si="8"/>
        <v>,{"type":"polygon","latLngs":[ {"lat":35.440964,"lng":133.334346}, {"lat":35.442265,"lng":133.331829},{"lat": ,"lng": }], "color":"DarkRed"}</v>
      </c>
      <c r="AO145" s="266" t="s">
        <v>689</v>
      </c>
      <c r="AP145" s="56">
        <f t="shared" ca="1" si="9"/>
        <v>35.440964000000001</v>
      </c>
      <c r="AQ145" s="40" t="s">
        <v>684</v>
      </c>
      <c r="AR145" s="56">
        <f t="shared" ca="1" si="10"/>
        <v>133.33434600000001</v>
      </c>
      <c r="AS145" s="40" t="s">
        <v>686</v>
      </c>
      <c r="AT145" s="56">
        <f t="shared" ca="1" si="11"/>
        <v>35.442264999999999</v>
      </c>
      <c r="AU145" s="40" t="s">
        <v>684</v>
      </c>
      <c r="AV145" s="56">
        <f t="shared" ca="1" si="12"/>
        <v>133.331829</v>
      </c>
      <c r="AW145" s="40" t="s">
        <v>690</v>
      </c>
      <c r="AX145" s="40" t="str">
        <f t="shared" ca="1" si="13"/>
        <v>DarkRed</v>
      </c>
      <c r="AY145" s="40" t="s">
        <v>688</v>
      </c>
      <c r="AZ145" s="40" t="str">
        <f t="shared" ca="1" si="14"/>
        <v>,{"type":"polyline","latLngs":[{"lat":35.440964,"lng":133.334346},{"lat":35.442265,"lng":133.331829}],"color":"DarkRed"}</v>
      </c>
      <c r="BA145" s="40" t="s">
        <v>691</v>
      </c>
      <c r="BB145" s="56">
        <f t="shared" ca="1" si="15"/>
        <v>35.440964000000001</v>
      </c>
      <c r="BC145" s="40" t="s">
        <v>684</v>
      </c>
      <c r="BD145" s="56">
        <f t="shared" ca="1" si="16"/>
        <v>133.33434600000001</v>
      </c>
      <c r="BE145" s="40" t="s">
        <v>692</v>
      </c>
      <c r="BF145" s="40" t="str">
        <f t="shared" ca="1" si="17"/>
        <v>DarkRed</v>
      </c>
      <c r="BG145" s="40" t="s">
        <v>688</v>
      </c>
      <c r="BH145" s="40" t="str">
        <f t="shared" ca="1" si="18"/>
        <v>,{"type":"marker","latLng":{"lat":35.440964,"lng":133.334346},"color":"DarkRed"}</v>
      </c>
      <c r="BI145" s="40" t="s">
        <v>693</v>
      </c>
      <c r="BJ145" s="40" t="s">
        <v>694</v>
      </c>
      <c r="BK145" s="267" t="str">
        <f t="shared" ca="1" si="19"/>
        <v>,{"type":"polyline","latLngs":[{"lat":35.440964,"lng":133.334346},{"lat":35.442265,"lng":133.331829}],"color":"DarkRed"}</v>
      </c>
      <c r="BL145" s="40"/>
      <c r="BM145" s="40"/>
      <c r="BN145" s="40"/>
      <c r="BO145" s="40"/>
      <c r="BP145" s="40"/>
      <c r="BQ145" s="40"/>
      <c r="BR145" s="40"/>
      <c r="BS145" s="40"/>
      <c r="BT145" s="40"/>
      <c r="BU145" s="40"/>
      <c r="BV145" s="40"/>
      <c r="BW145" s="40"/>
      <c r="BX145" s="40"/>
      <c r="BY145" s="40"/>
      <c r="BZ145" s="40"/>
      <c r="CA145" s="40"/>
      <c r="CB145" s="40"/>
      <c r="CC145" s="40"/>
      <c r="CD145" s="40"/>
      <c r="CE145" s="40"/>
      <c r="CF145" s="40"/>
      <c r="CG145" s="40"/>
      <c r="CH145" s="40"/>
    </row>
    <row r="146" spans="1:86" ht="17.5">
      <c r="A146" s="40"/>
      <c r="B146" s="260" t="str">
        <f ca="1">IFERROR(__xludf.DUMMYFUNCTION("""COMPUTED_VALUE"""),"P308")</f>
        <v>P308</v>
      </c>
      <c r="C146" s="273" t="str">
        <f ca="1">IFERROR(__xludf.DUMMYFUNCTION("""COMPUTED_VALUE"""),"どらドラパーク米子案内図")</f>
        <v>どらドラパーク米子案内図</v>
      </c>
      <c r="D146" s="273">
        <f ca="1">IFERROR(__xludf.DUMMYFUNCTION("""COMPUTED_VALUE"""),35.429874)</f>
        <v>35.429873999999998</v>
      </c>
      <c r="E146" s="273">
        <f ca="1">IFERROR(__xludf.DUMMYFUNCTION("""COMPUTED_VALUE"""),133.345931)</f>
        <v>133.34593100000001</v>
      </c>
      <c r="F146" s="40"/>
      <c r="G146" s="261"/>
      <c r="H146" s="262" t="s">
        <v>672</v>
      </c>
      <c r="I146" s="271" t="str">
        <f ca="1">IFERROR(__xludf.DUMMYFUNCTION("""COMPUTED_VALUE"""),"Agent06")</f>
        <v>Agent06</v>
      </c>
      <c r="J146" s="271" t="str">
        <f ca="1">IFERROR(__xludf.DUMMYFUNCTION("""COMPUTED_VALUE"""),"P94")</f>
        <v>P94</v>
      </c>
      <c r="K146" s="271" t="str">
        <f ca="1">IFERROR(__xludf.DUMMYFUNCTION("""COMPUTED_VALUE"""),"P78")</f>
        <v>P78</v>
      </c>
      <c r="L146" s="242" t="s">
        <v>681</v>
      </c>
      <c r="M146" s="263" t="str">
        <f t="shared" ca="1" si="0"/>
        <v>DarkRed</v>
      </c>
      <c r="N146" s="264" t="str">
        <f ca="1">IFERROR(__xludf.DUMMYFUNCTION("FILTER(C:E,B:B=J146)"),"住居表示街区案内図 米子市米原3丁目")</f>
        <v>住居表示街区案内図 米子市米原3丁目</v>
      </c>
      <c r="O146" s="265">
        <f ca="1">IFERROR(__xludf.DUMMYFUNCTION("""COMPUTED_VALUE"""),35.440964)</f>
        <v>35.440964000000001</v>
      </c>
      <c r="P146" s="265">
        <f ca="1">IFERROR(__xludf.DUMMYFUNCTION("""COMPUTED_VALUE"""),133.334346)</f>
        <v>133.33434600000001</v>
      </c>
      <c r="Q146" s="264" t="str">
        <f ca="1">IFERROR(__xludf.DUMMYFUNCTION("FILTER(C:E,B:B=K146)"),"米子市中心市街地地図")</f>
        <v>米子市中心市街地地図</v>
      </c>
      <c r="R146" s="265">
        <f ca="1">IFERROR(__xludf.DUMMYFUNCTION("""COMPUTED_VALUE"""),35.439288)</f>
        <v>35.439287999999998</v>
      </c>
      <c r="S146" s="265">
        <f ca="1">IFERROR(__xludf.DUMMYFUNCTION("""COMPUTED_VALUE"""),133.331418)</f>
        <v>133.33141800000001</v>
      </c>
      <c r="T146" s="264" t="str">
        <f ca="1">IFERROR(__xludf.DUMMYFUNCTION("FILTER(C:E,B:B=L146)")," ")</f>
        <v xml:space="preserve"> </v>
      </c>
      <c r="U146" s="40" t="str">
        <f ca="1">IFERROR(__xludf.DUMMYFUNCTION("""COMPUTED_VALUE""")," ")</f>
        <v xml:space="preserve"> </v>
      </c>
      <c r="V146" s="40" t="str">
        <f ca="1">IFERROR(__xludf.DUMMYFUNCTION("""COMPUTED_VALUE""")," ")</f>
        <v xml:space="preserve"> </v>
      </c>
      <c r="W146" s="40" t="str">
        <f t="shared" ca="1" si="21"/>
        <v>,</v>
      </c>
      <c r="X146" s="40" t="s">
        <v>682</v>
      </c>
      <c r="Y146" s="40" t="s">
        <v>683</v>
      </c>
      <c r="Z146" s="264">
        <f t="shared" ca="1" si="1"/>
        <v>35.440964000000001</v>
      </c>
      <c r="AA146" s="40" t="s">
        <v>684</v>
      </c>
      <c r="AB146" s="264">
        <f t="shared" ca="1" si="2"/>
        <v>133.33434600000001</v>
      </c>
      <c r="AC146" s="40" t="s">
        <v>685</v>
      </c>
      <c r="AD146" s="264">
        <f t="shared" ca="1" si="3"/>
        <v>35.439287999999998</v>
      </c>
      <c r="AE146" s="40" t="s">
        <v>684</v>
      </c>
      <c r="AF146" s="264">
        <f t="shared" ca="1" si="4"/>
        <v>133.33141800000001</v>
      </c>
      <c r="AG146" s="40" t="s">
        <v>686</v>
      </c>
      <c r="AH146" s="264" t="str">
        <f t="shared" ca="1" si="5"/>
        <v xml:space="preserve"> </v>
      </c>
      <c r="AI146" s="40" t="s">
        <v>684</v>
      </c>
      <c r="AJ146" s="264" t="str">
        <f t="shared" ca="1" si="6"/>
        <v xml:space="preserve"> </v>
      </c>
      <c r="AK146" s="40" t="s">
        <v>687</v>
      </c>
      <c r="AL146" s="264" t="str">
        <f t="shared" ca="1" si="7"/>
        <v>DarkRed</v>
      </c>
      <c r="AM146" s="40" t="s">
        <v>688</v>
      </c>
      <c r="AN146" s="40" t="str">
        <f t="shared" ca="1" si="8"/>
        <v>,{"type":"polygon","latLngs":[ {"lat":35.440964,"lng":133.334346}, {"lat":35.439288,"lng":133.331418},{"lat": ,"lng": }], "color":"DarkRed"}</v>
      </c>
      <c r="AO146" s="266" t="s">
        <v>689</v>
      </c>
      <c r="AP146" s="56">
        <f t="shared" ca="1" si="9"/>
        <v>35.440964000000001</v>
      </c>
      <c r="AQ146" s="40" t="s">
        <v>684</v>
      </c>
      <c r="AR146" s="56">
        <f t="shared" ca="1" si="10"/>
        <v>133.33434600000001</v>
      </c>
      <c r="AS146" s="40" t="s">
        <v>686</v>
      </c>
      <c r="AT146" s="56">
        <f t="shared" ca="1" si="11"/>
        <v>35.439287999999998</v>
      </c>
      <c r="AU146" s="40" t="s">
        <v>684</v>
      </c>
      <c r="AV146" s="56">
        <f t="shared" ca="1" si="12"/>
        <v>133.33141800000001</v>
      </c>
      <c r="AW146" s="40" t="s">
        <v>690</v>
      </c>
      <c r="AX146" s="40" t="str">
        <f t="shared" ca="1" si="13"/>
        <v>DarkRed</v>
      </c>
      <c r="AY146" s="40" t="s">
        <v>688</v>
      </c>
      <c r="AZ146" s="40" t="str">
        <f t="shared" ca="1" si="14"/>
        <v>,{"type":"polyline","latLngs":[{"lat":35.440964,"lng":133.334346},{"lat":35.439288,"lng":133.331418}],"color":"DarkRed"}</v>
      </c>
      <c r="BA146" s="40" t="s">
        <v>691</v>
      </c>
      <c r="BB146" s="56">
        <f t="shared" ca="1" si="15"/>
        <v>35.440964000000001</v>
      </c>
      <c r="BC146" s="40" t="s">
        <v>684</v>
      </c>
      <c r="BD146" s="56">
        <f t="shared" ca="1" si="16"/>
        <v>133.33434600000001</v>
      </c>
      <c r="BE146" s="40" t="s">
        <v>692</v>
      </c>
      <c r="BF146" s="40" t="str">
        <f t="shared" ca="1" si="17"/>
        <v>DarkRed</v>
      </c>
      <c r="BG146" s="40" t="s">
        <v>688</v>
      </c>
      <c r="BH146" s="40" t="str">
        <f t="shared" ca="1" si="18"/>
        <v>,{"type":"marker","latLng":{"lat":35.440964,"lng":133.334346},"color":"DarkRed"}</v>
      </c>
      <c r="BI146" s="40" t="s">
        <v>693</v>
      </c>
      <c r="BJ146" s="40" t="s">
        <v>694</v>
      </c>
      <c r="BK146" s="267" t="str">
        <f t="shared" ca="1" si="19"/>
        <v>,{"type":"polyline","latLngs":[{"lat":35.440964,"lng":133.334346},{"lat":35.439288,"lng":133.331418}],"color":"DarkRed"}</v>
      </c>
      <c r="BL146" s="40"/>
      <c r="BM146" s="40"/>
      <c r="BN146" s="40"/>
      <c r="BO146" s="40"/>
      <c r="BP146" s="40"/>
      <c r="BQ146" s="40"/>
      <c r="BR146" s="40"/>
      <c r="BS146" s="40"/>
      <c r="BT146" s="40"/>
      <c r="BU146" s="40"/>
      <c r="BV146" s="40"/>
      <c r="BW146" s="40"/>
      <c r="BX146" s="40"/>
      <c r="BY146" s="40"/>
      <c r="BZ146" s="40"/>
      <c r="CA146" s="40"/>
      <c r="CB146" s="40"/>
      <c r="CC146" s="40"/>
      <c r="CD146" s="40"/>
      <c r="CE146" s="40"/>
      <c r="CF146" s="40"/>
      <c r="CG146" s="40"/>
      <c r="CH146" s="40"/>
    </row>
    <row r="147" spans="1:86" ht="17.5">
      <c r="A147" s="40"/>
      <c r="B147" s="260" t="str">
        <f ca="1">IFERROR(__xludf.DUMMYFUNCTION("""COMPUTED_VALUE"""),"P309")</f>
        <v>P309</v>
      </c>
      <c r="C147" s="273" t="str">
        <f ca="1">IFERROR(__xludf.DUMMYFUNCTION("""COMPUTED_VALUE"""),"どらドラパーク米子 案内図")</f>
        <v>どらドラパーク米子 案内図</v>
      </c>
      <c r="D147" s="273">
        <f ca="1">IFERROR(__xludf.DUMMYFUNCTION("""COMPUTED_VALUE"""),35.430394)</f>
        <v>35.430394</v>
      </c>
      <c r="E147" s="273">
        <f ca="1">IFERROR(__xludf.DUMMYFUNCTION("""COMPUTED_VALUE"""),133.352265)</f>
        <v>133.35226499999999</v>
      </c>
      <c r="F147" s="40"/>
      <c r="G147" s="261"/>
      <c r="H147" s="262" t="s">
        <v>672</v>
      </c>
      <c r="I147" s="271" t="str">
        <f ca="1">IFERROR(__xludf.DUMMYFUNCTION("""COMPUTED_VALUE"""),"Agent06")</f>
        <v>Agent06</v>
      </c>
      <c r="J147" s="271" t="str">
        <f ca="1">IFERROR(__xludf.DUMMYFUNCTION("""COMPUTED_VALUE"""),"P94")</f>
        <v>P94</v>
      </c>
      <c r="K147" s="271" t="str">
        <f ca="1">IFERROR(__xludf.DUMMYFUNCTION("""COMPUTED_VALUE"""),"P80")</f>
        <v>P80</v>
      </c>
      <c r="L147" s="242" t="s">
        <v>681</v>
      </c>
      <c r="M147" s="263" t="str">
        <f t="shared" ca="1" si="0"/>
        <v>DarkRed</v>
      </c>
      <c r="N147" s="264" t="str">
        <f ca="1">IFERROR(__xludf.DUMMYFUNCTION("FILTER(C:E,B:B=J147)"),"住居表示街区案内図 米子市米原3丁目")</f>
        <v>住居表示街区案内図 米子市米原3丁目</v>
      </c>
      <c r="O147" s="265">
        <f ca="1">IFERROR(__xludf.DUMMYFUNCTION("""COMPUTED_VALUE"""),35.440964)</f>
        <v>35.440964000000001</v>
      </c>
      <c r="P147" s="265">
        <f ca="1">IFERROR(__xludf.DUMMYFUNCTION("""COMPUTED_VALUE"""),133.334346)</f>
        <v>133.33434600000001</v>
      </c>
      <c r="Q147" s="264" t="str">
        <f ca="1">IFERROR(__xludf.DUMMYFUNCTION("FILTER(C:E,B:B=K147)"),"JR後藤駅")</f>
        <v>JR後藤駅</v>
      </c>
      <c r="R147" s="265">
        <f ca="1">IFERROR(__xludf.DUMMYFUNCTION("""COMPUTED_VALUE"""),35.439526)</f>
        <v>35.439526000000001</v>
      </c>
      <c r="S147" s="265">
        <f ca="1">IFERROR(__xludf.DUMMYFUNCTION("""COMPUTED_VALUE"""),133.331533)</f>
        <v>133.33153300000001</v>
      </c>
      <c r="T147" s="264" t="str">
        <f ca="1">IFERROR(__xludf.DUMMYFUNCTION("FILTER(C:E,B:B=L147)")," ")</f>
        <v xml:space="preserve"> </v>
      </c>
      <c r="U147" s="40" t="str">
        <f ca="1">IFERROR(__xludf.DUMMYFUNCTION("""COMPUTED_VALUE""")," ")</f>
        <v xml:space="preserve"> </v>
      </c>
      <c r="V147" s="40" t="str">
        <f ca="1">IFERROR(__xludf.DUMMYFUNCTION("""COMPUTED_VALUE""")," ")</f>
        <v xml:space="preserve"> </v>
      </c>
      <c r="W147" s="40" t="str">
        <f t="shared" ca="1" si="21"/>
        <v>,</v>
      </c>
      <c r="X147" s="40" t="s">
        <v>682</v>
      </c>
      <c r="Y147" s="40" t="s">
        <v>683</v>
      </c>
      <c r="Z147" s="264">
        <f t="shared" ca="1" si="1"/>
        <v>35.440964000000001</v>
      </c>
      <c r="AA147" s="40" t="s">
        <v>684</v>
      </c>
      <c r="AB147" s="264">
        <f t="shared" ca="1" si="2"/>
        <v>133.33434600000001</v>
      </c>
      <c r="AC147" s="40" t="s">
        <v>685</v>
      </c>
      <c r="AD147" s="264">
        <f t="shared" ca="1" si="3"/>
        <v>35.439526000000001</v>
      </c>
      <c r="AE147" s="40" t="s">
        <v>684</v>
      </c>
      <c r="AF147" s="264">
        <f t="shared" ca="1" si="4"/>
        <v>133.33153300000001</v>
      </c>
      <c r="AG147" s="40" t="s">
        <v>686</v>
      </c>
      <c r="AH147" s="264" t="str">
        <f t="shared" ca="1" si="5"/>
        <v xml:space="preserve"> </v>
      </c>
      <c r="AI147" s="40" t="s">
        <v>684</v>
      </c>
      <c r="AJ147" s="264" t="str">
        <f t="shared" ca="1" si="6"/>
        <v xml:space="preserve"> </v>
      </c>
      <c r="AK147" s="40" t="s">
        <v>687</v>
      </c>
      <c r="AL147" s="264" t="str">
        <f t="shared" ca="1" si="7"/>
        <v>DarkRed</v>
      </c>
      <c r="AM147" s="40" t="s">
        <v>688</v>
      </c>
      <c r="AN147" s="40" t="str">
        <f t="shared" ca="1" si="8"/>
        <v>,{"type":"polygon","latLngs":[ {"lat":35.440964,"lng":133.334346}, {"lat":35.439526,"lng":133.331533},{"lat": ,"lng": }], "color":"DarkRed"}</v>
      </c>
      <c r="AO147" s="266" t="s">
        <v>689</v>
      </c>
      <c r="AP147" s="56">
        <f t="shared" ca="1" si="9"/>
        <v>35.440964000000001</v>
      </c>
      <c r="AQ147" s="40" t="s">
        <v>684</v>
      </c>
      <c r="AR147" s="56">
        <f t="shared" ca="1" si="10"/>
        <v>133.33434600000001</v>
      </c>
      <c r="AS147" s="40" t="s">
        <v>686</v>
      </c>
      <c r="AT147" s="56">
        <f t="shared" ca="1" si="11"/>
        <v>35.439526000000001</v>
      </c>
      <c r="AU147" s="40" t="s">
        <v>684</v>
      </c>
      <c r="AV147" s="56">
        <f t="shared" ca="1" si="12"/>
        <v>133.33153300000001</v>
      </c>
      <c r="AW147" s="40" t="s">
        <v>690</v>
      </c>
      <c r="AX147" s="40" t="str">
        <f t="shared" ca="1" si="13"/>
        <v>DarkRed</v>
      </c>
      <c r="AY147" s="40" t="s">
        <v>688</v>
      </c>
      <c r="AZ147" s="40" t="str">
        <f t="shared" ca="1" si="14"/>
        <v>,{"type":"polyline","latLngs":[{"lat":35.440964,"lng":133.334346},{"lat":35.439526,"lng":133.331533}],"color":"DarkRed"}</v>
      </c>
      <c r="BA147" s="40" t="s">
        <v>691</v>
      </c>
      <c r="BB147" s="56">
        <f t="shared" ca="1" si="15"/>
        <v>35.440964000000001</v>
      </c>
      <c r="BC147" s="40" t="s">
        <v>684</v>
      </c>
      <c r="BD147" s="56">
        <f t="shared" ca="1" si="16"/>
        <v>133.33434600000001</v>
      </c>
      <c r="BE147" s="40" t="s">
        <v>692</v>
      </c>
      <c r="BF147" s="40" t="str">
        <f t="shared" ca="1" si="17"/>
        <v>DarkRed</v>
      </c>
      <c r="BG147" s="40" t="s">
        <v>688</v>
      </c>
      <c r="BH147" s="40" t="str">
        <f t="shared" ca="1" si="18"/>
        <v>,{"type":"marker","latLng":{"lat":35.440964,"lng":133.334346},"color":"DarkRed"}</v>
      </c>
      <c r="BI147" s="40" t="s">
        <v>693</v>
      </c>
      <c r="BJ147" s="40" t="s">
        <v>694</v>
      </c>
      <c r="BK147" s="267" t="str">
        <f t="shared" ca="1" si="19"/>
        <v>,{"type":"polyline","latLngs":[{"lat":35.440964,"lng":133.334346},{"lat":35.439526,"lng":133.331533}],"color":"DarkRed"}</v>
      </c>
      <c r="BL147" s="40"/>
      <c r="BM147" s="40"/>
      <c r="BN147" s="40"/>
      <c r="BO147" s="40"/>
      <c r="BP147" s="40"/>
      <c r="BQ147" s="40"/>
      <c r="BR147" s="40"/>
      <c r="BS147" s="40"/>
      <c r="BT147" s="40"/>
      <c r="BU147" s="40"/>
      <c r="BV147" s="40"/>
      <c r="BW147" s="40"/>
      <c r="BX147" s="40"/>
      <c r="BY147" s="40"/>
      <c r="BZ147" s="40"/>
      <c r="CA147" s="40"/>
      <c r="CB147" s="40"/>
      <c r="CC147" s="40"/>
      <c r="CD147" s="40"/>
      <c r="CE147" s="40"/>
      <c r="CF147" s="40"/>
      <c r="CG147" s="40"/>
      <c r="CH147" s="40"/>
    </row>
    <row r="148" spans="1:86" ht="17.5">
      <c r="A148" s="40"/>
      <c r="B148" s="260" t="str">
        <f ca="1">IFERROR(__xludf.DUMMYFUNCTION("""COMPUTED_VALUE"""),"P310")</f>
        <v>P310</v>
      </c>
      <c r="C148" s="273" t="str">
        <f ca="1">IFERROR(__xludf.DUMMYFUNCTION("""COMPUTED_VALUE"""),"風")</f>
        <v>風</v>
      </c>
      <c r="D148" s="273">
        <f ca="1">IFERROR(__xludf.DUMMYFUNCTION("""COMPUTED_VALUE"""),35.430419)</f>
        <v>35.430419000000001</v>
      </c>
      <c r="E148" s="273">
        <f ca="1">IFERROR(__xludf.DUMMYFUNCTION("""COMPUTED_VALUE"""),133.346779)</f>
        <v>133.346779</v>
      </c>
      <c r="F148" s="40"/>
      <c r="G148" s="261"/>
      <c r="H148" s="262" t="s">
        <v>672</v>
      </c>
      <c r="I148" s="271" t="str">
        <f ca="1">IFERROR(__xludf.DUMMYFUNCTION("""COMPUTED_VALUE"""),"Agent06")</f>
        <v>Agent06</v>
      </c>
      <c r="J148" s="271" t="str">
        <f ca="1">IFERROR(__xludf.DUMMYFUNCTION("""COMPUTED_VALUE"""),"P81")</f>
        <v>P81</v>
      </c>
      <c r="K148" s="271" t="str">
        <f ca="1">IFERROR(__xludf.DUMMYFUNCTION("""COMPUTED_VALUE"""),"P94")</f>
        <v>P94</v>
      </c>
      <c r="L148" s="242" t="s">
        <v>681</v>
      </c>
      <c r="M148" s="263" t="str">
        <f t="shared" ca="1" si="0"/>
        <v>DarkRed</v>
      </c>
      <c r="N148" s="264" t="str">
        <f ca="1">IFERROR(__xludf.DUMMYFUNCTION("FILTER(C:E,B:B=J148)"),"米原南土地区画整理竣工記念碑")</f>
        <v>米原南土地区画整理竣工記念碑</v>
      </c>
      <c r="O148" s="265">
        <f ca="1">IFERROR(__xludf.DUMMYFUNCTION("""COMPUTED_VALUE"""),35.439759)</f>
        <v>35.439759000000002</v>
      </c>
      <c r="P148" s="265">
        <f ca="1">IFERROR(__xludf.DUMMYFUNCTION("""COMPUTED_VALUE"""),133.334644)</f>
        <v>133.334644</v>
      </c>
      <c r="Q148" s="264" t="str">
        <f ca="1">IFERROR(__xludf.DUMMYFUNCTION("FILTER(C:E,B:B=K148)"),"住居表示街区案内図 米子市米原3丁目")</f>
        <v>住居表示街区案内図 米子市米原3丁目</v>
      </c>
      <c r="R148" s="265">
        <f ca="1">IFERROR(__xludf.DUMMYFUNCTION("""COMPUTED_VALUE"""),35.440964)</f>
        <v>35.440964000000001</v>
      </c>
      <c r="S148" s="265">
        <f ca="1">IFERROR(__xludf.DUMMYFUNCTION("""COMPUTED_VALUE"""),133.334346)</f>
        <v>133.33434600000001</v>
      </c>
      <c r="T148" s="264" t="str">
        <f ca="1">IFERROR(__xludf.DUMMYFUNCTION("FILTER(C:E,B:B=L148)")," ")</f>
        <v xml:space="preserve"> </v>
      </c>
      <c r="U148" s="40" t="str">
        <f ca="1">IFERROR(__xludf.DUMMYFUNCTION("""COMPUTED_VALUE""")," ")</f>
        <v xml:space="preserve"> </v>
      </c>
      <c r="V148" s="40" t="str">
        <f ca="1">IFERROR(__xludf.DUMMYFUNCTION("""COMPUTED_VALUE""")," ")</f>
        <v xml:space="preserve"> </v>
      </c>
      <c r="W148" s="40" t="str">
        <f t="shared" ca="1" si="21"/>
        <v>,</v>
      </c>
      <c r="X148" s="40" t="s">
        <v>682</v>
      </c>
      <c r="Y148" s="40" t="s">
        <v>683</v>
      </c>
      <c r="Z148" s="264">
        <f t="shared" ca="1" si="1"/>
        <v>35.439759000000002</v>
      </c>
      <c r="AA148" s="40" t="s">
        <v>684</v>
      </c>
      <c r="AB148" s="264">
        <f t="shared" ca="1" si="2"/>
        <v>133.334644</v>
      </c>
      <c r="AC148" s="40" t="s">
        <v>685</v>
      </c>
      <c r="AD148" s="264">
        <f t="shared" ca="1" si="3"/>
        <v>35.440964000000001</v>
      </c>
      <c r="AE148" s="40" t="s">
        <v>684</v>
      </c>
      <c r="AF148" s="264">
        <f t="shared" ca="1" si="4"/>
        <v>133.33434600000001</v>
      </c>
      <c r="AG148" s="40" t="s">
        <v>686</v>
      </c>
      <c r="AH148" s="264" t="str">
        <f t="shared" ca="1" si="5"/>
        <v xml:space="preserve"> </v>
      </c>
      <c r="AI148" s="40" t="s">
        <v>684</v>
      </c>
      <c r="AJ148" s="264" t="str">
        <f t="shared" ca="1" si="6"/>
        <v xml:space="preserve"> </v>
      </c>
      <c r="AK148" s="40" t="s">
        <v>687</v>
      </c>
      <c r="AL148" s="264" t="str">
        <f t="shared" ca="1" si="7"/>
        <v>DarkRed</v>
      </c>
      <c r="AM148" s="40" t="s">
        <v>688</v>
      </c>
      <c r="AN148" s="40" t="str">
        <f t="shared" ca="1" si="8"/>
        <v>,{"type":"polygon","latLngs":[ {"lat":35.439759,"lng":133.334644}, {"lat":35.440964,"lng":133.334346},{"lat": ,"lng": }], "color":"DarkRed"}</v>
      </c>
      <c r="AO148" s="266" t="s">
        <v>689</v>
      </c>
      <c r="AP148" s="56">
        <f t="shared" ca="1" si="9"/>
        <v>35.439759000000002</v>
      </c>
      <c r="AQ148" s="40" t="s">
        <v>684</v>
      </c>
      <c r="AR148" s="56">
        <f t="shared" ca="1" si="10"/>
        <v>133.334644</v>
      </c>
      <c r="AS148" s="40" t="s">
        <v>686</v>
      </c>
      <c r="AT148" s="56">
        <f t="shared" ca="1" si="11"/>
        <v>35.440964000000001</v>
      </c>
      <c r="AU148" s="40" t="s">
        <v>684</v>
      </c>
      <c r="AV148" s="56">
        <f t="shared" ca="1" si="12"/>
        <v>133.33434600000001</v>
      </c>
      <c r="AW148" s="40" t="s">
        <v>690</v>
      </c>
      <c r="AX148" s="40" t="str">
        <f t="shared" ca="1" si="13"/>
        <v>DarkRed</v>
      </c>
      <c r="AY148" s="40" t="s">
        <v>688</v>
      </c>
      <c r="AZ148" s="40" t="str">
        <f t="shared" ca="1" si="14"/>
        <v>,{"type":"polyline","latLngs":[{"lat":35.439759,"lng":133.334644},{"lat":35.440964,"lng":133.334346}],"color":"DarkRed"}</v>
      </c>
      <c r="BA148" s="40" t="s">
        <v>691</v>
      </c>
      <c r="BB148" s="56">
        <f t="shared" ca="1" si="15"/>
        <v>35.439759000000002</v>
      </c>
      <c r="BC148" s="40" t="s">
        <v>684</v>
      </c>
      <c r="BD148" s="56">
        <f t="shared" ca="1" si="16"/>
        <v>133.334644</v>
      </c>
      <c r="BE148" s="40" t="s">
        <v>692</v>
      </c>
      <c r="BF148" s="40" t="str">
        <f t="shared" ca="1" si="17"/>
        <v>DarkRed</v>
      </c>
      <c r="BG148" s="40" t="s">
        <v>688</v>
      </c>
      <c r="BH148" s="40" t="str">
        <f t="shared" ca="1" si="18"/>
        <v>,{"type":"marker","latLng":{"lat":35.439759,"lng":133.334644},"color":"DarkRed"}</v>
      </c>
      <c r="BI148" s="40" t="s">
        <v>693</v>
      </c>
      <c r="BJ148" s="40" t="s">
        <v>694</v>
      </c>
      <c r="BK148" s="267" t="str">
        <f t="shared" ca="1" si="19"/>
        <v>,{"type":"polyline","latLngs":[{"lat":35.439759,"lng":133.334644},{"lat":35.440964,"lng":133.334346}],"color":"DarkRed"}</v>
      </c>
      <c r="BL148" s="40"/>
      <c r="BM148" s="40"/>
      <c r="BN148" s="40"/>
      <c r="BO148" s="40"/>
      <c r="BP148" s="40"/>
      <c r="BQ148" s="40"/>
      <c r="BR148" s="40"/>
      <c r="BS148" s="40"/>
      <c r="BT148" s="40"/>
      <c r="BU148" s="40"/>
      <c r="BV148" s="40"/>
      <c r="BW148" s="40"/>
      <c r="BX148" s="40"/>
      <c r="BY148" s="40"/>
      <c r="BZ148" s="40"/>
      <c r="CA148" s="40"/>
      <c r="CB148" s="40"/>
      <c r="CC148" s="40"/>
      <c r="CD148" s="40"/>
      <c r="CE148" s="40"/>
      <c r="CF148" s="40"/>
      <c r="CG148" s="40"/>
      <c r="CH148" s="40"/>
    </row>
    <row r="149" spans="1:86" ht="17.5">
      <c r="A149" s="40"/>
      <c r="B149" s="260" t="str">
        <f ca="1">IFERROR(__xludf.DUMMYFUNCTION("""COMPUTED_VALUE"""),"P311")</f>
        <v>P311</v>
      </c>
      <c r="C149" s="273" t="str">
        <f ca="1">IFERROR(__xludf.DUMMYFUNCTION("""COMPUTED_VALUE"""),"彫刻作品「つまみぐい」")</f>
        <v>彫刻作品「つまみぐい」</v>
      </c>
      <c r="D149" s="273">
        <f ca="1">IFERROR(__xludf.DUMMYFUNCTION("""COMPUTED_VALUE"""),35.430804)</f>
        <v>35.430804000000002</v>
      </c>
      <c r="E149" s="273">
        <f ca="1">IFERROR(__xludf.DUMMYFUNCTION("""COMPUTED_VALUE"""),133.34822)</f>
        <v>133.34822</v>
      </c>
      <c r="F149" s="40"/>
      <c r="G149" s="261"/>
      <c r="H149" s="262" t="s">
        <v>672</v>
      </c>
      <c r="I149" s="271" t="str">
        <f ca="1">IFERROR(__xludf.DUMMYFUNCTION("""COMPUTED_VALUE"""),"Agent06")</f>
        <v>Agent06</v>
      </c>
      <c r="J149" s="271" t="str">
        <f ca="1">IFERROR(__xludf.DUMMYFUNCTION("""COMPUTED_VALUE"""),"P81")</f>
        <v>P81</v>
      </c>
      <c r="K149" s="271" t="str">
        <f ca="1">IFERROR(__xludf.DUMMYFUNCTION("""COMPUTED_VALUE"""),"P64")</f>
        <v>P64</v>
      </c>
      <c r="L149" s="242" t="s">
        <v>681</v>
      </c>
      <c r="M149" s="263" t="str">
        <f t="shared" ca="1" si="0"/>
        <v>DarkRed</v>
      </c>
      <c r="N149" s="264" t="str">
        <f ca="1">IFERROR(__xludf.DUMMYFUNCTION("FILTER(C:E,B:B=J149)"),"米原南土地区画整理竣工記念碑")</f>
        <v>米原南土地区画整理竣工記念碑</v>
      </c>
      <c r="O149" s="265">
        <f ca="1">IFERROR(__xludf.DUMMYFUNCTION("""COMPUTED_VALUE"""),35.439759)</f>
        <v>35.439759000000002</v>
      </c>
      <c r="P149" s="265">
        <f ca="1">IFERROR(__xludf.DUMMYFUNCTION("""COMPUTED_VALUE"""),133.334644)</f>
        <v>133.334644</v>
      </c>
      <c r="Q149" s="264" t="str">
        <f ca="1">IFERROR(__xludf.DUMMYFUNCTION("FILTER(C:E,B:B=K149)"),"日ノ出公園")</f>
        <v>日ノ出公園</v>
      </c>
      <c r="R149" s="265">
        <f ca="1">IFERROR(__xludf.DUMMYFUNCTION("""COMPUTED_VALUE"""),35.436211)</f>
        <v>35.436211</v>
      </c>
      <c r="S149" s="265">
        <f ca="1">IFERROR(__xludf.DUMMYFUNCTION("""COMPUTED_VALUE"""),133.33606)</f>
        <v>133.33606</v>
      </c>
      <c r="T149" s="264" t="str">
        <f ca="1">IFERROR(__xludf.DUMMYFUNCTION("FILTER(C:E,B:B=L149)")," ")</f>
        <v xml:space="preserve"> </v>
      </c>
      <c r="U149" s="40" t="str">
        <f ca="1">IFERROR(__xludf.DUMMYFUNCTION("""COMPUTED_VALUE""")," ")</f>
        <v xml:space="preserve"> </v>
      </c>
      <c r="V149" s="40" t="str">
        <f ca="1">IFERROR(__xludf.DUMMYFUNCTION("""COMPUTED_VALUE""")," ")</f>
        <v xml:space="preserve"> </v>
      </c>
      <c r="W149" s="40" t="str">
        <f t="shared" ca="1" si="21"/>
        <v>,</v>
      </c>
      <c r="X149" s="40" t="s">
        <v>682</v>
      </c>
      <c r="Y149" s="40" t="s">
        <v>683</v>
      </c>
      <c r="Z149" s="264">
        <f t="shared" ca="1" si="1"/>
        <v>35.439759000000002</v>
      </c>
      <c r="AA149" s="40" t="s">
        <v>684</v>
      </c>
      <c r="AB149" s="264">
        <f t="shared" ca="1" si="2"/>
        <v>133.334644</v>
      </c>
      <c r="AC149" s="40" t="s">
        <v>685</v>
      </c>
      <c r="AD149" s="264">
        <f t="shared" ca="1" si="3"/>
        <v>35.436211</v>
      </c>
      <c r="AE149" s="40" t="s">
        <v>684</v>
      </c>
      <c r="AF149" s="264">
        <f t="shared" ca="1" si="4"/>
        <v>133.33606</v>
      </c>
      <c r="AG149" s="40" t="s">
        <v>686</v>
      </c>
      <c r="AH149" s="264" t="str">
        <f t="shared" ca="1" si="5"/>
        <v xml:space="preserve"> </v>
      </c>
      <c r="AI149" s="40" t="s">
        <v>684</v>
      </c>
      <c r="AJ149" s="264" t="str">
        <f t="shared" ca="1" si="6"/>
        <v xml:space="preserve"> </v>
      </c>
      <c r="AK149" s="40" t="s">
        <v>687</v>
      </c>
      <c r="AL149" s="264" t="str">
        <f t="shared" ca="1" si="7"/>
        <v>DarkRed</v>
      </c>
      <c r="AM149" s="40" t="s">
        <v>688</v>
      </c>
      <c r="AN149" s="40" t="str">
        <f t="shared" ca="1" si="8"/>
        <v>,{"type":"polygon","latLngs":[ {"lat":35.439759,"lng":133.334644}, {"lat":35.436211,"lng":133.33606},{"lat": ,"lng": }], "color":"DarkRed"}</v>
      </c>
      <c r="AO149" s="266" t="s">
        <v>689</v>
      </c>
      <c r="AP149" s="56">
        <f t="shared" ca="1" si="9"/>
        <v>35.439759000000002</v>
      </c>
      <c r="AQ149" s="40" t="s">
        <v>684</v>
      </c>
      <c r="AR149" s="56">
        <f t="shared" ca="1" si="10"/>
        <v>133.334644</v>
      </c>
      <c r="AS149" s="40" t="s">
        <v>686</v>
      </c>
      <c r="AT149" s="56">
        <f t="shared" ca="1" si="11"/>
        <v>35.436211</v>
      </c>
      <c r="AU149" s="40" t="s">
        <v>684</v>
      </c>
      <c r="AV149" s="56">
        <f t="shared" ca="1" si="12"/>
        <v>133.33606</v>
      </c>
      <c r="AW149" s="40" t="s">
        <v>690</v>
      </c>
      <c r="AX149" s="40" t="str">
        <f t="shared" ca="1" si="13"/>
        <v>DarkRed</v>
      </c>
      <c r="AY149" s="40" t="s">
        <v>688</v>
      </c>
      <c r="AZ149" s="40" t="str">
        <f t="shared" ca="1" si="14"/>
        <v>,{"type":"polyline","latLngs":[{"lat":35.439759,"lng":133.334644},{"lat":35.436211,"lng":133.33606}],"color":"DarkRed"}</v>
      </c>
      <c r="BA149" s="40" t="s">
        <v>691</v>
      </c>
      <c r="BB149" s="56">
        <f t="shared" ca="1" si="15"/>
        <v>35.439759000000002</v>
      </c>
      <c r="BC149" s="40" t="s">
        <v>684</v>
      </c>
      <c r="BD149" s="56">
        <f t="shared" ca="1" si="16"/>
        <v>133.334644</v>
      </c>
      <c r="BE149" s="40" t="s">
        <v>692</v>
      </c>
      <c r="BF149" s="40" t="str">
        <f t="shared" ca="1" si="17"/>
        <v>DarkRed</v>
      </c>
      <c r="BG149" s="40" t="s">
        <v>688</v>
      </c>
      <c r="BH149" s="40" t="str">
        <f t="shared" ca="1" si="18"/>
        <v>,{"type":"marker","latLng":{"lat":35.439759,"lng":133.334644},"color":"DarkRed"}</v>
      </c>
      <c r="BI149" s="40" t="s">
        <v>693</v>
      </c>
      <c r="BJ149" s="40" t="s">
        <v>694</v>
      </c>
      <c r="BK149" s="267" t="str">
        <f t="shared" ca="1" si="19"/>
        <v>,{"type":"polyline","latLngs":[{"lat":35.439759,"lng":133.334644},{"lat":35.436211,"lng":133.33606}],"color":"DarkRed"}</v>
      </c>
      <c r="BL149" s="40"/>
      <c r="BM149" s="40"/>
      <c r="BN149" s="40"/>
      <c r="BO149" s="40"/>
      <c r="BP149" s="40"/>
      <c r="BQ149" s="40"/>
      <c r="BR149" s="40"/>
      <c r="BS149" s="40"/>
      <c r="BT149" s="40"/>
      <c r="BU149" s="40"/>
      <c r="BV149" s="40"/>
      <c r="BW149" s="40"/>
      <c r="BX149" s="40"/>
      <c r="BY149" s="40"/>
      <c r="BZ149" s="40"/>
      <c r="CA149" s="40"/>
      <c r="CB149" s="40"/>
      <c r="CC149" s="40"/>
      <c r="CD149" s="40"/>
      <c r="CE149" s="40"/>
      <c r="CF149" s="40"/>
      <c r="CG149" s="40"/>
      <c r="CH149" s="40"/>
    </row>
    <row r="150" spans="1:86" ht="17.5">
      <c r="A150" s="40"/>
      <c r="B150" s="260" t="str">
        <f ca="1">IFERROR(__xludf.DUMMYFUNCTION("""COMPUTED_VALUE"""),"P312")</f>
        <v>P312</v>
      </c>
      <c r="C150" s="273" t="str">
        <f ca="1">IFERROR(__xludf.DUMMYFUNCTION("""COMPUTED_VALUE"""),"ＪＲ 東山公園駅")</f>
        <v>ＪＲ 東山公園駅</v>
      </c>
      <c r="D150" s="273">
        <f ca="1">IFERROR(__xludf.DUMMYFUNCTION("""COMPUTED_VALUE"""),35.430839)</f>
        <v>35.430838999999999</v>
      </c>
      <c r="E150" s="273">
        <f ca="1">IFERROR(__xludf.DUMMYFUNCTION("""COMPUTED_VALUE"""),133.351473)</f>
        <v>133.351473</v>
      </c>
      <c r="F150" s="40"/>
      <c r="G150" s="261"/>
      <c r="H150" s="262" t="s">
        <v>672</v>
      </c>
      <c r="I150" s="271" t="str">
        <f ca="1">IFERROR(__xludf.DUMMYFUNCTION("""COMPUTED_VALUE"""),"Agent06")</f>
        <v>Agent06</v>
      </c>
      <c r="J150" s="271" t="str">
        <f ca="1">IFERROR(__xludf.DUMMYFUNCTION("""COMPUTED_VALUE"""),"P81")</f>
        <v>P81</v>
      </c>
      <c r="K150" s="271" t="str">
        <f ca="1">IFERROR(__xludf.DUMMYFUNCTION("""COMPUTED_VALUE"""),"P66")</f>
        <v>P66</v>
      </c>
      <c r="L150" s="242" t="s">
        <v>681</v>
      </c>
      <c r="M150" s="263" t="str">
        <f t="shared" ca="1" si="0"/>
        <v>DarkRed</v>
      </c>
      <c r="N150" s="264" t="str">
        <f ca="1">IFERROR(__xludf.DUMMYFUNCTION("FILTER(C:E,B:B=J150)"),"米原南土地区画整理竣工記念碑")</f>
        <v>米原南土地区画整理竣工記念碑</v>
      </c>
      <c r="O150" s="265">
        <f ca="1">IFERROR(__xludf.DUMMYFUNCTION("""COMPUTED_VALUE"""),35.439759)</f>
        <v>35.439759000000002</v>
      </c>
      <c r="P150" s="265">
        <f ca="1">IFERROR(__xludf.DUMMYFUNCTION("""COMPUTED_VALUE"""),133.334644)</f>
        <v>133.334644</v>
      </c>
      <c r="Q150" s="264" t="str">
        <f ca="1">IFERROR(__xludf.DUMMYFUNCTION("FILTER(C:E,B:B=K150)"),"真如苑 米子支部")</f>
        <v>真如苑 米子支部</v>
      </c>
      <c r="R150" s="265">
        <f ca="1">IFERROR(__xludf.DUMMYFUNCTION("""COMPUTED_VALUE"""),35.43696)</f>
        <v>35.436959999999999</v>
      </c>
      <c r="S150" s="265">
        <f ca="1">IFERROR(__xludf.DUMMYFUNCTION("""COMPUTED_VALUE"""),133.337768)</f>
        <v>133.33776800000001</v>
      </c>
      <c r="T150" s="264" t="str">
        <f ca="1">IFERROR(__xludf.DUMMYFUNCTION("FILTER(C:E,B:B=L150)")," ")</f>
        <v xml:space="preserve"> </v>
      </c>
      <c r="U150" s="40" t="str">
        <f ca="1">IFERROR(__xludf.DUMMYFUNCTION("""COMPUTED_VALUE""")," ")</f>
        <v xml:space="preserve"> </v>
      </c>
      <c r="V150" s="40" t="str">
        <f ca="1">IFERROR(__xludf.DUMMYFUNCTION("""COMPUTED_VALUE""")," ")</f>
        <v xml:space="preserve"> </v>
      </c>
      <c r="W150" s="40" t="str">
        <f t="shared" ca="1" si="21"/>
        <v>,</v>
      </c>
      <c r="X150" s="40" t="s">
        <v>682</v>
      </c>
      <c r="Y150" s="40" t="s">
        <v>683</v>
      </c>
      <c r="Z150" s="264">
        <f t="shared" ca="1" si="1"/>
        <v>35.439759000000002</v>
      </c>
      <c r="AA150" s="40" t="s">
        <v>684</v>
      </c>
      <c r="AB150" s="264">
        <f t="shared" ca="1" si="2"/>
        <v>133.334644</v>
      </c>
      <c r="AC150" s="40" t="s">
        <v>685</v>
      </c>
      <c r="AD150" s="264">
        <f t="shared" ca="1" si="3"/>
        <v>35.436959999999999</v>
      </c>
      <c r="AE150" s="40" t="s">
        <v>684</v>
      </c>
      <c r="AF150" s="264">
        <f t="shared" ca="1" si="4"/>
        <v>133.33776800000001</v>
      </c>
      <c r="AG150" s="40" t="s">
        <v>686</v>
      </c>
      <c r="AH150" s="264" t="str">
        <f t="shared" ca="1" si="5"/>
        <v xml:space="preserve"> </v>
      </c>
      <c r="AI150" s="40" t="s">
        <v>684</v>
      </c>
      <c r="AJ150" s="264" t="str">
        <f t="shared" ca="1" si="6"/>
        <v xml:space="preserve"> </v>
      </c>
      <c r="AK150" s="40" t="s">
        <v>687</v>
      </c>
      <c r="AL150" s="264" t="str">
        <f t="shared" ca="1" si="7"/>
        <v>DarkRed</v>
      </c>
      <c r="AM150" s="40" t="s">
        <v>688</v>
      </c>
      <c r="AN150" s="40" t="str">
        <f t="shared" ca="1" si="8"/>
        <v>,{"type":"polygon","latLngs":[ {"lat":35.439759,"lng":133.334644}, {"lat":35.43696,"lng":133.337768},{"lat": ,"lng": }], "color":"DarkRed"}</v>
      </c>
      <c r="AO150" s="266" t="s">
        <v>689</v>
      </c>
      <c r="AP150" s="56">
        <f t="shared" ca="1" si="9"/>
        <v>35.439759000000002</v>
      </c>
      <c r="AQ150" s="40" t="s">
        <v>684</v>
      </c>
      <c r="AR150" s="56">
        <f t="shared" ca="1" si="10"/>
        <v>133.334644</v>
      </c>
      <c r="AS150" s="40" t="s">
        <v>686</v>
      </c>
      <c r="AT150" s="56">
        <f t="shared" ca="1" si="11"/>
        <v>35.436959999999999</v>
      </c>
      <c r="AU150" s="40" t="s">
        <v>684</v>
      </c>
      <c r="AV150" s="56">
        <f t="shared" ca="1" si="12"/>
        <v>133.33776800000001</v>
      </c>
      <c r="AW150" s="40" t="s">
        <v>690</v>
      </c>
      <c r="AX150" s="40" t="str">
        <f t="shared" ca="1" si="13"/>
        <v>DarkRed</v>
      </c>
      <c r="AY150" s="40" t="s">
        <v>688</v>
      </c>
      <c r="AZ150" s="40" t="str">
        <f t="shared" ca="1" si="14"/>
        <v>,{"type":"polyline","latLngs":[{"lat":35.439759,"lng":133.334644},{"lat":35.43696,"lng":133.337768}],"color":"DarkRed"}</v>
      </c>
      <c r="BA150" s="40" t="s">
        <v>691</v>
      </c>
      <c r="BB150" s="56">
        <f t="shared" ca="1" si="15"/>
        <v>35.439759000000002</v>
      </c>
      <c r="BC150" s="40" t="s">
        <v>684</v>
      </c>
      <c r="BD150" s="56">
        <f t="shared" ca="1" si="16"/>
        <v>133.334644</v>
      </c>
      <c r="BE150" s="40" t="s">
        <v>692</v>
      </c>
      <c r="BF150" s="40" t="str">
        <f t="shared" ca="1" si="17"/>
        <v>DarkRed</v>
      </c>
      <c r="BG150" s="40" t="s">
        <v>688</v>
      </c>
      <c r="BH150" s="40" t="str">
        <f t="shared" ca="1" si="18"/>
        <v>,{"type":"marker","latLng":{"lat":35.439759,"lng":133.334644},"color":"DarkRed"}</v>
      </c>
      <c r="BI150" s="40" t="s">
        <v>693</v>
      </c>
      <c r="BJ150" s="40" t="s">
        <v>694</v>
      </c>
      <c r="BK150" s="267" t="str">
        <f t="shared" ca="1" si="19"/>
        <v>,{"type":"polyline","latLngs":[{"lat":35.439759,"lng":133.334644},{"lat":35.43696,"lng":133.337768}],"color":"DarkRed"}</v>
      </c>
      <c r="BL150" s="40"/>
      <c r="BM150" s="40"/>
      <c r="BN150" s="40"/>
      <c r="BO150" s="40"/>
      <c r="BP150" s="40"/>
      <c r="BQ150" s="40"/>
      <c r="BR150" s="40"/>
      <c r="BS150" s="40"/>
      <c r="BT150" s="40"/>
      <c r="BU150" s="40"/>
      <c r="BV150" s="40"/>
      <c r="BW150" s="40"/>
      <c r="BX150" s="40"/>
      <c r="BY150" s="40"/>
      <c r="BZ150" s="40"/>
      <c r="CA150" s="40"/>
      <c r="CB150" s="40"/>
      <c r="CC150" s="40"/>
      <c r="CD150" s="40"/>
      <c r="CE150" s="40"/>
      <c r="CF150" s="40"/>
      <c r="CG150" s="40"/>
      <c r="CH150" s="40"/>
    </row>
    <row r="151" spans="1:86" ht="17.5">
      <c r="A151" s="40"/>
      <c r="B151" s="260" t="str">
        <f ca="1">IFERROR(__xludf.DUMMYFUNCTION("""COMPUTED_VALUE"""),"P313")</f>
        <v>P313</v>
      </c>
      <c r="C151" s="273" t="str">
        <f ca="1">IFERROR(__xludf.DUMMYFUNCTION("""COMPUTED_VALUE"""),"車尾の題目塔")</f>
        <v>車尾の題目塔</v>
      </c>
      <c r="D151" s="273">
        <f ca="1">IFERROR(__xludf.DUMMYFUNCTION("""COMPUTED_VALUE"""),35.43129)</f>
        <v>35.431289999999997</v>
      </c>
      <c r="E151" s="273">
        <f ca="1">IFERROR(__xludf.DUMMYFUNCTION("""COMPUTED_VALUE"""),133.350315)</f>
        <v>133.35031499999999</v>
      </c>
      <c r="F151" s="40"/>
      <c r="G151" s="261"/>
      <c r="H151" s="262" t="s">
        <v>672</v>
      </c>
      <c r="I151" s="271" t="str">
        <f ca="1">IFERROR(__xludf.DUMMYFUNCTION("""COMPUTED_VALUE"""),"Agent06")</f>
        <v>Agent06</v>
      </c>
      <c r="J151" s="271" t="str">
        <f ca="1">IFERROR(__xludf.DUMMYFUNCTION("""COMPUTED_VALUE"""),"P82")</f>
        <v>P82</v>
      </c>
      <c r="K151" s="271" t="str">
        <f ca="1">IFERROR(__xludf.DUMMYFUNCTION("""COMPUTED_VALUE"""),"P81")</f>
        <v>P81</v>
      </c>
      <c r="L151" s="242" t="s">
        <v>681</v>
      </c>
      <c r="M151" s="263" t="str">
        <f t="shared" ca="1" si="0"/>
        <v>DarkRed</v>
      </c>
      <c r="N151" s="264" t="str">
        <f ca="1">IFERROR(__xludf.DUMMYFUNCTION("FILTER(C:E,B:B=J151)"),"集会所はなみずき")</f>
        <v>集会所はなみずき</v>
      </c>
      <c r="O151" s="265">
        <f ca="1">IFERROR(__xludf.DUMMYFUNCTION("""COMPUTED_VALUE"""),35.439798)</f>
        <v>35.439798000000003</v>
      </c>
      <c r="P151" s="265">
        <f ca="1">IFERROR(__xludf.DUMMYFUNCTION("""COMPUTED_VALUE"""),133.335915)</f>
        <v>133.335915</v>
      </c>
      <c r="Q151" s="264" t="str">
        <f ca="1">IFERROR(__xludf.DUMMYFUNCTION("FILTER(C:E,B:B=K151)"),"米原南土地区画整理竣工記念碑")</f>
        <v>米原南土地区画整理竣工記念碑</v>
      </c>
      <c r="R151" s="265">
        <f ca="1">IFERROR(__xludf.DUMMYFUNCTION("""COMPUTED_VALUE"""),35.439759)</f>
        <v>35.439759000000002</v>
      </c>
      <c r="S151" s="265">
        <f ca="1">IFERROR(__xludf.DUMMYFUNCTION("""COMPUTED_VALUE"""),133.334644)</f>
        <v>133.334644</v>
      </c>
      <c r="T151" s="264" t="str">
        <f ca="1">IFERROR(__xludf.DUMMYFUNCTION("FILTER(C:E,B:B=L151)")," ")</f>
        <v xml:space="preserve"> </v>
      </c>
      <c r="U151" s="40" t="str">
        <f ca="1">IFERROR(__xludf.DUMMYFUNCTION("""COMPUTED_VALUE""")," ")</f>
        <v xml:space="preserve"> </v>
      </c>
      <c r="V151" s="40" t="str">
        <f ca="1">IFERROR(__xludf.DUMMYFUNCTION("""COMPUTED_VALUE""")," ")</f>
        <v xml:space="preserve"> </v>
      </c>
      <c r="W151" s="40" t="str">
        <f t="shared" ca="1" si="21"/>
        <v>,</v>
      </c>
      <c r="X151" s="40" t="s">
        <v>682</v>
      </c>
      <c r="Y151" s="40" t="s">
        <v>683</v>
      </c>
      <c r="Z151" s="264">
        <f t="shared" ca="1" si="1"/>
        <v>35.439798000000003</v>
      </c>
      <c r="AA151" s="40" t="s">
        <v>684</v>
      </c>
      <c r="AB151" s="264">
        <f t="shared" ca="1" si="2"/>
        <v>133.335915</v>
      </c>
      <c r="AC151" s="40" t="s">
        <v>685</v>
      </c>
      <c r="AD151" s="264">
        <f t="shared" ca="1" si="3"/>
        <v>35.439759000000002</v>
      </c>
      <c r="AE151" s="40" t="s">
        <v>684</v>
      </c>
      <c r="AF151" s="264">
        <f t="shared" ca="1" si="4"/>
        <v>133.334644</v>
      </c>
      <c r="AG151" s="40" t="s">
        <v>686</v>
      </c>
      <c r="AH151" s="264" t="str">
        <f t="shared" ca="1" si="5"/>
        <v xml:space="preserve"> </v>
      </c>
      <c r="AI151" s="40" t="s">
        <v>684</v>
      </c>
      <c r="AJ151" s="264" t="str">
        <f t="shared" ca="1" si="6"/>
        <v xml:space="preserve"> </v>
      </c>
      <c r="AK151" s="40" t="s">
        <v>687</v>
      </c>
      <c r="AL151" s="264" t="str">
        <f t="shared" ca="1" si="7"/>
        <v>DarkRed</v>
      </c>
      <c r="AM151" s="40" t="s">
        <v>688</v>
      </c>
      <c r="AN151" s="40" t="str">
        <f t="shared" ca="1" si="8"/>
        <v>,{"type":"polygon","latLngs":[ {"lat":35.439798,"lng":133.335915}, {"lat":35.439759,"lng":133.334644},{"lat": ,"lng": }], "color":"DarkRed"}</v>
      </c>
      <c r="AO151" s="266" t="s">
        <v>689</v>
      </c>
      <c r="AP151" s="56">
        <f t="shared" ca="1" si="9"/>
        <v>35.439798000000003</v>
      </c>
      <c r="AQ151" s="40" t="s">
        <v>684</v>
      </c>
      <c r="AR151" s="56">
        <f t="shared" ca="1" si="10"/>
        <v>133.335915</v>
      </c>
      <c r="AS151" s="40" t="s">
        <v>686</v>
      </c>
      <c r="AT151" s="56">
        <f t="shared" ca="1" si="11"/>
        <v>35.439759000000002</v>
      </c>
      <c r="AU151" s="40" t="s">
        <v>684</v>
      </c>
      <c r="AV151" s="56">
        <f t="shared" ca="1" si="12"/>
        <v>133.334644</v>
      </c>
      <c r="AW151" s="40" t="s">
        <v>690</v>
      </c>
      <c r="AX151" s="40" t="str">
        <f t="shared" ca="1" si="13"/>
        <v>DarkRed</v>
      </c>
      <c r="AY151" s="40" t="s">
        <v>688</v>
      </c>
      <c r="AZ151" s="40" t="str">
        <f t="shared" ca="1" si="14"/>
        <v>,{"type":"polyline","latLngs":[{"lat":35.439798,"lng":133.335915},{"lat":35.439759,"lng":133.334644}],"color":"DarkRed"}</v>
      </c>
      <c r="BA151" s="40" t="s">
        <v>691</v>
      </c>
      <c r="BB151" s="56">
        <f t="shared" ca="1" si="15"/>
        <v>35.439798000000003</v>
      </c>
      <c r="BC151" s="40" t="s">
        <v>684</v>
      </c>
      <c r="BD151" s="56">
        <f t="shared" ca="1" si="16"/>
        <v>133.335915</v>
      </c>
      <c r="BE151" s="40" t="s">
        <v>692</v>
      </c>
      <c r="BF151" s="40" t="str">
        <f t="shared" ca="1" si="17"/>
        <v>DarkRed</v>
      </c>
      <c r="BG151" s="40" t="s">
        <v>688</v>
      </c>
      <c r="BH151" s="40" t="str">
        <f t="shared" ca="1" si="18"/>
        <v>,{"type":"marker","latLng":{"lat":35.439798,"lng":133.335915},"color":"DarkRed"}</v>
      </c>
      <c r="BI151" s="40" t="s">
        <v>693</v>
      </c>
      <c r="BJ151" s="40" t="s">
        <v>694</v>
      </c>
      <c r="BK151" s="267" t="str">
        <f t="shared" ca="1" si="19"/>
        <v>,{"type":"polyline","latLngs":[{"lat":35.439798,"lng":133.335915},{"lat":35.439759,"lng":133.334644}],"color":"DarkRed"}</v>
      </c>
      <c r="BL151" s="40"/>
      <c r="BM151" s="40"/>
      <c r="BN151" s="40"/>
      <c r="BO151" s="40"/>
      <c r="BP151" s="40"/>
      <c r="BQ151" s="40"/>
      <c r="BR151" s="40"/>
      <c r="BS151" s="40"/>
      <c r="BT151" s="40"/>
      <c r="BU151" s="40"/>
      <c r="BV151" s="40"/>
      <c r="BW151" s="40"/>
      <c r="BX151" s="40"/>
      <c r="BY151" s="40"/>
      <c r="BZ151" s="40"/>
      <c r="CA151" s="40"/>
      <c r="CB151" s="40"/>
      <c r="CC151" s="40"/>
      <c r="CD151" s="40"/>
      <c r="CE151" s="40"/>
      <c r="CF151" s="40"/>
      <c r="CG151" s="40"/>
      <c r="CH151" s="40"/>
    </row>
    <row r="152" spans="1:86" ht="17.5">
      <c r="A152" s="40"/>
      <c r="B152" s="260" t="str">
        <f ca="1">IFERROR(__xludf.DUMMYFUNCTION("""COMPUTED_VALUE"""),"P314")</f>
        <v>P314</v>
      </c>
      <c r="C152" s="273" t="str">
        <f ca="1">IFERROR(__xludf.DUMMYFUNCTION("""COMPUTED_VALUE"""),"勝田東会館")</f>
        <v>勝田東会館</v>
      </c>
      <c r="D152" s="273">
        <f ca="1">IFERROR(__xludf.DUMMYFUNCTION("""COMPUTED_VALUE"""),35.431971)</f>
        <v>35.431970999999997</v>
      </c>
      <c r="E152" s="273">
        <f ca="1">IFERROR(__xludf.DUMMYFUNCTION("""COMPUTED_VALUE"""),133.347676)</f>
        <v>133.34767600000001</v>
      </c>
      <c r="F152" s="40"/>
      <c r="G152" s="261"/>
      <c r="H152" s="262" t="s">
        <v>672</v>
      </c>
      <c r="I152" s="271" t="str">
        <f ca="1">IFERROR(__xludf.DUMMYFUNCTION("""COMPUTED_VALUE"""),"Agent06")</f>
        <v>Agent06</v>
      </c>
      <c r="J152" s="271" t="str">
        <f ca="1">IFERROR(__xludf.DUMMYFUNCTION("""COMPUTED_VALUE"""),"P82")</f>
        <v>P82</v>
      </c>
      <c r="K152" s="271" t="str">
        <f ca="1">IFERROR(__xludf.DUMMYFUNCTION("""COMPUTED_VALUE"""),"P94")</f>
        <v>P94</v>
      </c>
      <c r="L152" s="242" t="s">
        <v>681</v>
      </c>
      <c r="M152" s="263" t="str">
        <f t="shared" ca="1" si="0"/>
        <v>DarkRed</v>
      </c>
      <c r="N152" s="264" t="str">
        <f ca="1">IFERROR(__xludf.DUMMYFUNCTION("FILTER(C:E,B:B=J152)"),"集会所はなみずき")</f>
        <v>集会所はなみずき</v>
      </c>
      <c r="O152" s="265">
        <f ca="1">IFERROR(__xludf.DUMMYFUNCTION("""COMPUTED_VALUE"""),35.439798)</f>
        <v>35.439798000000003</v>
      </c>
      <c r="P152" s="265">
        <f ca="1">IFERROR(__xludf.DUMMYFUNCTION("""COMPUTED_VALUE"""),133.335915)</f>
        <v>133.335915</v>
      </c>
      <c r="Q152" s="264" t="str">
        <f ca="1">IFERROR(__xludf.DUMMYFUNCTION("FILTER(C:E,B:B=K152)"),"住居表示街区案内図 米子市米原3丁目")</f>
        <v>住居表示街区案内図 米子市米原3丁目</v>
      </c>
      <c r="R152" s="265">
        <f ca="1">IFERROR(__xludf.DUMMYFUNCTION("""COMPUTED_VALUE"""),35.440964)</f>
        <v>35.440964000000001</v>
      </c>
      <c r="S152" s="265">
        <f ca="1">IFERROR(__xludf.DUMMYFUNCTION("""COMPUTED_VALUE"""),133.334346)</f>
        <v>133.33434600000001</v>
      </c>
      <c r="T152" s="264" t="str">
        <f ca="1">IFERROR(__xludf.DUMMYFUNCTION("FILTER(C:E,B:B=L152)")," ")</f>
        <v xml:space="preserve"> </v>
      </c>
      <c r="U152" s="40" t="str">
        <f ca="1">IFERROR(__xludf.DUMMYFUNCTION("""COMPUTED_VALUE""")," ")</f>
        <v xml:space="preserve"> </v>
      </c>
      <c r="V152" s="40" t="str">
        <f ca="1">IFERROR(__xludf.DUMMYFUNCTION("""COMPUTED_VALUE""")," ")</f>
        <v xml:space="preserve"> </v>
      </c>
      <c r="W152" s="40" t="str">
        <f t="shared" ca="1" si="21"/>
        <v>,</v>
      </c>
      <c r="X152" s="40" t="s">
        <v>682</v>
      </c>
      <c r="Y152" s="40" t="s">
        <v>683</v>
      </c>
      <c r="Z152" s="264">
        <f t="shared" ca="1" si="1"/>
        <v>35.439798000000003</v>
      </c>
      <c r="AA152" s="40" t="s">
        <v>684</v>
      </c>
      <c r="AB152" s="264">
        <f t="shared" ca="1" si="2"/>
        <v>133.335915</v>
      </c>
      <c r="AC152" s="40" t="s">
        <v>685</v>
      </c>
      <c r="AD152" s="264">
        <f t="shared" ca="1" si="3"/>
        <v>35.440964000000001</v>
      </c>
      <c r="AE152" s="40" t="s">
        <v>684</v>
      </c>
      <c r="AF152" s="264">
        <f t="shared" ca="1" si="4"/>
        <v>133.33434600000001</v>
      </c>
      <c r="AG152" s="40" t="s">
        <v>686</v>
      </c>
      <c r="AH152" s="264" t="str">
        <f t="shared" ca="1" si="5"/>
        <v xml:space="preserve"> </v>
      </c>
      <c r="AI152" s="40" t="s">
        <v>684</v>
      </c>
      <c r="AJ152" s="264" t="str">
        <f t="shared" ca="1" si="6"/>
        <v xml:space="preserve"> </v>
      </c>
      <c r="AK152" s="40" t="s">
        <v>687</v>
      </c>
      <c r="AL152" s="264" t="str">
        <f t="shared" ca="1" si="7"/>
        <v>DarkRed</v>
      </c>
      <c r="AM152" s="40" t="s">
        <v>688</v>
      </c>
      <c r="AN152" s="40" t="str">
        <f t="shared" ca="1" si="8"/>
        <v>,{"type":"polygon","latLngs":[ {"lat":35.439798,"lng":133.335915}, {"lat":35.440964,"lng":133.334346},{"lat": ,"lng": }], "color":"DarkRed"}</v>
      </c>
      <c r="AO152" s="266" t="s">
        <v>689</v>
      </c>
      <c r="AP152" s="56">
        <f t="shared" ca="1" si="9"/>
        <v>35.439798000000003</v>
      </c>
      <c r="AQ152" s="40" t="s">
        <v>684</v>
      </c>
      <c r="AR152" s="56">
        <f t="shared" ca="1" si="10"/>
        <v>133.335915</v>
      </c>
      <c r="AS152" s="40" t="s">
        <v>686</v>
      </c>
      <c r="AT152" s="56">
        <f t="shared" ca="1" si="11"/>
        <v>35.440964000000001</v>
      </c>
      <c r="AU152" s="40" t="s">
        <v>684</v>
      </c>
      <c r="AV152" s="56">
        <f t="shared" ca="1" si="12"/>
        <v>133.33434600000001</v>
      </c>
      <c r="AW152" s="40" t="s">
        <v>690</v>
      </c>
      <c r="AX152" s="40" t="str">
        <f t="shared" ca="1" si="13"/>
        <v>DarkRed</v>
      </c>
      <c r="AY152" s="40" t="s">
        <v>688</v>
      </c>
      <c r="AZ152" s="40" t="str">
        <f t="shared" ca="1" si="14"/>
        <v>,{"type":"polyline","latLngs":[{"lat":35.439798,"lng":133.335915},{"lat":35.440964,"lng":133.334346}],"color":"DarkRed"}</v>
      </c>
      <c r="BA152" s="40" t="s">
        <v>691</v>
      </c>
      <c r="BB152" s="56">
        <f t="shared" ca="1" si="15"/>
        <v>35.439798000000003</v>
      </c>
      <c r="BC152" s="40" t="s">
        <v>684</v>
      </c>
      <c r="BD152" s="56">
        <f t="shared" ca="1" si="16"/>
        <v>133.335915</v>
      </c>
      <c r="BE152" s="40" t="s">
        <v>692</v>
      </c>
      <c r="BF152" s="40" t="str">
        <f t="shared" ca="1" si="17"/>
        <v>DarkRed</v>
      </c>
      <c r="BG152" s="40" t="s">
        <v>688</v>
      </c>
      <c r="BH152" s="40" t="str">
        <f t="shared" ca="1" si="18"/>
        <v>,{"type":"marker","latLng":{"lat":35.439798,"lng":133.335915},"color":"DarkRed"}</v>
      </c>
      <c r="BI152" s="40" t="s">
        <v>693</v>
      </c>
      <c r="BJ152" s="40" t="s">
        <v>694</v>
      </c>
      <c r="BK152" s="267" t="str">
        <f t="shared" ca="1" si="19"/>
        <v>,{"type":"polyline","latLngs":[{"lat":35.439798,"lng":133.335915},{"lat":35.440964,"lng":133.334346}],"color":"DarkRed"}</v>
      </c>
      <c r="BL152" s="40"/>
      <c r="BM152" s="40"/>
      <c r="BN152" s="40"/>
      <c r="BO152" s="40"/>
      <c r="BP152" s="40"/>
      <c r="BQ152" s="40"/>
      <c r="BR152" s="40"/>
      <c r="BS152" s="40"/>
      <c r="BT152" s="40"/>
      <c r="BU152" s="40"/>
      <c r="BV152" s="40"/>
      <c r="BW152" s="40"/>
      <c r="BX152" s="40"/>
      <c r="BY152" s="40"/>
      <c r="BZ152" s="40"/>
      <c r="CA152" s="40"/>
      <c r="CB152" s="40"/>
      <c r="CC152" s="40"/>
      <c r="CD152" s="40"/>
      <c r="CE152" s="40"/>
      <c r="CF152" s="40"/>
      <c r="CG152" s="40"/>
      <c r="CH152" s="40"/>
    </row>
    <row r="153" spans="1:86" ht="17.5">
      <c r="A153" s="40"/>
      <c r="B153" s="260" t="str">
        <f ca="1">IFERROR(__xludf.DUMMYFUNCTION("""COMPUTED_VALUE"""),"P315")</f>
        <v>P315</v>
      </c>
      <c r="C153" s="273" t="str">
        <f ca="1">IFERROR(__xludf.DUMMYFUNCTION("""COMPUTED_VALUE"""),"コンクリートすべり台")</f>
        <v>コンクリートすべり台</v>
      </c>
      <c r="D153" s="273">
        <f ca="1">IFERROR(__xludf.DUMMYFUNCTION("""COMPUTED_VALUE"""),35.432603)</f>
        <v>35.432603</v>
      </c>
      <c r="E153" s="273">
        <f ca="1">IFERROR(__xludf.DUMMYFUNCTION("""COMPUTED_VALUE"""),133.347499)</f>
        <v>133.347499</v>
      </c>
      <c r="F153" s="40"/>
      <c r="G153" s="261"/>
      <c r="H153" s="262" t="s">
        <v>672</v>
      </c>
      <c r="I153" s="271" t="str">
        <f ca="1">IFERROR(__xludf.DUMMYFUNCTION("""COMPUTED_VALUE"""),"Agent06")</f>
        <v>Agent06</v>
      </c>
      <c r="J153" s="271" t="str">
        <f ca="1">IFERROR(__xludf.DUMMYFUNCTION("""COMPUTED_VALUE"""),"P79")</f>
        <v>P79</v>
      </c>
      <c r="K153" s="271" t="str">
        <f ca="1">IFERROR(__xludf.DUMMYFUNCTION("""COMPUTED_VALUE"""),"P81")</f>
        <v>P81</v>
      </c>
      <c r="L153" s="242" t="s">
        <v>681</v>
      </c>
      <c r="M153" s="263" t="str">
        <f t="shared" ca="1" si="0"/>
        <v>DarkRed</v>
      </c>
      <c r="N153" s="264" t="str">
        <f ca="1">IFERROR(__xludf.DUMMYFUNCTION("FILTER(C:E,B:B=J153)"),"住居表示街区案内図 西福原1丁目")</f>
        <v>住居表示街区案内図 西福原1丁目</v>
      </c>
      <c r="O153" s="265">
        <f ca="1">IFERROR(__xludf.DUMMYFUNCTION("""COMPUTED_VALUE"""),35.439365)</f>
        <v>35.439365000000002</v>
      </c>
      <c r="P153" s="265">
        <f ca="1">IFERROR(__xludf.DUMMYFUNCTION("""COMPUTED_VALUE"""),133.337143)</f>
        <v>133.337143</v>
      </c>
      <c r="Q153" s="264" t="str">
        <f ca="1">IFERROR(__xludf.DUMMYFUNCTION("FILTER(C:E,B:B=K153)"),"米原南土地区画整理竣工記念碑")</f>
        <v>米原南土地区画整理竣工記念碑</v>
      </c>
      <c r="R153" s="265">
        <f ca="1">IFERROR(__xludf.DUMMYFUNCTION("""COMPUTED_VALUE"""),35.439759)</f>
        <v>35.439759000000002</v>
      </c>
      <c r="S153" s="265">
        <f ca="1">IFERROR(__xludf.DUMMYFUNCTION("""COMPUTED_VALUE"""),133.334644)</f>
        <v>133.334644</v>
      </c>
      <c r="T153" s="264" t="str">
        <f ca="1">IFERROR(__xludf.DUMMYFUNCTION("FILTER(C:E,B:B=L153)")," ")</f>
        <v xml:space="preserve"> </v>
      </c>
      <c r="U153" s="40" t="str">
        <f ca="1">IFERROR(__xludf.DUMMYFUNCTION("""COMPUTED_VALUE""")," ")</f>
        <v xml:space="preserve"> </v>
      </c>
      <c r="V153" s="40" t="str">
        <f ca="1">IFERROR(__xludf.DUMMYFUNCTION("""COMPUTED_VALUE""")," ")</f>
        <v xml:space="preserve"> </v>
      </c>
      <c r="W153" s="40" t="str">
        <f t="shared" ca="1" si="21"/>
        <v>,</v>
      </c>
      <c r="X153" s="40" t="s">
        <v>682</v>
      </c>
      <c r="Y153" s="40" t="s">
        <v>683</v>
      </c>
      <c r="Z153" s="264">
        <f t="shared" ca="1" si="1"/>
        <v>35.439365000000002</v>
      </c>
      <c r="AA153" s="40" t="s">
        <v>684</v>
      </c>
      <c r="AB153" s="264">
        <f t="shared" ca="1" si="2"/>
        <v>133.337143</v>
      </c>
      <c r="AC153" s="40" t="s">
        <v>685</v>
      </c>
      <c r="AD153" s="264">
        <f t="shared" ca="1" si="3"/>
        <v>35.439759000000002</v>
      </c>
      <c r="AE153" s="40" t="s">
        <v>684</v>
      </c>
      <c r="AF153" s="264">
        <f t="shared" ca="1" si="4"/>
        <v>133.334644</v>
      </c>
      <c r="AG153" s="40" t="s">
        <v>686</v>
      </c>
      <c r="AH153" s="264" t="str">
        <f t="shared" ca="1" si="5"/>
        <v xml:space="preserve"> </v>
      </c>
      <c r="AI153" s="40" t="s">
        <v>684</v>
      </c>
      <c r="AJ153" s="264" t="str">
        <f t="shared" ca="1" si="6"/>
        <v xml:space="preserve"> </v>
      </c>
      <c r="AK153" s="40" t="s">
        <v>687</v>
      </c>
      <c r="AL153" s="264" t="str">
        <f t="shared" ca="1" si="7"/>
        <v>DarkRed</v>
      </c>
      <c r="AM153" s="40" t="s">
        <v>688</v>
      </c>
      <c r="AN153" s="40" t="str">
        <f t="shared" ca="1" si="8"/>
        <v>,{"type":"polygon","latLngs":[ {"lat":35.439365,"lng":133.337143}, {"lat":35.439759,"lng":133.334644},{"lat": ,"lng": }], "color":"DarkRed"}</v>
      </c>
      <c r="AO153" s="266" t="s">
        <v>689</v>
      </c>
      <c r="AP153" s="56">
        <f t="shared" ca="1" si="9"/>
        <v>35.439365000000002</v>
      </c>
      <c r="AQ153" s="40" t="s">
        <v>684</v>
      </c>
      <c r="AR153" s="56">
        <f t="shared" ca="1" si="10"/>
        <v>133.337143</v>
      </c>
      <c r="AS153" s="40" t="s">
        <v>686</v>
      </c>
      <c r="AT153" s="56">
        <f t="shared" ca="1" si="11"/>
        <v>35.439759000000002</v>
      </c>
      <c r="AU153" s="40" t="s">
        <v>684</v>
      </c>
      <c r="AV153" s="56">
        <f t="shared" ca="1" si="12"/>
        <v>133.334644</v>
      </c>
      <c r="AW153" s="40" t="s">
        <v>690</v>
      </c>
      <c r="AX153" s="40" t="str">
        <f t="shared" ca="1" si="13"/>
        <v>DarkRed</v>
      </c>
      <c r="AY153" s="40" t="s">
        <v>688</v>
      </c>
      <c r="AZ153" s="40" t="str">
        <f t="shared" ca="1" si="14"/>
        <v>,{"type":"polyline","latLngs":[{"lat":35.439365,"lng":133.337143},{"lat":35.439759,"lng":133.334644}],"color":"DarkRed"}</v>
      </c>
      <c r="BA153" s="40" t="s">
        <v>691</v>
      </c>
      <c r="BB153" s="56">
        <f t="shared" ca="1" si="15"/>
        <v>35.439365000000002</v>
      </c>
      <c r="BC153" s="40" t="s">
        <v>684</v>
      </c>
      <c r="BD153" s="56">
        <f t="shared" ca="1" si="16"/>
        <v>133.337143</v>
      </c>
      <c r="BE153" s="40" t="s">
        <v>692</v>
      </c>
      <c r="BF153" s="40" t="str">
        <f t="shared" ca="1" si="17"/>
        <v>DarkRed</v>
      </c>
      <c r="BG153" s="40" t="s">
        <v>688</v>
      </c>
      <c r="BH153" s="40" t="str">
        <f t="shared" ca="1" si="18"/>
        <v>,{"type":"marker","latLng":{"lat":35.439365,"lng":133.337143},"color":"DarkRed"}</v>
      </c>
      <c r="BI153" s="40" t="s">
        <v>693</v>
      </c>
      <c r="BJ153" s="40" t="s">
        <v>694</v>
      </c>
      <c r="BK153" s="267" t="str">
        <f t="shared" ca="1" si="19"/>
        <v>,{"type":"polyline","latLngs":[{"lat":35.439365,"lng":133.337143},{"lat":35.439759,"lng":133.334644}],"color":"DarkRed"}</v>
      </c>
      <c r="BL153" s="40"/>
      <c r="BM153" s="40"/>
      <c r="BN153" s="40"/>
      <c r="BO153" s="40"/>
      <c r="BP153" s="40"/>
      <c r="BQ153" s="40"/>
      <c r="BR153" s="40"/>
      <c r="BS153" s="40"/>
      <c r="BT153" s="40"/>
      <c r="BU153" s="40"/>
      <c r="BV153" s="40"/>
      <c r="BW153" s="40"/>
      <c r="BX153" s="40"/>
      <c r="BY153" s="40"/>
      <c r="BZ153" s="40"/>
      <c r="CA153" s="40"/>
      <c r="CB153" s="40"/>
      <c r="CC153" s="40"/>
      <c r="CD153" s="40"/>
      <c r="CE153" s="40"/>
      <c r="CF153" s="40"/>
      <c r="CG153" s="40"/>
      <c r="CH153" s="40"/>
    </row>
    <row r="154" spans="1:86" ht="17.5">
      <c r="A154" s="40"/>
      <c r="B154" s="260" t="str">
        <f ca="1">IFERROR(__xludf.DUMMYFUNCTION("""COMPUTED_VALUE"""),"P316")</f>
        <v>P316</v>
      </c>
      <c r="C154" s="273" t="str">
        <f ca="1">IFERROR(__xludf.DUMMYFUNCTION("""COMPUTED_VALUE"""),"住之江公園")</f>
        <v>住之江公園</v>
      </c>
      <c r="D154" s="273">
        <f ca="1">IFERROR(__xludf.DUMMYFUNCTION("""COMPUTED_VALUE"""),35.432997)</f>
        <v>35.432997</v>
      </c>
      <c r="E154" s="273">
        <f ca="1">IFERROR(__xludf.DUMMYFUNCTION("""COMPUTED_VALUE"""),133.34833)</f>
        <v>133.34833</v>
      </c>
      <c r="F154" s="40"/>
      <c r="G154" s="261"/>
      <c r="H154" s="262" t="s">
        <v>672</v>
      </c>
      <c r="I154" s="271" t="str">
        <f ca="1">IFERROR(__xludf.DUMMYFUNCTION("""COMPUTED_VALUE"""),"Agent06")</f>
        <v>Agent06</v>
      </c>
      <c r="J154" s="271" t="str">
        <f ca="1">IFERROR(__xludf.DUMMYFUNCTION("""COMPUTED_VALUE"""),"P79")</f>
        <v>P79</v>
      </c>
      <c r="K154" s="271" t="str">
        <f ca="1">IFERROR(__xludf.DUMMYFUNCTION("""COMPUTED_VALUE"""),"P94")</f>
        <v>P94</v>
      </c>
      <c r="L154" s="242" t="s">
        <v>681</v>
      </c>
      <c r="M154" s="263" t="str">
        <f t="shared" ca="1" si="0"/>
        <v>DarkRed</v>
      </c>
      <c r="N154" s="264" t="str">
        <f ca="1">IFERROR(__xludf.DUMMYFUNCTION("FILTER(C:E,B:B=J154)"),"住居表示街区案内図 西福原1丁目")</f>
        <v>住居表示街区案内図 西福原1丁目</v>
      </c>
      <c r="O154" s="265">
        <f ca="1">IFERROR(__xludf.DUMMYFUNCTION("""COMPUTED_VALUE"""),35.439365)</f>
        <v>35.439365000000002</v>
      </c>
      <c r="P154" s="265">
        <f ca="1">IFERROR(__xludf.DUMMYFUNCTION("""COMPUTED_VALUE"""),133.337143)</f>
        <v>133.337143</v>
      </c>
      <c r="Q154" s="264" t="str">
        <f ca="1">IFERROR(__xludf.DUMMYFUNCTION("FILTER(C:E,B:B=K154)"),"住居表示街区案内図 米子市米原3丁目")</f>
        <v>住居表示街区案内図 米子市米原3丁目</v>
      </c>
      <c r="R154" s="265">
        <f ca="1">IFERROR(__xludf.DUMMYFUNCTION("""COMPUTED_VALUE"""),35.440964)</f>
        <v>35.440964000000001</v>
      </c>
      <c r="S154" s="265">
        <f ca="1">IFERROR(__xludf.DUMMYFUNCTION("""COMPUTED_VALUE"""),133.334346)</f>
        <v>133.33434600000001</v>
      </c>
      <c r="T154" s="264" t="str">
        <f ca="1">IFERROR(__xludf.DUMMYFUNCTION("FILTER(C:E,B:B=L154)")," ")</f>
        <v xml:space="preserve"> </v>
      </c>
      <c r="U154" s="40" t="str">
        <f ca="1">IFERROR(__xludf.DUMMYFUNCTION("""COMPUTED_VALUE""")," ")</f>
        <v xml:space="preserve"> </v>
      </c>
      <c r="V154" s="40" t="str">
        <f ca="1">IFERROR(__xludf.DUMMYFUNCTION("""COMPUTED_VALUE""")," ")</f>
        <v xml:space="preserve"> </v>
      </c>
      <c r="W154" s="40" t="str">
        <f t="shared" ca="1" si="21"/>
        <v>,</v>
      </c>
      <c r="X154" s="40" t="s">
        <v>682</v>
      </c>
      <c r="Y154" s="40" t="s">
        <v>683</v>
      </c>
      <c r="Z154" s="264">
        <f t="shared" ca="1" si="1"/>
        <v>35.439365000000002</v>
      </c>
      <c r="AA154" s="40" t="s">
        <v>684</v>
      </c>
      <c r="AB154" s="264">
        <f t="shared" ca="1" si="2"/>
        <v>133.337143</v>
      </c>
      <c r="AC154" s="40" t="s">
        <v>685</v>
      </c>
      <c r="AD154" s="264">
        <f t="shared" ca="1" si="3"/>
        <v>35.440964000000001</v>
      </c>
      <c r="AE154" s="40" t="s">
        <v>684</v>
      </c>
      <c r="AF154" s="264">
        <f t="shared" ca="1" si="4"/>
        <v>133.33434600000001</v>
      </c>
      <c r="AG154" s="40" t="s">
        <v>686</v>
      </c>
      <c r="AH154" s="264" t="str">
        <f t="shared" ca="1" si="5"/>
        <v xml:space="preserve"> </v>
      </c>
      <c r="AI154" s="40" t="s">
        <v>684</v>
      </c>
      <c r="AJ154" s="264" t="str">
        <f t="shared" ca="1" si="6"/>
        <v xml:space="preserve"> </v>
      </c>
      <c r="AK154" s="40" t="s">
        <v>687</v>
      </c>
      <c r="AL154" s="264" t="str">
        <f t="shared" ca="1" si="7"/>
        <v>DarkRed</v>
      </c>
      <c r="AM154" s="40" t="s">
        <v>688</v>
      </c>
      <c r="AN154" s="40" t="str">
        <f t="shared" ca="1" si="8"/>
        <v>,{"type":"polygon","latLngs":[ {"lat":35.439365,"lng":133.337143}, {"lat":35.440964,"lng":133.334346},{"lat": ,"lng": }], "color":"DarkRed"}</v>
      </c>
      <c r="AO154" s="266" t="s">
        <v>689</v>
      </c>
      <c r="AP154" s="56">
        <f t="shared" ca="1" si="9"/>
        <v>35.439365000000002</v>
      </c>
      <c r="AQ154" s="40" t="s">
        <v>684</v>
      </c>
      <c r="AR154" s="56">
        <f t="shared" ca="1" si="10"/>
        <v>133.337143</v>
      </c>
      <c r="AS154" s="40" t="s">
        <v>686</v>
      </c>
      <c r="AT154" s="56">
        <f t="shared" ca="1" si="11"/>
        <v>35.440964000000001</v>
      </c>
      <c r="AU154" s="40" t="s">
        <v>684</v>
      </c>
      <c r="AV154" s="56">
        <f t="shared" ca="1" si="12"/>
        <v>133.33434600000001</v>
      </c>
      <c r="AW154" s="40" t="s">
        <v>690</v>
      </c>
      <c r="AX154" s="40" t="str">
        <f t="shared" ca="1" si="13"/>
        <v>DarkRed</v>
      </c>
      <c r="AY154" s="40" t="s">
        <v>688</v>
      </c>
      <c r="AZ154" s="40" t="str">
        <f t="shared" ca="1" si="14"/>
        <v>,{"type":"polyline","latLngs":[{"lat":35.439365,"lng":133.337143},{"lat":35.440964,"lng":133.334346}],"color":"DarkRed"}</v>
      </c>
      <c r="BA154" s="40" t="s">
        <v>691</v>
      </c>
      <c r="BB154" s="56">
        <f t="shared" ca="1" si="15"/>
        <v>35.439365000000002</v>
      </c>
      <c r="BC154" s="40" t="s">
        <v>684</v>
      </c>
      <c r="BD154" s="56">
        <f t="shared" ca="1" si="16"/>
        <v>133.337143</v>
      </c>
      <c r="BE154" s="40" t="s">
        <v>692</v>
      </c>
      <c r="BF154" s="40" t="str">
        <f t="shared" ca="1" si="17"/>
        <v>DarkRed</v>
      </c>
      <c r="BG154" s="40" t="s">
        <v>688</v>
      </c>
      <c r="BH154" s="40" t="str">
        <f t="shared" ca="1" si="18"/>
        <v>,{"type":"marker","latLng":{"lat":35.439365,"lng":133.337143},"color":"DarkRed"}</v>
      </c>
      <c r="BI154" s="40" t="s">
        <v>693</v>
      </c>
      <c r="BJ154" s="40" t="s">
        <v>694</v>
      </c>
      <c r="BK154" s="267" t="str">
        <f t="shared" ca="1" si="19"/>
        <v>,{"type":"polyline","latLngs":[{"lat":35.439365,"lng":133.337143},{"lat":35.440964,"lng":133.334346}],"color":"DarkRed"}</v>
      </c>
      <c r="BL154" s="40"/>
      <c r="BM154" s="40"/>
      <c r="BN154" s="40"/>
      <c r="BO154" s="40"/>
      <c r="BP154" s="40"/>
      <c r="BQ154" s="40"/>
      <c r="BR154" s="40"/>
      <c r="BS154" s="40"/>
      <c r="BT154" s="40"/>
      <c r="BU154" s="40"/>
      <c r="BV154" s="40"/>
      <c r="BW154" s="40"/>
      <c r="BX154" s="40"/>
      <c r="BY154" s="40"/>
      <c r="BZ154" s="40"/>
      <c r="CA154" s="40"/>
      <c r="CB154" s="40"/>
      <c r="CC154" s="40"/>
      <c r="CD154" s="40"/>
      <c r="CE154" s="40"/>
      <c r="CF154" s="40"/>
      <c r="CG154" s="40"/>
      <c r="CH154" s="40"/>
    </row>
    <row r="155" spans="1:86" ht="17.5">
      <c r="A155" s="40"/>
      <c r="B155" s="260" t="str">
        <f ca="1">IFERROR(__xludf.DUMMYFUNCTION("""COMPUTED_VALUE"""),"P317")</f>
        <v>P317</v>
      </c>
      <c r="C155" s="273" t="str">
        <f ca="1">IFERROR(__xludf.DUMMYFUNCTION("""COMPUTED_VALUE"""),"桜27本の碑")</f>
        <v>桜27本の碑</v>
      </c>
      <c r="D155" s="273">
        <f ca="1">IFERROR(__xludf.DUMMYFUNCTION("""COMPUTED_VALUE"""),35.434111)</f>
        <v>35.434111000000001</v>
      </c>
      <c r="E155" s="273">
        <f ca="1">IFERROR(__xludf.DUMMYFUNCTION("""COMPUTED_VALUE"""),133.34488)</f>
        <v>133.34487999999999</v>
      </c>
      <c r="F155" s="40"/>
      <c r="G155" s="261"/>
      <c r="H155" s="262" t="s">
        <v>672</v>
      </c>
      <c r="I155" s="271" t="str">
        <f ca="1">IFERROR(__xludf.DUMMYFUNCTION("""COMPUTED_VALUE"""),"Agent06")</f>
        <v>Agent06</v>
      </c>
      <c r="J155" s="271" t="str">
        <f ca="1">IFERROR(__xludf.DUMMYFUNCTION("""COMPUTED_VALUE"""),"P79")</f>
        <v>P79</v>
      </c>
      <c r="K155" s="271" t="str">
        <f ca="1">IFERROR(__xludf.DUMMYFUNCTION("""COMPUTED_VALUE"""),"P97")</f>
        <v>P97</v>
      </c>
      <c r="L155" s="242" t="s">
        <v>681</v>
      </c>
      <c r="M155" s="263" t="str">
        <f t="shared" ca="1" si="0"/>
        <v>DarkRed</v>
      </c>
      <c r="N155" s="264" t="str">
        <f ca="1">IFERROR(__xludf.DUMMYFUNCTION("FILTER(C:E,B:B=J155)"),"住居表示街区案内図 西福原1丁目")</f>
        <v>住居表示街区案内図 西福原1丁目</v>
      </c>
      <c r="O155" s="265">
        <f ca="1">IFERROR(__xludf.DUMMYFUNCTION("""COMPUTED_VALUE"""),35.439365)</f>
        <v>35.439365000000002</v>
      </c>
      <c r="P155" s="265">
        <f ca="1">IFERROR(__xludf.DUMMYFUNCTION("""COMPUTED_VALUE"""),133.337143)</f>
        <v>133.337143</v>
      </c>
      <c r="Q155" s="264" t="str">
        <f ca="1">IFERROR(__xludf.DUMMYFUNCTION("FILTER(C:E,B:B=K155)"),"世界真光文明教団 米子センター")</f>
        <v>世界真光文明教団 米子センター</v>
      </c>
      <c r="R155" s="265">
        <f ca="1">IFERROR(__xludf.DUMMYFUNCTION("""COMPUTED_VALUE"""),35.441888)</f>
        <v>35.441887999999999</v>
      </c>
      <c r="S155" s="265">
        <f ca="1">IFERROR(__xludf.DUMMYFUNCTION("""COMPUTED_VALUE"""),133.335563)</f>
        <v>133.33556300000001</v>
      </c>
      <c r="T155" s="264" t="str">
        <f ca="1">IFERROR(__xludf.DUMMYFUNCTION("FILTER(C:E,B:B=L155)")," ")</f>
        <v xml:space="preserve"> </v>
      </c>
      <c r="U155" s="40" t="str">
        <f ca="1">IFERROR(__xludf.DUMMYFUNCTION("""COMPUTED_VALUE""")," ")</f>
        <v xml:space="preserve"> </v>
      </c>
      <c r="V155" s="40" t="str">
        <f ca="1">IFERROR(__xludf.DUMMYFUNCTION("""COMPUTED_VALUE""")," ")</f>
        <v xml:space="preserve"> </v>
      </c>
      <c r="W155" s="40" t="str">
        <f t="shared" ca="1" si="21"/>
        <v>,</v>
      </c>
      <c r="X155" s="40" t="s">
        <v>682</v>
      </c>
      <c r="Y155" s="40" t="s">
        <v>683</v>
      </c>
      <c r="Z155" s="264">
        <f t="shared" ca="1" si="1"/>
        <v>35.439365000000002</v>
      </c>
      <c r="AA155" s="40" t="s">
        <v>684</v>
      </c>
      <c r="AB155" s="264">
        <f t="shared" ca="1" si="2"/>
        <v>133.337143</v>
      </c>
      <c r="AC155" s="40" t="s">
        <v>685</v>
      </c>
      <c r="AD155" s="264">
        <f t="shared" ca="1" si="3"/>
        <v>35.441887999999999</v>
      </c>
      <c r="AE155" s="40" t="s">
        <v>684</v>
      </c>
      <c r="AF155" s="264">
        <f t="shared" ca="1" si="4"/>
        <v>133.33556300000001</v>
      </c>
      <c r="AG155" s="40" t="s">
        <v>686</v>
      </c>
      <c r="AH155" s="264" t="str">
        <f t="shared" ca="1" si="5"/>
        <v xml:space="preserve"> </v>
      </c>
      <c r="AI155" s="40" t="s">
        <v>684</v>
      </c>
      <c r="AJ155" s="264" t="str">
        <f t="shared" ca="1" si="6"/>
        <v xml:space="preserve"> </v>
      </c>
      <c r="AK155" s="40" t="s">
        <v>687</v>
      </c>
      <c r="AL155" s="264" t="str">
        <f t="shared" ca="1" si="7"/>
        <v>DarkRed</v>
      </c>
      <c r="AM155" s="40" t="s">
        <v>688</v>
      </c>
      <c r="AN155" s="40" t="str">
        <f t="shared" ca="1" si="8"/>
        <v>,{"type":"polygon","latLngs":[ {"lat":35.439365,"lng":133.337143}, {"lat":35.441888,"lng":133.335563},{"lat": ,"lng": }], "color":"DarkRed"}</v>
      </c>
      <c r="AO155" s="266" t="s">
        <v>689</v>
      </c>
      <c r="AP155" s="56">
        <f t="shared" ca="1" si="9"/>
        <v>35.439365000000002</v>
      </c>
      <c r="AQ155" s="40" t="s">
        <v>684</v>
      </c>
      <c r="AR155" s="56">
        <f t="shared" ca="1" si="10"/>
        <v>133.337143</v>
      </c>
      <c r="AS155" s="40" t="s">
        <v>686</v>
      </c>
      <c r="AT155" s="56">
        <f t="shared" ca="1" si="11"/>
        <v>35.441887999999999</v>
      </c>
      <c r="AU155" s="40" t="s">
        <v>684</v>
      </c>
      <c r="AV155" s="56">
        <f t="shared" ca="1" si="12"/>
        <v>133.33556300000001</v>
      </c>
      <c r="AW155" s="40" t="s">
        <v>690</v>
      </c>
      <c r="AX155" s="40" t="str">
        <f t="shared" ca="1" si="13"/>
        <v>DarkRed</v>
      </c>
      <c r="AY155" s="40" t="s">
        <v>688</v>
      </c>
      <c r="AZ155" s="40" t="str">
        <f t="shared" ca="1" si="14"/>
        <v>,{"type":"polyline","latLngs":[{"lat":35.439365,"lng":133.337143},{"lat":35.441888,"lng":133.335563}],"color":"DarkRed"}</v>
      </c>
      <c r="BA155" s="40" t="s">
        <v>691</v>
      </c>
      <c r="BB155" s="56">
        <f t="shared" ca="1" si="15"/>
        <v>35.439365000000002</v>
      </c>
      <c r="BC155" s="40" t="s">
        <v>684</v>
      </c>
      <c r="BD155" s="56">
        <f t="shared" ca="1" si="16"/>
        <v>133.337143</v>
      </c>
      <c r="BE155" s="40" t="s">
        <v>692</v>
      </c>
      <c r="BF155" s="40" t="str">
        <f t="shared" ca="1" si="17"/>
        <v>DarkRed</v>
      </c>
      <c r="BG155" s="40" t="s">
        <v>688</v>
      </c>
      <c r="BH155" s="40" t="str">
        <f t="shared" ca="1" si="18"/>
        <v>,{"type":"marker","latLng":{"lat":35.439365,"lng":133.337143},"color":"DarkRed"}</v>
      </c>
      <c r="BI155" s="40" t="s">
        <v>693</v>
      </c>
      <c r="BJ155" s="40" t="s">
        <v>694</v>
      </c>
      <c r="BK155" s="267" t="str">
        <f t="shared" ca="1" si="19"/>
        <v>,{"type":"polyline","latLngs":[{"lat":35.439365,"lng":133.337143},{"lat":35.441888,"lng":133.335563}],"color":"DarkRed"}</v>
      </c>
      <c r="BL155" s="40"/>
      <c r="BM155" s="40"/>
      <c r="BN155" s="40"/>
      <c r="BO155" s="40"/>
      <c r="BP155" s="40"/>
      <c r="BQ155" s="40"/>
      <c r="BR155" s="40"/>
      <c r="BS155" s="40"/>
      <c r="BT155" s="40"/>
      <c r="BU155" s="40"/>
      <c r="BV155" s="40"/>
      <c r="BW155" s="40"/>
      <c r="BX155" s="40"/>
      <c r="BY155" s="40"/>
      <c r="BZ155" s="40"/>
      <c r="CA155" s="40"/>
      <c r="CB155" s="40"/>
      <c r="CC155" s="40"/>
      <c r="CD155" s="40"/>
      <c r="CE155" s="40"/>
      <c r="CF155" s="40"/>
      <c r="CG155" s="40"/>
      <c r="CH155" s="40"/>
    </row>
    <row r="156" spans="1:86" ht="17.5">
      <c r="A156" s="40"/>
      <c r="B156" s="260" t="str">
        <f ca="1">IFERROR(__xludf.DUMMYFUNCTION("""COMPUTED_VALUE"""),"P318")</f>
        <v>P318</v>
      </c>
      <c r="C156" s="273" t="str">
        <f ca="1">IFERROR(__xludf.DUMMYFUNCTION("""COMPUTED_VALUE"""),"米川案内板")</f>
        <v>米川案内板</v>
      </c>
      <c r="D156" s="273">
        <f ca="1">IFERROR(__xludf.DUMMYFUNCTION("""COMPUTED_VALUE"""),35.434559)</f>
        <v>35.434559</v>
      </c>
      <c r="E156" s="273">
        <f ca="1">IFERROR(__xludf.DUMMYFUNCTION("""COMPUTED_VALUE"""),133.346848)</f>
        <v>133.34684799999999</v>
      </c>
      <c r="F156" s="40"/>
      <c r="G156" s="261"/>
      <c r="H156" s="262" t="s">
        <v>672</v>
      </c>
      <c r="I156" s="271" t="str">
        <f ca="1">IFERROR(__xludf.DUMMYFUNCTION("""COMPUTED_VALUE"""),"Agent06")</f>
        <v>Agent06</v>
      </c>
      <c r="J156" s="271" t="str">
        <f ca="1">IFERROR(__xludf.DUMMYFUNCTION("""COMPUTED_VALUE"""),"P79")</f>
        <v>P79</v>
      </c>
      <c r="K156" s="271" t="str">
        <f ca="1">IFERROR(__xludf.DUMMYFUNCTION("""COMPUTED_VALUE"""),"P91")</f>
        <v>P91</v>
      </c>
      <c r="L156" s="242" t="s">
        <v>681</v>
      </c>
      <c r="M156" s="263" t="str">
        <f t="shared" ca="1" si="0"/>
        <v>DarkRed</v>
      </c>
      <c r="N156" s="264" t="str">
        <f ca="1">IFERROR(__xludf.DUMMYFUNCTION("FILTER(C:E,B:B=J156)"),"住居表示街区案内図 西福原1丁目")</f>
        <v>住居表示街区案内図 西福原1丁目</v>
      </c>
      <c r="O156" s="265">
        <f ca="1">IFERROR(__xludf.DUMMYFUNCTION("""COMPUTED_VALUE"""),35.439365)</f>
        <v>35.439365000000002</v>
      </c>
      <c r="P156" s="265">
        <f ca="1">IFERROR(__xludf.DUMMYFUNCTION("""COMPUTED_VALUE"""),133.337143)</f>
        <v>133.337143</v>
      </c>
      <c r="Q156" s="264" t="str">
        <f ca="1">IFERROR(__xludf.DUMMYFUNCTION("FILTER(C:E,B:B=K156)"),"YONAGO SWIMING SCHOOL")</f>
        <v>YONAGO SWIMING SCHOOL</v>
      </c>
      <c r="R156" s="265">
        <f ca="1">IFERROR(__xludf.DUMMYFUNCTION("""COMPUTED_VALUE"""),35.440515)</f>
        <v>35.440514999999998</v>
      </c>
      <c r="S156" s="265">
        <f ca="1">IFERROR(__xludf.DUMMYFUNCTION("""COMPUTED_VALUE"""),133.335782)</f>
        <v>133.33578199999999</v>
      </c>
      <c r="T156" s="264" t="str">
        <f ca="1">IFERROR(__xludf.DUMMYFUNCTION("FILTER(C:E,B:B=L156)")," ")</f>
        <v xml:space="preserve"> </v>
      </c>
      <c r="U156" s="40" t="str">
        <f ca="1">IFERROR(__xludf.DUMMYFUNCTION("""COMPUTED_VALUE""")," ")</f>
        <v xml:space="preserve"> </v>
      </c>
      <c r="V156" s="40" t="str">
        <f ca="1">IFERROR(__xludf.DUMMYFUNCTION("""COMPUTED_VALUE""")," ")</f>
        <v xml:space="preserve"> </v>
      </c>
      <c r="W156" s="40" t="str">
        <f t="shared" ca="1" si="21"/>
        <v>,</v>
      </c>
      <c r="X156" s="40" t="s">
        <v>682</v>
      </c>
      <c r="Y156" s="40" t="s">
        <v>683</v>
      </c>
      <c r="Z156" s="264">
        <f t="shared" ca="1" si="1"/>
        <v>35.439365000000002</v>
      </c>
      <c r="AA156" s="40" t="s">
        <v>684</v>
      </c>
      <c r="AB156" s="264">
        <f t="shared" ca="1" si="2"/>
        <v>133.337143</v>
      </c>
      <c r="AC156" s="40" t="s">
        <v>685</v>
      </c>
      <c r="AD156" s="264">
        <f t="shared" ca="1" si="3"/>
        <v>35.440514999999998</v>
      </c>
      <c r="AE156" s="40" t="s">
        <v>684</v>
      </c>
      <c r="AF156" s="264">
        <f t="shared" ca="1" si="4"/>
        <v>133.33578199999999</v>
      </c>
      <c r="AG156" s="40" t="s">
        <v>686</v>
      </c>
      <c r="AH156" s="264" t="str">
        <f t="shared" ca="1" si="5"/>
        <v xml:space="preserve"> </v>
      </c>
      <c r="AI156" s="40" t="s">
        <v>684</v>
      </c>
      <c r="AJ156" s="264" t="str">
        <f t="shared" ca="1" si="6"/>
        <v xml:space="preserve"> </v>
      </c>
      <c r="AK156" s="40" t="s">
        <v>687</v>
      </c>
      <c r="AL156" s="264" t="str">
        <f t="shared" ca="1" si="7"/>
        <v>DarkRed</v>
      </c>
      <c r="AM156" s="40" t="s">
        <v>688</v>
      </c>
      <c r="AN156" s="40" t="str">
        <f t="shared" ca="1" si="8"/>
        <v>,{"type":"polygon","latLngs":[ {"lat":35.439365,"lng":133.337143}, {"lat":35.440515,"lng":133.335782},{"lat": ,"lng": }], "color":"DarkRed"}</v>
      </c>
      <c r="AO156" s="266" t="s">
        <v>689</v>
      </c>
      <c r="AP156" s="56">
        <f t="shared" ca="1" si="9"/>
        <v>35.439365000000002</v>
      </c>
      <c r="AQ156" s="40" t="s">
        <v>684</v>
      </c>
      <c r="AR156" s="56">
        <f t="shared" ca="1" si="10"/>
        <v>133.337143</v>
      </c>
      <c r="AS156" s="40" t="s">
        <v>686</v>
      </c>
      <c r="AT156" s="56">
        <f t="shared" ca="1" si="11"/>
        <v>35.440514999999998</v>
      </c>
      <c r="AU156" s="40" t="s">
        <v>684</v>
      </c>
      <c r="AV156" s="56">
        <f t="shared" ca="1" si="12"/>
        <v>133.33578199999999</v>
      </c>
      <c r="AW156" s="40" t="s">
        <v>690</v>
      </c>
      <c r="AX156" s="40" t="str">
        <f t="shared" ca="1" si="13"/>
        <v>DarkRed</v>
      </c>
      <c r="AY156" s="40" t="s">
        <v>688</v>
      </c>
      <c r="AZ156" s="40" t="str">
        <f t="shared" ca="1" si="14"/>
        <v>,{"type":"polyline","latLngs":[{"lat":35.439365,"lng":133.337143},{"lat":35.440515,"lng":133.335782}],"color":"DarkRed"}</v>
      </c>
      <c r="BA156" s="40" t="s">
        <v>691</v>
      </c>
      <c r="BB156" s="56">
        <f t="shared" ca="1" si="15"/>
        <v>35.439365000000002</v>
      </c>
      <c r="BC156" s="40" t="s">
        <v>684</v>
      </c>
      <c r="BD156" s="56">
        <f t="shared" ca="1" si="16"/>
        <v>133.337143</v>
      </c>
      <c r="BE156" s="40" t="s">
        <v>692</v>
      </c>
      <c r="BF156" s="40" t="str">
        <f t="shared" ca="1" si="17"/>
        <v>DarkRed</v>
      </c>
      <c r="BG156" s="40" t="s">
        <v>688</v>
      </c>
      <c r="BH156" s="40" t="str">
        <f t="shared" ca="1" si="18"/>
        <v>,{"type":"marker","latLng":{"lat":35.439365,"lng":133.337143},"color":"DarkRed"}</v>
      </c>
      <c r="BI156" s="40" t="s">
        <v>693</v>
      </c>
      <c r="BJ156" s="40" t="s">
        <v>694</v>
      </c>
      <c r="BK156" s="267" t="str">
        <f t="shared" ca="1" si="19"/>
        <v>,{"type":"polyline","latLngs":[{"lat":35.439365,"lng":133.337143},{"lat":35.440515,"lng":133.335782}],"color":"DarkRed"}</v>
      </c>
      <c r="BL156" s="40"/>
      <c r="BM156" s="40"/>
      <c r="BN156" s="40"/>
      <c r="BO156" s="40"/>
      <c r="BP156" s="40"/>
      <c r="BQ156" s="40"/>
      <c r="BR156" s="40"/>
      <c r="BS156" s="40"/>
      <c r="BT156" s="40"/>
      <c r="BU156" s="40"/>
      <c r="BV156" s="40"/>
      <c r="BW156" s="40"/>
      <c r="BX156" s="40"/>
      <c r="BY156" s="40"/>
      <c r="BZ156" s="40"/>
      <c r="CA156" s="40"/>
      <c r="CB156" s="40"/>
      <c r="CC156" s="40"/>
      <c r="CD156" s="40"/>
      <c r="CE156" s="40"/>
      <c r="CF156" s="40"/>
      <c r="CG156" s="40"/>
      <c r="CH156" s="40"/>
    </row>
    <row r="157" spans="1:86" ht="17.5">
      <c r="A157" s="40"/>
      <c r="B157" s="260" t="str">
        <f ca="1">IFERROR(__xludf.DUMMYFUNCTION("""COMPUTED_VALUE"""),"P319")</f>
        <v>P319</v>
      </c>
      <c r="C157" s="273" t="str">
        <f ca="1">IFERROR(__xludf.DUMMYFUNCTION("""COMPUTED_VALUE"""),"米子中島簡易郵便局")</f>
        <v>米子中島簡易郵便局</v>
      </c>
      <c r="D157" s="273">
        <f ca="1">IFERROR(__xludf.DUMMYFUNCTION("""COMPUTED_VALUE"""),35.434604)</f>
        <v>35.434604</v>
      </c>
      <c r="E157" s="273">
        <f ca="1">IFERROR(__xludf.DUMMYFUNCTION("""COMPUTED_VALUE"""),133.349539)</f>
        <v>133.34953899999999</v>
      </c>
      <c r="F157" s="40"/>
      <c r="G157" s="261"/>
      <c r="H157" s="262" t="s">
        <v>672</v>
      </c>
      <c r="I157" s="271" t="str">
        <f ca="1">IFERROR(__xludf.DUMMYFUNCTION("""COMPUTED_VALUE"""),"Agent06")</f>
        <v>Agent06</v>
      </c>
      <c r="J157" s="271" t="str">
        <f ca="1">IFERROR(__xludf.DUMMYFUNCTION("""COMPUTED_VALUE"""),"P79")</f>
        <v>P79</v>
      </c>
      <c r="K157" s="271" t="str">
        <f ca="1">IFERROR(__xludf.DUMMYFUNCTION("""COMPUTED_VALUE"""),"P82")</f>
        <v>P82</v>
      </c>
      <c r="L157" s="242" t="s">
        <v>681</v>
      </c>
      <c r="M157" s="263" t="str">
        <f t="shared" ca="1" si="0"/>
        <v>DarkRed</v>
      </c>
      <c r="N157" s="264" t="str">
        <f ca="1">IFERROR(__xludf.DUMMYFUNCTION("FILTER(C:E,B:B=J157)"),"住居表示街区案内図 西福原1丁目")</f>
        <v>住居表示街区案内図 西福原1丁目</v>
      </c>
      <c r="O157" s="265">
        <f ca="1">IFERROR(__xludf.DUMMYFUNCTION("""COMPUTED_VALUE"""),35.439365)</f>
        <v>35.439365000000002</v>
      </c>
      <c r="P157" s="265">
        <f ca="1">IFERROR(__xludf.DUMMYFUNCTION("""COMPUTED_VALUE"""),133.337143)</f>
        <v>133.337143</v>
      </c>
      <c r="Q157" s="264" t="str">
        <f ca="1">IFERROR(__xludf.DUMMYFUNCTION("FILTER(C:E,B:B=K157)"),"集会所はなみずき")</f>
        <v>集会所はなみずき</v>
      </c>
      <c r="R157" s="265">
        <f ca="1">IFERROR(__xludf.DUMMYFUNCTION("""COMPUTED_VALUE"""),35.439798)</f>
        <v>35.439798000000003</v>
      </c>
      <c r="S157" s="265">
        <f ca="1">IFERROR(__xludf.DUMMYFUNCTION("""COMPUTED_VALUE"""),133.335915)</f>
        <v>133.335915</v>
      </c>
      <c r="T157" s="264" t="str">
        <f ca="1">IFERROR(__xludf.DUMMYFUNCTION("FILTER(C:E,B:B=L157)")," ")</f>
        <v xml:space="preserve"> </v>
      </c>
      <c r="U157" s="40" t="str">
        <f ca="1">IFERROR(__xludf.DUMMYFUNCTION("""COMPUTED_VALUE""")," ")</f>
        <v xml:space="preserve"> </v>
      </c>
      <c r="V157" s="40" t="str">
        <f ca="1">IFERROR(__xludf.DUMMYFUNCTION("""COMPUTED_VALUE""")," ")</f>
        <v xml:space="preserve"> </v>
      </c>
      <c r="W157" s="40" t="str">
        <f t="shared" ca="1" si="21"/>
        <v>,</v>
      </c>
      <c r="X157" s="40" t="s">
        <v>682</v>
      </c>
      <c r="Y157" s="40" t="s">
        <v>683</v>
      </c>
      <c r="Z157" s="264">
        <f t="shared" ca="1" si="1"/>
        <v>35.439365000000002</v>
      </c>
      <c r="AA157" s="40" t="s">
        <v>684</v>
      </c>
      <c r="AB157" s="264">
        <f t="shared" ca="1" si="2"/>
        <v>133.337143</v>
      </c>
      <c r="AC157" s="40" t="s">
        <v>685</v>
      </c>
      <c r="AD157" s="264">
        <f t="shared" ca="1" si="3"/>
        <v>35.439798000000003</v>
      </c>
      <c r="AE157" s="40" t="s">
        <v>684</v>
      </c>
      <c r="AF157" s="264">
        <f t="shared" ca="1" si="4"/>
        <v>133.335915</v>
      </c>
      <c r="AG157" s="40" t="s">
        <v>686</v>
      </c>
      <c r="AH157" s="264" t="str">
        <f t="shared" ca="1" si="5"/>
        <v xml:space="preserve"> </v>
      </c>
      <c r="AI157" s="40" t="s">
        <v>684</v>
      </c>
      <c r="AJ157" s="264" t="str">
        <f t="shared" ca="1" si="6"/>
        <v xml:space="preserve"> </v>
      </c>
      <c r="AK157" s="40" t="s">
        <v>687</v>
      </c>
      <c r="AL157" s="264" t="str">
        <f t="shared" ca="1" si="7"/>
        <v>DarkRed</v>
      </c>
      <c r="AM157" s="40" t="s">
        <v>688</v>
      </c>
      <c r="AN157" s="40" t="str">
        <f t="shared" ca="1" si="8"/>
        <v>,{"type":"polygon","latLngs":[ {"lat":35.439365,"lng":133.337143}, {"lat":35.439798,"lng":133.335915},{"lat": ,"lng": }], "color":"DarkRed"}</v>
      </c>
      <c r="AO157" s="266" t="s">
        <v>689</v>
      </c>
      <c r="AP157" s="56">
        <f t="shared" ca="1" si="9"/>
        <v>35.439365000000002</v>
      </c>
      <c r="AQ157" s="40" t="s">
        <v>684</v>
      </c>
      <c r="AR157" s="56">
        <f t="shared" ca="1" si="10"/>
        <v>133.337143</v>
      </c>
      <c r="AS157" s="40" t="s">
        <v>686</v>
      </c>
      <c r="AT157" s="56">
        <f t="shared" ca="1" si="11"/>
        <v>35.439798000000003</v>
      </c>
      <c r="AU157" s="40" t="s">
        <v>684</v>
      </c>
      <c r="AV157" s="56">
        <f t="shared" ca="1" si="12"/>
        <v>133.335915</v>
      </c>
      <c r="AW157" s="40" t="s">
        <v>690</v>
      </c>
      <c r="AX157" s="40" t="str">
        <f t="shared" ca="1" si="13"/>
        <v>DarkRed</v>
      </c>
      <c r="AY157" s="40" t="s">
        <v>688</v>
      </c>
      <c r="AZ157" s="40" t="str">
        <f t="shared" ca="1" si="14"/>
        <v>,{"type":"polyline","latLngs":[{"lat":35.439365,"lng":133.337143},{"lat":35.439798,"lng":133.335915}],"color":"DarkRed"}</v>
      </c>
      <c r="BA157" s="40" t="s">
        <v>691</v>
      </c>
      <c r="BB157" s="56">
        <f t="shared" ca="1" si="15"/>
        <v>35.439365000000002</v>
      </c>
      <c r="BC157" s="40" t="s">
        <v>684</v>
      </c>
      <c r="BD157" s="56">
        <f t="shared" ca="1" si="16"/>
        <v>133.337143</v>
      </c>
      <c r="BE157" s="40" t="s">
        <v>692</v>
      </c>
      <c r="BF157" s="40" t="str">
        <f t="shared" ca="1" si="17"/>
        <v>DarkRed</v>
      </c>
      <c r="BG157" s="40" t="s">
        <v>688</v>
      </c>
      <c r="BH157" s="40" t="str">
        <f t="shared" ca="1" si="18"/>
        <v>,{"type":"marker","latLng":{"lat":35.439365,"lng":133.337143},"color":"DarkRed"}</v>
      </c>
      <c r="BI157" s="40" t="s">
        <v>693</v>
      </c>
      <c r="BJ157" s="40" t="s">
        <v>694</v>
      </c>
      <c r="BK157" s="267" t="str">
        <f t="shared" ca="1" si="19"/>
        <v>,{"type":"polyline","latLngs":[{"lat":35.439365,"lng":133.337143},{"lat":35.439798,"lng":133.335915}],"color":"DarkRed"}</v>
      </c>
      <c r="BL157" s="40"/>
      <c r="BM157" s="40"/>
      <c r="BN157" s="40"/>
      <c r="BO157" s="40"/>
      <c r="BP157" s="40"/>
      <c r="BQ157" s="40"/>
      <c r="BR157" s="40"/>
      <c r="BS157" s="40"/>
      <c r="BT157" s="40"/>
      <c r="BU157" s="40"/>
      <c r="BV157" s="40"/>
      <c r="BW157" s="40"/>
      <c r="BX157" s="40"/>
      <c r="BY157" s="40"/>
      <c r="BZ157" s="40"/>
      <c r="CA157" s="40"/>
      <c r="CB157" s="40"/>
      <c r="CC157" s="40"/>
      <c r="CD157" s="40"/>
      <c r="CE157" s="40"/>
      <c r="CF157" s="40"/>
      <c r="CG157" s="40"/>
      <c r="CH157" s="40"/>
    </row>
    <row r="158" spans="1:86" ht="17.5">
      <c r="A158" s="40"/>
      <c r="B158" s="260"/>
      <c r="C158" s="273"/>
      <c r="D158" s="273"/>
      <c r="E158" s="273"/>
      <c r="F158" s="40"/>
      <c r="G158" s="261"/>
      <c r="H158" s="262" t="s">
        <v>672</v>
      </c>
      <c r="I158" s="271" t="str">
        <f ca="1">IFERROR(__xludf.DUMMYFUNCTION("""COMPUTED_VALUE"""),"Agent06")</f>
        <v>Agent06</v>
      </c>
      <c r="J158" s="271" t="str">
        <f ca="1">IFERROR(__xludf.DUMMYFUNCTION("""COMPUTED_VALUE"""),"P79")</f>
        <v>P79</v>
      </c>
      <c r="K158" s="271" t="str">
        <f ca="1">IFERROR(__xludf.DUMMYFUNCTION("""COMPUTED_VALUE"""),"P66")</f>
        <v>P66</v>
      </c>
      <c r="L158" s="242" t="s">
        <v>681</v>
      </c>
      <c r="M158" s="263" t="str">
        <f t="shared" ca="1" si="0"/>
        <v>DarkRed</v>
      </c>
      <c r="N158" s="264" t="str">
        <f ca="1">IFERROR(__xludf.DUMMYFUNCTION("FILTER(C:E,B:B=J158)"),"住居表示街区案内図 西福原1丁目")</f>
        <v>住居表示街区案内図 西福原1丁目</v>
      </c>
      <c r="O158" s="265">
        <f ca="1">IFERROR(__xludf.DUMMYFUNCTION("""COMPUTED_VALUE"""),35.439365)</f>
        <v>35.439365000000002</v>
      </c>
      <c r="P158" s="265">
        <f ca="1">IFERROR(__xludf.DUMMYFUNCTION("""COMPUTED_VALUE"""),133.337143)</f>
        <v>133.337143</v>
      </c>
      <c r="Q158" s="264" t="str">
        <f ca="1">IFERROR(__xludf.DUMMYFUNCTION("FILTER(C:E,B:B=K158)"),"真如苑 米子支部")</f>
        <v>真如苑 米子支部</v>
      </c>
      <c r="R158" s="265">
        <f ca="1">IFERROR(__xludf.DUMMYFUNCTION("""COMPUTED_VALUE"""),35.43696)</f>
        <v>35.436959999999999</v>
      </c>
      <c r="S158" s="265">
        <f ca="1">IFERROR(__xludf.DUMMYFUNCTION("""COMPUTED_VALUE"""),133.337768)</f>
        <v>133.33776800000001</v>
      </c>
      <c r="T158" s="264" t="str">
        <f ca="1">IFERROR(__xludf.DUMMYFUNCTION("FILTER(C:E,B:B=L158)")," ")</f>
        <v xml:space="preserve"> </v>
      </c>
      <c r="U158" s="40" t="str">
        <f ca="1">IFERROR(__xludf.DUMMYFUNCTION("""COMPUTED_VALUE""")," ")</f>
        <v xml:space="preserve"> </v>
      </c>
      <c r="V158" s="40" t="str">
        <f ca="1">IFERROR(__xludf.DUMMYFUNCTION("""COMPUTED_VALUE""")," ")</f>
        <v xml:space="preserve"> </v>
      </c>
      <c r="W158" s="40" t="str">
        <f t="shared" ca="1" si="21"/>
        <v>,</v>
      </c>
      <c r="X158" s="40" t="s">
        <v>682</v>
      </c>
      <c r="Y158" s="40" t="s">
        <v>683</v>
      </c>
      <c r="Z158" s="264">
        <f t="shared" ca="1" si="1"/>
        <v>35.439365000000002</v>
      </c>
      <c r="AA158" s="40" t="s">
        <v>684</v>
      </c>
      <c r="AB158" s="264">
        <f t="shared" ca="1" si="2"/>
        <v>133.337143</v>
      </c>
      <c r="AC158" s="40" t="s">
        <v>685</v>
      </c>
      <c r="AD158" s="264">
        <f t="shared" ca="1" si="3"/>
        <v>35.436959999999999</v>
      </c>
      <c r="AE158" s="40" t="s">
        <v>684</v>
      </c>
      <c r="AF158" s="264">
        <f t="shared" ca="1" si="4"/>
        <v>133.33776800000001</v>
      </c>
      <c r="AG158" s="40" t="s">
        <v>686</v>
      </c>
      <c r="AH158" s="264" t="str">
        <f t="shared" ca="1" si="5"/>
        <v xml:space="preserve"> </v>
      </c>
      <c r="AI158" s="40" t="s">
        <v>684</v>
      </c>
      <c r="AJ158" s="264" t="str">
        <f t="shared" ca="1" si="6"/>
        <v xml:space="preserve"> </v>
      </c>
      <c r="AK158" s="40" t="s">
        <v>687</v>
      </c>
      <c r="AL158" s="264" t="str">
        <f t="shared" ca="1" si="7"/>
        <v>DarkRed</v>
      </c>
      <c r="AM158" s="40" t="s">
        <v>688</v>
      </c>
      <c r="AN158" s="40" t="str">
        <f t="shared" ca="1" si="8"/>
        <v>,{"type":"polygon","latLngs":[ {"lat":35.439365,"lng":133.337143}, {"lat":35.43696,"lng":133.337768},{"lat": ,"lng": }], "color":"DarkRed"}</v>
      </c>
      <c r="AO158" s="266" t="s">
        <v>689</v>
      </c>
      <c r="AP158" s="56">
        <f t="shared" ca="1" si="9"/>
        <v>35.439365000000002</v>
      </c>
      <c r="AQ158" s="40" t="s">
        <v>684</v>
      </c>
      <c r="AR158" s="56">
        <f t="shared" ca="1" si="10"/>
        <v>133.337143</v>
      </c>
      <c r="AS158" s="40" t="s">
        <v>686</v>
      </c>
      <c r="AT158" s="56">
        <f t="shared" ca="1" si="11"/>
        <v>35.436959999999999</v>
      </c>
      <c r="AU158" s="40" t="s">
        <v>684</v>
      </c>
      <c r="AV158" s="56">
        <f t="shared" ca="1" si="12"/>
        <v>133.33776800000001</v>
      </c>
      <c r="AW158" s="40" t="s">
        <v>690</v>
      </c>
      <c r="AX158" s="40" t="str">
        <f t="shared" ca="1" si="13"/>
        <v>DarkRed</v>
      </c>
      <c r="AY158" s="40" t="s">
        <v>688</v>
      </c>
      <c r="AZ158" s="40" t="str">
        <f t="shared" ca="1" si="14"/>
        <v>,{"type":"polyline","latLngs":[{"lat":35.439365,"lng":133.337143},{"lat":35.43696,"lng":133.337768}],"color":"DarkRed"}</v>
      </c>
      <c r="BA158" s="40" t="s">
        <v>691</v>
      </c>
      <c r="BB158" s="56">
        <f t="shared" ca="1" si="15"/>
        <v>35.439365000000002</v>
      </c>
      <c r="BC158" s="40" t="s">
        <v>684</v>
      </c>
      <c r="BD158" s="56">
        <f t="shared" ca="1" si="16"/>
        <v>133.337143</v>
      </c>
      <c r="BE158" s="40" t="s">
        <v>692</v>
      </c>
      <c r="BF158" s="40" t="str">
        <f t="shared" ca="1" si="17"/>
        <v>DarkRed</v>
      </c>
      <c r="BG158" s="40" t="s">
        <v>688</v>
      </c>
      <c r="BH158" s="40" t="str">
        <f t="shared" ca="1" si="18"/>
        <v>,{"type":"marker","latLng":{"lat":35.439365,"lng":133.337143},"color":"DarkRed"}</v>
      </c>
      <c r="BI158" s="40" t="s">
        <v>693</v>
      </c>
      <c r="BJ158" s="40" t="s">
        <v>694</v>
      </c>
      <c r="BK158" s="267" t="str">
        <f t="shared" ca="1" si="19"/>
        <v>,{"type":"polyline","latLngs":[{"lat":35.439365,"lng":133.337143},{"lat":35.43696,"lng":133.337768}],"color":"DarkRed"}</v>
      </c>
      <c r="BL158" s="40"/>
      <c r="BM158" s="40"/>
      <c r="BN158" s="40"/>
      <c r="BO158" s="40"/>
      <c r="BP158" s="40"/>
      <c r="BQ158" s="40"/>
      <c r="BR158" s="40"/>
      <c r="BS158" s="40"/>
      <c r="BT158" s="40"/>
      <c r="BU158" s="40"/>
      <c r="BV158" s="40"/>
      <c r="BW158" s="40"/>
      <c r="BX158" s="40"/>
      <c r="BY158" s="40"/>
      <c r="BZ158" s="40"/>
      <c r="CA158" s="40"/>
      <c r="CB158" s="40"/>
      <c r="CC158" s="40"/>
      <c r="CD158" s="40"/>
      <c r="CE158" s="40"/>
      <c r="CF158" s="40"/>
      <c r="CG158" s="40"/>
      <c r="CH158" s="40"/>
    </row>
    <row r="159" spans="1:86" ht="17.5">
      <c r="A159" s="40"/>
      <c r="B159" s="260"/>
      <c r="C159" s="273"/>
      <c r="D159" s="273"/>
      <c r="E159" s="273"/>
      <c r="F159" s="40"/>
      <c r="G159" s="261"/>
      <c r="H159" s="262" t="s">
        <v>672</v>
      </c>
      <c r="I159" s="271" t="str">
        <f ca="1">IFERROR(__xludf.DUMMYFUNCTION("""COMPUTED_VALUE"""),"Agent06")</f>
        <v>Agent06</v>
      </c>
      <c r="J159" s="271" t="str">
        <f ca="1">IFERROR(__xludf.DUMMYFUNCTION("""COMPUTED_VALUE"""),"P79")</f>
        <v>P79</v>
      </c>
      <c r="K159" s="271" t="str">
        <f ca="1">IFERROR(__xludf.DUMMYFUNCTION("""COMPUTED_VALUE"""),"P75")</f>
        <v>P75</v>
      </c>
      <c r="L159" s="242" t="s">
        <v>681</v>
      </c>
      <c r="M159" s="263" t="str">
        <f t="shared" ca="1" si="0"/>
        <v>DarkRed</v>
      </c>
      <c r="N159" s="264" t="str">
        <f ca="1">IFERROR(__xludf.DUMMYFUNCTION("FILTER(C:E,B:B=J159)"),"住居表示街区案内図 西福原1丁目")</f>
        <v>住居表示街区案内図 西福原1丁目</v>
      </c>
      <c r="O159" s="265">
        <f ca="1">IFERROR(__xludf.DUMMYFUNCTION("""COMPUTED_VALUE"""),35.439365)</f>
        <v>35.439365000000002</v>
      </c>
      <c r="P159" s="265">
        <f ca="1">IFERROR(__xludf.DUMMYFUNCTION("""COMPUTED_VALUE"""),133.337143)</f>
        <v>133.337143</v>
      </c>
      <c r="Q159" s="264" t="str">
        <f ca="1">IFERROR(__xludf.DUMMYFUNCTION("FILTER(C:E,B:B=K159)"),"西部建設会館")</f>
        <v>西部建設会館</v>
      </c>
      <c r="R159" s="265">
        <f ca="1">IFERROR(__xludf.DUMMYFUNCTION("""COMPUTED_VALUE"""),35.438469)</f>
        <v>35.438468999999998</v>
      </c>
      <c r="S159" s="265">
        <f ca="1">IFERROR(__xludf.DUMMYFUNCTION("""COMPUTED_VALUE"""),133.338621)</f>
        <v>133.33862099999999</v>
      </c>
      <c r="T159" s="264" t="str">
        <f ca="1">IFERROR(__xludf.DUMMYFUNCTION("FILTER(C:E,B:B=L159)")," ")</f>
        <v xml:space="preserve"> </v>
      </c>
      <c r="U159" s="40" t="str">
        <f ca="1">IFERROR(__xludf.DUMMYFUNCTION("""COMPUTED_VALUE""")," ")</f>
        <v xml:space="preserve"> </v>
      </c>
      <c r="V159" s="40" t="str">
        <f ca="1">IFERROR(__xludf.DUMMYFUNCTION("""COMPUTED_VALUE""")," ")</f>
        <v xml:space="preserve"> </v>
      </c>
      <c r="W159" s="40" t="str">
        <f t="shared" ca="1" si="21"/>
        <v>,</v>
      </c>
      <c r="X159" s="40" t="s">
        <v>682</v>
      </c>
      <c r="Y159" s="40" t="s">
        <v>683</v>
      </c>
      <c r="Z159" s="264">
        <f t="shared" ca="1" si="1"/>
        <v>35.439365000000002</v>
      </c>
      <c r="AA159" s="40" t="s">
        <v>684</v>
      </c>
      <c r="AB159" s="264">
        <f t="shared" ca="1" si="2"/>
        <v>133.337143</v>
      </c>
      <c r="AC159" s="40" t="s">
        <v>685</v>
      </c>
      <c r="AD159" s="264">
        <f t="shared" ca="1" si="3"/>
        <v>35.438468999999998</v>
      </c>
      <c r="AE159" s="40" t="s">
        <v>684</v>
      </c>
      <c r="AF159" s="264">
        <f t="shared" ca="1" si="4"/>
        <v>133.33862099999999</v>
      </c>
      <c r="AG159" s="40" t="s">
        <v>686</v>
      </c>
      <c r="AH159" s="264" t="str">
        <f t="shared" ca="1" si="5"/>
        <v xml:space="preserve"> </v>
      </c>
      <c r="AI159" s="40" t="s">
        <v>684</v>
      </c>
      <c r="AJ159" s="264" t="str">
        <f t="shared" ca="1" si="6"/>
        <v xml:space="preserve"> </v>
      </c>
      <c r="AK159" s="40" t="s">
        <v>687</v>
      </c>
      <c r="AL159" s="264" t="str">
        <f t="shared" ca="1" si="7"/>
        <v>DarkRed</v>
      </c>
      <c r="AM159" s="40" t="s">
        <v>688</v>
      </c>
      <c r="AN159" s="40" t="str">
        <f t="shared" ca="1" si="8"/>
        <v>,{"type":"polygon","latLngs":[ {"lat":35.439365,"lng":133.337143}, {"lat":35.438469,"lng":133.338621},{"lat": ,"lng": }], "color":"DarkRed"}</v>
      </c>
      <c r="AO159" s="266" t="s">
        <v>689</v>
      </c>
      <c r="AP159" s="56">
        <f t="shared" ca="1" si="9"/>
        <v>35.439365000000002</v>
      </c>
      <c r="AQ159" s="40" t="s">
        <v>684</v>
      </c>
      <c r="AR159" s="56">
        <f t="shared" ca="1" si="10"/>
        <v>133.337143</v>
      </c>
      <c r="AS159" s="40" t="s">
        <v>686</v>
      </c>
      <c r="AT159" s="56">
        <f t="shared" ca="1" si="11"/>
        <v>35.438468999999998</v>
      </c>
      <c r="AU159" s="40" t="s">
        <v>684</v>
      </c>
      <c r="AV159" s="56">
        <f t="shared" ca="1" si="12"/>
        <v>133.33862099999999</v>
      </c>
      <c r="AW159" s="40" t="s">
        <v>690</v>
      </c>
      <c r="AX159" s="40" t="str">
        <f t="shared" ca="1" si="13"/>
        <v>DarkRed</v>
      </c>
      <c r="AY159" s="40" t="s">
        <v>688</v>
      </c>
      <c r="AZ159" s="40" t="str">
        <f t="shared" ca="1" si="14"/>
        <v>,{"type":"polyline","latLngs":[{"lat":35.439365,"lng":133.337143},{"lat":35.438469,"lng":133.338621}],"color":"DarkRed"}</v>
      </c>
      <c r="BA159" s="40" t="s">
        <v>691</v>
      </c>
      <c r="BB159" s="56">
        <f t="shared" ca="1" si="15"/>
        <v>35.439365000000002</v>
      </c>
      <c r="BC159" s="40" t="s">
        <v>684</v>
      </c>
      <c r="BD159" s="56">
        <f t="shared" ca="1" si="16"/>
        <v>133.337143</v>
      </c>
      <c r="BE159" s="40" t="s">
        <v>692</v>
      </c>
      <c r="BF159" s="40" t="str">
        <f t="shared" ca="1" si="17"/>
        <v>DarkRed</v>
      </c>
      <c r="BG159" s="40" t="s">
        <v>688</v>
      </c>
      <c r="BH159" s="40" t="str">
        <f t="shared" ca="1" si="18"/>
        <v>,{"type":"marker","latLng":{"lat":35.439365,"lng":133.337143},"color":"DarkRed"}</v>
      </c>
      <c r="BI159" s="40" t="s">
        <v>693</v>
      </c>
      <c r="BJ159" s="40" t="s">
        <v>694</v>
      </c>
      <c r="BK159" s="267" t="str">
        <f t="shared" ca="1" si="19"/>
        <v>,{"type":"polyline","latLngs":[{"lat":35.439365,"lng":133.337143},{"lat":35.438469,"lng":133.338621}],"color":"DarkRed"}</v>
      </c>
      <c r="BL159" s="40"/>
      <c r="BM159" s="40"/>
      <c r="BN159" s="40"/>
      <c r="BO159" s="40"/>
      <c r="BP159" s="40"/>
      <c r="BQ159" s="40"/>
      <c r="BR159" s="40"/>
      <c r="BS159" s="40"/>
      <c r="BT159" s="40"/>
      <c r="BU159" s="40"/>
      <c r="BV159" s="40"/>
      <c r="BW159" s="40"/>
      <c r="BX159" s="40"/>
      <c r="BY159" s="40"/>
      <c r="BZ159" s="40"/>
      <c r="CA159" s="40"/>
      <c r="CB159" s="40"/>
      <c r="CC159" s="40"/>
      <c r="CD159" s="40"/>
      <c r="CE159" s="40"/>
      <c r="CF159" s="40"/>
      <c r="CG159" s="40"/>
      <c r="CH159" s="40"/>
    </row>
    <row r="160" spans="1:86" ht="17.5">
      <c r="A160" s="40"/>
      <c r="B160" s="260"/>
      <c r="C160" s="273"/>
      <c r="D160" s="273"/>
      <c r="E160" s="273"/>
      <c r="F160" s="40"/>
      <c r="G160" s="261"/>
      <c r="H160" s="262" t="s">
        <v>672</v>
      </c>
      <c r="I160" s="271" t="str">
        <f ca="1">IFERROR(__xludf.DUMMYFUNCTION("""COMPUTED_VALUE"""),"Agent06")</f>
        <v>Agent06</v>
      </c>
      <c r="J160" s="271" t="str">
        <f ca="1">IFERROR(__xludf.DUMMYFUNCTION("""COMPUTED_VALUE"""),"P79")</f>
        <v>P79</v>
      </c>
      <c r="K160" s="271" t="str">
        <f ca="1">IFERROR(__xludf.DUMMYFUNCTION("""COMPUTED_VALUE"""),"P70")</f>
        <v>P70</v>
      </c>
      <c r="L160" s="242" t="s">
        <v>681</v>
      </c>
      <c r="M160" s="263" t="str">
        <f t="shared" ca="1" si="0"/>
        <v>DarkRed</v>
      </c>
      <c r="N160" s="264" t="str">
        <f ca="1">IFERROR(__xludf.DUMMYFUNCTION("FILTER(C:E,B:B=J160)"),"住居表示街区案内図 西福原1丁目")</f>
        <v>住居表示街区案内図 西福原1丁目</v>
      </c>
      <c r="O160" s="265">
        <f ca="1">IFERROR(__xludf.DUMMYFUNCTION("""COMPUTED_VALUE"""),35.439365)</f>
        <v>35.439365000000002</v>
      </c>
      <c r="P160" s="265">
        <f ca="1">IFERROR(__xludf.DUMMYFUNCTION("""COMPUTED_VALUE"""),133.337143)</f>
        <v>133.337143</v>
      </c>
      <c r="Q160" s="264" t="str">
        <f ca="1">IFERROR(__xludf.DUMMYFUNCTION("FILTER(C:E,B:B=K160)"),"米川堤防のつつじ")</f>
        <v>米川堤防のつつじ</v>
      </c>
      <c r="R160" s="265">
        <f ca="1">IFERROR(__xludf.DUMMYFUNCTION("""COMPUTED_VALUE"""),35.437507)</f>
        <v>35.437506999999997</v>
      </c>
      <c r="S160" s="265">
        <f ca="1">IFERROR(__xludf.DUMMYFUNCTION("""COMPUTED_VALUE"""),133.340544)</f>
        <v>133.34054399999999</v>
      </c>
      <c r="T160" s="264" t="str">
        <f ca="1">IFERROR(__xludf.DUMMYFUNCTION("FILTER(C:E,B:B=L160)")," ")</f>
        <v xml:space="preserve"> </v>
      </c>
      <c r="U160" s="40" t="str">
        <f ca="1">IFERROR(__xludf.DUMMYFUNCTION("""COMPUTED_VALUE""")," ")</f>
        <v xml:space="preserve"> </v>
      </c>
      <c r="V160" s="40" t="str">
        <f ca="1">IFERROR(__xludf.DUMMYFUNCTION("""COMPUTED_VALUE""")," ")</f>
        <v xml:space="preserve"> </v>
      </c>
      <c r="W160" s="40" t="str">
        <f t="shared" ca="1" si="21"/>
        <v>,</v>
      </c>
      <c r="X160" s="40" t="s">
        <v>682</v>
      </c>
      <c r="Y160" s="40" t="s">
        <v>683</v>
      </c>
      <c r="Z160" s="264">
        <f t="shared" ca="1" si="1"/>
        <v>35.439365000000002</v>
      </c>
      <c r="AA160" s="40" t="s">
        <v>684</v>
      </c>
      <c r="AB160" s="264">
        <f t="shared" ca="1" si="2"/>
        <v>133.337143</v>
      </c>
      <c r="AC160" s="40" t="s">
        <v>685</v>
      </c>
      <c r="AD160" s="264">
        <f t="shared" ca="1" si="3"/>
        <v>35.437506999999997</v>
      </c>
      <c r="AE160" s="40" t="s">
        <v>684</v>
      </c>
      <c r="AF160" s="264">
        <f t="shared" ca="1" si="4"/>
        <v>133.34054399999999</v>
      </c>
      <c r="AG160" s="40" t="s">
        <v>686</v>
      </c>
      <c r="AH160" s="264" t="str">
        <f t="shared" ca="1" si="5"/>
        <v xml:space="preserve"> </v>
      </c>
      <c r="AI160" s="40" t="s">
        <v>684</v>
      </c>
      <c r="AJ160" s="264" t="str">
        <f t="shared" ca="1" si="6"/>
        <v xml:space="preserve"> </v>
      </c>
      <c r="AK160" s="40" t="s">
        <v>687</v>
      </c>
      <c r="AL160" s="264" t="str">
        <f t="shared" ca="1" si="7"/>
        <v>DarkRed</v>
      </c>
      <c r="AM160" s="40" t="s">
        <v>688</v>
      </c>
      <c r="AN160" s="40" t="str">
        <f t="shared" ca="1" si="8"/>
        <v>,{"type":"polygon","latLngs":[ {"lat":35.439365,"lng":133.337143}, {"lat":35.437507,"lng":133.340544},{"lat": ,"lng": }], "color":"DarkRed"}</v>
      </c>
      <c r="AO160" s="266" t="s">
        <v>689</v>
      </c>
      <c r="AP160" s="56">
        <f t="shared" ca="1" si="9"/>
        <v>35.439365000000002</v>
      </c>
      <c r="AQ160" s="40" t="s">
        <v>684</v>
      </c>
      <c r="AR160" s="56">
        <f t="shared" ca="1" si="10"/>
        <v>133.337143</v>
      </c>
      <c r="AS160" s="40" t="s">
        <v>686</v>
      </c>
      <c r="AT160" s="56">
        <f t="shared" ca="1" si="11"/>
        <v>35.437506999999997</v>
      </c>
      <c r="AU160" s="40" t="s">
        <v>684</v>
      </c>
      <c r="AV160" s="56">
        <f t="shared" ca="1" si="12"/>
        <v>133.34054399999999</v>
      </c>
      <c r="AW160" s="40" t="s">
        <v>690</v>
      </c>
      <c r="AX160" s="40" t="str">
        <f t="shared" ca="1" si="13"/>
        <v>DarkRed</v>
      </c>
      <c r="AY160" s="40" t="s">
        <v>688</v>
      </c>
      <c r="AZ160" s="40" t="str">
        <f t="shared" ca="1" si="14"/>
        <v>,{"type":"polyline","latLngs":[{"lat":35.439365,"lng":133.337143},{"lat":35.437507,"lng":133.340544}],"color":"DarkRed"}</v>
      </c>
      <c r="BA160" s="40" t="s">
        <v>691</v>
      </c>
      <c r="BB160" s="56">
        <f t="shared" ca="1" si="15"/>
        <v>35.439365000000002</v>
      </c>
      <c r="BC160" s="40" t="s">
        <v>684</v>
      </c>
      <c r="BD160" s="56">
        <f t="shared" ca="1" si="16"/>
        <v>133.337143</v>
      </c>
      <c r="BE160" s="40" t="s">
        <v>692</v>
      </c>
      <c r="BF160" s="40" t="str">
        <f t="shared" ca="1" si="17"/>
        <v>DarkRed</v>
      </c>
      <c r="BG160" s="40" t="s">
        <v>688</v>
      </c>
      <c r="BH160" s="40" t="str">
        <f t="shared" ca="1" si="18"/>
        <v>,{"type":"marker","latLng":{"lat":35.439365,"lng":133.337143},"color":"DarkRed"}</v>
      </c>
      <c r="BI160" s="40" t="s">
        <v>693</v>
      </c>
      <c r="BJ160" s="40" t="s">
        <v>694</v>
      </c>
      <c r="BK160" s="267" t="str">
        <f t="shared" ca="1" si="19"/>
        <v>,{"type":"polyline","latLngs":[{"lat":35.439365,"lng":133.337143},{"lat":35.437507,"lng":133.340544}],"color":"DarkRed"}</v>
      </c>
      <c r="BL160" s="40"/>
      <c r="BM160" s="40"/>
      <c r="BN160" s="40"/>
      <c r="BO160" s="40"/>
      <c r="BP160" s="40"/>
      <c r="BQ160" s="40"/>
      <c r="BR160" s="40"/>
      <c r="BS160" s="40"/>
      <c r="BT160" s="40"/>
      <c r="BU160" s="40"/>
      <c r="BV160" s="40"/>
      <c r="BW160" s="40"/>
      <c r="BX160" s="40"/>
      <c r="BY160" s="40"/>
      <c r="BZ160" s="40"/>
      <c r="CA160" s="40"/>
      <c r="CB160" s="40"/>
      <c r="CC160" s="40"/>
      <c r="CD160" s="40"/>
      <c r="CE160" s="40"/>
      <c r="CF160" s="40"/>
      <c r="CG160" s="40"/>
      <c r="CH160" s="40"/>
    </row>
    <row r="161" spans="1:86" ht="17.5">
      <c r="A161" s="40"/>
      <c r="B161" s="260"/>
      <c r="C161" s="273"/>
      <c r="D161" s="273"/>
      <c r="E161" s="273"/>
      <c r="F161" s="40"/>
      <c r="G161" s="261"/>
      <c r="H161" s="262" t="s">
        <v>672</v>
      </c>
      <c r="I161" s="271" t="str">
        <f ca="1">IFERROR(__xludf.DUMMYFUNCTION("""COMPUTED_VALUE"""),"Agent06")</f>
        <v>Agent06</v>
      </c>
      <c r="J161" s="271" t="str">
        <f ca="1">IFERROR(__xludf.DUMMYFUNCTION("""COMPUTED_VALUE"""),"P89")</f>
        <v>P89</v>
      </c>
      <c r="K161" s="271" t="str">
        <f ca="1">IFERROR(__xludf.DUMMYFUNCTION("""COMPUTED_VALUE"""),"P79")</f>
        <v>P79</v>
      </c>
      <c r="L161" s="242" t="s">
        <v>681</v>
      </c>
      <c r="M161" s="263" t="str">
        <f t="shared" ca="1" si="0"/>
        <v>DarkRed</v>
      </c>
      <c r="N161" s="264" t="str">
        <f ca="1">IFERROR(__xludf.DUMMYFUNCTION("FILTER(C:E,B:B=J161)"),"上場谷神社")</f>
        <v>上場谷神社</v>
      </c>
      <c r="O161" s="265">
        <f ca="1">IFERROR(__xludf.DUMMYFUNCTION("""COMPUTED_VALUE"""),35.440322)</f>
        <v>35.440322000000002</v>
      </c>
      <c r="P161" s="265">
        <f ca="1">IFERROR(__xludf.DUMMYFUNCTION("""COMPUTED_VALUE"""),133.337421)</f>
        <v>133.33742100000001</v>
      </c>
      <c r="Q161" s="264" t="str">
        <f ca="1">IFERROR(__xludf.DUMMYFUNCTION("FILTER(C:E,B:B=K161)"),"住居表示街区案内図 西福原1丁目")</f>
        <v>住居表示街区案内図 西福原1丁目</v>
      </c>
      <c r="R161" s="265">
        <f ca="1">IFERROR(__xludf.DUMMYFUNCTION("""COMPUTED_VALUE"""),35.439365)</f>
        <v>35.439365000000002</v>
      </c>
      <c r="S161" s="265">
        <f ca="1">IFERROR(__xludf.DUMMYFUNCTION("""COMPUTED_VALUE"""),133.337143)</f>
        <v>133.337143</v>
      </c>
      <c r="T161" s="264" t="str">
        <f ca="1">IFERROR(__xludf.DUMMYFUNCTION("FILTER(C:E,B:B=L161)")," ")</f>
        <v xml:space="preserve"> </v>
      </c>
      <c r="U161" s="40" t="str">
        <f ca="1">IFERROR(__xludf.DUMMYFUNCTION("""COMPUTED_VALUE""")," ")</f>
        <v xml:space="preserve"> </v>
      </c>
      <c r="V161" s="40" t="str">
        <f ca="1">IFERROR(__xludf.DUMMYFUNCTION("""COMPUTED_VALUE""")," ")</f>
        <v xml:space="preserve"> </v>
      </c>
      <c r="W161" s="40" t="str">
        <f t="shared" ca="1" si="21"/>
        <v>,</v>
      </c>
      <c r="X161" s="40" t="s">
        <v>682</v>
      </c>
      <c r="Y161" s="40" t="s">
        <v>683</v>
      </c>
      <c r="Z161" s="264">
        <f t="shared" ca="1" si="1"/>
        <v>35.440322000000002</v>
      </c>
      <c r="AA161" s="40" t="s">
        <v>684</v>
      </c>
      <c r="AB161" s="264">
        <f t="shared" ca="1" si="2"/>
        <v>133.33742100000001</v>
      </c>
      <c r="AC161" s="40" t="s">
        <v>685</v>
      </c>
      <c r="AD161" s="264">
        <f t="shared" ca="1" si="3"/>
        <v>35.439365000000002</v>
      </c>
      <c r="AE161" s="40" t="s">
        <v>684</v>
      </c>
      <c r="AF161" s="264">
        <f t="shared" ca="1" si="4"/>
        <v>133.337143</v>
      </c>
      <c r="AG161" s="40" t="s">
        <v>686</v>
      </c>
      <c r="AH161" s="264" t="str">
        <f t="shared" ca="1" si="5"/>
        <v xml:space="preserve"> </v>
      </c>
      <c r="AI161" s="40" t="s">
        <v>684</v>
      </c>
      <c r="AJ161" s="264" t="str">
        <f t="shared" ca="1" si="6"/>
        <v xml:space="preserve"> </v>
      </c>
      <c r="AK161" s="40" t="s">
        <v>687</v>
      </c>
      <c r="AL161" s="264" t="str">
        <f t="shared" ca="1" si="7"/>
        <v>DarkRed</v>
      </c>
      <c r="AM161" s="40" t="s">
        <v>688</v>
      </c>
      <c r="AN161" s="40" t="str">
        <f t="shared" ca="1" si="8"/>
        <v>,{"type":"polygon","latLngs":[ {"lat":35.440322,"lng":133.337421}, {"lat":35.439365,"lng":133.337143},{"lat": ,"lng": }], "color":"DarkRed"}</v>
      </c>
      <c r="AO161" s="266" t="s">
        <v>689</v>
      </c>
      <c r="AP161" s="56">
        <f t="shared" ca="1" si="9"/>
        <v>35.440322000000002</v>
      </c>
      <c r="AQ161" s="40" t="s">
        <v>684</v>
      </c>
      <c r="AR161" s="56">
        <f t="shared" ca="1" si="10"/>
        <v>133.33742100000001</v>
      </c>
      <c r="AS161" s="40" t="s">
        <v>686</v>
      </c>
      <c r="AT161" s="56">
        <f t="shared" ca="1" si="11"/>
        <v>35.439365000000002</v>
      </c>
      <c r="AU161" s="40" t="s">
        <v>684</v>
      </c>
      <c r="AV161" s="56">
        <f t="shared" ca="1" si="12"/>
        <v>133.337143</v>
      </c>
      <c r="AW161" s="40" t="s">
        <v>690</v>
      </c>
      <c r="AX161" s="40" t="str">
        <f t="shared" ca="1" si="13"/>
        <v>DarkRed</v>
      </c>
      <c r="AY161" s="40" t="s">
        <v>688</v>
      </c>
      <c r="AZ161" s="40" t="str">
        <f t="shared" ca="1" si="14"/>
        <v>,{"type":"polyline","latLngs":[{"lat":35.440322,"lng":133.337421},{"lat":35.439365,"lng":133.337143}],"color":"DarkRed"}</v>
      </c>
      <c r="BA161" s="40" t="s">
        <v>691</v>
      </c>
      <c r="BB161" s="56">
        <f t="shared" ca="1" si="15"/>
        <v>35.440322000000002</v>
      </c>
      <c r="BC161" s="40" t="s">
        <v>684</v>
      </c>
      <c r="BD161" s="56">
        <f t="shared" ca="1" si="16"/>
        <v>133.33742100000001</v>
      </c>
      <c r="BE161" s="40" t="s">
        <v>692</v>
      </c>
      <c r="BF161" s="40" t="str">
        <f t="shared" ca="1" si="17"/>
        <v>DarkRed</v>
      </c>
      <c r="BG161" s="40" t="s">
        <v>688</v>
      </c>
      <c r="BH161" s="40" t="str">
        <f t="shared" ca="1" si="18"/>
        <v>,{"type":"marker","latLng":{"lat":35.440322,"lng":133.337421},"color":"DarkRed"}</v>
      </c>
      <c r="BI161" s="40" t="s">
        <v>693</v>
      </c>
      <c r="BJ161" s="40" t="s">
        <v>694</v>
      </c>
      <c r="BK161" s="267" t="str">
        <f t="shared" ca="1" si="19"/>
        <v>,{"type":"polyline","latLngs":[{"lat":35.440322,"lng":133.337421},{"lat":35.439365,"lng":133.337143}],"color":"DarkRed"}</v>
      </c>
      <c r="BL161" s="40"/>
      <c r="BM161" s="40"/>
      <c r="BN161" s="40"/>
      <c r="BO161" s="40"/>
      <c r="BP161" s="40"/>
      <c r="BQ161" s="40"/>
      <c r="BR161" s="40"/>
      <c r="BS161" s="40"/>
      <c r="BT161" s="40"/>
      <c r="BU161" s="40"/>
      <c r="BV161" s="40"/>
      <c r="BW161" s="40"/>
      <c r="BX161" s="40"/>
      <c r="BY161" s="40"/>
      <c r="BZ161" s="40"/>
      <c r="CA161" s="40"/>
      <c r="CB161" s="40"/>
      <c r="CC161" s="40"/>
      <c r="CD161" s="40"/>
      <c r="CE161" s="40"/>
      <c r="CF161" s="40"/>
      <c r="CG161" s="40"/>
      <c r="CH161" s="40"/>
    </row>
    <row r="162" spans="1:86" ht="17.5">
      <c r="A162" s="40"/>
      <c r="B162" s="260"/>
      <c r="C162" s="273"/>
      <c r="D162" s="273"/>
      <c r="E162" s="273"/>
      <c r="F162" s="40"/>
      <c r="G162" s="261"/>
      <c r="H162" s="262" t="s">
        <v>672</v>
      </c>
      <c r="I162" s="93" t="str">
        <f ca="1">IFERROR(__xludf.DUMMYFUNCTION("""COMPUTED_VALUE"""),"Agent06")</f>
        <v>Agent06</v>
      </c>
      <c r="J162" s="93" t="str">
        <f ca="1">IFERROR(__xludf.DUMMYFUNCTION("""COMPUTED_VALUE"""),"P89")</f>
        <v>P89</v>
      </c>
      <c r="K162" s="93" t="str">
        <f ca="1">IFERROR(__xludf.DUMMYFUNCTION("""COMPUTED_VALUE"""),"P97")</f>
        <v>P97</v>
      </c>
      <c r="L162" s="242" t="s">
        <v>681</v>
      </c>
      <c r="M162" s="263" t="str">
        <f t="shared" ca="1" si="0"/>
        <v>DarkRed</v>
      </c>
      <c r="N162" s="264" t="str">
        <f ca="1">IFERROR(__xludf.DUMMYFUNCTION("FILTER(C:E,B:B=J162)"),"上場谷神社")</f>
        <v>上場谷神社</v>
      </c>
      <c r="O162" s="265">
        <f ca="1">IFERROR(__xludf.DUMMYFUNCTION("""COMPUTED_VALUE"""),35.440322)</f>
        <v>35.440322000000002</v>
      </c>
      <c r="P162" s="265">
        <f ca="1">IFERROR(__xludf.DUMMYFUNCTION("""COMPUTED_VALUE"""),133.337421)</f>
        <v>133.33742100000001</v>
      </c>
      <c r="Q162" s="264" t="str">
        <f ca="1">IFERROR(__xludf.DUMMYFUNCTION("FILTER(C:E,B:B=K162)"),"世界真光文明教団 米子センター")</f>
        <v>世界真光文明教団 米子センター</v>
      </c>
      <c r="R162" s="265">
        <f ca="1">IFERROR(__xludf.DUMMYFUNCTION("""COMPUTED_VALUE"""),35.441888)</f>
        <v>35.441887999999999</v>
      </c>
      <c r="S162" s="265">
        <f ca="1">IFERROR(__xludf.DUMMYFUNCTION("""COMPUTED_VALUE"""),133.335563)</f>
        <v>133.33556300000001</v>
      </c>
      <c r="T162" s="264" t="str">
        <f ca="1">IFERROR(__xludf.DUMMYFUNCTION("FILTER(C:E,B:B=L162)")," ")</f>
        <v xml:space="preserve"> </v>
      </c>
      <c r="U162" s="40" t="str">
        <f ca="1">IFERROR(__xludf.DUMMYFUNCTION("""COMPUTED_VALUE""")," ")</f>
        <v xml:space="preserve"> </v>
      </c>
      <c r="V162" s="40" t="str">
        <f ca="1">IFERROR(__xludf.DUMMYFUNCTION("""COMPUTED_VALUE""")," ")</f>
        <v xml:space="preserve"> </v>
      </c>
      <c r="W162" s="40" t="str">
        <f t="shared" ca="1" si="21"/>
        <v>,</v>
      </c>
      <c r="X162" s="40" t="s">
        <v>682</v>
      </c>
      <c r="Y162" s="40" t="s">
        <v>683</v>
      </c>
      <c r="Z162" s="264">
        <f t="shared" ca="1" si="1"/>
        <v>35.440322000000002</v>
      </c>
      <c r="AA162" s="40" t="s">
        <v>684</v>
      </c>
      <c r="AB162" s="264">
        <f t="shared" ca="1" si="2"/>
        <v>133.33742100000001</v>
      </c>
      <c r="AC162" s="40" t="s">
        <v>685</v>
      </c>
      <c r="AD162" s="264">
        <f t="shared" ca="1" si="3"/>
        <v>35.441887999999999</v>
      </c>
      <c r="AE162" s="40" t="s">
        <v>684</v>
      </c>
      <c r="AF162" s="264">
        <f t="shared" ca="1" si="4"/>
        <v>133.33556300000001</v>
      </c>
      <c r="AG162" s="40" t="s">
        <v>686</v>
      </c>
      <c r="AH162" s="264" t="str">
        <f t="shared" ca="1" si="5"/>
        <v xml:space="preserve"> </v>
      </c>
      <c r="AI162" s="40" t="s">
        <v>684</v>
      </c>
      <c r="AJ162" s="264" t="str">
        <f t="shared" ca="1" si="6"/>
        <v xml:space="preserve"> </v>
      </c>
      <c r="AK162" s="40" t="s">
        <v>687</v>
      </c>
      <c r="AL162" s="264" t="str">
        <f t="shared" ca="1" si="7"/>
        <v>DarkRed</v>
      </c>
      <c r="AM162" s="40" t="s">
        <v>688</v>
      </c>
      <c r="AN162" s="40" t="str">
        <f t="shared" ca="1" si="8"/>
        <v>,{"type":"polygon","latLngs":[ {"lat":35.440322,"lng":133.337421}, {"lat":35.441888,"lng":133.335563},{"lat": ,"lng": }], "color":"DarkRed"}</v>
      </c>
      <c r="AO162" s="266" t="s">
        <v>689</v>
      </c>
      <c r="AP162" s="56">
        <f t="shared" ca="1" si="9"/>
        <v>35.440322000000002</v>
      </c>
      <c r="AQ162" s="40" t="s">
        <v>684</v>
      </c>
      <c r="AR162" s="56">
        <f t="shared" ca="1" si="10"/>
        <v>133.33742100000001</v>
      </c>
      <c r="AS162" s="40" t="s">
        <v>686</v>
      </c>
      <c r="AT162" s="56">
        <f t="shared" ca="1" si="11"/>
        <v>35.441887999999999</v>
      </c>
      <c r="AU162" s="40" t="s">
        <v>684</v>
      </c>
      <c r="AV162" s="56">
        <f t="shared" ca="1" si="12"/>
        <v>133.33556300000001</v>
      </c>
      <c r="AW162" s="40" t="s">
        <v>690</v>
      </c>
      <c r="AX162" s="40" t="str">
        <f t="shared" ca="1" si="13"/>
        <v>DarkRed</v>
      </c>
      <c r="AY162" s="40" t="s">
        <v>688</v>
      </c>
      <c r="AZ162" s="40" t="str">
        <f t="shared" ca="1" si="14"/>
        <v>,{"type":"polyline","latLngs":[{"lat":35.440322,"lng":133.337421},{"lat":35.441888,"lng":133.335563}],"color":"DarkRed"}</v>
      </c>
      <c r="BA162" s="40" t="s">
        <v>691</v>
      </c>
      <c r="BB162" s="56">
        <f t="shared" ca="1" si="15"/>
        <v>35.440322000000002</v>
      </c>
      <c r="BC162" s="40" t="s">
        <v>684</v>
      </c>
      <c r="BD162" s="56">
        <f t="shared" ca="1" si="16"/>
        <v>133.33742100000001</v>
      </c>
      <c r="BE162" s="40" t="s">
        <v>692</v>
      </c>
      <c r="BF162" s="40" t="str">
        <f t="shared" ca="1" si="17"/>
        <v>DarkRed</v>
      </c>
      <c r="BG162" s="40" t="s">
        <v>688</v>
      </c>
      <c r="BH162" s="40" t="str">
        <f t="shared" ca="1" si="18"/>
        <v>,{"type":"marker","latLng":{"lat":35.440322,"lng":133.337421},"color":"DarkRed"}</v>
      </c>
      <c r="BI162" s="40" t="s">
        <v>693</v>
      </c>
      <c r="BJ162" s="40" t="s">
        <v>694</v>
      </c>
      <c r="BK162" s="267" t="str">
        <f t="shared" ca="1" si="19"/>
        <v>,{"type":"polyline","latLngs":[{"lat":35.440322,"lng":133.337421},{"lat":35.441888,"lng":133.335563}],"color":"DarkRed"}</v>
      </c>
      <c r="BL162" s="40"/>
      <c r="BM162" s="40"/>
      <c r="BN162" s="40"/>
      <c r="BO162" s="40"/>
      <c r="BP162" s="40"/>
      <c r="BQ162" s="40"/>
      <c r="BR162" s="40"/>
      <c r="BS162" s="40"/>
      <c r="BT162" s="40"/>
      <c r="BU162" s="40"/>
      <c r="BV162" s="40"/>
      <c r="BW162" s="40"/>
      <c r="BX162" s="40"/>
      <c r="BY162" s="40"/>
      <c r="BZ162" s="40"/>
      <c r="CA162" s="40"/>
      <c r="CB162" s="40"/>
      <c r="CC162" s="40"/>
      <c r="CD162" s="40"/>
      <c r="CE162" s="40"/>
      <c r="CF162" s="40"/>
      <c r="CG162" s="40"/>
      <c r="CH162" s="40"/>
    </row>
    <row r="163" spans="1:86" ht="17.5">
      <c r="A163" s="40"/>
      <c r="B163" s="260"/>
      <c r="C163" s="273"/>
      <c r="D163" s="273"/>
      <c r="E163" s="273"/>
      <c r="F163" s="40"/>
      <c r="G163" s="261"/>
      <c r="H163" s="262" t="s">
        <v>672</v>
      </c>
      <c r="I163" s="93" t="str">
        <f ca="1">IFERROR(__xludf.DUMMYFUNCTION("""COMPUTED_VALUE"""),"Agent06")</f>
        <v>Agent06</v>
      </c>
      <c r="J163" s="93" t="str">
        <f ca="1">IFERROR(__xludf.DUMMYFUNCTION("""COMPUTED_VALUE"""),"P93")</f>
        <v>P93</v>
      </c>
      <c r="K163" s="93" t="str">
        <f ca="1">IFERROR(__xludf.DUMMYFUNCTION("""COMPUTED_VALUE"""),"P79")</f>
        <v>P79</v>
      </c>
      <c r="L163" s="242" t="s">
        <v>681</v>
      </c>
      <c r="M163" s="263" t="str">
        <f t="shared" ca="1" si="0"/>
        <v>DarkRed</v>
      </c>
      <c r="N163" s="264" t="str">
        <f ca="1">IFERROR(__xludf.DUMMYFUNCTION("FILTER(C:E,B:B=J163)"),"少林寺拳法 米子東道院")</f>
        <v>少林寺拳法 米子東道院</v>
      </c>
      <c r="O163" s="265">
        <f ca="1">IFERROR(__xludf.DUMMYFUNCTION("""COMPUTED_VALUE"""),35.44059)</f>
        <v>35.44059</v>
      </c>
      <c r="P163" s="265">
        <f ca="1">IFERROR(__xludf.DUMMYFUNCTION("""COMPUTED_VALUE"""),133.337873)</f>
        <v>133.337873</v>
      </c>
      <c r="Q163" s="264" t="str">
        <f ca="1">IFERROR(__xludf.DUMMYFUNCTION("FILTER(C:E,B:B=K163)"),"住居表示街区案内図 西福原1丁目")</f>
        <v>住居表示街区案内図 西福原1丁目</v>
      </c>
      <c r="R163" s="265">
        <f ca="1">IFERROR(__xludf.DUMMYFUNCTION("""COMPUTED_VALUE"""),35.439365)</f>
        <v>35.439365000000002</v>
      </c>
      <c r="S163" s="265">
        <f ca="1">IFERROR(__xludf.DUMMYFUNCTION("""COMPUTED_VALUE"""),133.337143)</f>
        <v>133.337143</v>
      </c>
      <c r="T163" s="264" t="str">
        <f ca="1">IFERROR(__xludf.DUMMYFUNCTION("FILTER(C:E,B:B=L163)")," ")</f>
        <v xml:space="preserve"> </v>
      </c>
      <c r="U163" s="40" t="str">
        <f ca="1">IFERROR(__xludf.DUMMYFUNCTION("""COMPUTED_VALUE""")," ")</f>
        <v xml:space="preserve"> </v>
      </c>
      <c r="V163" s="40" t="str">
        <f ca="1">IFERROR(__xludf.DUMMYFUNCTION("""COMPUTED_VALUE""")," ")</f>
        <v xml:space="preserve"> </v>
      </c>
      <c r="W163" s="40" t="str">
        <f t="shared" ca="1" si="21"/>
        <v>,</v>
      </c>
      <c r="X163" s="40" t="s">
        <v>682</v>
      </c>
      <c r="Y163" s="40" t="s">
        <v>683</v>
      </c>
      <c r="Z163" s="264">
        <f t="shared" ca="1" si="1"/>
        <v>35.44059</v>
      </c>
      <c r="AA163" s="40" t="s">
        <v>684</v>
      </c>
      <c r="AB163" s="264">
        <f t="shared" ca="1" si="2"/>
        <v>133.337873</v>
      </c>
      <c r="AC163" s="40" t="s">
        <v>685</v>
      </c>
      <c r="AD163" s="264">
        <f t="shared" ca="1" si="3"/>
        <v>35.439365000000002</v>
      </c>
      <c r="AE163" s="40" t="s">
        <v>684</v>
      </c>
      <c r="AF163" s="264">
        <f t="shared" ca="1" si="4"/>
        <v>133.337143</v>
      </c>
      <c r="AG163" s="40" t="s">
        <v>686</v>
      </c>
      <c r="AH163" s="264" t="str">
        <f t="shared" ca="1" si="5"/>
        <v xml:space="preserve"> </v>
      </c>
      <c r="AI163" s="40" t="s">
        <v>684</v>
      </c>
      <c r="AJ163" s="264" t="str">
        <f t="shared" ca="1" si="6"/>
        <v xml:space="preserve"> </v>
      </c>
      <c r="AK163" s="40" t="s">
        <v>687</v>
      </c>
      <c r="AL163" s="264" t="str">
        <f t="shared" ca="1" si="7"/>
        <v>DarkRed</v>
      </c>
      <c r="AM163" s="40" t="s">
        <v>688</v>
      </c>
      <c r="AN163" s="40" t="str">
        <f t="shared" ca="1" si="8"/>
        <v>,{"type":"polygon","latLngs":[ {"lat":35.44059,"lng":133.337873}, {"lat":35.439365,"lng":133.337143},{"lat": ,"lng": }], "color":"DarkRed"}</v>
      </c>
      <c r="AO163" s="266" t="s">
        <v>689</v>
      </c>
      <c r="AP163" s="56">
        <f t="shared" ca="1" si="9"/>
        <v>35.44059</v>
      </c>
      <c r="AQ163" s="40" t="s">
        <v>684</v>
      </c>
      <c r="AR163" s="56">
        <f t="shared" ca="1" si="10"/>
        <v>133.337873</v>
      </c>
      <c r="AS163" s="40" t="s">
        <v>686</v>
      </c>
      <c r="AT163" s="56">
        <f t="shared" ca="1" si="11"/>
        <v>35.439365000000002</v>
      </c>
      <c r="AU163" s="40" t="s">
        <v>684</v>
      </c>
      <c r="AV163" s="56">
        <f t="shared" ca="1" si="12"/>
        <v>133.337143</v>
      </c>
      <c r="AW163" s="40" t="s">
        <v>690</v>
      </c>
      <c r="AX163" s="40" t="str">
        <f t="shared" ca="1" si="13"/>
        <v>DarkRed</v>
      </c>
      <c r="AY163" s="40" t="s">
        <v>688</v>
      </c>
      <c r="AZ163" s="40" t="str">
        <f t="shared" ca="1" si="14"/>
        <v>,{"type":"polyline","latLngs":[{"lat":35.44059,"lng":133.337873},{"lat":35.439365,"lng":133.337143}],"color":"DarkRed"}</v>
      </c>
      <c r="BA163" s="40" t="s">
        <v>691</v>
      </c>
      <c r="BB163" s="56">
        <f t="shared" ca="1" si="15"/>
        <v>35.44059</v>
      </c>
      <c r="BC163" s="40" t="s">
        <v>684</v>
      </c>
      <c r="BD163" s="56">
        <f t="shared" ca="1" si="16"/>
        <v>133.337873</v>
      </c>
      <c r="BE163" s="40" t="s">
        <v>692</v>
      </c>
      <c r="BF163" s="40" t="str">
        <f t="shared" ca="1" si="17"/>
        <v>DarkRed</v>
      </c>
      <c r="BG163" s="40" t="s">
        <v>688</v>
      </c>
      <c r="BH163" s="40" t="str">
        <f t="shared" ca="1" si="18"/>
        <v>,{"type":"marker","latLng":{"lat":35.44059,"lng":133.337873},"color":"DarkRed"}</v>
      </c>
      <c r="BI163" s="40" t="s">
        <v>693</v>
      </c>
      <c r="BJ163" s="40" t="s">
        <v>694</v>
      </c>
      <c r="BK163" s="267" t="str">
        <f t="shared" ca="1" si="19"/>
        <v>,{"type":"polyline","latLngs":[{"lat":35.44059,"lng":133.337873},{"lat":35.439365,"lng":133.337143}],"color":"DarkRed"}</v>
      </c>
      <c r="BL163" s="40"/>
      <c r="BM163" s="40"/>
      <c r="BN163" s="40"/>
      <c r="BO163" s="40"/>
      <c r="BP163" s="40"/>
      <c r="BQ163" s="40"/>
      <c r="BR163" s="40"/>
      <c r="BS163" s="40"/>
      <c r="BT163" s="40"/>
      <c r="BU163" s="40"/>
      <c r="BV163" s="40"/>
      <c r="BW163" s="40"/>
      <c r="BX163" s="40"/>
      <c r="BY163" s="40"/>
      <c r="BZ163" s="40"/>
      <c r="CA163" s="40"/>
      <c r="CB163" s="40"/>
      <c r="CC163" s="40"/>
      <c r="CD163" s="40"/>
      <c r="CE163" s="40"/>
      <c r="CF163" s="40"/>
      <c r="CG163" s="40"/>
      <c r="CH163" s="40"/>
    </row>
    <row r="164" spans="1:86" ht="17.5">
      <c r="A164" s="40"/>
      <c r="B164" s="260"/>
      <c r="C164" s="273"/>
      <c r="D164" s="273"/>
      <c r="E164" s="273"/>
      <c r="F164" s="40"/>
      <c r="G164" s="261"/>
      <c r="H164" s="262" t="s">
        <v>672</v>
      </c>
      <c r="I164" s="93" t="str">
        <f ca="1">IFERROR(__xludf.DUMMYFUNCTION("""COMPUTED_VALUE"""),"Agent06")</f>
        <v>Agent06</v>
      </c>
      <c r="J164" s="93" t="str">
        <f ca="1">IFERROR(__xludf.DUMMYFUNCTION("""COMPUTED_VALUE"""),"P93")</f>
        <v>P93</v>
      </c>
      <c r="K164" s="93" t="str">
        <f ca="1">IFERROR(__xludf.DUMMYFUNCTION("""COMPUTED_VALUE"""),"P97")</f>
        <v>P97</v>
      </c>
      <c r="L164" s="242" t="s">
        <v>681</v>
      </c>
      <c r="M164" s="263" t="str">
        <f t="shared" ca="1" si="0"/>
        <v>DarkRed</v>
      </c>
      <c r="N164" s="264" t="str">
        <f ca="1">IFERROR(__xludf.DUMMYFUNCTION("FILTER(C:E,B:B=J164)"),"少林寺拳法 米子東道院")</f>
        <v>少林寺拳法 米子東道院</v>
      </c>
      <c r="O164" s="265">
        <f ca="1">IFERROR(__xludf.DUMMYFUNCTION("""COMPUTED_VALUE"""),35.44059)</f>
        <v>35.44059</v>
      </c>
      <c r="P164" s="265">
        <f ca="1">IFERROR(__xludf.DUMMYFUNCTION("""COMPUTED_VALUE"""),133.337873)</f>
        <v>133.337873</v>
      </c>
      <c r="Q164" s="264" t="str">
        <f ca="1">IFERROR(__xludf.DUMMYFUNCTION("FILTER(C:E,B:B=K164)"),"世界真光文明教団 米子センター")</f>
        <v>世界真光文明教団 米子センター</v>
      </c>
      <c r="R164" s="265">
        <f ca="1">IFERROR(__xludf.DUMMYFUNCTION("""COMPUTED_VALUE"""),35.441888)</f>
        <v>35.441887999999999</v>
      </c>
      <c r="S164" s="265">
        <f ca="1">IFERROR(__xludf.DUMMYFUNCTION("""COMPUTED_VALUE"""),133.335563)</f>
        <v>133.33556300000001</v>
      </c>
      <c r="T164" s="264" t="str">
        <f ca="1">IFERROR(__xludf.DUMMYFUNCTION("FILTER(C:E,B:B=L164)")," ")</f>
        <v xml:space="preserve"> </v>
      </c>
      <c r="U164" s="40" t="str">
        <f ca="1">IFERROR(__xludf.DUMMYFUNCTION("""COMPUTED_VALUE""")," ")</f>
        <v xml:space="preserve"> </v>
      </c>
      <c r="V164" s="40" t="str">
        <f ca="1">IFERROR(__xludf.DUMMYFUNCTION("""COMPUTED_VALUE""")," ")</f>
        <v xml:space="preserve"> </v>
      </c>
      <c r="W164" s="40" t="str">
        <f t="shared" ca="1" si="21"/>
        <v>,</v>
      </c>
      <c r="X164" s="40" t="s">
        <v>682</v>
      </c>
      <c r="Y164" s="40" t="s">
        <v>683</v>
      </c>
      <c r="Z164" s="264">
        <f t="shared" ca="1" si="1"/>
        <v>35.44059</v>
      </c>
      <c r="AA164" s="40" t="s">
        <v>684</v>
      </c>
      <c r="AB164" s="264">
        <f t="shared" ca="1" si="2"/>
        <v>133.337873</v>
      </c>
      <c r="AC164" s="40" t="s">
        <v>685</v>
      </c>
      <c r="AD164" s="264">
        <f t="shared" ca="1" si="3"/>
        <v>35.441887999999999</v>
      </c>
      <c r="AE164" s="40" t="s">
        <v>684</v>
      </c>
      <c r="AF164" s="264">
        <f t="shared" ca="1" si="4"/>
        <v>133.33556300000001</v>
      </c>
      <c r="AG164" s="40" t="s">
        <v>686</v>
      </c>
      <c r="AH164" s="264" t="str">
        <f t="shared" ca="1" si="5"/>
        <v xml:space="preserve"> </v>
      </c>
      <c r="AI164" s="40" t="s">
        <v>684</v>
      </c>
      <c r="AJ164" s="264" t="str">
        <f t="shared" ca="1" si="6"/>
        <v xml:space="preserve"> </v>
      </c>
      <c r="AK164" s="40" t="s">
        <v>687</v>
      </c>
      <c r="AL164" s="264" t="str">
        <f t="shared" ca="1" si="7"/>
        <v>DarkRed</v>
      </c>
      <c r="AM164" s="40" t="s">
        <v>688</v>
      </c>
      <c r="AN164" s="40" t="str">
        <f t="shared" ca="1" si="8"/>
        <v>,{"type":"polygon","latLngs":[ {"lat":35.44059,"lng":133.337873}, {"lat":35.441888,"lng":133.335563},{"lat": ,"lng": }], "color":"DarkRed"}</v>
      </c>
      <c r="AO164" s="266" t="s">
        <v>689</v>
      </c>
      <c r="AP164" s="56">
        <f t="shared" ca="1" si="9"/>
        <v>35.44059</v>
      </c>
      <c r="AQ164" s="40" t="s">
        <v>684</v>
      </c>
      <c r="AR164" s="56">
        <f t="shared" ca="1" si="10"/>
        <v>133.337873</v>
      </c>
      <c r="AS164" s="40" t="s">
        <v>686</v>
      </c>
      <c r="AT164" s="56">
        <f t="shared" ca="1" si="11"/>
        <v>35.441887999999999</v>
      </c>
      <c r="AU164" s="40" t="s">
        <v>684</v>
      </c>
      <c r="AV164" s="56">
        <f t="shared" ca="1" si="12"/>
        <v>133.33556300000001</v>
      </c>
      <c r="AW164" s="40" t="s">
        <v>690</v>
      </c>
      <c r="AX164" s="40" t="str">
        <f t="shared" ca="1" si="13"/>
        <v>DarkRed</v>
      </c>
      <c r="AY164" s="40" t="s">
        <v>688</v>
      </c>
      <c r="AZ164" s="40" t="str">
        <f t="shared" ca="1" si="14"/>
        <v>,{"type":"polyline","latLngs":[{"lat":35.44059,"lng":133.337873},{"lat":35.441888,"lng":133.335563}],"color":"DarkRed"}</v>
      </c>
      <c r="BA164" s="40" t="s">
        <v>691</v>
      </c>
      <c r="BB164" s="56">
        <f t="shared" ca="1" si="15"/>
        <v>35.44059</v>
      </c>
      <c r="BC164" s="40" t="s">
        <v>684</v>
      </c>
      <c r="BD164" s="56">
        <f t="shared" ca="1" si="16"/>
        <v>133.337873</v>
      </c>
      <c r="BE164" s="40" t="s">
        <v>692</v>
      </c>
      <c r="BF164" s="40" t="str">
        <f t="shared" ca="1" si="17"/>
        <v>DarkRed</v>
      </c>
      <c r="BG164" s="40" t="s">
        <v>688</v>
      </c>
      <c r="BH164" s="40" t="str">
        <f t="shared" ca="1" si="18"/>
        <v>,{"type":"marker","latLng":{"lat":35.44059,"lng":133.337873},"color":"DarkRed"}</v>
      </c>
      <c r="BI164" s="40" t="s">
        <v>693</v>
      </c>
      <c r="BJ164" s="40" t="s">
        <v>694</v>
      </c>
      <c r="BK164" s="267" t="str">
        <f t="shared" ca="1" si="19"/>
        <v>,{"type":"polyline","latLngs":[{"lat":35.44059,"lng":133.337873},{"lat":35.441888,"lng":133.335563}],"color":"DarkRed"}</v>
      </c>
      <c r="BL164" s="40"/>
      <c r="BM164" s="40"/>
      <c r="BN164" s="40"/>
      <c r="BO164" s="40"/>
      <c r="BP164" s="40"/>
      <c r="BQ164" s="40"/>
      <c r="BR164" s="40"/>
      <c r="BS164" s="40"/>
      <c r="BT164" s="40"/>
      <c r="BU164" s="40"/>
      <c r="BV164" s="40"/>
      <c r="BW164" s="40"/>
      <c r="BX164" s="40"/>
      <c r="BY164" s="40"/>
      <c r="BZ164" s="40"/>
      <c r="CA164" s="40"/>
      <c r="CB164" s="40"/>
      <c r="CC164" s="40"/>
      <c r="CD164" s="40"/>
      <c r="CE164" s="40"/>
      <c r="CF164" s="40"/>
      <c r="CG164" s="40"/>
      <c r="CH164" s="40"/>
    </row>
    <row r="165" spans="1:86" ht="17.5">
      <c r="A165" s="40"/>
      <c r="B165" s="260"/>
      <c r="C165" s="273"/>
      <c r="D165" s="273"/>
      <c r="E165" s="273"/>
      <c r="F165" s="40"/>
      <c r="G165" s="261"/>
      <c r="H165" s="262" t="s">
        <v>672</v>
      </c>
      <c r="I165" s="93" t="str">
        <f ca="1">IFERROR(__xludf.DUMMYFUNCTION("""COMPUTED_VALUE"""),"Agent06")</f>
        <v>Agent06</v>
      </c>
      <c r="J165" s="93" t="str">
        <f ca="1">IFERROR(__xludf.DUMMYFUNCTION("""COMPUTED_VALUE"""),"P93")</f>
        <v>P93</v>
      </c>
      <c r="K165" s="93" t="str">
        <f ca="1">IFERROR(__xludf.DUMMYFUNCTION("""COMPUTED_VALUE"""),"P89")</f>
        <v>P89</v>
      </c>
      <c r="L165" s="242" t="s">
        <v>681</v>
      </c>
      <c r="M165" s="263" t="str">
        <f t="shared" ca="1" si="0"/>
        <v>DarkRed</v>
      </c>
      <c r="N165" s="264" t="str">
        <f ca="1">IFERROR(__xludf.DUMMYFUNCTION("FILTER(C:E,B:B=J165)"),"少林寺拳法 米子東道院")</f>
        <v>少林寺拳法 米子東道院</v>
      </c>
      <c r="O165" s="265">
        <f ca="1">IFERROR(__xludf.DUMMYFUNCTION("""COMPUTED_VALUE"""),35.44059)</f>
        <v>35.44059</v>
      </c>
      <c r="P165" s="265">
        <f ca="1">IFERROR(__xludf.DUMMYFUNCTION("""COMPUTED_VALUE"""),133.337873)</f>
        <v>133.337873</v>
      </c>
      <c r="Q165" s="264" t="str">
        <f ca="1">IFERROR(__xludf.DUMMYFUNCTION("FILTER(C:E,B:B=K165)"),"上場谷神社")</f>
        <v>上場谷神社</v>
      </c>
      <c r="R165" s="265">
        <f ca="1">IFERROR(__xludf.DUMMYFUNCTION("""COMPUTED_VALUE"""),35.440322)</f>
        <v>35.440322000000002</v>
      </c>
      <c r="S165" s="265">
        <f ca="1">IFERROR(__xludf.DUMMYFUNCTION("""COMPUTED_VALUE"""),133.337421)</f>
        <v>133.33742100000001</v>
      </c>
      <c r="T165" s="264" t="str">
        <f ca="1">IFERROR(__xludf.DUMMYFUNCTION("FILTER(C:E,B:B=L165)")," ")</f>
        <v xml:space="preserve"> </v>
      </c>
      <c r="U165" s="40" t="str">
        <f ca="1">IFERROR(__xludf.DUMMYFUNCTION("""COMPUTED_VALUE""")," ")</f>
        <v xml:space="preserve"> </v>
      </c>
      <c r="V165" s="40" t="str">
        <f ca="1">IFERROR(__xludf.DUMMYFUNCTION("""COMPUTED_VALUE""")," ")</f>
        <v xml:space="preserve"> </v>
      </c>
      <c r="W165" s="40" t="str">
        <f t="shared" ca="1" si="21"/>
        <v>,</v>
      </c>
      <c r="X165" s="40" t="s">
        <v>682</v>
      </c>
      <c r="Y165" s="40" t="s">
        <v>683</v>
      </c>
      <c r="Z165" s="264">
        <f t="shared" ca="1" si="1"/>
        <v>35.44059</v>
      </c>
      <c r="AA165" s="40" t="s">
        <v>684</v>
      </c>
      <c r="AB165" s="264">
        <f t="shared" ca="1" si="2"/>
        <v>133.337873</v>
      </c>
      <c r="AC165" s="40" t="s">
        <v>685</v>
      </c>
      <c r="AD165" s="264">
        <f t="shared" ca="1" si="3"/>
        <v>35.440322000000002</v>
      </c>
      <c r="AE165" s="40" t="s">
        <v>684</v>
      </c>
      <c r="AF165" s="264">
        <f t="shared" ca="1" si="4"/>
        <v>133.33742100000001</v>
      </c>
      <c r="AG165" s="40" t="s">
        <v>686</v>
      </c>
      <c r="AH165" s="264" t="str">
        <f t="shared" ca="1" si="5"/>
        <v xml:space="preserve"> </v>
      </c>
      <c r="AI165" s="40" t="s">
        <v>684</v>
      </c>
      <c r="AJ165" s="264" t="str">
        <f t="shared" ca="1" si="6"/>
        <v xml:space="preserve"> </v>
      </c>
      <c r="AK165" s="40" t="s">
        <v>687</v>
      </c>
      <c r="AL165" s="264" t="str">
        <f t="shared" ca="1" si="7"/>
        <v>DarkRed</v>
      </c>
      <c r="AM165" s="40" t="s">
        <v>688</v>
      </c>
      <c r="AN165" s="40" t="str">
        <f t="shared" ca="1" si="8"/>
        <v>,{"type":"polygon","latLngs":[ {"lat":35.44059,"lng":133.337873}, {"lat":35.440322,"lng":133.337421},{"lat": ,"lng": }], "color":"DarkRed"}</v>
      </c>
      <c r="AO165" s="266" t="s">
        <v>689</v>
      </c>
      <c r="AP165" s="56">
        <f t="shared" ca="1" si="9"/>
        <v>35.44059</v>
      </c>
      <c r="AQ165" s="40" t="s">
        <v>684</v>
      </c>
      <c r="AR165" s="56">
        <f t="shared" ca="1" si="10"/>
        <v>133.337873</v>
      </c>
      <c r="AS165" s="40" t="s">
        <v>686</v>
      </c>
      <c r="AT165" s="56">
        <f t="shared" ca="1" si="11"/>
        <v>35.440322000000002</v>
      </c>
      <c r="AU165" s="40" t="s">
        <v>684</v>
      </c>
      <c r="AV165" s="56">
        <f t="shared" ca="1" si="12"/>
        <v>133.33742100000001</v>
      </c>
      <c r="AW165" s="40" t="s">
        <v>690</v>
      </c>
      <c r="AX165" s="40" t="str">
        <f t="shared" ca="1" si="13"/>
        <v>DarkRed</v>
      </c>
      <c r="AY165" s="40" t="s">
        <v>688</v>
      </c>
      <c r="AZ165" s="40" t="str">
        <f t="shared" ca="1" si="14"/>
        <v>,{"type":"polyline","latLngs":[{"lat":35.44059,"lng":133.337873},{"lat":35.440322,"lng":133.337421}],"color":"DarkRed"}</v>
      </c>
      <c r="BA165" s="40" t="s">
        <v>691</v>
      </c>
      <c r="BB165" s="56">
        <f t="shared" ca="1" si="15"/>
        <v>35.44059</v>
      </c>
      <c r="BC165" s="40" t="s">
        <v>684</v>
      </c>
      <c r="BD165" s="56">
        <f t="shared" ca="1" si="16"/>
        <v>133.337873</v>
      </c>
      <c r="BE165" s="40" t="s">
        <v>692</v>
      </c>
      <c r="BF165" s="40" t="str">
        <f t="shared" ca="1" si="17"/>
        <v>DarkRed</v>
      </c>
      <c r="BG165" s="40" t="s">
        <v>688</v>
      </c>
      <c r="BH165" s="40" t="str">
        <f t="shared" ca="1" si="18"/>
        <v>,{"type":"marker","latLng":{"lat":35.44059,"lng":133.337873},"color":"DarkRed"}</v>
      </c>
      <c r="BI165" s="40" t="s">
        <v>693</v>
      </c>
      <c r="BJ165" s="40" t="s">
        <v>694</v>
      </c>
      <c r="BK165" s="267" t="str">
        <f t="shared" ca="1" si="19"/>
        <v>,{"type":"polyline","latLngs":[{"lat":35.44059,"lng":133.337873},{"lat":35.440322,"lng":133.337421}],"color":"DarkRed"}</v>
      </c>
      <c r="BL165" s="40"/>
      <c r="BM165" s="40"/>
      <c r="BN165" s="40"/>
      <c r="BO165" s="40"/>
      <c r="BP165" s="40"/>
      <c r="BQ165" s="40"/>
      <c r="BR165" s="40"/>
      <c r="BS165" s="40"/>
      <c r="BT165" s="40"/>
      <c r="BU165" s="40"/>
      <c r="BV165" s="40"/>
      <c r="BW165" s="40"/>
      <c r="BX165" s="40"/>
      <c r="BY165" s="40"/>
      <c r="BZ165" s="40"/>
      <c r="CA165" s="40"/>
      <c r="CB165" s="40"/>
      <c r="CC165" s="40"/>
      <c r="CD165" s="40"/>
      <c r="CE165" s="40"/>
      <c r="CF165" s="40"/>
      <c r="CG165" s="40"/>
      <c r="CH165" s="40"/>
    </row>
    <row r="166" spans="1:86" ht="17.5">
      <c r="A166" s="40"/>
      <c r="B166" s="260"/>
      <c r="C166" s="273"/>
      <c r="D166" s="273"/>
      <c r="E166" s="273"/>
      <c r="F166" s="40"/>
      <c r="G166" s="261"/>
      <c r="H166" s="262" t="s">
        <v>672</v>
      </c>
      <c r="I166" s="93" t="str">
        <f ca="1">IFERROR(__xludf.DUMMYFUNCTION("""COMPUTED_VALUE"""),"Agent06")</f>
        <v>Agent06</v>
      </c>
      <c r="J166" s="93" t="str">
        <f ca="1">IFERROR(__xludf.DUMMYFUNCTION("""COMPUTED_VALUE"""),"P93")</f>
        <v>P93</v>
      </c>
      <c r="K166" s="93" t="str">
        <f ca="1">IFERROR(__xludf.DUMMYFUNCTION("""COMPUTED_VALUE"""),"P70")</f>
        <v>P70</v>
      </c>
      <c r="L166" s="242" t="s">
        <v>681</v>
      </c>
      <c r="M166" s="263" t="str">
        <f t="shared" ca="1" si="0"/>
        <v>DarkRed</v>
      </c>
      <c r="N166" s="264" t="str">
        <f ca="1">IFERROR(__xludf.DUMMYFUNCTION("FILTER(C:E,B:B=J166)"),"少林寺拳法 米子東道院")</f>
        <v>少林寺拳法 米子東道院</v>
      </c>
      <c r="O166" s="265">
        <f ca="1">IFERROR(__xludf.DUMMYFUNCTION("""COMPUTED_VALUE"""),35.44059)</f>
        <v>35.44059</v>
      </c>
      <c r="P166" s="265">
        <f ca="1">IFERROR(__xludf.DUMMYFUNCTION("""COMPUTED_VALUE"""),133.337873)</f>
        <v>133.337873</v>
      </c>
      <c r="Q166" s="264" t="str">
        <f ca="1">IFERROR(__xludf.DUMMYFUNCTION("FILTER(C:E,B:B=K166)"),"米川堤防のつつじ")</f>
        <v>米川堤防のつつじ</v>
      </c>
      <c r="R166" s="265">
        <f ca="1">IFERROR(__xludf.DUMMYFUNCTION("""COMPUTED_VALUE"""),35.437507)</f>
        <v>35.437506999999997</v>
      </c>
      <c r="S166" s="265">
        <f ca="1">IFERROR(__xludf.DUMMYFUNCTION("""COMPUTED_VALUE"""),133.340544)</f>
        <v>133.34054399999999</v>
      </c>
      <c r="T166" s="264" t="str">
        <f ca="1">IFERROR(__xludf.DUMMYFUNCTION("FILTER(C:E,B:B=L166)")," ")</f>
        <v xml:space="preserve"> </v>
      </c>
      <c r="U166" s="40" t="str">
        <f ca="1">IFERROR(__xludf.DUMMYFUNCTION("""COMPUTED_VALUE""")," ")</f>
        <v xml:space="preserve"> </v>
      </c>
      <c r="V166" s="40" t="str">
        <f ca="1">IFERROR(__xludf.DUMMYFUNCTION("""COMPUTED_VALUE""")," ")</f>
        <v xml:space="preserve"> </v>
      </c>
      <c r="W166" s="40" t="str">
        <f t="shared" ca="1" si="21"/>
        <v>,</v>
      </c>
      <c r="X166" s="40" t="s">
        <v>682</v>
      </c>
      <c r="Y166" s="40" t="s">
        <v>683</v>
      </c>
      <c r="Z166" s="264">
        <f t="shared" ca="1" si="1"/>
        <v>35.44059</v>
      </c>
      <c r="AA166" s="40" t="s">
        <v>684</v>
      </c>
      <c r="AB166" s="264">
        <f t="shared" ca="1" si="2"/>
        <v>133.337873</v>
      </c>
      <c r="AC166" s="40" t="s">
        <v>685</v>
      </c>
      <c r="AD166" s="264">
        <f t="shared" ca="1" si="3"/>
        <v>35.437506999999997</v>
      </c>
      <c r="AE166" s="40" t="s">
        <v>684</v>
      </c>
      <c r="AF166" s="264">
        <f t="shared" ca="1" si="4"/>
        <v>133.34054399999999</v>
      </c>
      <c r="AG166" s="40" t="s">
        <v>686</v>
      </c>
      <c r="AH166" s="264" t="str">
        <f t="shared" ca="1" si="5"/>
        <v xml:space="preserve"> </v>
      </c>
      <c r="AI166" s="40" t="s">
        <v>684</v>
      </c>
      <c r="AJ166" s="264" t="str">
        <f t="shared" ca="1" si="6"/>
        <v xml:space="preserve"> </v>
      </c>
      <c r="AK166" s="40" t="s">
        <v>687</v>
      </c>
      <c r="AL166" s="264" t="str">
        <f t="shared" ca="1" si="7"/>
        <v>DarkRed</v>
      </c>
      <c r="AM166" s="40" t="s">
        <v>688</v>
      </c>
      <c r="AN166" s="40" t="str">
        <f t="shared" ca="1" si="8"/>
        <v>,{"type":"polygon","latLngs":[ {"lat":35.44059,"lng":133.337873}, {"lat":35.437507,"lng":133.340544},{"lat": ,"lng": }], "color":"DarkRed"}</v>
      </c>
      <c r="AO166" s="266" t="s">
        <v>689</v>
      </c>
      <c r="AP166" s="56">
        <f t="shared" ca="1" si="9"/>
        <v>35.44059</v>
      </c>
      <c r="AQ166" s="40" t="s">
        <v>684</v>
      </c>
      <c r="AR166" s="56">
        <f t="shared" ca="1" si="10"/>
        <v>133.337873</v>
      </c>
      <c r="AS166" s="40" t="s">
        <v>686</v>
      </c>
      <c r="AT166" s="56">
        <f t="shared" ca="1" si="11"/>
        <v>35.437506999999997</v>
      </c>
      <c r="AU166" s="40" t="s">
        <v>684</v>
      </c>
      <c r="AV166" s="56">
        <f t="shared" ca="1" si="12"/>
        <v>133.34054399999999</v>
      </c>
      <c r="AW166" s="40" t="s">
        <v>690</v>
      </c>
      <c r="AX166" s="40" t="str">
        <f t="shared" ca="1" si="13"/>
        <v>DarkRed</v>
      </c>
      <c r="AY166" s="40" t="s">
        <v>688</v>
      </c>
      <c r="AZ166" s="40" t="str">
        <f t="shared" ca="1" si="14"/>
        <v>,{"type":"polyline","latLngs":[{"lat":35.44059,"lng":133.337873},{"lat":35.437507,"lng":133.340544}],"color":"DarkRed"}</v>
      </c>
      <c r="BA166" s="40" t="s">
        <v>691</v>
      </c>
      <c r="BB166" s="56">
        <f t="shared" ca="1" si="15"/>
        <v>35.44059</v>
      </c>
      <c r="BC166" s="40" t="s">
        <v>684</v>
      </c>
      <c r="BD166" s="56">
        <f t="shared" ca="1" si="16"/>
        <v>133.337873</v>
      </c>
      <c r="BE166" s="40" t="s">
        <v>692</v>
      </c>
      <c r="BF166" s="40" t="str">
        <f t="shared" ca="1" si="17"/>
        <v>DarkRed</v>
      </c>
      <c r="BG166" s="40" t="s">
        <v>688</v>
      </c>
      <c r="BH166" s="40" t="str">
        <f t="shared" ca="1" si="18"/>
        <v>,{"type":"marker","latLng":{"lat":35.44059,"lng":133.337873},"color":"DarkRed"}</v>
      </c>
      <c r="BI166" s="40" t="s">
        <v>693</v>
      </c>
      <c r="BJ166" s="40" t="s">
        <v>694</v>
      </c>
      <c r="BK166" s="267" t="str">
        <f t="shared" ca="1" si="19"/>
        <v>,{"type":"polyline","latLngs":[{"lat":35.44059,"lng":133.337873},{"lat":35.437507,"lng":133.340544}],"color":"DarkRed"}</v>
      </c>
      <c r="BL166" s="40"/>
      <c r="BM166" s="40"/>
      <c r="BN166" s="40"/>
      <c r="BO166" s="40"/>
      <c r="BP166" s="40"/>
      <c r="BQ166" s="40"/>
      <c r="BR166" s="40"/>
      <c r="BS166" s="40"/>
      <c r="BT166" s="40"/>
      <c r="BU166" s="40"/>
      <c r="BV166" s="40"/>
      <c r="BW166" s="40"/>
      <c r="BX166" s="40"/>
      <c r="BY166" s="40"/>
      <c r="BZ166" s="40"/>
      <c r="CA166" s="40"/>
      <c r="CB166" s="40"/>
      <c r="CC166" s="40"/>
      <c r="CD166" s="40"/>
      <c r="CE166" s="40"/>
      <c r="CF166" s="40"/>
      <c r="CG166" s="40"/>
      <c r="CH166" s="40"/>
    </row>
    <row r="167" spans="1:86" ht="17.5">
      <c r="A167" s="40"/>
      <c r="B167" s="260"/>
      <c r="C167" s="273"/>
      <c r="D167" s="273"/>
      <c r="E167" s="273"/>
      <c r="F167" s="40"/>
      <c r="G167" s="261"/>
      <c r="H167" s="262" t="s">
        <v>672</v>
      </c>
      <c r="I167" s="93" t="str">
        <f ca="1">IFERROR(__xludf.DUMMYFUNCTION("""COMPUTED_VALUE"""),"Agent06")</f>
        <v>Agent06</v>
      </c>
      <c r="J167" s="93" t="str">
        <f ca="1">IFERROR(__xludf.DUMMYFUNCTION("""COMPUTED_VALUE"""),"P93")</f>
        <v>P93</v>
      </c>
      <c r="K167" s="93" t="str">
        <f ca="1">IFERROR(__xludf.DUMMYFUNCTION("""COMPUTED_VALUE"""),"P99")</f>
        <v>P99</v>
      </c>
      <c r="L167" s="242" t="s">
        <v>681</v>
      </c>
      <c r="M167" s="263" t="str">
        <f t="shared" ca="1" si="0"/>
        <v>DarkRed</v>
      </c>
      <c r="N167" s="264" t="str">
        <f ca="1">IFERROR(__xludf.DUMMYFUNCTION("FILTER(C:E,B:B=J167)"),"少林寺拳法 米子東道院")</f>
        <v>少林寺拳法 米子東道院</v>
      </c>
      <c r="O167" s="265">
        <f ca="1">IFERROR(__xludf.DUMMYFUNCTION("""COMPUTED_VALUE"""),35.44059)</f>
        <v>35.44059</v>
      </c>
      <c r="P167" s="265">
        <f ca="1">IFERROR(__xludf.DUMMYFUNCTION("""COMPUTED_VALUE"""),133.337873)</f>
        <v>133.337873</v>
      </c>
      <c r="Q167" s="264" t="str">
        <f ca="1">IFERROR(__xludf.DUMMYFUNCTION("FILTER(C:E,B:B=K167)"),"米子復活教会")</f>
        <v>米子復活教会</v>
      </c>
      <c r="R167" s="265">
        <f ca="1">IFERROR(__xludf.DUMMYFUNCTION("""COMPUTED_VALUE"""),35.441903)</f>
        <v>35.441903000000003</v>
      </c>
      <c r="S167" s="265">
        <f ca="1">IFERROR(__xludf.DUMMYFUNCTION("""COMPUTED_VALUE"""),133.336361)</f>
        <v>133.33636100000001</v>
      </c>
      <c r="T167" s="264" t="str">
        <f ca="1">IFERROR(__xludf.DUMMYFUNCTION("FILTER(C:E,B:B=L167)")," ")</f>
        <v xml:space="preserve"> </v>
      </c>
      <c r="U167" s="40" t="str">
        <f ca="1">IFERROR(__xludf.DUMMYFUNCTION("""COMPUTED_VALUE""")," ")</f>
        <v xml:space="preserve"> </v>
      </c>
      <c r="V167" s="40" t="str">
        <f ca="1">IFERROR(__xludf.DUMMYFUNCTION("""COMPUTED_VALUE""")," ")</f>
        <v xml:space="preserve"> </v>
      </c>
      <c r="W167" s="40" t="str">
        <f t="shared" ca="1" si="21"/>
        <v>,</v>
      </c>
      <c r="X167" s="40" t="s">
        <v>682</v>
      </c>
      <c r="Y167" s="40" t="s">
        <v>683</v>
      </c>
      <c r="Z167" s="264">
        <f t="shared" ca="1" si="1"/>
        <v>35.44059</v>
      </c>
      <c r="AA167" s="40" t="s">
        <v>684</v>
      </c>
      <c r="AB167" s="264">
        <f t="shared" ca="1" si="2"/>
        <v>133.337873</v>
      </c>
      <c r="AC167" s="40" t="s">
        <v>685</v>
      </c>
      <c r="AD167" s="264">
        <f t="shared" ca="1" si="3"/>
        <v>35.441903000000003</v>
      </c>
      <c r="AE167" s="40" t="s">
        <v>684</v>
      </c>
      <c r="AF167" s="264">
        <f t="shared" ca="1" si="4"/>
        <v>133.33636100000001</v>
      </c>
      <c r="AG167" s="40" t="s">
        <v>686</v>
      </c>
      <c r="AH167" s="264" t="str">
        <f t="shared" ca="1" si="5"/>
        <v xml:space="preserve"> </v>
      </c>
      <c r="AI167" s="40" t="s">
        <v>684</v>
      </c>
      <c r="AJ167" s="264" t="str">
        <f t="shared" ca="1" si="6"/>
        <v xml:space="preserve"> </v>
      </c>
      <c r="AK167" s="40" t="s">
        <v>687</v>
      </c>
      <c r="AL167" s="264" t="str">
        <f t="shared" ca="1" si="7"/>
        <v>DarkRed</v>
      </c>
      <c r="AM167" s="40" t="s">
        <v>688</v>
      </c>
      <c r="AN167" s="40" t="str">
        <f t="shared" ca="1" si="8"/>
        <v>,{"type":"polygon","latLngs":[ {"lat":35.44059,"lng":133.337873}, {"lat":35.441903,"lng":133.336361},{"lat": ,"lng": }], "color":"DarkRed"}</v>
      </c>
      <c r="AO167" s="266" t="s">
        <v>689</v>
      </c>
      <c r="AP167" s="56">
        <f t="shared" ca="1" si="9"/>
        <v>35.44059</v>
      </c>
      <c r="AQ167" s="40" t="s">
        <v>684</v>
      </c>
      <c r="AR167" s="56">
        <f t="shared" ca="1" si="10"/>
        <v>133.337873</v>
      </c>
      <c r="AS167" s="40" t="s">
        <v>686</v>
      </c>
      <c r="AT167" s="56">
        <f t="shared" ca="1" si="11"/>
        <v>35.441903000000003</v>
      </c>
      <c r="AU167" s="40" t="s">
        <v>684</v>
      </c>
      <c r="AV167" s="56">
        <f t="shared" ca="1" si="12"/>
        <v>133.33636100000001</v>
      </c>
      <c r="AW167" s="40" t="s">
        <v>690</v>
      </c>
      <c r="AX167" s="40" t="str">
        <f t="shared" ca="1" si="13"/>
        <v>DarkRed</v>
      </c>
      <c r="AY167" s="40" t="s">
        <v>688</v>
      </c>
      <c r="AZ167" s="40" t="str">
        <f t="shared" ca="1" si="14"/>
        <v>,{"type":"polyline","latLngs":[{"lat":35.44059,"lng":133.337873},{"lat":35.441903,"lng":133.336361}],"color":"DarkRed"}</v>
      </c>
      <c r="BA167" s="40" t="s">
        <v>691</v>
      </c>
      <c r="BB167" s="56">
        <f t="shared" ca="1" si="15"/>
        <v>35.44059</v>
      </c>
      <c r="BC167" s="40" t="s">
        <v>684</v>
      </c>
      <c r="BD167" s="56">
        <f t="shared" ca="1" si="16"/>
        <v>133.337873</v>
      </c>
      <c r="BE167" s="40" t="s">
        <v>692</v>
      </c>
      <c r="BF167" s="40" t="str">
        <f t="shared" ca="1" si="17"/>
        <v>DarkRed</v>
      </c>
      <c r="BG167" s="40" t="s">
        <v>688</v>
      </c>
      <c r="BH167" s="40" t="str">
        <f t="shared" ca="1" si="18"/>
        <v>,{"type":"marker","latLng":{"lat":35.44059,"lng":133.337873},"color":"DarkRed"}</v>
      </c>
      <c r="BI167" s="40" t="s">
        <v>693</v>
      </c>
      <c r="BJ167" s="40" t="s">
        <v>694</v>
      </c>
      <c r="BK167" s="267" t="str">
        <f t="shared" ca="1" si="19"/>
        <v>,{"type":"polyline","latLngs":[{"lat":35.44059,"lng":133.337873},{"lat":35.441903,"lng":133.336361}],"color":"DarkRed"}</v>
      </c>
      <c r="BL167" s="40"/>
      <c r="BM167" s="40"/>
      <c r="BN167" s="40"/>
      <c r="BO167" s="40"/>
      <c r="BP167" s="40"/>
      <c r="BQ167" s="40"/>
      <c r="BR167" s="40"/>
      <c r="BS167" s="40"/>
      <c r="BT167" s="40"/>
      <c r="BU167" s="40"/>
      <c r="BV167" s="40"/>
      <c r="BW167" s="40"/>
      <c r="BX167" s="40"/>
      <c r="BY167" s="40"/>
      <c r="BZ167" s="40"/>
      <c r="CA167" s="40"/>
      <c r="CB167" s="40"/>
      <c r="CC167" s="40"/>
      <c r="CD167" s="40"/>
      <c r="CE167" s="40"/>
      <c r="CF167" s="40"/>
      <c r="CG167" s="40"/>
      <c r="CH167" s="40"/>
    </row>
    <row r="168" spans="1:86" ht="17.5">
      <c r="A168" s="40"/>
      <c r="B168" s="260"/>
      <c r="C168" s="273"/>
      <c r="D168" s="273"/>
      <c r="E168" s="273"/>
      <c r="F168" s="40"/>
      <c r="G168" s="261"/>
      <c r="H168" s="262" t="s">
        <v>672</v>
      </c>
      <c r="I168" s="93" t="str">
        <f ca="1">IFERROR(__xludf.DUMMYFUNCTION("""COMPUTED_VALUE"""),"Agent06")</f>
        <v>Agent06</v>
      </c>
      <c r="J168" s="93" t="str">
        <f ca="1">IFERROR(__xludf.DUMMYFUNCTION("""COMPUTED_VALUE"""),"P90")</f>
        <v>P90</v>
      </c>
      <c r="K168" s="93" t="str">
        <f ca="1">IFERROR(__xludf.DUMMYFUNCTION("""COMPUTED_VALUE"""),"P93")</f>
        <v>P93</v>
      </c>
      <c r="L168" s="242" t="s">
        <v>681</v>
      </c>
      <c r="M168" s="263" t="str">
        <f t="shared" ca="1" si="0"/>
        <v>DarkRed</v>
      </c>
      <c r="N168" s="264" t="str">
        <f ca="1">IFERROR(__xludf.DUMMYFUNCTION("FILTER(C:E,B:B=J168)"),"ラーメンつけ麺 今を粋ろ")</f>
        <v>ラーメンつけ麺 今を粋ろ</v>
      </c>
      <c r="O168" s="265">
        <f ca="1">IFERROR(__xludf.DUMMYFUNCTION("""COMPUTED_VALUE"""),35.440347)</f>
        <v>35.440347000000003</v>
      </c>
      <c r="P168" s="265">
        <f ca="1">IFERROR(__xludf.DUMMYFUNCTION("""COMPUTED_VALUE"""),133.338541)</f>
        <v>133.33854099999999</v>
      </c>
      <c r="Q168" s="264" t="str">
        <f ca="1">IFERROR(__xludf.DUMMYFUNCTION("FILTER(C:E,B:B=K168)"),"少林寺拳法 米子東道院")</f>
        <v>少林寺拳法 米子東道院</v>
      </c>
      <c r="R168" s="265">
        <f ca="1">IFERROR(__xludf.DUMMYFUNCTION("""COMPUTED_VALUE"""),35.44059)</f>
        <v>35.44059</v>
      </c>
      <c r="S168" s="265">
        <f ca="1">IFERROR(__xludf.DUMMYFUNCTION("""COMPUTED_VALUE"""),133.337873)</f>
        <v>133.337873</v>
      </c>
      <c r="T168" s="264" t="str">
        <f ca="1">IFERROR(__xludf.DUMMYFUNCTION("FILTER(C:E,B:B=L168)")," ")</f>
        <v xml:space="preserve"> </v>
      </c>
      <c r="U168" s="40" t="str">
        <f ca="1">IFERROR(__xludf.DUMMYFUNCTION("""COMPUTED_VALUE""")," ")</f>
        <v xml:space="preserve"> </v>
      </c>
      <c r="V168" s="40" t="str">
        <f ca="1">IFERROR(__xludf.DUMMYFUNCTION("""COMPUTED_VALUE""")," ")</f>
        <v xml:space="preserve"> </v>
      </c>
      <c r="W168" s="40" t="str">
        <f t="shared" ca="1" si="21"/>
        <v>,</v>
      </c>
      <c r="X168" s="40" t="s">
        <v>682</v>
      </c>
      <c r="Y168" s="40" t="s">
        <v>683</v>
      </c>
      <c r="Z168" s="264">
        <f t="shared" ca="1" si="1"/>
        <v>35.440347000000003</v>
      </c>
      <c r="AA168" s="40" t="s">
        <v>684</v>
      </c>
      <c r="AB168" s="264">
        <f t="shared" ca="1" si="2"/>
        <v>133.33854099999999</v>
      </c>
      <c r="AC168" s="40" t="s">
        <v>685</v>
      </c>
      <c r="AD168" s="264">
        <f t="shared" ca="1" si="3"/>
        <v>35.44059</v>
      </c>
      <c r="AE168" s="40" t="s">
        <v>684</v>
      </c>
      <c r="AF168" s="264">
        <f t="shared" ca="1" si="4"/>
        <v>133.337873</v>
      </c>
      <c r="AG168" s="40" t="s">
        <v>686</v>
      </c>
      <c r="AH168" s="264" t="str">
        <f t="shared" ca="1" si="5"/>
        <v xml:space="preserve"> </v>
      </c>
      <c r="AI168" s="40" t="s">
        <v>684</v>
      </c>
      <c r="AJ168" s="264" t="str">
        <f t="shared" ca="1" si="6"/>
        <v xml:space="preserve"> </v>
      </c>
      <c r="AK168" s="40" t="s">
        <v>687</v>
      </c>
      <c r="AL168" s="264" t="str">
        <f t="shared" ca="1" si="7"/>
        <v>DarkRed</v>
      </c>
      <c r="AM168" s="40" t="s">
        <v>688</v>
      </c>
      <c r="AN168" s="40" t="str">
        <f t="shared" ca="1" si="8"/>
        <v>,{"type":"polygon","latLngs":[ {"lat":35.440347,"lng":133.338541}, {"lat":35.44059,"lng":133.337873},{"lat": ,"lng": }], "color":"DarkRed"}</v>
      </c>
      <c r="AO168" s="266" t="s">
        <v>689</v>
      </c>
      <c r="AP168" s="56">
        <f t="shared" ca="1" si="9"/>
        <v>35.440347000000003</v>
      </c>
      <c r="AQ168" s="40" t="s">
        <v>684</v>
      </c>
      <c r="AR168" s="56">
        <f t="shared" ca="1" si="10"/>
        <v>133.33854099999999</v>
      </c>
      <c r="AS168" s="40" t="s">
        <v>686</v>
      </c>
      <c r="AT168" s="56">
        <f t="shared" ca="1" si="11"/>
        <v>35.44059</v>
      </c>
      <c r="AU168" s="40" t="s">
        <v>684</v>
      </c>
      <c r="AV168" s="56">
        <f t="shared" ca="1" si="12"/>
        <v>133.337873</v>
      </c>
      <c r="AW168" s="40" t="s">
        <v>690</v>
      </c>
      <c r="AX168" s="40" t="str">
        <f t="shared" ca="1" si="13"/>
        <v>DarkRed</v>
      </c>
      <c r="AY168" s="40" t="s">
        <v>688</v>
      </c>
      <c r="AZ168" s="40" t="str">
        <f t="shared" ca="1" si="14"/>
        <v>,{"type":"polyline","latLngs":[{"lat":35.440347,"lng":133.338541},{"lat":35.44059,"lng":133.337873}],"color":"DarkRed"}</v>
      </c>
      <c r="BA168" s="40" t="s">
        <v>691</v>
      </c>
      <c r="BB168" s="56">
        <f t="shared" ca="1" si="15"/>
        <v>35.440347000000003</v>
      </c>
      <c r="BC168" s="40" t="s">
        <v>684</v>
      </c>
      <c r="BD168" s="56">
        <f t="shared" ca="1" si="16"/>
        <v>133.33854099999999</v>
      </c>
      <c r="BE168" s="40" t="s">
        <v>692</v>
      </c>
      <c r="BF168" s="40" t="str">
        <f t="shared" ca="1" si="17"/>
        <v>DarkRed</v>
      </c>
      <c r="BG168" s="40" t="s">
        <v>688</v>
      </c>
      <c r="BH168" s="40" t="str">
        <f t="shared" ca="1" si="18"/>
        <v>,{"type":"marker","latLng":{"lat":35.440347,"lng":133.338541},"color":"DarkRed"}</v>
      </c>
      <c r="BI168" s="40" t="s">
        <v>693</v>
      </c>
      <c r="BJ168" s="40" t="s">
        <v>694</v>
      </c>
      <c r="BK168" s="267" t="str">
        <f t="shared" ca="1" si="19"/>
        <v>,{"type":"polyline","latLngs":[{"lat":35.440347,"lng":133.338541},{"lat":35.44059,"lng":133.337873}],"color":"DarkRed"}</v>
      </c>
      <c r="BL168" s="40"/>
      <c r="BM168" s="40"/>
      <c r="BN168" s="40"/>
      <c r="BO168" s="40"/>
      <c r="BP168" s="40"/>
      <c r="BQ168" s="40"/>
      <c r="BR168" s="40"/>
      <c r="BS168" s="40"/>
      <c r="BT168" s="40"/>
      <c r="BU168" s="40"/>
      <c r="BV168" s="40"/>
      <c r="BW168" s="40"/>
      <c r="BX168" s="40"/>
      <c r="BY168" s="40"/>
      <c r="BZ168" s="40"/>
      <c r="CA168" s="40"/>
      <c r="CB168" s="40"/>
      <c r="CC168" s="40"/>
      <c r="CD168" s="40"/>
      <c r="CE168" s="40"/>
      <c r="CF168" s="40"/>
      <c r="CG168" s="40"/>
      <c r="CH168" s="40"/>
    </row>
    <row r="169" spans="1:86" ht="17.5">
      <c r="A169" s="40"/>
      <c r="B169" s="260"/>
      <c r="C169" s="273"/>
      <c r="D169" s="273"/>
      <c r="E169" s="273"/>
      <c r="F169" s="40"/>
      <c r="G169" s="261"/>
      <c r="H169" s="262" t="s">
        <v>672</v>
      </c>
      <c r="I169" s="93" t="str">
        <f ca="1">IFERROR(__xludf.DUMMYFUNCTION("""COMPUTED_VALUE"""),"Agent06")</f>
        <v>Agent06</v>
      </c>
      <c r="J169" s="93" t="str">
        <f ca="1">IFERROR(__xludf.DUMMYFUNCTION("""COMPUTED_VALUE"""),"P102")</f>
        <v>P102</v>
      </c>
      <c r="K169" s="93" t="str">
        <f ca="1">IFERROR(__xludf.DUMMYFUNCTION("""COMPUTED_VALUE"""),"P93")</f>
        <v>P93</v>
      </c>
      <c r="L169" s="242" t="s">
        <v>681</v>
      </c>
      <c r="M169" s="263" t="str">
        <f t="shared" ca="1" si="0"/>
        <v>DarkRed</v>
      </c>
      <c r="N169" s="264" t="str">
        <f ca="1">IFERROR(__xludf.DUMMYFUNCTION("FILTER(C:E,B:B=J169)"),"西福原公園のテニスコート")</f>
        <v>西福原公園のテニスコート</v>
      </c>
      <c r="O169" s="265">
        <f ca="1">IFERROR(__xludf.DUMMYFUNCTION("""COMPUTED_VALUE"""),35.44283)</f>
        <v>35.442830000000001</v>
      </c>
      <c r="P169" s="265">
        <f ca="1">IFERROR(__xludf.DUMMYFUNCTION("""COMPUTED_VALUE"""),133.340819)</f>
        <v>133.34081900000001</v>
      </c>
      <c r="Q169" s="264" t="str">
        <f ca="1">IFERROR(__xludf.DUMMYFUNCTION("FILTER(C:E,B:B=K169)"),"少林寺拳法 米子東道院")</f>
        <v>少林寺拳法 米子東道院</v>
      </c>
      <c r="R169" s="265">
        <f ca="1">IFERROR(__xludf.DUMMYFUNCTION("""COMPUTED_VALUE"""),35.44059)</f>
        <v>35.44059</v>
      </c>
      <c r="S169" s="265">
        <f ca="1">IFERROR(__xludf.DUMMYFUNCTION("""COMPUTED_VALUE"""),133.337873)</f>
        <v>133.337873</v>
      </c>
      <c r="T169" s="264" t="str">
        <f ca="1">IFERROR(__xludf.DUMMYFUNCTION("FILTER(C:E,B:B=L169)")," ")</f>
        <v xml:space="preserve"> </v>
      </c>
      <c r="U169" s="40" t="str">
        <f ca="1">IFERROR(__xludf.DUMMYFUNCTION("""COMPUTED_VALUE""")," ")</f>
        <v xml:space="preserve"> </v>
      </c>
      <c r="V169" s="40" t="str">
        <f ca="1">IFERROR(__xludf.DUMMYFUNCTION("""COMPUTED_VALUE""")," ")</f>
        <v xml:space="preserve"> </v>
      </c>
      <c r="W169" s="40" t="str">
        <f t="shared" ca="1" si="21"/>
        <v>,</v>
      </c>
      <c r="X169" s="40" t="s">
        <v>682</v>
      </c>
      <c r="Y169" s="40" t="s">
        <v>683</v>
      </c>
      <c r="Z169" s="264">
        <f t="shared" ca="1" si="1"/>
        <v>35.442830000000001</v>
      </c>
      <c r="AA169" s="40" t="s">
        <v>684</v>
      </c>
      <c r="AB169" s="264">
        <f t="shared" ca="1" si="2"/>
        <v>133.34081900000001</v>
      </c>
      <c r="AC169" s="40" t="s">
        <v>685</v>
      </c>
      <c r="AD169" s="264">
        <f t="shared" ca="1" si="3"/>
        <v>35.44059</v>
      </c>
      <c r="AE169" s="40" t="s">
        <v>684</v>
      </c>
      <c r="AF169" s="264">
        <f t="shared" ca="1" si="4"/>
        <v>133.337873</v>
      </c>
      <c r="AG169" s="40" t="s">
        <v>686</v>
      </c>
      <c r="AH169" s="264" t="str">
        <f t="shared" ca="1" si="5"/>
        <v xml:space="preserve"> </v>
      </c>
      <c r="AI169" s="40" t="s">
        <v>684</v>
      </c>
      <c r="AJ169" s="264" t="str">
        <f t="shared" ca="1" si="6"/>
        <v xml:space="preserve"> </v>
      </c>
      <c r="AK169" s="40" t="s">
        <v>687</v>
      </c>
      <c r="AL169" s="264" t="str">
        <f t="shared" ca="1" si="7"/>
        <v>DarkRed</v>
      </c>
      <c r="AM169" s="40" t="s">
        <v>688</v>
      </c>
      <c r="AN169" s="40" t="str">
        <f t="shared" ca="1" si="8"/>
        <v>,{"type":"polygon","latLngs":[ {"lat":35.44283,"lng":133.340819}, {"lat":35.44059,"lng":133.337873},{"lat": ,"lng": }], "color":"DarkRed"}</v>
      </c>
      <c r="AO169" s="266" t="s">
        <v>689</v>
      </c>
      <c r="AP169" s="56">
        <f t="shared" ca="1" si="9"/>
        <v>35.442830000000001</v>
      </c>
      <c r="AQ169" s="40" t="s">
        <v>684</v>
      </c>
      <c r="AR169" s="56">
        <f t="shared" ca="1" si="10"/>
        <v>133.34081900000001</v>
      </c>
      <c r="AS169" s="40" t="s">
        <v>686</v>
      </c>
      <c r="AT169" s="56">
        <f t="shared" ca="1" si="11"/>
        <v>35.44059</v>
      </c>
      <c r="AU169" s="40" t="s">
        <v>684</v>
      </c>
      <c r="AV169" s="56">
        <f t="shared" ca="1" si="12"/>
        <v>133.337873</v>
      </c>
      <c r="AW169" s="40" t="s">
        <v>690</v>
      </c>
      <c r="AX169" s="40" t="str">
        <f t="shared" ca="1" si="13"/>
        <v>DarkRed</v>
      </c>
      <c r="AY169" s="40" t="s">
        <v>688</v>
      </c>
      <c r="AZ169" s="40" t="str">
        <f t="shared" ca="1" si="14"/>
        <v>,{"type":"polyline","latLngs":[{"lat":35.44283,"lng":133.340819},{"lat":35.44059,"lng":133.337873}],"color":"DarkRed"}</v>
      </c>
      <c r="BA169" s="40" t="s">
        <v>691</v>
      </c>
      <c r="BB169" s="56">
        <f t="shared" ca="1" si="15"/>
        <v>35.442830000000001</v>
      </c>
      <c r="BC169" s="40" t="s">
        <v>684</v>
      </c>
      <c r="BD169" s="56">
        <f t="shared" ca="1" si="16"/>
        <v>133.34081900000001</v>
      </c>
      <c r="BE169" s="40" t="s">
        <v>692</v>
      </c>
      <c r="BF169" s="40" t="str">
        <f t="shared" ca="1" si="17"/>
        <v>DarkRed</v>
      </c>
      <c r="BG169" s="40" t="s">
        <v>688</v>
      </c>
      <c r="BH169" s="40" t="str">
        <f t="shared" ca="1" si="18"/>
        <v>,{"type":"marker","latLng":{"lat":35.44283,"lng":133.340819},"color":"DarkRed"}</v>
      </c>
      <c r="BI169" s="40" t="s">
        <v>693</v>
      </c>
      <c r="BJ169" s="40" t="s">
        <v>694</v>
      </c>
      <c r="BK169" s="267" t="str">
        <f t="shared" ca="1" si="19"/>
        <v>,{"type":"polyline","latLngs":[{"lat":35.44283,"lng":133.340819},{"lat":35.44059,"lng":133.337873}],"color":"DarkRed"}</v>
      </c>
      <c r="BL169" s="40"/>
      <c r="BM169" s="40"/>
      <c r="BN169" s="40"/>
      <c r="BO169" s="40"/>
      <c r="BP169" s="40"/>
      <c r="BQ169" s="40"/>
      <c r="BR169" s="40"/>
      <c r="BS169" s="40"/>
      <c r="BT169" s="40"/>
      <c r="BU169" s="40"/>
      <c r="BV169" s="40"/>
      <c r="BW169" s="40"/>
      <c r="BX169" s="40"/>
      <c r="BY169" s="40"/>
      <c r="BZ169" s="40"/>
      <c r="CA169" s="40"/>
      <c r="CB169" s="40"/>
      <c r="CC169" s="40"/>
      <c r="CD169" s="40"/>
      <c r="CE169" s="40"/>
      <c r="CF169" s="40"/>
      <c r="CG169" s="40"/>
      <c r="CH169" s="40"/>
    </row>
    <row r="170" spans="1:86" ht="17.5">
      <c r="A170" s="40"/>
      <c r="B170" s="260"/>
      <c r="C170" s="273"/>
      <c r="D170" s="273"/>
      <c r="E170" s="273"/>
      <c r="F170" s="40"/>
      <c r="G170" s="261"/>
      <c r="H170" s="262" t="s">
        <v>672</v>
      </c>
      <c r="I170" s="93" t="str">
        <f ca="1">IFERROR(__xludf.DUMMYFUNCTION("""COMPUTED_VALUE"""),"Agent06")</f>
        <v>Agent06</v>
      </c>
      <c r="J170" s="93" t="str">
        <f ca="1">IFERROR(__xludf.DUMMYFUNCTION("""COMPUTED_VALUE"""),"P102")</f>
        <v>P102</v>
      </c>
      <c r="K170" s="93" t="str">
        <f ca="1">IFERROR(__xludf.DUMMYFUNCTION("""COMPUTED_VALUE"""),"P97")</f>
        <v>P97</v>
      </c>
      <c r="L170" s="242" t="s">
        <v>681</v>
      </c>
      <c r="M170" s="263" t="str">
        <f t="shared" ca="1" si="0"/>
        <v>DarkRed</v>
      </c>
      <c r="N170" s="264" t="str">
        <f ca="1">IFERROR(__xludf.DUMMYFUNCTION("FILTER(C:E,B:B=J170)"),"西福原公園のテニスコート")</f>
        <v>西福原公園のテニスコート</v>
      </c>
      <c r="O170" s="265">
        <f ca="1">IFERROR(__xludf.DUMMYFUNCTION("""COMPUTED_VALUE"""),35.44283)</f>
        <v>35.442830000000001</v>
      </c>
      <c r="P170" s="265">
        <f ca="1">IFERROR(__xludf.DUMMYFUNCTION("""COMPUTED_VALUE"""),133.340819)</f>
        <v>133.34081900000001</v>
      </c>
      <c r="Q170" s="264" t="str">
        <f ca="1">IFERROR(__xludf.DUMMYFUNCTION("FILTER(C:E,B:B=K170)"),"世界真光文明教団 米子センター")</f>
        <v>世界真光文明教団 米子センター</v>
      </c>
      <c r="R170" s="265">
        <f ca="1">IFERROR(__xludf.DUMMYFUNCTION("""COMPUTED_VALUE"""),35.441888)</f>
        <v>35.441887999999999</v>
      </c>
      <c r="S170" s="265">
        <f ca="1">IFERROR(__xludf.DUMMYFUNCTION("""COMPUTED_VALUE"""),133.335563)</f>
        <v>133.33556300000001</v>
      </c>
      <c r="T170" s="264" t="str">
        <f ca="1">IFERROR(__xludf.DUMMYFUNCTION("FILTER(C:E,B:B=L170)")," ")</f>
        <v xml:space="preserve"> </v>
      </c>
      <c r="U170" s="40" t="str">
        <f ca="1">IFERROR(__xludf.DUMMYFUNCTION("""COMPUTED_VALUE""")," ")</f>
        <v xml:space="preserve"> </v>
      </c>
      <c r="V170" s="40" t="str">
        <f ca="1">IFERROR(__xludf.DUMMYFUNCTION("""COMPUTED_VALUE""")," ")</f>
        <v xml:space="preserve"> </v>
      </c>
      <c r="W170" s="40" t="str">
        <f t="shared" ca="1" si="21"/>
        <v>,</v>
      </c>
      <c r="X170" s="40" t="s">
        <v>682</v>
      </c>
      <c r="Y170" s="40" t="s">
        <v>683</v>
      </c>
      <c r="Z170" s="264">
        <f t="shared" ca="1" si="1"/>
        <v>35.442830000000001</v>
      </c>
      <c r="AA170" s="40" t="s">
        <v>684</v>
      </c>
      <c r="AB170" s="264">
        <f t="shared" ca="1" si="2"/>
        <v>133.34081900000001</v>
      </c>
      <c r="AC170" s="40" t="s">
        <v>685</v>
      </c>
      <c r="AD170" s="264">
        <f t="shared" ca="1" si="3"/>
        <v>35.441887999999999</v>
      </c>
      <c r="AE170" s="40" t="s">
        <v>684</v>
      </c>
      <c r="AF170" s="264">
        <f t="shared" ca="1" si="4"/>
        <v>133.33556300000001</v>
      </c>
      <c r="AG170" s="40" t="s">
        <v>686</v>
      </c>
      <c r="AH170" s="264" t="str">
        <f t="shared" ca="1" si="5"/>
        <v xml:space="preserve"> </v>
      </c>
      <c r="AI170" s="40" t="s">
        <v>684</v>
      </c>
      <c r="AJ170" s="264" t="str">
        <f t="shared" ca="1" si="6"/>
        <v xml:space="preserve"> </v>
      </c>
      <c r="AK170" s="40" t="s">
        <v>687</v>
      </c>
      <c r="AL170" s="264" t="str">
        <f t="shared" ca="1" si="7"/>
        <v>DarkRed</v>
      </c>
      <c r="AM170" s="40" t="s">
        <v>688</v>
      </c>
      <c r="AN170" s="40" t="str">
        <f t="shared" ca="1" si="8"/>
        <v>,{"type":"polygon","latLngs":[ {"lat":35.44283,"lng":133.340819}, {"lat":35.441888,"lng":133.335563},{"lat": ,"lng": }], "color":"DarkRed"}</v>
      </c>
      <c r="AO170" s="266" t="s">
        <v>689</v>
      </c>
      <c r="AP170" s="56">
        <f t="shared" ca="1" si="9"/>
        <v>35.442830000000001</v>
      </c>
      <c r="AQ170" s="40" t="s">
        <v>684</v>
      </c>
      <c r="AR170" s="56">
        <f t="shared" ca="1" si="10"/>
        <v>133.34081900000001</v>
      </c>
      <c r="AS170" s="40" t="s">
        <v>686</v>
      </c>
      <c r="AT170" s="56">
        <f t="shared" ca="1" si="11"/>
        <v>35.441887999999999</v>
      </c>
      <c r="AU170" s="40" t="s">
        <v>684</v>
      </c>
      <c r="AV170" s="56">
        <f t="shared" ca="1" si="12"/>
        <v>133.33556300000001</v>
      </c>
      <c r="AW170" s="40" t="s">
        <v>690</v>
      </c>
      <c r="AX170" s="40" t="str">
        <f t="shared" ca="1" si="13"/>
        <v>DarkRed</v>
      </c>
      <c r="AY170" s="40" t="s">
        <v>688</v>
      </c>
      <c r="AZ170" s="40" t="str">
        <f t="shared" ca="1" si="14"/>
        <v>,{"type":"polyline","latLngs":[{"lat":35.44283,"lng":133.340819},{"lat":35.441888,"lng":133.335563}],"color":"DarkRed"}</v>
      </c>
      <c r="BA170" s="40" t="s">
        <v>691</v>
      </c>
      <c r="BB170" s="56">
        <f t="shared" ca="1" si="15"/>
        <v>35.442830000000001</v>
      </c>
      <c r="BC170" s="40" t="s">
        <v>684</v>
      </c>
      <c r="BD170" s="56">
        <f t="shared" ca="1" si="16"/>
        <v>133.34081900000001</v>
      </c>
      <c r="BE170" s="40" t="s">
        <v>692</v>
      </c>
      <c r="BF170" s="40" t="str">
        <f t="shared" ca="1" si="17"/>
        <v>DarkRed</v>
      </c>
      <c r="BG170" s="40" t="s">
        <v>688</v>
      </c>
      <c r="BH170" s="40" t="str">
        <f t="shared" ca="1" si="18"/>
        <v>,{"type":"marker","latLng":{"lat":35.44283,"lng":133.340819},"color":"DarkRed"}</v>
      </c>
      <c r="BI170" s="40" t="s">
        <v>693</v>
      </c>
      <c r="BJ170" s="40" t="s">
        <v>694</v>
      </c>
      <c r="BK170" s="267" t="str">
        <f t="shared" ca="1" si="19"/>
        <v>,{"type":"polyline","latLngs":[{"lat":35.44283,"lng":133.340819},{"lat":35.441888,"lng":133.335563}],"color":"DarkRed"}</v>
      </c>
      <c r="BL170" s="40"/>
      <c r="BM170" s="40"/>
      <c r="BN170" s="40"/>
      <c r="BO170" s="40"/>
      <c r="BP170" s="40"/>
      <c r="BQ170" s="40"/>
      <c r="BR170" s="40"/>
      <c r="BS170" s="40"/>
      <c r="BT170" s="40"/>
      <c r="BU170" s="40"/>
      <c r="BV170" s="40"/>
      <c r="BW170" s="40"/>
      <c r="BX170" s="40"/>
      <c r="BY170" s="40"/>
      <c r="BZ170" s="40"/>
      <c r="CA170" s="40"/>
      <c r="CB170" s="40"/>
      <c r="CC170" s="40"/>
      <c r="CD170" s="40"/>
      <c r="CE170" s="40"/>
      <c r="CF170" s="40"/>
      <c r="CG170" s="40"/>
      <c r="CH170" s="40"/>
    </row>
    <row r="171" spans="1:86" ht="17.5">
      <c r="A171" s="40"/>
      <c r="B171" s="260"/>
      <c r="C171" s="273"/>
      <c r="D171" s="273"/>
      <c r="E171" s="273"/>
      <c r="F171" s="40"/>
      <c r="G171" s="261"/>
      <c r="H171" s="262" t="s">
        <v>672</v>
      </c>
      <c r="I171" s="93" t="str">
        <f ca="1">IFERROR(__xludf.DUMMYFUNCTION("""COMPUTED_VALUE"""),"Agent06")</f>
        <v>Agent06</v>
      </c>
      <c r="J171" s="93" t="str">
        <f ca="1">IFERROR(__xludf.DUMMYFUNCTION("""COMPUTED_VALUE"""),"P102")</f>
        <v>P102</v>
      </c>
      <c r="K171" s="93" t="str">
        <f ca="1">IFERROR(__xludf.DUMMYFUNCTION("""COMPUTED_VALUE"""),"P99")</f>
        <v>P99</v>
      </c>
      <c r="L171" s="242" t="s">
        <v>681</v>
      </c>
      <c r="M171" s="263" t="str">
        <f t="shared" ca="1" si="0"/>
        <v>DarkRed</v>
      </c>
      <c r="N171" s="264" t="str">
        <f ca="1">IFERROR(__xludf.DUMMYFUNCTION("FILTER(C:E,B:B=J171)"),"西福原公園のテニスコート")</f>
        <v>西福原公園のテニスコート</v>
      </c>
      <c r="O171" s="265">
        <f ca="1">IFERROR(__xludf.DUMMYFUNCTION("""COMPUTED_VALUE"""),35.44283)</f>
        <v>35.442830000000001</v>
      </c>
      <c r="P171" s="265">
        <f ca="1">IFERROR(__xludf.DUMMYFUNCTION("""COMPUTED_VALUE"""),133.340819)</f>
        <v>133.34081900000001</v>
      </c>
      <c r="Q171" s="264" t="str">
        <f ca="1">IFERROR(__xludf.DUMMYFUNCTION("FILTER(C:E,B:B=K171)"),"米子復活教会")</f>
        <v>米子復活教会</v>
      </c>
      <c r="R171" s="265">
        <f ca="1">IFERROR(__xludf.DUMMYFUNCTION("""COMPUTED_VALUE"""),35.441903)</f>
        <v>35.441903000000003</v>
      </c>
      <c r="S171" s="265">
        <f ca="1">IFERROR(__xludf.DUMMYFUNCTION("""COMPUTED_VALUE"""),133.336361)</f>
        <v>133.33636100000001</v>
      </c>
      <c r="T171" s="264" t="str">
        <f ca="1">IFERROR(__xludf.DUMMYFUNCTION("FILTER(C:E,B:B=L171)")," ")</f>
        <v xml:space="preserve"> </v>
      </c>
      <c r="U171" s="40" t="str">
        <f ca="1">IFERROR(__xludf.DUMMYFUNCTION("""COMPUTED_VALUE""")," ")</f>
        <v xml:space="preserve"> </v>
      </c>
      <c r="V171" s="40" t="str">
        <f ca="1">IFERROR(__xludf.DUMMYFUNCTION("""COMPUTED_VALUE""")," ")</f>
        <v xml:space="preserve"> </v>
      </c>
      <c r="W171" s="40" t="str">
        <f t="shared" ca="1" si="21"/>
        <v>,</v>
      </c>
      <c r="X171" s="40" t="s">
        <v>682</v>
      </c>
      <c r="Y171" s="40" t="s">
        <v>683</v>
      </c>
      <c r="Z171" s="264">
        <f t="shared" ca="1" si="1"/>
        <v>35.442830000000001</v>
      </c>
      <c r="AA171" s="40" t="s">
        <v>684</v>
      </c>
      <c r="AB171" s="264">
        <f t="shared" ca="1" si="2"/>
        <v>133.34081900000001</v>
      </c>
      <c r="AC171" s="40" t="s">
        <v>685</v>
      </c>
      <c r="AD171" s="264">
        <f t="shared" ca="1" si="3"/>
        <v>35.441903000000003</v>
      </c>
      <c r="AE171" s="40" t="s">
        <v>684</v>
      </c>
      <c r="AF171" s="264">
        <f t="shared" ca="1" si="4"/>
        <v>133.33636100000001</v>
      </c>
      <c r="AG171" s="40" t="s">
        <v>686</v>
      </c>
      <c r="AH171" s="264" t="str">
        <f t="shared" ca="1" si="5"/>
        <v xml:space="preserve"> </v>
      </c>
      <c r="AI171" s="40" t="s">
        <v>684</v>
      </c>
      <c r="AJ171" s="264" t="str">
        <f t="shared" ca="1" si="6"/>
        <v xml:space="preserve"> </v>
      </c>
      <c r="AK171" s="40" t="s">
        <v>687</v>
      </c>
      <c r="AL171" s="264" t="str">
        <f t="shared" ca="1" si="7"/>
        <v>DarkRed</v>
      </c>
      <c r="AM171" s="40" t="s">
        <v>688</v>
      </c>
      <c r="AN171" s="40" t="str">
        <f t="shared" ca="1" si="8"/>
        <v>,{"type":"polygon","latLngs":[ {"lat":35.44283,"lng":133.340819}, {"lat":35.441903,"lng":133.336361},{"lat": ,"lng": }], "color":"DarkRed"}</v>
      </c>
      <c r="AO171" s="266" t="s">
        <v>689</v>
      </c>
      <c r="AP171" s="56">
        <f t="shared" ca="1" si="9"/>
        <v>35.442830000000001</v>
      </c>
      <c r="AQ171" s="40" t="s">
        <v>684</v>
      </c>
      <c r="AR171" s="56">
        <f t="shared" ca="1" si="10"/>
        <v>133.34081900000001</v>
      </c>
      <c r="AS171" s="40" t="s">
        <v>686</v>
      </c>
      <c r="AT171" s="56">
        <f t="shared" ca="1" si="11"/>
        <v>35.441903000000003</v>
      </c>
      <c r="AU171" s="40" t="s">
        <v>684</v>
      </c>
      <c r="AV171" s="56">
        <f t="shared" ca="1" si="12"/>
        <v>133.33636100000001</v>
      </c>
      <c r="AW171" s="40" t="s">
        <v>690</v>
      </c>
      <c r="AX171" s="40" t="str">
        <f t="shared" ca="1" si="13"/>
        <v>DarkRed</v>
      </c>
      <c r="AY171" s="40" t="s">
        <v>688</v>
      </c>
      <c r="AZ171" s="40" t="str">
        <f t="shared" ca="1" si="14"/>
        <v>,{"type":"polyline","latLngs":[{"lat":35.44283,"lng":133.340819},{"lat":35.441903,"lng":133.336361}],"color":"DarkRed"}</v>
      </c>
      <c r="BA171" s="40" t="s">
        <v>691</v>
      </c>
      <c r="BB171" s="56">
        <f t="shared" ca="1" si="15"/>
        <v>35.442830000000001</v>
      </c>
      <c r="BC171" s="40" t="s">
        <v>684</v>
      </c>
      <c r="BD171" s="56">
        <f t="shared" ca="1" si="16"/>
        <v>133.34081900000001</v>
      </c>
      <c r="BE171" s="40" t="s">
        <v>692</v>
      </c>
      <c r="BF171" s="40" t="str">
        <f t="shared" ca="1" si="17"/>
        <v>DarkRed</v>
      </c>
      <c r="BG171" s="40" t="s">
        <v>688</v>
      </c>
      <c r="BH171" s="40" t="str">
        <f t="shared" ca="1" si="18"/>
        <v>,{"type":"marker","latLng":{"lat":35.44283,"lng":133.340819},"color":"DarkRed"}</v>
      </c>
      <c r="BI171" s="40" t="s">
        <v>693</v>
      </c>
      <c r="BJ171" s="40" t="s">
        <v>694</v>
      </c>
      <c r="BK171" s="267" t="str">
        <f t="shared" ca="1" si="19"/>
        <v>,{"type":"polyline","latLngs":[{"lat":35.44283,"lng":133.340819},{"lat":35.441903,"lng":133.336361}],"color":"DarkRed"}</v>
      </c>
      <c r="BL171" s="40"/>
      <c r="BM171" s="40"/>
      <c r="BN171" s="40"/>
      <c r="BO171" s="40"/>
      <c r="BP171" s="40"/>
      <c r="BQ171" s="40"/>
      <c r="BR171" s="40"/>
      <c r="BS171" s="40"/>
      <c r="BT171" s="40"/>
      <c r="BU171" s="40"/>
      <c r="BV171" s="40"/>
      <c r="BW171" s="40"/>
      <c r="BX171" s="40"/>
      <c r="BY171" s="40"/>
      <c r="BZ171" s="40"/>
      <c r="CA171" s="40"/>
      <c r="CB171" s="40"/>
      <c r="CC171" s="40"/>
      <c r="CD171" s="40"/>
      <c r="CE171" s="40"/>
      <c r="CF171" s="40"/>
      <c r="CG171" s="40"/>
      <c r="CH171" s="40"/>
    </row>
    <row r="172" spans="1:86" ht="17.5">
      <c r="A172" s="40"/>
      <c r="B172" s="260"/>
      <c r="C172" s="273"/>
      <c r="D172" s="273"/>
      <c r="E172" s="273"/>
      <c r="F172" s="40"/>
      <c r="G172" s="261"/>
      <c r="H172" s="262" t="s">
        <v>672</v>
      </c>
      <c r="I172" s="103" t="str">
        <f ca="1">IFERROR(__xludf.DUMMYFUNCTION("""COMPUTED_VALUE"""),"Agent06")</f>
        <v>Agent06</v>
      </c>
      <c r="J172" s="103" t="str">
        <f ca="1">IFERROR(__xludf.DUMMYFUNCTION("""COMPUTED_VALUE"""),"P102")</f>
        <v>P102</v>
      </c>
      <c r="K172" s="103" t="str">
        <f ca="1">IFERROR(__xludf.DUMMYFUNCTION("""COMPUTED_VALUE"""),"P90")</f>
        <v>P90</v>
      </c>
      <c r="L172" s="242" t="s">
        <v>681</v>
      </c>
      <c r="M172" s="263" t="str">
        <f t="shared" ca="1" si="0"/>
        <v>DarkRed</v>
      </c>
      <c r="N172" s="264" t="str">
        <f ca="1">IFERROR(__xludf.DUMMYFUNCTION("FILTER(C:E,B:B=J172)"),"西福原公園のテニスコート")</f>
        <v>西福原公園のテニスコート</v>
      </c>
      <c r="O172" s="265">
        <f ca="1">IFERROR(__xludf.DUMMYFUNCTION("""COMPUTED_VALUE"""),35.44283)</f>
        <v>35.442830000000001</v>
      </c>
      <c r="P172" s="265">
        <f ca="1">IFERROR(__xludf.DUMMYFUNCTION("""COMPUTED_VALUE"""),133.340819)</f>
        <v>133.34081900000001</v>
      </c>
      <c r="Q172" s="264" t="str">
        <f ca="1">IFERROR(__xludf.DUMMYFUNCTION("FILTER(C:E,B:B=K172)"),"ラーメンつけ麺 今を粋ろ")</f>
        <v>ラーメンつけ麺 今を粋ろ</v>
      </c>
      <c r="R172" s="265">
        <f ca="1">IFERROR(__xludf.DUMMYFUNCTION("""COMPUTED_VALUE"""),35.440347)</f>
        <v>35.440347000000003</v>
      </c>
      <c r="S172" s="265">
        <f ca="1">IFERROR(__xludf.DUMMYFUNCTION("""COMPUTED_VALUE"""),133.338541)</f>
        <v>133.33854099999999</v>
      </c>
      <c r="T172" s="264" t="str">
        <f ca="1">IFERROR(__xludf.DUMMYFUNCTION("FILTER(C:E,B:B=L172)")," ")</f>
        <v xml:space="preserve"> </v>
      </c>
      <c r="U172" s="40" t="str">
        <f ca="1">IFERROR(__xludf.DUMMYFUNCTION("""COMPUTED_VALUE""")," ")</f>
        <v xml:space="preserve"> </v>
      </c>
      <c r="V172" s="40" t="str">
        <f ca="1">IFERROR(__xludf.DUMMYFUNCTION("""COMPUTED_VALUE""")," ")</f>
        <v xml:space="preserve"> </v>
      </c>
      <c r="W172" s="40" t="str">
        <f t="shared" ca="1" si="21"/>
        <v>,</v>
      </c>
      <c r="X172" s="40" t="s">
        <v>682</v>
      </c>
      <c r="Y172" s="40" t="s">
        <v>683</v>
      </c>
      <c r="Z172" s="264">
        <f t="shared" ca="1" si="1"/>
        <v>35.442830000000001</v>
      </c>
      <c r="AA172" s="40" t="s">
        <v>684</v>
      </c>
      <c r="AB172" s="264">
        <f t="shared" ca="1" si="2"/>
        <v>133.34081900000001</v>
      </c>
      <c r="AC172" s="40" t="s">
        <v>685</v>
      </c>
      <c r="AD172" s="264">
        <f t="shared" ca="1" si="3"/>
        <v>35.440347000000003</v>
      </c>
      <c r="AE172" s="40" t="s">
        <v>684</v>
      </c>
      <c r="AF172" s="264">
        <f t="shared" ca="1" si="4"/>
        <v>133.33854099999999</v>
      </c>
      <c r="AG172" s="40" t="s">
        <v>686</v>
      </c>
      <c r="AH172" s="264" t="str">
        <f t="shared" ca="1" si="5"/>
        <v xml:space="preserve"> </v>
      </c>
      <c r="AI172" s="40" t="s">
        <v>684</v>
      </c>
      <c r="AJ172" s="264" t="str">
        <f t="shared" ca="1" si="6"/>
        <v xml:space="preserve"> </v>
      </c>
      <c r="AK172" s="40" t="s">
        <v>687</v>
      </c>
      <c r="AL172" s="264" t="str">
        <f t="shared" ca="1" si="7"/>
        <v>DarkRed</v>
      </c>
      <c r="AM172" s="40" t="s">
        <v>688</v>
      </c>
      <c r="AN172" s="40" t="str">
        <f t="shared" ca="1" si="8"/>
        <v>,{"type":"polygon","latLngs":[ {"lat":35.44283,"lng":133.340819}, {"lat":35.440347,"lng":133.338541},{"lat": ,"lng": }], "color":"DarkRed"}</v>
      </c>
      <c r="AO172" s="266" t="s">
        <v>689</v>
      </c>
      <c r="AP172" s="56">
        <f t="shared" ca="1" si="9"/>
        <v>35.442830000000001</v>
      </c>
      <c r="AQ172" s="40" t="s">
        <v>684</v>
      </c>
      <c r="AR172" s="56">
        <f t="shared" ca="1" si="10"/>
        <v>133.34081900000001</v>
      </c>
      <c r="AS172" s="40" t="s">
        <v>686</v>
      </c>
      <c r="AT172" s="56">
        <f t="shared" ca="1" si="11"/>
        <v>35.440347000000003</v>
      </c>
      <c r="AU172" s="40" t="s">
        <v>684</v>
      </c>
      <c r="AV172" s="56">
        <f t="shared" ca="1" si="12"/>
        <v>133.33854099999999</v>
      </c>
      <c r="AW172" s="40" t="s">
        <v>690</v>
      </c>
      <c r="AX172" s="40" t="str">
        <f t="shared" ca="1" si="13"/>
        <v>DarkRed</v>
      </c>
      <c r="AY172" s="40" t="s">
        <v>688</v>
      </c>
      <c r="AZ172" s="40" t="str">
        <f t="shared" ca="1" si="14"/>
        <v>,{"type":"polyline","latLngs":[{"lat":35.44283,"lng":133.340819},{"lat":35.440347,"lng":133.338541}],"color":"DarkRed"}</v>
      </c>
      <c r="BA172" s="40" t="s">
        <v>691</v>
      </c>
      <c r="BB172" s="56">
        <f t="shared" ca="1" si="15"/>
        <v>35.442830000000001</v>
      </c>
      <c r="BC172" s="40" t="s">
        <v>684</v>
      </c>
      <c r="BD172" s="56">
        <f t="shared" ca="1" si="16"/>
        <v>133.34081900000001</v>
      </c>
      <c r="BE172" s="40" t="s">
        <v>692</v>
      </c>
      <c r="BF172" s="40" t="str">
        <f t="shared" ca="1" si="17"/>
        <v>DarkRed</v>
      </c>
      <c r="BG172" s="40" t="s">
        <v>688</v>
      </c>
      <c r="BH172" s="40" t="str">
        <f t="shared" ca="1" si="18"/>
        <v>,{"type":"marker","latLng":{"lat":35.44283,"lng":133.340819},"color":"DarkRed"}</v>
      </c>
      <c r="BI172" s="40" t="s">
        <v>693</v>
      </c>
      <c r="BJ172" s="40" t="s">
        <v>694</v>
      </c>
      <c r="BK172" s="267" t="str">
        <f t="shared" ca="1" si="19"/>
        <v>,{"type":"polyline","latLngs":[{"lat":35.44283,"lng":133.340819},{"lat":35.440347,"lng":133.338541}],"color":"DarkRed"}</v>
      </c>
      <c r="BL172" s="40"/>
      <c r="BM172" s="40"/>
      <c r="BN172" s="40"/>
      <c r="BO172" s="40"/>
      <c r="BP172" s="40"/>
      <c r="BQ172" s="40"/>
      <c r="BR172" s="40"/>
      <c r="BS172" s="40"/>
      <c r="BT172" s="40"/>
      <c r="BU172" s="40"/>
      <c r="BV172" s="40"/>
      <c r="BW172" s="40"/>
      <c r="BX172" s="40"/>
      <c r="BY172" s="40"/>
      <c r="BZ172" s="40"/>
      <c r="CA172" s="40"/>
      <c r="CB172" s="40"/>
      <c r="CC172" s="40"/>
      <c r="CD172" s="40"/>
      <c r="CE172" s="40"/>
      <c r="CF172" s="40"/>
      <c r="CG172" s="40"/>
      <c r="CH172" s="40"/>
    </row>
    <row r="173" spans="1:86" ht="17.5">
      <c r="A173" s="40"/>
      <c r="B173" s="260"/>
      <c r="C173" s="273"/>
      <c r="D173" s="273"/>
      <c r="E173" s="273"/>
      <c r="F173" s="40"/>
      <c r="G173" s="261"/>
      <c r="H173" s="262" t="s">
        <v>672</v>
      </c>
      <c r="I173" s="103" t="str">
        <f ca="1">IFERROR(__xludf.DUMMYFUNCTION("""COMPUTED_VALUE"""),"Agent06")</f>
        <v>Agent06</v>
      </c>
      <c r="J173" s="103" t="str">
        <f ca="1">IFERROR(__xludf.DUMMYFUNCTION("""COMPUTED_VALUE"""),"P84")</f>
        <v>P84</v>
      </c>
      <c r="K173" s="103" t="str">
        <f ca="1">IFERROR(__xludf.DUMMYFUNCTION("""COMPUTED_VALUE"""),"P70")</f>
        <v>P70</v>
      </c>
      <c r="L173" s="242" t="s">
        <v>681</v>
      </c>
      <c r="M173" s="263" t="str">
        <f t="shared" ca="1" si="0"/>
        <v>DarkRed</v>
      </c>
      <c r="N173" s="264" t="str">
        <f ca="1">IFERROR(__xludf.DUMMYFUNCTION("FILTER(C:E,B:B=J173)"),"環")</f>
        <v>環</v>
      </c>
      <c r="O173" s="265">
        <f ca="1">IFERROR(__xludf.DUMMYFUNCTION("""COMPUTED_VALUE"""),35.439874)</f>
        <v>35.439874000000003</v>
      </c>
      <c r="P173" s="265">
        <f ca="1">IFERROR(__xludf.DUMMYFUNCTION("""COMPUTED_VALUE"""),133.342277)</f>
        <v>133.342277</v>
      </c>
      <c r="Q173" s="264" t="str">
        <f ca="1">IFERROR(__xludf.DUMMYFUNCTION("FILTER(C:E,B:B=K173)"),"米川堤防のつつじ")</f>
        <v>米川堤防のつつじ</v>
      </c>
      <c r="R173" s="265">
        <f ca="1">IFERROR(__xludf.DUMMYFUNCTION("""COMPUTED_VALUE"""),35.437507)</f>
        <v>35.437506999999997</v>
      </c>
      <c r="S173" s="265">
        <f ca="1">IFERROR(__xludf.DUMMYFUNCTION("""COMPUTED_VALUE"""),133.340544)</f>
        <v>133.34054399999999</v>
      </c>
      <c r="T173" s="264" t="str">
        <f ca="1">IFERROR(__xludf.DUMMYFUNCTION("FILTER(C:E,B:B=L173)")," ")</f>
        <v xml:space="preserve"> </v>
      </c>
      <c r="U173" s="40" t="str">
        <f ca="1">IFERROR(__xludf.DUMMYFUNCTION("""COMPUTED_VALUE""")," ")</f>
        <v xml:space="preserve"> </v>
      </c>
      <c r="V173" s="40" t="str">
        <f ca="1">IFERROR(__xludf.DUMMYFUNCTION("""COMPUTED_VALUE""")," ")</f>
        <v xml:space="preserve"> </v>
      </c>
      <c r="W173" s="40" t="str">
        <f t="shared" ca="1" si="21"/>
        <v>,</v>
      </c>
      <c r="X173" s="40" t="s">
        <v>682</v>
      </c>
      <c r="Y173" s="40" t="s">
        <v>683</v>
      </c>
      <c r="Z173" s="264">
        <f t="shared" ca="1" si="1"/>
        <v>35.439874000000003</v>
      </c>
      <c r="AA173" s="40" t="s">
        <v>684</v>
      </c>
      <c r="AB173" s="264">
        <f t="shared" ca="1" si="2"/>
        <v>133.342277</v>
      </c>
      <c r="AC173" s="40" t="s">
        <v>685</v>
      </c>
      <c r="AD173" s="264">
        <f t="shared" ca="1" si="3"/>
        <v>35.437506999999997</v>
      </c>
      <c r="AE173" s="40" t="s">
        <v>684</v>
      </c>
      <c r="AF173" s="264">
        <f t="shared" ca="1" si="4"/>
        <v>133.34054399999999</v>
      </c>
      <c r="AG173" s="40" t="s">
        <v>686</v>
      </c>
      <c r="AH173" s="264" t="str">
        <f t="shared" ca="1" si="5"/>
        <v xml:space="preserve"> </v>
      </c>
      <c r="AI173" s="40" t="s">
        <v>684</v>
      </c>
      <c r="AJ173" s="264" t="str">
        <f t="shared" ca="1" si="6"/>
        <v xml:space="preserve"> </v>
      </c>
      <c r="AK173" s="40" t="s">
        <v>687</v>
      </c>
      <c r="AL173" s="264" t="str">
        <f t="shared" ca="1" si="7"/>
        <v>DarkRed</v>
      </c>
      <c r="AM173" s="40" t="s">
        <v>688</v>
      </c>
      <c r="AN173" s="40" t="str">
        <f t="shared" ca="1" si="8"/>
        <v>,{"type":"polygon","latLngs":[ {"lat":35.439874,"lng":133.342277}, {"lat":35.437507,"lng":133.340544},{"lat": ,"lng": }], "color":"DarkRed"}</v>
      </c>
      <c r="AO173" s="266" t="s">
        <v>689</v>
      </c>
      <c r="AP173" s="56">
        <f t="shared" ca="1" si="9"/>
        <v>35.439874000000003</v>
      </c>
      <c r="AQ173" s="40" t="s">
        <v>684</v>
      </c>
      <c r="AR173" s="56">
        <f t="shared" ca="1" si="10"/>
        <v>133.342277</v>
      </c>
      <c r="AS173" s="40" t="s">
        <v>686</v>
      </c>
      <c r="AT173" s="56">
        <f t="shared" ca="1" si="11"/>
        <v>35.437506999999997</v>
      </c>
      <c r="AU173" s="40" t="s">
        <v>684</v>
      </c>
      <c r="AV173" s="56">
        <f t="shared" ca="1" si="12"/>
        <v>133.34054399999999</v>
      </c>
      <c r="AW173" s="40" t="s">
        <v>690</v>
      </c>
      <c r="AX173" s="40" t="str">
        <f t="shared" ca="1" si="13"/>
        <v>DarkRed</v>
      </c>
      <c r="AY173" s="40" t="s">
        <v>688</v>
      </c>
      <c r="AZ173" s="40" t="str">
        <f t="shared" ca="1" si="14"/>
        <v>,{"type":"polyline","latLngs":[{"lat":35.439874,"lng":133.342277},{"lat":35.437507,"lng":133.340544}],"color":"DarkRed"}</v>
      </c>
      <c r="BA173" s="40" t="s">
        <v>691</v>
      </c>
      <c r="BB173" s="56">
        <f t="shared" ca="1" si="15"/>
        <v>35.439874000000003</v>
      </c>
      <c r="BC173" s="40" t="s">
        <v>684</v>
      </c>
      <c r="BD173" s="56">
        <f t="shared" ca="1" si="16"/>
        <v>133.342277</v>
      </c>
      <c r="BE173" s="40" t="s">
        <v>692</v>
      </c>
      <c r="BF173" s="40" t="str">
        <f t="shared" ca="1" si="17"/>
        <v>DarkRed</v>
      </c>
      <c r="BG173" s="40" t="s">
        <v>688</v>
      </c>
      <c r="BH173" s="40" t="str">
        <f t="shared" ca="1" si="18"/>
        <v>,{"type":"marker","latLng":{"lat":35.439874,"lng":133.342277},"color":"DarkRed"}</v>
      </c>
      <c r="BI173" s="40" t="s">
        <v>693</v>
      </c>
      <c r="BJ173" s="40" t="s">
        <v>694</v>
      </c>
      <c r="BK173" s="267" t="str">
        <f t="shared" ca="1" si="19"/>
        <v>,{"type":"polyline","latLngs":[{"lat":35.439874,"lng":133.342277},{"lat":35.437507,"lng":133.340544}],"color":"DarkRed"}</v>
      </c>
      <c r="BL173" s="40"/>
      <c r="BM173" s="40"/>
      <c r="BN173" s="40"/>
      <c r="BO173" s="40"/>
      <c r="BP173" s="40"/>
      <c r="BQ173" s="40"/>
      <c r="BR173" s="40"/>
      <c r="BS173" s="40"/>
      <c r="BT173" s="40"/>
      <c r="BU173" s="40"/>
      <c r="BV173" s="40"/>
      <c r="BW173" s="40"/>
      <c r="BX173" s="40"/>
      <c r="BY173" s="40"/>
      <c r="BZ173" s="40"/>
      <c r="CA173" s="40"/>
      <c r="CB173" s="40"/>
      <c r="CC173" s="40"/>
      <c r="CD173" s="40"/>
      <c r="CE173" s="40"/>
      <c r="CF173" s="40"/>
      <c r="CG173" s="40"/>
      <c r="CH173" s="40"/>
    </row>
    <row r="174" spans="1:86" ht="17.5">
      <c r="A174" s="40"/>
      <c r="B174" s="260"/>
      <c r="C174" s="273"/>
      <c r="D174" s="273"/>
      <c r="E174" s="273"/>
      <c r="F174" s="40"/>
      <c r="G174" s="261"/>
      <c r="H174" s="262" t="s">
        <v>672</v>
      </c>
      <c r="I174" s="93" t="str">
        <f ca="1">IFERROR(__xludf.DUMMYFUNCTION("""COMPUTED_VALUE"""),"Agent06")</f>
        <v>Agent06</v>
      </c>
      <c r="J174" s="93" t="str">
        <f ca="1">IFERROR(__xludf.DUMMYFUNCTION("""COMPUTED_VALUE"""),"P84")</f>
        <v>P84</v>
      </c>
      <c r="K174" s="93" t="str">
        <f ca="1">IFERROR(__xludf.DUMMYFUNCTION("""COMPUTED_VALUE"""),"P62")</f>
        <v>P62</v>
      </c>
      <c r="L174" s="242" t="s">
        <v>681</v>
      </c>
      <c r="M174" s="263" t="str">
        <f t="shared" ca="1" si="0"/>
        <v>DarkRed</v>
      </c>
      <c r="N174" s="264" t="str">
        <f ca="1">IFERROR(__xludf.DUMMYFUNCTION("FILTER(C:E,B:B=J174)"),"環")</f>
        <v>環</v>
      </c>
      <c r="O174" s="265">
        <f ca="1">IFERROR(__xludf.DUMMYFUNCTION("""COMPUTED_VALUE"""),35.439874)</f>
        <v>35.439874000000003</v>
      </c>
      <c r="P174" s="265">
        <f ca="1">IFERROR(__xludf.DUMMYFUNCTION("""COMPUTED_VALUE"""),133.342277)</f>
        <v>133.342277</v>
      </c>
      <c r="Q174" s="264" t="str">
        <f ca="1">IFERROR(__xludf.DUMMYFUNCTION("FILTER(C:E,B:B=K174)"),"米子市役所博労町庁舎")</f>
        <v>米子市役所博労町庁舎</v>
      </c>
      <c r="R174" s="265">
        <f ca="1">IFERROR(__xludf.DUMMYFUNCTION("""COMPUTED_VALUE"""),35.435943)</f>
        <v>35.435943000000002</v>
      </c>
      <c r="S174" s="265">
        <f ca="1">IFERROR(__xludf.DUMMYFUNCTION("""COMPUTED_VALUE"""),133.34314)</f>
        <v>133.34314000000001</v>
      </c>
      <c r="T174" s="264" t="str">
        <f ca="1">IFERROR(__xludf.DUMMYFUNCTION("FILTER(C:E,B:B=L174)")," ")</f>
        <v xml:space="preserve"> </v>
      </c>
      <c r="U174" s="40" t="str">
        <f ca="1">IFERROR(__xludf.DUMMYFUNCTION("""COMPUTED_VALUE""")," ")</f>
        <v xml:space="preserve"> </v>
      </c>
      <c r="V174" s="40" t="str">
        <f ca="1">IFERROR(__xludf.DUMMYFUNCTION("""COMPUTED_VALUE""")," ")</f>
        <v xml:space="preserve"> </v>
      </c>
      <c r="W174" s="40" t="str">
        <f t="shared" ca="1" si="21"/>
        <v>,</v>
      </c>
      <c r="X174" s="40" t="s">
        <v>682</v>
      </c>
      <c r="Y174" s="40" t="s">
        <v>683</v>
      </c>
      <c r="Z174" s="264">
        <f t="shared" ca="1" si="1"/>
        <v>35.439874000000003</v>
      </c>
      <c r="AA174" s="40" t="s">
        <v>684</v>
      </c>
      <c r="AB174" s="264">
        <f t="shared" ca="1" si="2"/>
        <v>133.342277</v>
      </c>
      <c r="AC174" s="40" t="s">
        <v>685</v>
      </c>
      <c r="AD174" s="264">
        <f t="shared" ca="1" si="3"/>
        <v>35.435943000000002</v>
      </c>
      <c r="AE174" s="40" t="s">
        <v>684</v>
      </c>
      <c r="AF174" s="264">
        <f t="shared" ca="1" si="4"/>
        <v>133.34314000000001</v>
      </c>
      <c r="AG174" s="40" t="s">
        <v>686</v>
      </c>
      <c r="AH174" s="264" t="str">
        <f t="shared" ca="1" si="5"/>
        <v xml:space="preserve"> </v>
      </c>
      <c r="AI174" s="40" t="s">
        <v>684</v>
      </c>
      <c r="AJ174" s="264" t="str">
        <f t="shared" ca="1" si="6"/>
        <v xml:space="preserve"> </v>
      </c>
      <c r="AK174" s="40" t="s">
        <v>687</v>
      </c>
      <c r="AL174" s="264" t="str">
        <f t="shared" ca="1" si="7"/>
        <v>DarkRed</v>
      </c>
      <c r="AM174" s="40" t="s">
        <v>688</v>
      </c>
      <c r="AN174" s="40" t="str">
        <f t="shared" ca="1" si="8"/>
        <v>,{"type":"polygon","latLngs":[ {"lat":35.439874,"lng":133.342277}, {"lat":35.435943,"lng":133.34314},{"lat": ,"lng": }], "color":"DarkRed"}</v>
      </c>
      <c r="AO174" s="266" t="s">
        <v>689</v>
      </c>
      <c r="AP174" s="56">
        <f t="shared" ca="1" si="9"/>
        <v>35.439874000000003</v>
      </c>
      <c r="AQ174" s="40" t="s">
        <v>684</v>
      </c>
      <c r="AR174" s="56">
        <f t="shared" ca="1" si="10"/>
        <v>133.342277</v>
      </c>
      <c r="AS174" s="40" t="s">
        <v>686</v>
      </c>
      <c r="AT174" s="56">
        <f t="shared" ca="1" si="11"/>
        <v>35.435943000000002</v>
      </c>
      <c r="AU174" s="40" t="s">
        <v>684</v>
      </c>
      <c r="AV174" s="56">
        <f t="shared" ca="1" si="12"/>
        <v>133.34314000000001</v>
      </c>
      <c r="AW174" s="40" t="s">
        <v>690</v>
      </c>
      <c r="AX174" s="40" t="str">
        <f t="shared" ca="1" si="13"/>
        <v>DarkRed</v>
      </c>
      <c r="AY174" s="40" t="s">
        <v>688</v>
      </c>
      <c r="AZ174" s="40" t="str">
        <f t="shared" ca="1" si="14"/>
        <v>,{"type":"polyline","latLngs":[{"lat":35.439874,"lng":133.342277},{"lat":35.435943,"lng":133.34314}],"color":"DarkRed"}</v>
      </c>
      <c r="BA174" s="40" t="s">
        <v>691</v>
      </c>
      <c r="BB174" s="56">
        <f t="shared" ca="1" si="15"/>
        <v>35.439874000000003</v>
      </c>
      <c r="BC174" s="40" t="s">
        <v>684</v>
      </c>
      <c r="BD174" s="56">
        <f t="shared" ca="1" si="16"/>
        <v>133.342277</v>
      </c>
      <c r="BE174" s="40" t="s">
        <v>692</v>
      </c>
      <c r="BF174" s="40" t="str">
        <f t="shared" ca="1" si="17"/>
        <v>DarkRed</v>
      </c>
      <c r="BG174" s="40" t="s">
        <v>688</v>
      </c>
      <c r="BH174" s="40" t="str">
        <f t="shared" ca="1" si="18"/>
        <v>,{"type":"marker","latLng":{"lat":35.439874,"lng":133.342277},"color":"DarkRed"}</v>
      </c>
      <c r="BI174" s="40" t="s">
        <v>693</v>
      </c>
      <c r="BJ174" s="40" t="s">
        <v>694</v>
      </c>
      <c r="BK174" s="267" t="str">
        <f t="shared" ca="1" si="19"/>
        <v>,{"type":"polyline","latLngs":[{"lat":35.439874,"lng":133.342277},{"lat":35.435943,"lng":133.34314}],"color":"DarkRed"}</v>
      </c>
      <c r="BL174" s="40"/>
      <c r="BM174" s="40"/>
      <c r="BN174" s="40"/>
      <c r="BO174" s="40"/>
      <c r="BP174" s="40"/>
      <c r="BQ174" s="40"/>
      <c r="BR174" s="40"/>
      <c r="BS174" s="40"/>
      <c r="BT174" s="40"/>
      <c r="BU174" s="40"/>
      <c r="BV174" s="40"/>
      <c r="BW174" s="40"/>
      <c r="BX174" s="40"/>
      <c r="BY174" s="40"/>
      <c r="BZ174" s="40"/>
      <c r="CA174" s="40"/>
      <c r="CB174" s="40"/>
      <c r="CC174" s="40"/>
      <c r="CD174" s="40"/>
      <c r="CE174" s="40"/>
      <c r="CF174" s="40"/>
      <c r="CG174" s="40"/>
      <c r="CH174" s="40"/>
    </row>
    <row r="175" spans="1:86" ht="17.5">
      <c r="A175" s="40"/>
      <c r="B175" s="260"/>
      <c r="C175" s="273"/>
      <c r="D175" s="273"/>
      <c r="E175" s="273"/>
      <c r="F175" s="40"/>
      <c r="G175" s="261"/>
      <c r="H175" s="262" t="s">
        <v>672</v>
      </c>
      <c r="I175" s="93" t="str">
        <f ca="1">IFERROR(__xludf.DUMMYFUNCTION("""COMPUTED_VALUE"""),"Agent06")</f>
        <v>Agent06</v>
      </c>
      <c r="J175" s="93" t="str">
        <f ca="1">IFERROR(__xludf.DUMMYFUNCTION("""COMPUTED_VALUE"""),"P84")</f>
        <v>P84</v>
      </c>
      <c r="K175" s="93" t="str">
        <f ca="1">IFERROR(__xludf.DUMMYFUNCTION("""COMPUTED_VALUE"""),"P69")</f>
        <v>P69</v>
      </c>
      <c r="L175" s="242" t="s">
        <v>681</v>
      </c>
      <c r="M175" s="263" t="str">
        <f t="shared" ca="1" si="0"/>
        <v>DarkRed</v>
      </c>
      <c r="N175" s="264" t="str">
        <f ca="1">IFERROR(__xludf.DUMMYFUNCTION("FILTER(C:E,B:B=J175)"),"環")</f>
        <v>環</v>
      </c>
      <c r="O175" s="265">
        <f ca="1">IFERROR(__xludf.DUMMYFUNCTION("""COMPUTED_VALUE"""),35.439874)</f>
        <v>35.439874000000003</v>
      </c>
      <c r="P175" s="265">
        <f ca="1">IFERROR(__xludf.DUMMYFUNCTION("""COMPUTED_VALUE"""),133.342277)</f>
        <v>133.342277</v>
      </c>
      <c r="Q175" s="264" t="str">
        <f ca="1">IFERROR(__xludf.DUMMYFUNCTION("FILTER(C:E,B:B=K175)"),"住居表示街区案内図 米子市東福原1丁目")</f>
        <v>住居表示街区案内図 米子市東福原1丁目</v>
      </c>
      <c r="R175" s="265">
        <f ca="1">IFERROR(__xludf.DUMMYFUNCTION("""COMPUTED_VALUE"""),35.437492)</f>
        <v>35.437491999999999</v>
      </c>
      <c r="S175" s="265">
        <f ca="1">IFERROR(__xludf.DUMMYFUNCTION("""COMPUTED_VALUE"""),133.340979)</f>
        <v>133.340979</v>
      </c>
      <c r="T175" s="264" t="str">
        <f ca="1">IFERROR(__xludf.DUMMYFUNCTION("FILTER(C:E,B:B=L175)")," ")</f>
        <v xml:space="preserve"> </v>
      </c>
      <c r="U175" s="40" t="str">
        <f ca="1">IFERROR(__xludf.DUMMYFUNCTION("""COMPUTED_VALUE""")," ")</f>
        <v xml:space="preserve"> </v>
      </c>
      <c r="V175" s="40" t="str">
        <f ca="1">IFERROR(__xludf.DUMMYFUNCTION("""COMPUTED_VALUE""")," ")</f>
        <v xml:space="preserve"> </v>
      </c>
      <c r="W175" s="40" t="str">
        <f t="shared" ca="1" si="21"/>
        <v>,</v>
      </c>
      <c r="X175" s="40" t="s">
        <v>682</v>
      </c>
      <c r="Y175" s="40" t="s">
        <v>683</v>
      </c>
      <c r="Z175" s="264">
        <f t="shared" ca="1" si="1"/>
        <v>35.439874000000003</v>
      </c>
      <c r="AA175" s="40" t="s">
        <v>684</v>
      </c>
      <c r="AB175" s="264">
        <f t="shared" ca="1" si="2"/>
        <v>133.342277</v>
      </c>
      <c r="AC175" s="40" t="s">
        <v>685</v>
      </c>
      <c r="AD175" s="264">
        <f t="shared" ca="1" si="3"/>
        <v>35.437491999999999</v>
      </c>
      <c r="AE175" s="40" t="s">
        <v>684</v>
      </c>
      <c r="AF175" s="264">
        <f t="shared" ca="1" si="4"/>
        <v>133.340979</v>
      </c>
      <c r="AG175" s="40" t="s">
        <v>686</v>
      </c>
      <c r="AH175" s="264" t="str">
        <f t="shared" ca="1" si="5"/>
        <v xml:space="preserve"> </v>
      </c>
      <c r="AI175" s="40" t="s">
        <v>684</v>
      </c>
      <c r="AJ175" s="264" t="str">
        <f t="shared" ca="1" si="6"/>
        <v xml:space="preserve"> </v>
      </c>
      <c r="AK175" s="40" t="s">
        <v>687</v>
      </c>
      <c r="AL175" s="264" t="str">
        <f t="shared" ca="1" si="7"/>
        <v>DarkRed</v>
      </c>
      <c r="AM175" s="40" t="s">
        <v>688</v>
      </c>
      <c r="AN175" s="40" t="str">
        <f t="shared" ca="1" si="8"/>
        <v>,{"type":"polygon","latLngs":[ {"lat":35.439874,"lng":133.342277}, {"lat":35.437492,"lng":133.340979},{"lat": ,"lng": }], "color":"DarkRed"}</v>
      </c>
      <c r="AO175" s="266" t="s">
        <v>689</v>
      </c>
      <c r="AP175" s="56">
        <f t="shared" ca="1" si="9"/>
        <v>35.439874000000003</v>
      </c>
      <c r="AQ175" s="40" t="s">
        <v>684</v>
      </c>
      <c r="AR175" s="56">
        <f t="shared" ca="1" si="10"/>
        <v>133.342277</v>
      </c>
      <c r="AS175" s="40" t="s">
        <v>686</v>
      </c>
      <c r="AT175" s="56">
        <f t="shared" ca="1" si="11"/>
        <v>35.437491999999999</v>
      </c>
      <c r="AU175" s="40" t="s">
        <v>684</v>
      </c>
      <c r="AV175" s="56">
        <f t="shared" ca="1" si="12"/>
        <v>133.340979</v>
      </c>
      <c r="AW175" s="40" t="s">
        <v>690</v>
      </c>
      <c r="AX175" s="40" t="str">
        <f t="shared" ca="1" si="13"/>
        <v>DarkRed</v>
      </c>
      <c r="AY175" s="40" t="s">
        <v>688</v>
      </c>
      <c r="AZ175" s="40" t="str">
        <f t="shared" ca="1" si="14"/>
        <v>,{"type":"polyline","latLngs":[{"lat":35.439874,"lng":133.342277},{"lat":35.437492,"lng":133.340979}],"color":"DarkRed"}</v>
      </c>
      <c r="BA175" s="40" t="s">
        <v>691</v>
      </c>
      <c r="BB175" s="56">
        <f t="shared" ca="1" si="15"/>
        <v>35.439874000000003</v>
      </c>
      <c r="BC175" s="40" t="s">
        <v>684</v>
      </c>
      <c r="BD175" s="56">
        <f t="shared" ca="1" si="16"/>
        <v>133.342277</v>
      </c>
      <c r="BE175" s="40" t="s">
        <v>692</v>
      </c>
      <c r="BF175" s="40" t="str">
        <f t="shared" ca="1" si="17"/>
        <v>DarkRed</v>
      </c>
      <c r="BG175" s="40" t="s">
        <v>688</v>
      </c>
      <c r="BH175" s="40" t="str">
        <f t="shared" ca="1" si="18"/>
        <v>,{"type":"marker","latLng":{"lat":35.439874,"lng":133.342277},"color":"DarkRed"}</v>
      </c>
      <c r="BI175" s="40" t="s">
        <v>693</v>
      </c>
      <c r="BJ175" s="40" t="s">
        <v>694</v>
      </c>
      <c r="BK175" s="267" t="str">
        <f t="shared" ca="1" si="19"/>
        <v>,{"type":"polyline","latLngs":[{"lat":35.439874,"lng":133.342277},{"lat":35.437492,"lng":133.340979}],"color":"DarkRed"}</v>
      </c>
      <c r="BL175" s="40"/>
      <c r="BM175" s="40"/>
      <c r="BN175" s="40"/>
    </row>
    <row r="176" spans="1:86" ht="17.5">
      <c r="A176" s="40"/>
      <c r="B176" s="260"/>
      <c r="C176" s="273"/>
      <c r="D176" s="273"/>
      <c r="E176" s="273"/>
      <c r="F176" s="40"/>
      <c r="G176" s="261"/>
      <c r="H176" s="262" t="s">
        <v>672</v>
      </c>
      <c r="I176" s="93" t="str">
        <f ca="1">IFERROR(__xludf.DUMMYFUNCTION("""COMPUTED_VALUE"""),"Agent06")</f>
        <v>Agent06</v>
      </c>
      <c r="J176" s="93" t="str">
        <f ca="1">IFERROR(__xludf.DUMMYFUNCTION("""COMPUTED_VALUE"""),"P74")</f>
        <v>P74</v>
      </c>
      <c r="K176" s="93" t="str">
        <f ca="1">IFERROR(__xludf.DUMMYFUNCTION("""COMPUTED_VALUE"""),"P102")</f>
        <v>P102</v>
      </c>
      <c r="L176" s="242" t="s">
        <v>681</v>
      </c>
      <c r="M176" s="263" t="str">
        <f t="shared" ca="1" si="0"/>
        <v>DarkRed</v>
      </c>
      <c r="N176" s="264" t="str">
        <f ca="1">IFERROR(__xludf.DUMMYFUNCTION("FILTER(C:E,B:B=J176)"),"ラッテちゃんボランティアロード")</f>
        <v>ラッテちゃんボランティアロード</v>
      </c>
      <c r="O176" s="265">
        <f ca="1">IFERROR(__xludf.DUMMYFUNCTION("""COMPUTED_VALUE"""),35.438389)</f>
        <v>35.438389000000001</v>
      </c>
      <c r="P176" s="265">
        <f ca="1">IFERROR(__xludf.DUMMYFUNCTION("""COMPUTED_VALUE"""),133.340377)</f>
        <v>133.34037699999999</v>
      </c>
      <c r="Q176" s="264" t="str">
        <f ca="1">IFERROR(__xludf.DUMMYFUNCTION("FILTER(C:E,B:B=K176)"),"西福原公園のテニスコート")</f>
        <v>西福原公園のテニスコート</v>
      </c>
      <c r="R176" s="265">
        <f ca="1">IFERROR(__xludf.DUMMYFUNCTION("""COMPUTED_VALUE"""),35.44283)</f>
        <v>35.442830000000001</v>
      </c>
      <c r="S176" s="265">
        <f ca="1">IFERROR(__xludf.DUMMYFUNCTION("""COMPUTED_VALUE"""),133.340819)</f>
        <v>133.34081900000001</v>
      </c>
      <c r="T176" s="264" t="str">
        <f ca="1">IFERROR(__xludf.DUMMYFUNCTION("FILTER(C:E,B:B=L176)")," ")</f>
        <v xml:space="preserve"> </v>
      </c>
      <c r="U176" s="40" t="str">
        <f ca="1">IFERROR(__xludf.DUMMYFUNCTION("""COMPUTED_VALUE""")," ")</f>
        <v xml:space="preserve"> </v>
      </c>
      <c r="V176" s="40" t="str">
        <f ca="1">IFERROR(__xludf.DUMMYFUNCTION("""COMPUTED_VALUE""")," ")</f>
        <v xml:space="preserve"> </v>
      </c>
      <c r="W176" s="40" t="str">
        <f t="shared" ca="1" si="21"/>
        <v>,</v>
      </c>
      <c r="X176" s="40" t="s">
        <v>682</v>
      </c>
      <c r="Y176" s="40" t="s">
        <v>683</v>
      </c>
      <c r="Z176" s="264">
        <f t="shared" ca="1" si="1"/>
        <v>35.438389000000001</v>
      </c>
      <c r="AA176" s="40" t="s">
        <v>684</v>
      </c>
      <c r="AB176" s="264">
        <f t="shared" ca="1" si="2"/>
        <v>133.34037699999999</v>
      </c>
      <c r="AC176" s="40" t="s">
        <v>685</v>
      </c>
      <c r="AD176" s="264">
        <f t="shared" ca="1" si="3"/>
        <v>35.442830000000001</v>
      </c>
      <c r="AE176" s="40" t="s">
        <v>684</v>
      </c>
      <c r="AF176" s="264">
        <f t="shared" ca="1" si="4"/>
        <v>133.34081900000001</v>
      </c>
      <c r="AG176" s="40" t="s">
        <v>686</v>
      </c>
      <c r="AH176" s="264" t="str">
        <f t="shared" ca="1" si="5"/>
        <v xml:space="preserve"> </v>
      </c>
      <c r="AI176" s="40" t="s">
        <v>684</v>
      </c>
      <c r="AJ176" s="264" t="str">
        <f t="shared" ca="1" si="6"/>
        <v xml:space="preserve"> </v>
      </c>
      <c r="AK176" s="40" t="s">
        <v>687</v>
      </c>
      <c r="AL176" s="264" t="str">
        <f t="shared" ca="1" si="7"/>
        <v>DarkRed</v>
      </c>
      <c r="AM176" s="40" t="s">
        <v>688</v>
      </c>
      <c r="AN176" s="40" t="str">
        <f t="shared" ca="1" si="8"/>
        <v>,{"type":"polygon","latLngs":[ {"lat":35.438389,"lng":133.340377}, {"lat":35.44283,"lng":133.340819},{"lat": ,"lng": }], "color":"DarkRed"}</v>
      </c>
      <c r="AO176" s="266" t="s">
        <v>689</v>
      </c>
      <c r="AP176" s="56">
        <f t="shared" ca="1" si="9"/>
        <v>35.438389000000001</v>
      </c>
      <c r="AQ176" s="40" t="s">
        <v>684</v>
      </c>
      <c r="AR176" s="56">
        <f t="shared" ca="1" si="10"/>
        <v>133.34037699999999</v>
      </c>
      <c r="AS176" s="40" t="s">
        <v>686</v>
      </c>
      <c r="AT176" s="56">
        <f t="shared" ca="1" si="11"/>
        <v>35.442830000000001</v>
      </c>
      <c r="AU176" s="40" t="s">
        <v>684</v>
      </c>
      <c r="AV176" s="56">
        <f t="shared" ca="1" si="12"/>
        <v>133.34081900000001</v>
      </c>
      <c r="AW176" s="40" t="s">
        <v>690</v>
      </c>
      <c r="AX176" s="40" t="str">
        <f t="shared" ca="1" si="13"/>
        <v>DarkRed</v>
      </c>
      <c r="AY176" s="40" t="s">
        <v>688</v>
      </c>
      <c r="AZ176" s="40" t="str">
        <f t="shared" ca="1" si="14"/>
        <v>,{"type":"polyline","latLngs":[{"lat":35.438389,"lng":133.340377},{"lat":35.44283,"lng":133.340819}],"color":"DarkRed"}</v>
      </c>
      <c r="BA176" s="40" t="s">
        <v>691</v>
      </c>
      <c r="BB176" s="56">
        <f t="shared" ca="1" si="15"/>
        <v>35.438389000000001</v>
      </c>
      <c r="BC176" s="40" t="s">
        <v>684</v>
      </c>
      <c r="BD176" s="56">
        <f t="shared" ca="1" si="16"/>
        <v>133.34037699999999</v>
      </c>
      <c r="BE176" s="40" t="s">
        <v>692</v>
      </c>
      <c r="BF176" s="40" t="str">
        <f t="shared" ca="1" si="17"/>
        <v>DarkRed</v>
      </c>
      <c r="BG176" s="40" t="s">
        <v>688</v>
      </c>
      <c r="BH176" s="40" t="str">
        <f t="shared" ca="1" si="18"/>
        <v>,{"type":"marker","latLng":{"lat":35.438389,"lng":133.340377},"color":"DarkRed"}</v>
      </c>
      <c r="BI176" s="40" t="s">
        <v>693</v>
      </c>
      <c r="BJ176" s="40" t="s">
        <v>694</v>
      </c>
      <c r="BK176" s="267" t="str">
        <f t="shared" ca="1" si="19"/>
        <v>,{"type":"polyline","latLngs":[{"lat":35.438389,"lng":133.340377},{"lat":35.44283,"lng":133.340819}],"color":"DarkRed"}</v>
      </c>
      <c r="BL176" s="40"/>
      <c r="BM176" s="40"/>
      <c r="BN176" s="40"/>
    </row>
    <row r="177" spans="2:65" ht="17.5">
      <c r="B177" s="260"/>
      <c r="C177" s="273"/>
      <c r="D177" s="273"/>
      <c r="E177" s="273"/>
      <c r="G177" s="261"/>
      <c r="H177" s="262" t="s">
        <v>672</v>
      </c>
      <c r="I177" s="93" t="str">
        <f ca="1">IFERROR(__xludf.DUMMYFUNCTION("""COMPUTED_VALUE"""),"Agent06")</f>
        <v>Agent06</v>
      </c>
      <c r="J177" s="93" t="str">
        <f ca="1">IFERROR(__xludf.DUMMYFUNCTION("""COMPUTED_VALUE"""),"P74")</f>
        <v>P74</v>
      </c>
      <c r="K177" s="93" t="str">
        <f ca="1">IFERROR(__xludf.DUMMYFUNCTION("""COMPUTED_VALUE"""),"P93")</f>
        <v>P93</v>
      </c>
      <c r="L177" s="242" t="s">
        <v>681</v>
      </c>
      <c r="M177" s="263" t="str">
        <f t="shared" ca="1" si="0"/>
        <v>DarkRed</v>
      </c>
      <c r="N177" s="264" t="str">
        <f ca="1">IFERROR(__xludf.DUMMYFUNCTION("FILTER(C:E,B:B=J177)"),"ラッテちゃんボランティアロード")</f>
        <v>ラッテちゃんボランティアロード</v>
      </c>
      <c r="O177" s="265">
        <f ca="1">IFERROR(__xludf.DUMMYFUNCTION("""COMPUTED_VALUE"""),35.438389)</f>
        <v>35.438389000000001</v>
      </c>
      <c r="P177" s="265">
        <f ca="1">IFERROR(__xludf.DUMMYFUNCTION("""COMPUTED_VALUE"""),133.340377)</f>
        <v>133.34037699999999</v>
      </c>
      <c r="Q177" s="264" t="str">
        <f ca="1">IFERROR(__xludf.DUMMYFUNCTION("FILTER(C:E,B:B=K177)"),"少林寺拳法 米子東道院")</f>
        <v>少林寺拳法 米子東道院</v>
      </c>
      <c r="R177" s="265">
        <f ca="1">IFERROR(__xludf.DUMMYFUNCTION("""COMPUTED_VALUE"""),35.44059)</f>
        <v>35.44059</v>
      </c>
      <c r="S177" s="265">
        <f ca="1">IFERROR(__xludf.DUMMYFUNCTION("""COMPUTED_VALUE"""),133.337873)</f>
        <v>133.337873</v>
      </c>
      <c r="T177" s="264" t="str">
        <f ca="1">IFERROR(__xludf.DUMMYFUNCTION("FILTER(C:E,B:B=L177)")," ")</f>
        <v xml:space="preserve"> </v>
      </c>
      <c r="U177" s="40" t="str">
        <f ca="1">IFERROR(__xludf.DUMMYFUNCTION("""COMPUTED_VALUE""")," ")</f>
        <v xml:space="preserve"> </v>
      </c>
      <c r="V177" s="40" t="str">
        <f ca="1">IFERROR(__xludf.DUMMYFUNCTION("""COMPUTED_VALUE""")," ")</f>
        <v xml:space="preserve"> </v>
      </c>
      <c r="W177" s="40" t="str">
        <f t="shared" ca="1" si="21"/>
        <v>,</v>
      </c>
      <c r="X177" s="40" t="s">
        <v>682</v>
      </c>
      <c r="Y177" s="40" t="s">
        <v>683</v>
      </c>
      <c r="Z177" s="264">
        <f t="shared" ca="1" si="1"/>
        <v>35.438389000000001</v>
      </c>
      <c r="AA177" s="40" t="s">
        <v>684</v>
      </c>
      <c r="AB177" s="264">
        <f t="shared" ca="1" si="2"/>
        <v>133.34037699999999</v>
      </c>
      <c r="AC177" s="40" t="s">
        <v>685</v>
      </c>
      <c r="AD177" s="264">
        <f t="shared" ca="1" si="3"/>
        <v>35.44059</v>
      </c>
      <c r="AE177" s="40" t="s">
        <v>684</v>
      </c>
      <c r="AF177" s="264">
        <f t="shared" ca="1" si="4"/>
        <v>133.337873</v>
      </c>
      <c r="AG177" s="40" t="s">
        <v>686</v>
      </c>
      <c r="AH177" s="264" t="str">
        <f t="shared" ca="1" si="5"/>
        <v xml:space="preserve"> </v>
      </c>
      <c r="AI177" s="40" t="s">
        <v>684</v>
      </c>
      <c r="AJ177" s="264" t="str">
        <f t="shared" ca="1" si="6"/>
        <v xml:space="preserve"> </v>
      </c>
      <c r="AK177" s="40" t="s">
        <v>687</v>
      </c>
      <c r="AL177" s="264" t="str">
        <f t="shared" ca="1" si="7"/>
        <v>DarkRed</v>
      </c>
      <c r="AM177" s="40" t="s">
        <v>688</v>
      </c>
      <c r="AN177" s="40" t="str">
        <f t="shared" ca="1" si="8"/>
        <v>,{"type":"polygon","latLngs":[ {"lat":35.438389,"lng":133.340377}, {"lat":35.44059,"lng":133.337873},{"lat": ,"lng": }], "color":"DarkRed"}</v>
      </c>
      <c r="AO177" s="266" t="s">
        <v>689</v>
      </c>
      <c r="AP177" s="56">
        <f t="shared" ca="1" si="9"/>
        <v>35.438389000000001</v>
      </c>
      <c r="AQ177" s="40" t="s">
        <v>684</v>
      </c>
      <c r="AR177" s="56">
        <f t="shared" ca="1" si="10"/>
        <v>133.34037699999999</v>
      </c>
      <c r="AS177" s="40" t="s">
        <v>686</v>
      </c>
      <c r="AT177" s="56">
        <f t="shared" ca="1" si="11"/>
        <v>35.44059</v>
      </c>
      <c r="AU177" s="40" t="s">
        <v>684</v>
      </c>
      <c r="AV177" s="56">
        <f t="shared" ca="1" si="12"/>
        <v>133.337873</v>
      </c>
      <c r="AW177" s="40" t="s">
        <v>690</v>
      </c>
      <c r="AX177" s="40" t="str">
        <f t="shared" ca="1" si="13"/>
        <v>DarkRed</v>
      </c>
      <c r="AY177" s="40" t="s">
        <v>688</v>
      </c>
      <c r="AZ177" s="40" t="str">
        <f t="shared" ca="1" si="14"/>
        <v>,{"type":"polyline","latLngs":[{"lat":35.438389,"lng":133.340377},{"lat":35.44059,"lng":133.337873}],"color":"DarkRed"}</v>
      </c>
      <c r="BA177" s="40" t="s">
        <v>691</v>
      </c>
      <c r="BB177" s="56">
        <f t="shared" ca="1" si="15"/>
        <v>35.438389000000001</v>
      </c>
      <c r="BC177" s="40" t="s">
        <v>684</v>
      </c>
      <c r="BD177" s="56">
        <f t="shared" ca="1" si="16"/>
        <v>133.34037699999999</v>
      </c>
      <c r="BE177" s="40" t="s">
        <v>692</v>
      </c>
      <c r="BF177" s="40" t="str">
        <f t="shared" ca="1" si="17"/>
        <v>DarkRed</v>
      </c>
      <c r="BG177" s="40" t="s">
        <v>688</v>
      </c>
      <c r="BH177" s="40" t="str">
        <f t="shared" ca="1" si="18"/>
        <v>,{"type":"marker","latLng":{"lat":35.438389,"lng":133.340377},"color":"DarkRed"}</v>
      </c>
      <c r="BI177" s="40" t="s">
        <v>693</v>
      </c>
      <c r="BJ177" s="40" t="s">
        <v>694</v>
      </c>
      <c r="BK177" s="267" t="str">
        <f t="shared" ca="1" si="19"/>
        <v>,{"type":"polyline","latLngs":[{"lat":35.438389,"lng":133.340377},{"lat":35.44059,"lng":133.337873}],"color":"DarkRed"}</v>
      </c>
      <c r="BL177" s="40"/>
      <c r="BM177" s="40"/>
    </row>
    <row r="178" spans="2:65" ht="17.5">
      <c r="B178" s="260"/>
      <c r="C178" s="273"/>
      <c r="D178" s="273"/>
      <c r="E178" s="273"/>
      <c r="G178" s="261"/>
      <c r="H178" s="262" t="s">
        <v>672</v>
      </c>
      <c r="I178" s="93" t="str">
        <f ca="1">IFERROR(__xludf.DUMMYFUNCTION("""COMPUTED_VALUE"""),"Agent06")</f>
        <v>Agent06</v>
      </c>
      <c r="J178" s="93" t="str">
        <f ca="1">IFERROR(__xludf.DUMMYFUNCTION("""COMPUTED_VALUE"""),"P74")</f>
        <v>P74</v>
      </c>
      <c r="K178" s="93" t="str">
        <f ca="1">IFERROR(__xludf.DUMMYFUNCTION("""COMPUTED_VALUE"""),"P90")</f>
        <v>P90</v>
      </c>
      <c r="L178" s="242" t="s">
        <v>681</v>
      </c>
      <c r="M178" s="263" t="str">
        <f t="shared" ca="1" si="0"/>
        <v>DarkRed</v>
      </c>
      <c r="N178" s="264" t="str">
        <f ca="1">IFERROR(__xludf.DUMMYFUNCTION("FILTER(C:E,B:B=J178)"),"ラッテちゃんボランティアロード")</f>
        <v>ラッテちゃんボランティアロード</v>
      </c>
      <c r="O178" s="265">
        <f ca="1">IFERROR(__xludf.DUMMYFUNCTION("""COMPUTED_VALUE"""),35.438389)</f>
        <v>35.438389000000001</v>
      </c>
      <c r="P178" s="265">
        <f ca="1">IFERROR(__xludf.DUMMYFUNCTION("""COMPUTED_VALUE"""),133.340377)</f>
        <v>133.34037699999999</v>
      </c>
      <c r="Q178" s="264" t="str">
        <f ca="1">IFERROR(__xludf.DUMMYFUNCTION("FILTER(C:E,B:B=K178)"),"ラーメンつけ麺 今を粋ろ")</f>
        <v>ラーメンつけ麺 今を粋ろ</v>
      </c>
      <c r="R178" s="265">
        <f ca="1">IFERROR(__xludf.DUMMYFUNCTION("""COMPUTED_VALUE"""),35.440347)</f>
        <v>35.440347000000003</v>
      </c>
      <c r="S178" s="265">
        <f ca="1">IFERROR(__xludf.DUMMYFUNCTION("""COMPUTED_VALUE"""),133.338541)</f>
        <v>133.33854099999999</v>
      </c>
      <c r="T178" s="264" t="str">
        <f ca="1">IFERROR(__xludf.DUMMYFUNCTION("FILTER(C:E,B:B=L178)")," ")</f>
        <v xml:space="preserve"> </v>
      </c>
      <c r="U178" s="40" t="str">
        <f ca="1">IFERROR(__xludf.DUMMYFUNCTION("""COMPUTED_VALUE""")," ")</f>
        <v xml:space="preserve"> </v>
      </c>
      <c r="V178" s="40" t="str">
        <f ca="1">IFERROR(__xludf.DUMMYFUNCTION("""COMPUTED_VALUE""")," ")</f>
        <v xml:space="preserve"> </v>
      </c>
      <c r="W178" s="40" t="str">
        <f t="shared" ca="1" si="21"/>
        <v>,</v>
      </c>
      <c r="X178" s="40" t="s">
        <v>682</v>
      </c>
      <c r="Y178" s="40" t="s">
        <v>683</v>
      </c>
      <c r="Z178" s="264">
        <f t="shared" ca="1" si="1"/>
        <v>35.438389000000001</v>
      </c>
      <c r="AA178" s="40" t="s">
        <v>684</v>
      </c>
      <c r="AB178" s="264">
        <f t="shared" ca="1" si="2"/>
        <v>133.34037699999999</v>
      </c>
      <c r="AC178" s="40" t="s">
        <v>685</v>
      </c>
      <c r="AD178" s="264">
        <f t="shared" ca="1" si="3"/>
        <v>35.440347000000003</v>
      </c>
      <c r="AE178" s="40" t="s">
        <v>684</v>
      </c>
      <c r="AF178" s="264">
        <f t="shared" ca="1" si="4"/>
        <v>133.33854099999999</v>
      </c>
      <c r="AG178" s="40" t="s">
        <v>686</v>
      </c>
      <c r="AH178" s="264" t="str">
        <f t="shared" ca="1" si="5"/>
        <v xml:space="preserve"> </v>
      </c>
      <c r="AI178" s="40" t="s">
        <v>684</v>
      </c>
      <c r="AJ178" s="264" t="str">
        <f t="shared" ca="1" si="6"/>
        <v xml:space="preserve"> </v>
      </c>
      <c r="AK178" s="40" t="s">
        <v>687</v>
      </c>
      <c r="AL178" s="264" t="str">
        <f t="shared" ca="1" si="7"/>
        <v>DarkRed</v>
      </c>
      <c r="AM178" s="40" t="s">
        <v>688</v>
      </c>
      <c r="AN178" s="40" t="str">
        <f t="shared" ca="1" si="8"/>
        <v>,{"type":"polygon","latLngs":[ {"lat":35.438389,"lng":133.340377}, {"lat":35.440347,"lng":133.338541},{"lat": ,"lng": }], "color":"DarkRed"}</v>
      </c>
      <c r="AO178" s="266" t="s">
        <v>689</v>
      </c>
      <c r="AP178" s="56">
        <f t="shared" ca="1" si="9"/>
        <v>35.438389000000001</v>
      </c>
      <c r="AQ178" s="40" t="s">
        <v>684</v>
      </c>
      <c r="AR178" s="56">
        <f t="shared" ca="1" si="10"/>
        <v>133.34037699999999</v>
      </c>
      <c r="AS178" s="40" t="s">
        <v>686</v>
      </c>
      <c r="AT178" s="56">
        <f t="shared" ca="1" si="11"/>
        <v>35.440347000000003</v>
      </c>
      <c r="AU178" s="40" t="s">
        <v>684</v>
      </c>
      <c r="AV178" s="56">
        <f t="shared" ca="1" si="12"/>
        <v>133.33854099999999</v>
      </c>
      <c r="AW178" s="40" t="s">
        <v>690</v>
      </c>
      <c r="AX178" s="40" t="str">
        <f t="shared" ca="1" si="13"/>
        <v>DarkRed</v>
      </c>
      <c r="AY178" s="40" t="s">
        <v>688</v>
      </c>
      <c r="AZ178" s="40" t="str">
        <f t="shared" ca="1" si="14"/>
        <v>,{"type":"polyline","latLngs":[{"lat":35.438389,"lng":133.340377},{"lat":35.440347,"lng":133.338541}],"color":"DarkRed"}</v>
      </c>
      <c r="BA178" s="40" t="s">
        <v>691</v>
      </c>
      <c r="BB178" s="56">
        <f t="shared" ca="1" si="15"/>
        <v>35.438389000000001</v>
      </c>
      <c r="BC178" s="40" t="s">
        <v>684</v>
      </c>
      <c r="BD178" s="56">
        <f t="shared" ca="1" si="16"/>
        <v>133.34037699999999</v>
      </c>
      <c r="BE178" s="40" t="s">
        <v>692</v>
      </c>
      <c r="BF178" s="40" t="str">
        <f t="shared" ca="1" si="17"/>
        <v>DarkRed</v>
      </c>
      <c r="BG178" s="40" t="s">
        <v>688</v>
      </c>
      <c r="BH178" s="40" t="str">
        <f t="shared" ca="1" si="18"/>
        <v>,{"type":"marker","latLng":{"lat":35.438389,"lng":133.340377},"color":"DarkRed"}</v>
      </c>
      <c r="BI178" s="40" t="s">
        <v>693</v>
      </c>
      <c r="BJ178" s="40" t="s">
        <v>694</v>
      </c>
      <c r="BK178" s="267" t="str">
        <f t="shared" ca="1" si="19"/>
        <v>,{"type":"polyline","latLngs":[{"lat":35.438389,"lng":133.340377},{"lat":35.440347,"lng":133.338541}],"color":"DarkRed"}</v>
      </c>
      <c r="BL178" s="40"/>
      <c r="BM178" s="40"/>
    </row>
    <row r="179" spans="2:65" ht="17.5">
      <c r="B179" s="260"/>
      <c r="C179" s="273"/>
      <c r="D179" s="273"/>
      <c r="E179" s="273"/>
      <c r="G179" s="261"/>
      <c r="H179" s="262" t="s">
        <v>672</v>
      </c>
      <c r="I179" s="93" t="str">
        <f ca="1">IFERROR(__xludf.DUMMYFUNCTION("""COMPUTED_VALUE"""),"Agent07")</f>
        <v>Agent07</v>
      </c>
      <c r="J179" s="93" t="str">
        <f ca="1">IFERROR(__xludf.DUMMYFUNCTION("""COMPUTED_VALUE"""),"P64")</f>
        <v>P64</v>
      </c>
      <c r="K179" s="93" t="str">
        <f ca="1">IFERROR(__xludf.DUMMYFUNCTION("""COMPUTED_VALUE"""),"P59")</f>
        <v>P59</v>
      </c>
      <c r="L179" s="242" t="s">
        <v>681</v>
      </c>
      <c r="M179" s="263" t="str">
        <f t="shared" ca="1" si="0"/>
        <v>crimson</v>
      </c>
      <c r="N179" s="264" t="str">
        <f ca="1">IFERROR(__xludf.DUMMYFUNCTION("FILTER(C:E,B:B=J179)"),"日ノ出公園")</f>
        <v>日ノ出公園</v>
      </c>
      <c r="O179" s="265">
        <f ca="1">IFERROR(__xludf.DUMMYFUNCTION("""COMPUTED_VALUE"""),35.436211)</f>
        <v>35.436211</v>
      </c>
      <c r="P179" s="265">
        <f ca="1">IFERROR(__xludf.DUMMYFUNCTION("""COMPUTED_VALUE"""),133.33606)</f>
        <v>133.33606</v>
      </c>
      <c r="Q179" s="264" t="str">
        <f ca="1">IFERROR(__xludf.DUMMYFUNCTION("FILTER(C:E,B:B=K179)"),"YSP ボウル")</f>
        <v>YSP ボウル</v>
      </c>
      <c r="R179" s="265">
        <f ca="1">IFERROR(__xludf.DUMMYFUNCTION("""COMPUTED_VALUE"""),35.435423)</f>
        <v>35.435423</v>
      </c>
      <c r="S179" s="265">
        <f ca="1">IFERROR(__xludf.DUMMYFUNCTION("""COMPUTED_VALUE"""),133.337067)</f>
        <v>133.33706699999999</v>
      </c>
      <c r="T179" s="264" t="str">
        <f ca="1">IFERROR(__xludf.DUMMYFUNCTION("FILTER(C:E,B:B=L179)")," ")</f>
        <v xml:space="preserve"> </v>
      </c>
      <c r="U179" s="40" t="str">
        <f ca="1">IFERROR(__xludf.DUMMYFUNCTION("""COMPUTED_VALUE""")," ")</f>
        <v xml:space="preserve"> </v>
      </c>
      <c r="V179" s="40" t="str">
        <f ca="1">IFERROR(__xludf.DUMMYFUNCTION("""COMPUTED_VALUE""")," ")</f>
        <v xml:space="preserve"> </v>
      </c>
      <c r="W179" s="40" t="str">
        <f t="shared" ca="1" si="21"/>
        <v>,</v>
      </c>
      <c r="X179" s="40" t="s">
        <v>682</v>
      </c>
      <c r="Y179" s="40" t="s">
        <v>683</v>
      </c>
      <c r="Z179" s="264">
        <f t="shared" ca="1" si="1"/>
        <v>35.436211</v>
      </c>
      <c r="AA179" s="40" t="s">
        <v>684</v>
      </c>
      <c r="AB179" s="264">
        <f t="shared" ca="1" si="2"/>
        <v>133.33606</v>
      </c>
      <c r="AC179" s="40" t="s">
        <v>685</v>
      </c>
      <c r="AD179" s="264">
        <f t="shared" ca="1" si="3"/>
        <v>35.435423</v>
      </c>
      <c r="AE179" s="40" t="s">
        <v>684</v>
      </c>
      <c r="AF179" s="264">
        <f t="shared" ca="1" si="4"/>
        <v>133.33706699999999</v>
      </c>
      <c r="AG179" s="40" t="s">
        <v>686</v>
      </c>
      <c r="AH179" s="264" t="str">
        <f t="shared" ca="1" si="5"/>
        <v xml:space="preserve"> </v>
      </c>
      <c r="AI179" s="40" t="s">
        <v>684</v>
      </c>
      <c r="AJ179" s="264" t="str">
        <f t="shared" ca="1" si="6"/>
        <v xml:space="preserve"> </v>
      </c>
      <c r="AK179" s="40" t="s">
        <v>687</v>
      </c>
      <c r="AL179" s="264" t="str">
        <f t="shared" ca="1" si="7"/>
        <v>crimson</v>
      </c>
      <c r="AM179" s="40" t="s">
        <v>688</v>
      </c>
      <c r="AN179" s="40" t="str">
        <f t="shared" ca="1" si="8"/>
        <v>,{"type":"polygon","latLngs":[ {"lat":35.436211,"lng":133.33606}, {"lat":35.435423,"lng":133.337067},{"lat": ,"lng": }], "color":"crimson"}</v>
      </c>
      <c r="AO179" s="266" t="s">
        <v>689</v>
      </c>
      <c r="AP179" s="56">
        <f t="shared" ca="1" si="9"/>
        <v>35.436211</v>
      </c>
      <c r="AQ179" s="40" t="s">
        <v>684</v>
      </c>
      <c r="AR179" s="56">
        <f t="shared" ca="1" si="10"/>
        <v>133.33606</v>
      </c>
      <c r="AS179" s="40" t="s">
        <v>686</v>
      </c>
      <c r="AT179" s="56">
        <f t="shared" ca="1" si="11"/>
        <v>35.435423</v>
      </c>
      <c r="AU179" s="40" t="s">
        <v>684</v>
      </c>
      <c r="AV179" s="56">
        <f t="shared" ca="1" si="12"/>
        <v>133.33706699999999</v>
      </c>
      <c r="AW179" s="40" t="s">
        <v>690</v>
      </c>
      <c r="AX179" s="40" t="str">
        <f t="shared" ca="1" si="13"/>
        <v>crimson</v>
      </c>
      <c r="AY179" s="40" t="s">
        <v>688</v>
      </c>
      <c r="AZ179" s="40" t="str">
        <f t="shared" ca="1" si="14"/>
        <v>,{"type":"polyline","latLngs":[{"lat":35.436211,"lng":133.33606},{"lat":35.435423,"lng":133.337067}],"color":"crimson"}</v>
      </c>
      <c r="BA179" s="40" t="s">
        <v>691</v>
      </c>
      <c r="BB179" s="56">
        <f t="shared" ca="1" si="15"/>
        <v>35.436211</v>
      </c>
      <c r="BC179" s="40" t="s">
        <v>684</v>
      </c>
      <c r="BD179" s="56">
        <f t="shared" ca="1" si="16"/>
        <v>133.33606</v>
      </c>
      <c r="BE179" s="40" t="s">
        <v>692</v>
      </c>
      <c r="BF179" s="40" t="str">
        <f t="shared" ca="1" si="17"/>
        <v>crimson</v>
      </c>
      <c r="BG179" s="40" t="s">
        <v>688</v>
      </c>
      <c r="BH179" s="40" t="str">
        <f t="shared" ca="1" si="18"/>
        <v>,{"type":"marker","latLng":{"lat":35.436211,"lng":133.33606},"color":"crimson"}</v>
      </c>
      <c r="BI179" s="40" t="s">
        <v>693</v>
      </c>
      <c r="BJ179" s="40" t="s">
        <v>694</v>
      </c>
      <c r="BK179" s="267" t="str">
        <f t="shared" ca="1" si="19"/>
        <v>,{"type":"polyline","latLngs":[{"lat":35.436211,"lng":133.33606},{"lat":35.435423,"lng":133.337067}],"color":"crimson"}</v>
      </c>
      <c r="BL179" s="40"/>
      <c r="BM179" s="40"/>
    </row>
    <row r="180" spans="2:65" ht="17.5">
      <c r="B180" s="260"/>
      <c r="C180" s="273"/>
      <c r="D180" s="273"/>
      <c r="E180" s="273"/>
      <c r="G180" s="261"/>
      <c r="H180" s="262" t="s">
        <v>672</v>
      </c>
      <c r="I180" s="93" t="str">
        <f ca="1">IFERROR(__xludf.DUMMYFUNCTION("""COMPUTED_VALUE"""),"Agent07")</f>
        <v>Agent07</v>
      </c>
      <c r="J180" s="93" t="str">
        <f ca="1">IFERROR(__xludf.DUMMYFUNCTION("""COMPUTED_VALUE"""),"P66")</f>
        <v>P66</v>
      </c>
      <c r="K180" s="93" t="str">
        <f ca="1">IFERROR(__xludf.DUMMYFUNCTION("""COMPUTED_VALUE"""),"P64")</f>
        <v>P64</v>
      </c>
      <c r="L180" s="242" t="s">
        <v>681</v>
      </c>
      <c r="M180" s="263" t="str">
        <f t="shared" ca="1" si="0"/>
        <v>crimson</v>
      </c>
      <c r="N180" s="264" t="str">
        <f ca="1">IFERROR(__xludf.DUMMYFUNCTION("FILTER(C:E,B:B=J180)"),"真如苑 米子支部")</f>
        <v>真如苑 米子支部</v>
      </c>
      <c r="O180" s="265">
        <f ca="1">IFERROR(__xludf.DUMMYFUNCTION("""COMPUTED_VALUE"""),35.43696)</f>
        <v>35.436959999999999</v>
      </c>
      <c r="P180" s="265">
        <f ca="1">IFERROR(__xludf.DUMMYFUNCTION("""COMPUTED_VALUE"""),133.337768)</f>
        <v>133.33776800000001</v>
      </c>
      <c r="Q180" s="264" t="str">
        <f ca="1">IFERROR(__xludf.DUMMYFUNCTION("FILTER(C:E,B:B=K180)"),"日ノ出公園")</f>
        <v>日ノ出公園</v>
      </c>
      <c r="R180" s="265">
        <f ca="1">IFERROR(__xludf.DUMMYFUNCTION("""COMPUTED_VALUE"""),35.436211)</f>
        <v>35.436211</v>
      </c>
      <c r="S180" s="265">
        <f ca="1">IFERROR(__xludf.DUMMYFUNCTION("""COMPUTED_VALUE"""),133.33606)</f>
        <v>133.33606</v>
      </c>
      <c r="T180" s="264" t="str">
        <f ca="1">IFERROR(__xludf.DUMMYFUNCTION("FILTER(C:E,B:B=L180)")," ")</f>
        <v xml:space="preserve"> </v>
      </c>
      <c r="U180" s="40" t="str">
        <f ca="1">IFERROR(__xludf.DUMMYFUNCTION("""COMPUTED_VALUE""")," ")</f>
        <v xml:space="preserve"> </v>
      </c>
      <c r="V180" s="40" t="str">
        <f ca="1">IFERROR(__xludf.DUMMYFUNCTION("""COMPUTED_VALUE""")," ")</f>
        <v xml:space="preserve"> </v>
      </c>
      <c r="W180" s="40" t="str">
        <f t="shared" ca="1" si="21"/>
        <v>,</v>
      </c>
      <c r="X180" s="40" t="s">
        <v>682</v>
      </c>
      <c r="Y180" s="40" t="s">
        <v>683</v>
      </c>
      <c r="Z180" s="264">
        <f t="shared" ca="1" si="1"/>
        <v>35.436959999999999</v>
      </c>
      <c r="AA180" s="40" t="s">
        <v>684</v>
      </c>
      <c r="AB180" s="264">
        <f t="shared" ca="1" si="2"/>
        <v>133.33776800000001</v>
      </c>
      <c r="AC180" s="40" t="s">
        <v>685</v>
      </c>
      <c r="AD180" s="264">
        <f t="shared" ca="1" si="3"/>
        <v>35.436211</v>
      </c>
      <c r="AE180" s="40" t="s">
        <v>684</v>
      </c>
      <c r="AF180" s="264">
        <f t="shared" ca="1" si="4"/>
        <v>133.33606</v>
      </c>
      <c r="AG180" s="40" t="s">
        <v>686</v>
      </c>
      <c r="AH180" s="264" t="str">
        <f t="shared" ca="1" si="5"/>
        <v xml:space="preserve"> </v>
      </c>
      <c r="AI180" s="40" t="s">
        <v>684</v>
      </c>
      <c r="AJ180" s="264" t="str">
        <f t="shared" ca="1" si="6"/>
        <v xml:space="preserve"> </v>
      </c>
      <c r="AK180" s="40" t="s">
        <v>687</v>
      </c>
      <c r="AL180" s="264" t="str">
        <f t="shared" ca="1" si="7"/>
        <v>crimson</v>
      </c>
      <c r="AM180" s="40" t="s">
        <v>688</v>
      </c>
      <c r="AN180" s="40" t="str">
        <f t="shared" ca="1" si="8"/>
        <v>,{"type":"polygon","latLngs":[ {"lat":35.43696,"lng":133.337768}, {"lat":35.436211,"lng":133.33606},{"lat": ,"lng": }], "color":"crimson"}</v>
      </c>
      <c r="AO180" s="266" t="s">
        <v>689</v>
      </c>
      <c r="AP180" s="56">
        <f t="shared" ca="1" si="9"/>
        <v>35.436959999999999</v>
      </c>
      <c r="AQ180" s="40" t="s">
        <v>684</v>
      </c>
      <c r="AR180" s="56">
        <f t="shared" ca="1" si="10"/>
        <v>133.33776800000001</v>
      </c>
      <c r="AS180" s="40" t="s">
        <v>686</v>
      </c>
      <c r="AT180" s="56">
        <f t="shared" ca="1" si="11"/>
        <v>35.436211</v>
      </c>
      <c r="AU180" s="40" t="s">
        <v>684</v>
      </c>
      <c r="AV180" s="56">
        <f t="shared" ca="1" si="12"/>
        <v>133.33606</v>
      </c>
      <c r="AW180" s="40" t="s">
        <v>690</v>
      </c>
      <c r="AX180" s="40" t="str">
        <f t="shared" ca="1" si="13"/>
        <v>crimson</v>
      </c>
      <c r="AY180" s="40" t="s">
        <v>688</v>
      </c>
      <c r="AZ180" s="40" t="str">
        <f t="shared" ca="1" si="14"/>
        <v>,{"type":"polyline","latLngs":[{"lat":35.43696,"lng":133.337768},{"lat":35.436211,"lng":133.33606}],"color":"crimson"}</v>
      </c>
      <c r="BA180" s="40" t="s">
        <v>691</v>
      </c>
      <c r="BB180" s="56">
        <f t="shared" ca="1" si="15"/>
        <v>35.436959999999999</v>
      </c>
      <c r="BC180" s="40" t="s">
        <v>684</v>
      </c>
      <c r="BD180" s="56">
        <f t="shared" ca="1" si="16"/>
        <v>133.33776800000001</v>
      </c>
      <c r="BE180" s="40" t="s">
        <v>692</v>
      </c>
      <c r="BF180" s="40" t="str">
        <f t="shared" ca="1" si="17"/>
        <v>crimson</v>
      </c>
      <c r="BG180" s="40" t="s">
        <v>688</v>
      </c>
      <c r="BH180" s="40" t="str">
        <f t="shared" ca="1" si="18"/>
        <v>,{"type":"marker","latLng":{"lat":35.43696,"lng":133.337768},"color":"crimson"}</v>
      </c>
      <c r="BI180" s="40" t="s">
        <v>693</v>
      </c>
      <c r="BJ180" s="40" t="s">
        <v>694</v>
      </c>
      <c r="BK180" s="267" t="str">
        <f t="shared" ca="1" si="19"/>
        <v>,{"type":"polyline","latLngs":[{"lat":35.43696,"lng":133.337768},{"lat":35.436211,"lng":133.33606}],"color":"crimson"}</v>
      </c>
      <c r="BL180" s="40"/>
      <c r="BM180" s="40"/>
    </row>
    <row r="181" spans="2:65" ht="17.5">
      <c r="C181" s="273"/>
      <c r="D181" s="273"/>
      <c r="E181" s="273"/>
      <c r="G181" s="261"/>
      <c r="H181" s="262" t="s">
        <v>672</v>
      </c>
      <c r="I181" s="93" t="str">
        <f ca="1">IFERROR(__xludf.DUMMYFUNCTION("""COMPUTED_VALUE"""),"Agent07")</f>
        <v>Agent07</v>
      </c>
      <c r="J181" s="93" t="str">
        <f ca="1">IFERROR(__xludf.DUMMYFUNCTION("""COMPUTED_VALUE"""),"P66")</f>
        <v>P66</v>
      </c>
      <c r="K181" s="93" t="str">
        <f ca="1">IFERROR(__xludf.DUMMYFUNCTION("""COMPUTED_VALUE"""),"P59")</f>
        <v>P59</v>
      </c>
      <c r="L181" s="242" t="s">
        <v>681</v>
      </c>
      <c r="M181" s="263" t="str">
        <f t="shared" ca="1" si="0"/>
        <v>crimson</v>
      </c>
      <c r="N181" s="264" t="str">
        <f ca="1">IFERROR(__xludf.DUMMYFUNCTION("FILTER(C:E,B:B=J181)"),"真如苑 米子支部")</f>
        <v>真如苑 米子支部</v>
      </c>
      <c r="O181" s="265">
        <f ca="1">IFERROR(__xludf.DUMMYFUNCTION("""COMPUTED_VALUE"""),35.43696)</f>
        <v>35.436959999999999</v>
      </c>
      <c r="P181" s="265">
        <f ca="1">IFERROR(__xludf.DUMMYFUNCTION("""COMPUTED_VALUE"""),133.337768)</f>
        <v>133.33776800000001</v>
      </c>
      <c r="Q181" s="264" t="str">
        <f ca="1">IFERROR(__xludf.DUMMYFUNCTION("FILTER(C:E,B:B=K181)"),"YSP ボウル")</f>
        <v>YSP ボウル</v>
      </c>
      <c r="R181" s="265">
        <f ca="1">IFERROR(__xludf.DUMMYFUNCTION("""COMPUTED_VALUE"""),35.435423)</f>
        <v>35.435423</v>
      </c>
      <c r="S181" s="265">
        <f ca="1">IFERROR(__xludf.DUMMYFUNCTION("""COMPUTED_VALUE"""),133.337067)</f>
        <v>133.33706699999999</v>
      </c>
      <c r="T181" s="264" t="str">
        <f ca="1">IFERROR(__xludf.DUMMYFUNCTION("FILTER(C:E,B:B=L181)")," ")</f>
        <v xml:space="preserve"> </v>
      </c>
      <c r="U181" s="40" t="str">
        <f ca="1">IFERROR(__xludf.DUMMYFUNCTION("""COMPUTED_VALUE""")," ")</f>
        <v xml:space="preserve"> </v>
      </c>
      <c r="V181" s="40" t="str">
        <f ca="1">IFERROR(__xludf.DUMMYFUNCTION("""COMPUTED_VALUE""")," ")</f>
        <v xml:space="preserve"> </v>
      </c>
      <c r="W181" s="40" t="str">
        <f t="shared" ca="1" si="21"/>
        <v>,</v>
      </c>
      <c r="X181" s="40" t="s">
        <v>682</v>
      </c>
      <c r="Y181" s="40" t="s">
        <v>683</v>
      </c>
      <c r="Z181" s="264">
        <f t="shared" ca="1" si="1"/>
        <v>35.436959999999999</v>
      </c>
      <c r="AA181" s="40" t="s">
        <v>684</v>
      </c>
      <c r="AB181" s="264">
        <f t="shared" ca="1" si="2"/>
        <v>133.33776800000001</v>
      </c>
      <c r="AC181" s="40" t="s">
        <v>685</v>
      </c>
      <c r="AD181" s="264">
        <f t="shared" ca="1" si="3"/>
        <v>35.435423</v>
      </c>
      <c r="AE181" s="40" t="s">
        <v>684</v>
      </c>
      <c r="AF181" s="264">
        <f t="shared" ca="1" si="4"/>
        <v>133.33706699999999</v>
      </c>
      <c r="AG181" s="40" t="s">
        <v>686</v>
      </c>
      <c r="AH181" s="264" t="str">
        <f t="shared" ca="1" si="5"/>
        <v xml:space="preserve"> </v>
      </c>
      <c r="AI181" s="40" t="s">
        <v>684</v>
      </c>
      <c r="AJ181" s="264" t="str">
        <f t="shared" ca="1" si="6"/>
        <v xml:space="preserve"> </v>
      </c>
      <c r="AK181" s="40" t="s">
        <v>687</v>
      </c>
      <c r="AL181" s="264" t="str">
        <f t="shared" ca="1" si="7"/>
        <v>crimson</v>
      </c>
      <c r="AM181" s="40" t="s">
        <v>688</v>
      </c>
      <c r="AN181" s="40" t="str">
        <f t="shared" ca="1" si="8"/>
        <v>,{"type":"polygon","latLngs":[ {"lat":35.43696,"lng":133.337768}, {"lat":35.435423,"lng":133.337067},{"lat": ,"lng": }], "color":"crimson"}</v>
      </c>
      <c r="AO181" s="266" t="s">
        <v>689</v>
      </c>
      <c r="AP181" s="56">
        <f t="shared" ca="1" si="9"/>
        <v>35.436959999999999</v>
      </c>
      <c r="AQ181" s="40" t="s">
        <v>684</v>
      </c>
      <c r="AR181" s="56">
        <f t="shared" ca="1" si="10"/>
        <v>133.33776800000001</v>
      </c>
      <c r="AS181" s="40" t="s">
        <v>686</v>
      </c>
      <c r="AT181" s="56">
        <f t="shared" ca="1" si="11"/>
        <v>35.435423</v>
      </c>
      <c r="AU181" s="40" t="s">
        <v>684</v>
      </c>
      <c r="AV181" s="56">
        <f t="shared" ca="1" si="12"/>
        <v>133.33706699999999</v>
      </c>
      <c r="AW181" s="40" t="s">
        <v>690</v>
      </c>
      <c r="AX181" s="40" t="str">
        <f t="shared" ca="1" si="13"/>
        <v>crimson</v>
      </c>
      <c r="AY181" s="40" t="s">
        <v>688</v>
      </c>
      <c r="AZ181" s="40" t="str">
        <f t="shared" ca="1" si="14"/>
        <v>,{"type":"polyline","latLngs":[{"lat":35.43696,"lng":133.337768},{"lat":35.435423,"lng":133.337067}],"color":"crimson"}</v>
      </c>
      <c r="BA181" s="40" t="s">
        <v>691</v>
      </c>
      <c r="BB181" s="56">
        <f t="shared" ca="1" si="15"/>
        <v>35.436959999999999</v>
      </c>
      <c r="BC181" s="40" t="s">
        <v>684</v>
      </c>
      <c r="BD181" s="56">
        <f t="shared" ca="1" si="16"/>
        <v>133.33776800000001</v>
      </c>
      <c r="BE181" s="40" t="s">
        <v>692</v>
      </c>
      <c r="BF181" s="40" t="str">
        <f t="shared" ca="1" si="17"/>
        <v>crimson</v>
      </c>
      <c r="BG181" s="40" t="s">
        <v>688</v>
      </c>
      <c r="BH181" s="40" t="str">
        <f t="shared" ca="1" si="18"/>
        <v>,{"type":"marker","latLng":{"lat":35.43696,"lng":133.337768},"color":"crimson"}</v>
      </c>
      <c r="BI181" s="40" t="s">
        <v>693</v>
      </c>
      <c r="BJ181" s="40" t="s">
        <v>694</v>
      </c>
      <c r="BK181" s="267" t="str">
        <f t="shared" ca="1" si="19"/>
        <v>,{"type":"polyline","latLngs":[{"lat":35.43696,"lng":133.337768},{"lat":35.435423,"lng":133.337067}],"color":"crimson"}</v>
      </c>
      <c r="BL181" s="40"/>
      <c r="BM181" s="40"/>
    </row>
    <row r="182" spans="2:65" ht="17.5">
      <c r="C182" s="273"/>
      <c r="D182" s="273"/>
      <c r="E182" s="273"/>
      <c r="G182" s="261"/>
      <c r="H182" s="262" t="s">
        <v>672</v>
      </c>
      <c r="I182" s="93" t="str">
        <f ca="1">IFERROR(__xludf.DUMMYFUNCTION("""COMPUTED_VALUE"""),"Agent07")</f>
        <v>Agent07</v>
      </c>
      <c r="J182" s="93" t="str">
        <f ca="1">IFERROR(__xludf.DUMMYFUNCTION("""COMPUTED_VALUE"""),"P66")</f>
        <v>P66</v>
      </c>
      <c r="K182" s="93" t="str">
        <f ca="1">IFERROR(__xludf.DUMMYFUNCTION("""COMPUTED_VALUE"""),"P56")</f>
        <v>P56</v>
      </c>
      <c r="L182" s="242" t="s">
        <v>681</v>
      </c>
      <c r="M182" s="263" t="str">
        <f t="shared" ca="1" si="0"/>
        <v>crimson</v>
      </c>
      <c r="N182" s="264" t="str">
        <f ca="1">IFERROR(__xludf.DUMMYFUNCTION("FILTER(C:E,B:B=J182)"),"真如苑 米子支部")</f>
        <v>真如苑 米子支部</v>
      </c>
      <c r="O182" s="265">
        <f ca="1">IFERROR(__xludf.DUMMYFUNCTION("""COMPUTED_VALUE"""),35.43696)</f>
        <v>35.436959999999999</v>
      </c>
      <c r="P182" s="265">
        <f ca="1">IFERROR(__xludf.DUMMYFUNCTION("""COMPUTED_VALUE"""),133.337768)</f>
        <v>133.33776800000001</v>
      </c>
      <c r="Q182" s="264" t="str">
        <f ca="1">IFERROR(__xludf.DUMMYFUNCTION("FILTER(C:E,B:B=K182)"),"蝉丸神社")</f>
        <v>蝉丸神社</v>
      </c>
      <c r="R182" s="265">
        <f ca="1">IFERROR(__xludf.DUMMYFUNCTION("""COMPUTED_VALUE"""),35.434739)</f>
        <v>35.434739</v>
      </c>
      <c r="S182" s="265">
        <f ca="1">IFERROR(__xludf.DUMMYFUNCTION("""COMPUTED_VALUE"""),133.338407)</f>
        <v>133.33840699999999</v>
      </c>
      <c r="T182" s="264" t="str">
        <f ca="1">IFERROR(__xludf.DUMMYFUNCTION("FILTER(C:E,B:B=L182)")," ")</f>
        <v xml:space="preserve"> </v>
      </c>
      <c r="U182" s="40" t="str">
        <f ca="1">IFERROR(__xludf.DUMMYFUNCTION("""COMPUTED_VALUE""")," ")</f>
        <v xml:space="preserve"> </v>
      </c>
      <c r="V182" s="40" t="str">
        <f ca="1">IFERROR(__xludf.DUMMYFUNCTION("""COMPUTED_VALUE""")," ")</f>
        <v xml:space="preserve"> </v>
      </c>
      <c r="W182" s="40" t="str">
        <f t="shared" ca="1" si="21"/>
        <v>,</v>
      </c>
      <c r="X182" s="40" t="s">
        <v>682</v>
      </c>
      <c r="Y182" s="40" t="s">
        <v>683</v>
      </c>
      <c r="Z182" s="264">
        <f t="shared" ca="1" si="1"/>
        <v>35.436959999999999</v>
      </c>
      <c r="AA182" s="40" t="s">
        <v>684</v>
      </c>
      <c r="AB182" s="264">
        <f t="shared" ca="1" si="2"/>
        <v>133.33776800000001</v>
      </c>
      <c r="AC182" s="40" t="s">
        <v>685</v>
      </c>
      <c r="AD182" s="264">
        <f t="shared" ca="1" si="3"/>
        <v>35.434739</v>
      </c>
      <c r="AE182" s="40" t="s">
        <v>684</v>
      </c>
      <c r="AF182" s="264">
        <f t="shared" ca="1" si="4"/>
        <v>133.33840699999999</v>
      </c>
      <c r="AG182" s="40" t="s">
        <v>686</v>
      </c>
      <c r="AH182" s="264" t="str">
        <f t="shared" ca="1" si="5"/>
        <v xml:space="preserve"> </v>
      </c>
      <c r="AI182" s="40" t="s">
        <v>684</v>
      </c>
      <c r="AJ182" s="264" t="str">
        <f t="shared" ca="1" si="6"/>
        <v xml:space="preserve"> </v>
      </c>
      <c r="AK182" s="40" t="s">
        <v>687</v>
      </c>
      <c r="AL182" s="264" t="str">
        <f t="shared" ca="1" si="7"/>
        <v>crimson</v>
      </c>
      <c r="AM182" s="40" t="s">
        <v>688</v>
      </c>
      <c r="AN182" s="40" t="str">
        <f t="shared" ca="1" si="8"/>
        <v>,{"type":"polygon","latLngs":[ {"lat":35.43696,"lng":133.337768}, {"lat":35.434739,"lng":133.338407},{"lat": ,"lng": }], "color":"crimson"}</v>
      </c>
      <c r="AO182" s="266" t="s">
        <v>689</v>
      </c>
      <c r="AP182" s="56">
        <f t="shared" ca="1" si="9"/>
        <v>35.436959999999999</v>
      </c>
      <c r="AQ182" s="40" t="s">
        <v>684</v>
      </c>
      <c r="AR182" s="56">
        <f t="shared" ca="1" si="10"/>
        <v>133.33776800000001</v>
      </c>
      <c r="AS182" s="40" t="s">
        <v>686</v>
      </c>
      <c r="AT182" s="56">
        <f t="shared" ca="1" si="11"/>
        <v>35.434739</v>
      </c>
      <c r="AU182" s="40" t="s">
        <v>684</v>
      </c>
      <c r="AV182" s="56">
        <f t="shared" ca="1" si="12"/>
        <v>133.33840699999999</v>
      </c>
      <c r="AW182" s="40" t="s">
        <v>690</v>
      </c>
      <c r="AX182" s="40" t="str">
        <f t="shared" ca="1" si="13"/>
        <v>crimson</v>
      </c>
      <c r="AY182" s="40" t="s">
        <v>688</v>
      </c>
      <c r="AZ182" s="40" t="str">
        <f t="shared" ca="1" si="14"/>
        <v>,{"type":"polyline","latLngs":[{"lat":35.43696,"lng":133.337768},{"lat":35.434739,"lng":133.338407}],"color":"crimson"}</v>
      </c>
      <c r="BA182" s="40" t="s">
        <v>691</v>
      </c>
      <c r="BB182" s="56">
        <f t="shared" ca="1" si="15"/>
        <v>35.436959999999999</v>
      </c>
      <c r="BC182" s="40" t="s">
        <v>684</v>
      </c>
      <c r="BD182" s="56">
        <f t="shared" ca="1" si="16"/>
        <v>133.33776800000001</v>
      </c>
      <c r="BE182" s="40" t="s">
        <v>692</v>
      </c>
      <c r="BF182" s="40" t="str">
        <f t="shared" ca="1" si="17"/>
        <v>crimson</v>
      </c>
      <c r="BG182" s="40" t="s">
        <v>688</v>
      </c>
      <c r="BH182" s="40" t="str">
        <f t="shared" ca="1" si="18"/>
        <v>,{"type":"marker","latLng":{"lat":35.43696,"lng":133.337768},"color":"crimson"}</v>
      </c>
      <c r="BI182" s="40" t="s">
        <v>693</v>
      </c>
      <c r="BJ182" s="40" t="s">
        <v>694</v>
      </c>
      <c r="BK182" s="267" t="str">
        <f t="shared" ca="1" si="19"/>
        <v>,{"type":"polyline","latLngs":[{"lat":35.43696,"lng":133.337768},{"lat":35.434739,"lng":133.338407}],"color":"crimson"}</v>
      </c>
      <c r="BL182" s="40"/>
      <c r="BM182" s="40"/>
    </row>
    <row r="183" spans="2:65" ht="17.5">
      <c r="C183" s="279">
        <f>'2.ポータル'!B173</f>
        <v>0</v>
      </c>
      <c r="D183" s="279">
        <f>'2.ポータル'!C173</f>
        <v>0</v>
      </c>
      <c r="E183" s="279">
        <f>'2.ポータル'!D173</f>
        <v>0</v>
      </c>
      <c r="G183" s="261"/>
      <c r="H183" s="262" t="s">
        <v>672</v>
      </c>
      <c r="I183" s="93" t="str">
        <f ca="1">IFERROR(__xludf.DUMMYFUNCTION("""COMPUTED_VALUE"""),"Agent07")</f>
        <v>Agent07</v>
      </c>
      <c r="J183" s="93" t="str">
        <f ca="1">IFERROR(__xludf.DUMMYFUNCTION("""COMPUTED_VALUE"""),"P75")</f>
        <v>P75</v>
      </c>
      <c r="K183" s="93" t="str">
        <f ca="1">IFERROR(__xludf.DUMMYFUNCTION("""COMPUTED_VALUE"""),"P66")</f>
        <v>P66</v>
      </c>
      <c r="L183" s="242" t="s">
        <v>681</v>
      </c>
      <c r="M183" s="263" t="str">
        <f t="shared" ca="1" si="0"/>
        <v>crimson</v>
      </c>
      <c r="N183" s="264" t="str">
        <f ca="1">IFERROR(__xludf.DUMMYFUNCTION("FILTER(C:E,B:B=J183)"),"西部建設会館")</f>
        <v>西部建設会館</v>
      </c>
      <c r="O183" s="265">
        <f ca="1">IFERROR(__xludf.DUMMYFUNCTION("""COMPUTED_VALUE"""),35.438469)</f>
        <v>35.438468999999998</v>
      </c>
      <c r="P183" s="265">
        <f ca="1">IFERROR(__xludf.DUMMYFUNCTION("""COMPUTED_VALUE"""),133.338621)</f>
        <v>133.33862099999999</v>
      </c>
      <c r="Q183" s="264" t="str">
        <f ca="1">IFERROR(__xludf.DUMMYFUNCTION("FILTER(C:E,B:B=K183)"),"真如苑 米子支部")</f>
        <v>真如苑 米子支部</v>
      </c>
      <c r="R183" s="265">
        <f ca="1">IFERROR(__xludf.DUMMYFUNCTION("""COMPUTED_VALUE"""),35.43696)</f>
        <v>35.436959999999999</v>
      </c>
      <c r="S183" s="265">
        <f ca="1">IFERROR(__xludf.DUMMYFUNCTION("""COMPUTED_VALUE"""),133.337768)</f>
        <v>133.33776800000001</v>
      </c>
      <c r="T183" s="264" t="str">
        <f ca="1">IFERROR(__xludf.DUMMYFUNCTION("FILTER(C:E,B:B=L183)")," ")</f>
        <v xml:space="preserve"> </v>
      </c>
      <c r="U183" s="40" t="str">
        <f ca="1">IFERROR(__xludf.DUMMYFUNCTION("""COMPUTED_VALUE""")," ")</f>
        <v xml:space="preserve"> </v>
      </c>
      <c r="V183" s="40" t="str">
        <f ca="1">IFERROR(__xludf.DUMMYFUNCTION("""COMPUTED_VALUE""")," ")</f>
        <v xml:space="preserve"> </v>
      </c>
      <c r="W183" s="40" t="str">
        <f t="shared" ca="1" si="21"/>
        <v>,</v>
      </c>
      <c r="X183" s="40" t="s">
        <v>682</v>
      </c>
      <c r="Y183" s="40" t="s">
        <v>683</v>
      </c>
      <c r="Z183" s="264">
        <f t="shared" ca="1" si="1"/>
        <v>35.438468999999998</v>
      </c>
      <c r="AA183" s="40" t="s">
        <v>684</v>
      </c>
      <c r="AB183" s="264">
        <f t="shared" ca="1" si="2"/>
        <v>133.33862099999999</v>
      </c>
      <c r="AC183" s="40" t="s">
        <v>685</v>
      </c>
      <c r="AD183" s="264">
        <f t="shared" ca="1" si="3"/>
        <v>35.436959999999999</v>
      </c>
      <c r="AE183" s="40" t="s">
        <v>684</v>
      </c>
      <c r="AF183" s="264">
        <f t="shared" ca="1" si="4"/>
        <v>133.33776800000001</v>
      </c>
      <c r="AG183" s="40" t="s">
        <v>686</v>
      </c>
      <c r="AH183" s="264" t="str">
        <f t="shared" ca="1" si="5"/>
        <v xml:space="preserve"> </v>
      </c>
      <c r="AI183" s="40" t="s">
        <v>684</v>
      </c>
      <c r="AJ183" s="264" t="str">
        <f t="shared" ca="1" si="6"/>
        <v xml:space="preserve"> </v>
      </c>
      <c r="AK183" s="40" t="s">
        <v>687</v>
      </c>
      <c r="AL183" s="264" t="str">
        <f t="shared" ca="1" si="7"/>
        <v>crimson</v>
      </c>
      <c r="AM183" s="40" t="s">
        <v>688</v>
      </c>
      <c r="AN183" s="40" t="str">
        <f t="shared" ca="1" si="8"/>
        <v>,{"type":"polygon","latLngs":[ {"lat":35.438469,"lng":133.338621}, {"lat":35.43696,"lng":133.337768},{"lat": ,"lng": }], "color":"crimson"}</v>
      </c>
      <c r="AO183" s="266" t="s">
        <v>689</v>
      </c>
      <c r="AP183" s="56">
        <f t="shared" ca="1" si="9"/>
        <v>35.438468999999998</v>
      </c>
      <c r="AQ183" s="40" t="s">
        <v>684</v>
      </c>
      <c r="AR183" s="56">
        <f t="shared" ca="1" si="10"/>
        <v>133.33862099999999</v>
      </c>
      <c r="AS183" s="40" t="s">
        <v>686</v>
      </c>
      <c r="AT183" s="56">
        <f t="shared" ca="1" si="11"/>
        <v>35.436959999999999</v>
      </c>
      <c r="AU183" s="40" t="s">
        <v>684</v>
      </c>
      <c r="AV183" s="56">
        <f t="shared" ca="1" si="12"/>
        <v>133.33776800000001</v>
      </c>
      <c r="AW183" s="40" t="s">
        <v>690</v>
      </c>
      <c r="AX183" s="40" t="str">
        <f t="shared" ca="1" si="13"/>
        <v>crimson</v>
      </c>
      <c r="AY183" s="40" t="s">
        <v>688</v>
      </c>
      <c r="AZ183" s="40" t="str">
        <f t="shared" ca="1" si="14"/>
        <v>,{"type":"polyline","latLngs":[{"lat":35.438469,"lng":133.338621},{"lat":35.43696,"lng":133.337768}],"color":"crimson"}</v>
      </c>
      <c r="BA183" s="40" t="s">
        <v>691</v>
      </c>
      <c r="BB183" s="56">
        <f t="shared" ca="1" si="15"/>
        <v>35.438468999999998</v>
      </c>
      <c r="BC183" s="40" t="s">
        <v>684</v>
      </c>
      <c r="BD183" s="56">
        <f t="shared" ca="1" si="16"/>
        <v>133.33862099999999</v>
      </c>
      <c r="BE183" s="40" t="s">
        <v>692</v>
      </c>
      <c r="BF183" s="40" t="str">
        <f t="shared" ca="1" si="17"/>
        <v>crimson</v>
      </c>
      <c r="BG183" s="40" t="s">
        <v>688</v>
      </c>
      <c r="BH183" s="40" t="str">
        <f t="shared" ca="1" si="18"/>
        <v>,{"type":"marker","latLng":{"lat":35.438469,"lng":133.338621},"color":"crimson"}</v>
      </c>
      <c r="BI183" s="40" t="s">
        <v>693</v>
      </c>
      <c r="BJ183" s="40" t="s">
        <v>694</v>
      </c>
      <c r="BK183" s="267" t="str">
        <f t="shared" ca="1" si="19"/>
        <v>,{"type":"polyline","latLngs":[{"lat":35.438469,"lng":133.338621},{"lat":35.43696,"lng":133.337768}],"color":"crimson"}</v>
      </c>
      <c r="BL183" s="40"/>
      <c r="BM183" s="40"/>
    </row>
    <row r="184" spans="2:65" ht="17.5">
      <c r="G184" s="261"/>
      <c r="H184" s="262" t="s">
        <v>672</v>
      </c>
      <c r="I184" s="93" t="str">
        <f ca="1">IFERROR(__xludf.DUMMYFUNCTION("""COMPUTED_VALUE"""),"Agent07")</f>
        <v>Agent07</v>
      </c>
      <c r="J184" s="93" t="str">
        <f ca="1">IFERROR(__xludf.DUMMYFUNCTION("""COMPUTED_VALUE"""),"P70")</f>
        <v>P70</v>
      </c>
      <c r="K184" s="93" t="str">
        <f ca="1">IFERROR(__xludf.DUMMYFUNCTION("""COMPUTED_VALUE"""),"P75")</f>
        <v>P75</v>
      </c>
      <c r="L184" s="242" t="s">
        <v>681</v>
      </c>
      <c r="M184" s="263" t="str">
        <f t="shared" ca="1" si="0"/>
        <v>crimson</v>
      </c>
      <c r="N184" s="264" t="str">
        <f ca="1">IFERROR(__xludf.DUMMYFUNCTION("FILTER(C:E,B:B=J184)"),"米川堤防のつつじ")</f>
        <v>米川堤防のつつじ</v>
      </c>
      <c r="O184" s="265">
        <f ca="1">IFERROR(__xludf.DUMMYFUNCTION("""COMPUTED_VALUE"""),35.437507)</f>
        <v>35.437506999999997</v>
      </c>
      <c r="P184" s="265">
        <f ca="1">IFERROR(__xludf.DUMMYFUNCTION("""COMPUTED_VALUE"""),133.340544)</f>
        <v>133.34054399999999</v>
      </c>
      <c r="Q184" s="264" t="str">
        <f ca="1">IFERROR(__xludf.DUMMYFUNCTION("FILTER(C:E,B:B=K184)"),"西部建設会館")</f>
        <v>西部建設会館</v>
      </c>
      <c r="R184" s="265">
        <f ca="1">IFERROR(__xludf.DUMMYFUNCTION("""COMPUTED_VALUE"""),35.438469)</f>
        <v>35.438468999999998</v>
      </c>
      <c r="S184" s="265">
        <f ca="1">IFERROR(__xludf.DUMMYFUNCTION("""COMPUTED_VALUE"""),133.338621)</f>
        <v>133.33862099999999</v>
      </c>
      <c r="T184" s="264" t="str">
        <f ca="1">IFERROR(__xludf.DUMMYFUNCTION("FILTER(C:E,B:B=L184)")," ")</f>
        <v xml:space="preserve"> </v>
      </c>
      <c r="U184" s="40" t="str">
        <f ca="1">IFERROR(__xludf.DUMMYFUNCTION("""COMPUTED_VALUE""")," ")</f>
        <v xml:space="preserve"> </v>
      </c>
      <c r="V184" s="40" t="str">
        <f ca="1">IFERROR(__xludf.DUMMYFUNCTION("""COMPUTED_VALUE""")," ")</f>
        <v xml:space="preserve"> </v>
      </c>
      <c r="W184" s="40" t="str">
        <f t="shared" ca="1" si="21"/>
        <v>,</v>
      </c>
      <c r="X184" s="40" t="s">
        <v>682</v>
      </c>
      <c r="Y184" s="40" t="s">
        <v>683</v>
      </c>
      <c r="Z184" s="264">
        <f t="shared" ca="1" si="1"/>
        <v>35.437506999999997</v>
      </c>
      <c r="AA184" s="40" t="s">
        <v>684</v>
      </c>
      <c r="AB184" s="264">
        <f t="shared" ca="1" si="2"/>
        <v>133.34054399999999</v>
      </c>
      <c r="AC184" s="40" t="s">
        <v>685</v>
      </c>
      <c r="AD184" s="264">
        <f t="shared" ca="1" si="3"/>
        <v>35.438468999999998</v>
      </c>
      <c r="AE184" s="40" t="s">
        <v>684</v>
      </c>
      <c r="AF184" s="264">
        <f t="shared" ca="1" si="4"/>
        <v>133.33862099999999</v>
      </c>
      <c r="AG184" s="40" t="s">
        <v>686</v>
      </c>
      <c r="AH184" s="264" t="str">
        <f t="shared" ca="1" si="5"/>
        <v xml:space="preserve"> </v>
      </c>
      <c r="AI184" s="40" t="s">
        <v>684</v>
      </c>
      <c r="AJ184" s="264" t="str">
        <f t="shared" ca="1" si="6"/>
        <v xml:space="preserve"> </v>
      </c>
      <c r="AK184" s="40" t="s">
        <v>687</v>
      </c>
      <c r="AL184" s="264" t="str">
        <f t="shared" ca="1" si="7"/>
        <v>crimson</v>
      </c>
      <c r="AM184" s="40" t="s">
        <v>688</v>
      </c>
      <c r="AN184" s="40" t="str">
        <f t="shared" ca="1" si="8"/>
        <v>,{"type":"polygon","latLngs":[ {"lat":35.437507,"lng":133.340544}, {"lat":35.438469,"lng":133.338621},{"lat": ,"lng": }], "color":"crimson"}</v>
      </c>
      <c r="AO184" s="266" t="s">
        <v>689</v>
      </c>
      <c r="AP184" s="56">
        <f t="shared" ca="1" si="9"/>
        <v>35.437506999999997</v>
      </c>
      <c r="AQ184" s="40" t="s">
        <v>684</v>
      </c>
      <c r="AR184" s="56">
        <f t="shared" ca="1" si="10"/>
        <v>133.34054399999999</v>
      </c>
      <c r="AS184" s="40" t="s">
        <v>686</v>
      </c>
      <c r="AT184" s="56">
        <f t="shared" ca="1" si="11"/>
        <v>35.438468999999998</v>
      </c>
      <c r="AU184" s="40" t="s">
        <v>684</v>
      </c>
      <c r="AV184" s="56">
        <f t="shared" ca="1" si="12"/>
        <v>133.33862099999999</v>
      </c>
      <c r="AW184" s="40" t="s">
        <v>690</v>
      </c>
      <c r="AX184" s="40" t="str">
        <f t="shared" ca="1" si="13"/>
        <v>crimson</v>
      </c>
      <c r="AY184" s="40" t="s">
        <v>688</v>
      </c>
      <c r="AZ184" s="40" t="str">
        <f t="shared" ca="1" si="14"/>
        <v>,{"type":"polyline","latLngs":[{"lat":35.437507,"lng":133.340544},{"lat":35.438469,"lng":133.338621}],"color":"crimson"}</v>
      </c>
      <c r="BA184" s="40" t="s">
        <v>691</v>
      </c>
      <c r="BB184" s="56">
        <f t="shared" ca="1" si="15"/>
        <v>35.437506999999997</v>
      </c>
      <c r="BC184" s="40" t="s">
        <v>684</v>
      </c>
      <c r="BD184" s="56">
        <f t="shared" ca="1" si="16"/>
        <v>133.34054399999999</v>
      </c>
      <c r="BE184" s="40" t="s">
        <v>692</v>
      </c>
      <c r="BF184" s="40" t="str">
        <f t="shared" ca="1" si="17"/>
        <v>crimson</v>
      </c>
      <c r="BG184" s="40" t="s">
        <v>688</v>
      </c>
      <c r="BH184" s="40" t="str">
        <f t="shared" ca="1" si="18"/>
        <v>,{"type":"marker","latLng":{"lat":35.437507,"lng":133.340544},"color":"crimson"}</v>
      </c>
      <c r="BI184" s="40" t="s">
        <v>693</v>
      </c>
      <c r="BJ184" s="40" t="s">
        <v>694</v>
      </c>
      <c r="BK184" s="267" t="str">
        <f t="shared" ca="1" si="19"/>
        <v>,{"type":"polyline","latLngs":[{"lat":35.437507,"lng":133.340544},{"lat":35.438469,"lng":133.338621}],"color":"crimson"}</v>
      </c>
      <c r="BL184" s="40"/>
      <c r="BM184" s="40"/>
    </row>
    <row r="185" spans="2:65" ht="17.5">
      <c r="G185" s="261"/>
      <c r="H185" s="262" t="s">
        <v>672</v>
      </c>
      <c r="I185" s="93" t="str">
        <f ca="1">IFERROR(__xludf.DUMMYFUNCTION("""COMPUTED_VALUE"""),"Agent07")</f>
        <v>Agent07</v>
      </c>
      <c r="J185" s="93" t="str">
        <f ca="1">IFERROR(__xludf.DUMMYFUNCTION("""COMPUTED_VALUE"""),"P70")</f>
        <v>P70</v>
      </c>
      <c r="K185" s="93" t="str">
        <f ca="1">IFERROR(__xludf.DUMMYFUNCTION("""COMPUTED_VALUE"""),"P66")</f>
        <v>P66</v>
      </c>
      <c r="L185" s="242" t="s">
        <v>681</v>
      </c>
      <c r="M185" s="263" t="str">
        <f t="shared" ca="1" si="0"/>
        <v>crimson</v>
      </c>
      <c r="N185" s="264" t="str">
        <f ca="1">IFERROR(__xludf.DUMMYFUNCTION("FILTER(C:E,B:B=J185)"),"米川堤防のつつじ")</f>
        <v>米川堤防のつつじ</v>
      </c>
      <c r="O185" s="265">
        <f ca="1">IFERROR(__xludf.DUMMYFUNCTION("""COMPUTED_VALUE"""),35.437507)</f>
        <v>35.437506999999997</v>
      </c>
      <c r="P185" s="265">
        <f ca="1">IFERROR(__xludf.DUMMYFUNCTION("""COMPUTED_VALUE"""),133.340544)</f>
        <v>133.34054399999999</v>
      </c>
      <c r="Q185" s="264" t="str">
        <f ca="1">IFERROR(__xludf.DUMMYFUNCTION("FILTER(C:E,B:B=K185)"),"真如苑 米子支部")</f>
        <v>真如苑 米子支部</v>
      </c>
      <c r="R185" s="265">
        <f ca="1">IFERROR(__xludf.DUMMYFUNCTION("""COMPUTED_VALUE"""),35.43696)</f>
        <v>35.436959999999999</v>
      </c>
      <c r="S185" s="265">
        <f ca="1">IFERROR(__xludf.DUMMYFUNCTION("""COMPUTED_VALUE"""),133.337768)</f>
        <v>133.33776800000001</v>
      </c>
      <c r="T185" s="264" t="str">
        <f ca="1">IFERROR(__xludf.DUMMYFUNCTION("FILTER(C:E,B:B=L185)")," ")</f>
        <v xml:space="preserve"> </v>
      </c>
      <c r="U185" s="40" t="str">
        <f ca="1">IFERROR(__xludf.DUMMYFUNCTION("""COMPUTED_VALUE""")," ")</f>
        <v xml:space="preserve"> </v>
      </c>
      <c r="V185" s="40" t="str">
        <f ca="1">IFERROR(__xludf.DUMMYFUNCTION("""COMPUTED_VALUE""")," ")</f>
        <v xml:space="preserve"> </v>
      </c>
      <c r="W185" s="40" t="str">
        <f t="shared" ca="1" si="21"/>
        <v>,</v>
      </c>
      <c r="X185" s="40" t="s">
        <v>682</v>
      </c>
      <c r="Y185" s="40" t="s">
        <v>683</v>
      </c>
      <c r="Z185" s="264">
        <f t="shared" ca="1" si="1"/>
        <v>35.437506999999997</v>
      </c>
      <c r="AA185" s="40" t="s">
        <v>684</v>
      </c>
      <c r="AB185" s="264">
        <f t="shared" ca="1" si="2"/>
        <v>133.34054399999999</v>
      </c>
      <c r="AC185" s="40" t="s">
        <v>685</v>
      </c>
      <c r="AD185" s="264">
        <f t="shared" ca="1" si="3"/>
        <v>35.436959999999999</v>
      </c>
      <c r="AE185" s="40" t="s">
        <v>684</v>
      </c>
      <c r="AF185" s="264">
        <f t="shared" ca="1" si="4"/>
        <v>133.33776800000001</v>
      </c>
      <c r="AG185" s="40" t="s">
        <v>686</v>
      </c>
      <c r="AH185" s="264" t="str">
        <f t="shared" ca="1" si="5"/>
        <v xml:space="preserve"> </v>
      </c>
      <c r="AI185" s="40" t="s">
        <v>684</v>
      </c>
      <c r="AJ185" s="264" t="str">
        <f t="shared" ca="1" si="6"/>
        <v xml:space="preserve"> </v>
      </c>
      <c r="AK185" s="40" t="s">
        <v>687</v>
      </c>
      <c r="AL185" s="264" t="str">
        <f t="shared" ca="1" si="7"/>
        <v>crimson</v>
      </c>
      <c r="AM185" s="40" t="s">
        <v>688</v>
      </c>
      <c r="AN185" s="40" t="str">
        <f t="shared" ca="1" si="8"/>
        <v>,{"type":"polygon","latLngs":[ {"lat":35.437507,"lng":133.340544}, {"lat":35.43696,"lng":133.337768},{"lat": ,"lng": }], "color":"crimson"}</v>
      </c>
      <c r="AO185" s="266" t="s">
        <v>689</v>
      </c>
      <c r="AP185" s="56">
        <f t="shared" ca="1" si="9"/>
        <v>35.437506999999997</v>
      </c>
      <c r="AQ185" s="40" t="s">
        <v>684</v>
      </c>
      <c r="AR185" s="56">
        <f t="shared" ca="1" si="10"/>
        <v>133.34054399999999</v>
      </c>
      <c r="AS185" s="40" t="s">
        <v>686</v>
      </c>
      <c r="AT185" s="56">
        <f t="shared" ca="1" si="11"/>
        <v>35.436959999999999</v>
      </c>
      <c r="AU185" s="40" t="s">
        <v>684</v>
      </c>
      <c r="AV185" s="56">
        <f t="shared" ca="1" si="12"/>
        <v>133.33776800000001</v>
      </c>
      <c r="AW185" s="40" t="s">
        <v>690</v>
      </c>
      <c r="AX185" s="40" t="str">
        <f t="shared" ca="1" si="13"/>
        <v>crimson</v>
      </c>
      <c r="AY185" s="40" t="s">
        <v>688</v>
      </c>
      <c r="AZ185" s="40" t="str">
        <f t="shared" ca="1" si="14"/>
        <v>,{"type":"polyline","latLngs":[{"lat":35.437507,"lng":133.340544},{"lat":35.43696,"lng":133.337768}],"color":"crimson"}</v>
      </c>
      <c r="BA185" s="40" t="s">
        <v>691</v>
      </c>
      <c r="BB185" s="56">
        <f t="shared" ca="1" si="15"/>
        <v>35.437506999999997</v>
      </c>
      <c r="BC185" s="40" t="s">
        <v>684</v>
      </c>
      <c r="BD185" s="56">
        <f t="shared" ca="1" si="16"/>
        <v>133.34054399999999</v>
      </c>
      <c r="BE185" s="40" t="s">
        <v>692</v>
      </c>
      <c r="BF185" s="40" t="str">
        <f t="shared" ca="1" si="17"/>
        <v>crimson</v>
      </c>
      <c r="BG185" s="40" t="s">
        <v>688</v>
      </c>
      <c r="BH185" s="40" t="str">
        <f t="shared" ca="1" si="18"/>
        <v>,{"type":"marker","latLng":{"lat":35.437507,"lng":133.340544},"color":"crimson"}</v>
      </c>
      <c r="BI185" s="40" t="s">
        <v>693</v>
      </c>
      <c r="BJ185" s="40" t="s">
        <v>694</v>
      </c>
      <c r="BK185" s="267" t="str">
        <f t="shared" ca="1" si="19"/>
        <v>,{"type":"polyline","latLngs":[{"lat":35.437507,"lng":133.340544},{"lat":35.43696,"lng":133.337768}],"color":"crimson"}</v>
      </c>
      <c r="BL185" s="40"/>
      <c r="BM185" s="40"/>
    </row>
    <row r="186" spans="2:65" ht="17.5">
      <c r="G186" s="261"/>
      <c r="H186" s="262" t="s">
        <v>672</v>
      </c>
      <c r="I186" s="93" t="str">
        <f ca="1">IFERROR(__xludf.DUMMYFUNCTION("""COMPUTED_VALUE"""),"Agent07")</f>
        <v>Agent07</v>
      </c>
      <c r="J186" s="93" t="str">
        <f ca="1">IFERROR(__xludf.DUMMYFUNCTION("""COMPUTED_VALUE"""),"P70")</f>
        <v>P70</v>
      </c>
      <c r="K186" s="93" t="str">
        <f ca="1">IFERROR(__xludf.DUMMYFUNCTION("""COMPUTED_VALUE"""),"P56")</f>
        <v>P56</v>
      </c>
      <c r="L186" s="242" t="s">
        <v>681</v>
      </c>
      <c r="M186" s="263" t="str">
        <f t="shared" ca="1" si="0"/>
        <v>crimson</v>
      </c>
      <c r="N186" s="264" t="str">
        <f ca="1">IFERROR(__xludf.DUMMYFUNCTION("FILTER(C:E,B:B=J186)"),"米川堤防のつつじ")</f>
        <v>米川堤防のつつじ</v>
      </c>
      <c r="O186" s="265">
        <f ca="1">IFERROR(__xludf.DUMMYFUNCTION("""COMPUTED_VALUE"""),35.437507)</f>
        <v>35.437506999999997</v>
      </c>
      <c r="P186" s="265">
        <f ca="1">IFERROR(__xludf.DUMMYFUNCTION("""COMPUTED_VALUE"""),133.340544)</f>
        <v>133.34054399999999</v>
      </c>
      <c r="Q186" s="264" t="str">
        <f ca="1">IFERROR(__xludf.DUMMYFUNCTION("FILTER(C:E,B:B=K186)"),"蝉丸神社")</f>
        <v>蝉丸神社</v>
      </c>
      <c r="R186" s="265">
        <f ca="1">IFERROR(__xludf.DUMMYFUNCTION("""COMPUTED_VALUE"""),35.434739)</f>
        <v>35.434739</v>
      </c>
      <c r="S186" s="265">
        <f ca="1">IFERROR(__xludf.DUMMYFUNCTION("""COMPUTED_VALUE"""),133.338407)</f>
        <v>133.33840699999999</v>
      </c>
      <c r="T186" s="264" t="str">
        <f ca="1">IFERROR(__xludf.DUMMYFUNCTION("FILTER(C:E,B:B=L186)")," ")</f>
        <v xml:space="preserve"> </v>
      </c>
      <c r="U186" s="40" t="str">
        <f ca="1">IFERROR(__xludf.DUMMYFUNCTION("""COMPUTED_VALUE""")," ")</f>
        <v xml:space="preserve"> </v>
      </c>
      <c r="V186" s="40" t="str">
        <f ca="1">IFERROR(__xludf.DUMMYFUNCTION("""COMPUTED_VALUE""")," ")</f>
        <v xml:space="preserve"> </v>
      </c>
      <c r="W186" s="40" t="str">
        <f t="shared" ca="1" si="21"/>
        <v>,</v>
      </c>
      <c r="X186" s="40" t="s">
        <v>682</v>
      </c>
      <c r="Y186" s="40" t="s">
        <v>683</v>
      </c>
      <c r="Z186" s="264">
        <f t="shared" ca="1" si="1"/>
        <v>35.437506999999997</v>
      </c>
      <c r="AA186" s="40" t="s">
        <v>684</v>
      </c>
      <c r="AB186" s="264">
        <f t="shared" ca="1" si="2"/>
        <v>133.34054399999999</v>
      </c>
      <c r="AC186" s="40" t="s">
        <v>685</v>
      </c>
      <c r="AD186" s="264">
        <f t="shared" ca="1" si="3"/>
        <v>35.434739</v>
      </c>
      <c r="AE186" s="40" t="s">
        <v>684</v>
      </c>
      <c r="AF186" s="264">
        <f t="shared" ca="1" si="4"/>
        <v>133.33840699999999</v>
      </c>
      <c r="AG186" s="40" t="s">
        <v>686</v>
      </c>
      <c r="AH186" s="264" t="str">
        <f t="shared" ca="1" si="5"/>
        <v xml:space="preserve"> </v>
      </c>
      <c r="AI186" s="40" t="s">
        <v>684</v>
      </c>
      <c r="AJ186" s="264" t="str">
        <f t="shared" ca="1" si="6"/>
        <v xml:space="preserve"> </v>
      </c>
      <c r="AK186" s="40" t="s">
        <v>687</v>
      </c>
      <c r="AL186" s="264" t="str">
        <f t="shared" ca="1" si="7"/>
        <v>crimson</v>
      </c>
      <c r="AM186" s="40" t="s">
        <v>688</v>
      </c>
      <c r="AN186" s="40" t="str">
        <f t="shared" ca="1" si="8"/>
        <v>,{"type":"polygon","latLngs":[ {"lat":35.437507,"lng":133.340544}, {"lat":35.434739,"lng":133.338407},{"lat": ,"lng": }], "color":"crimson"}</v>
      </c>
      <c r="AO186" s="266" t="s">
        <v>689</v>
      </c>
      <c r="AP186" s="56">
        <f t="shared" ca="1" si="9"/>
        <v>35.437506999999997</v>
      </c>
      <c r="AQ186" s="40" t="s">
        <v>684</v>
      </c>
      <c r="AR186" s="56">
        <f t="shared" ca="1" si="10"/>
        <v>133.34054399999999</v>
      </c>
      <c r="AS186" s="40" t="s">
        <v>686</v>
      </c>
      <c r="AT186" s="56">
        <f t="shared" ca="1" si="11"/>
        <v>35.434739</v>
      </c>
      <c r="AU186" s="40" t="s">
        <v>684</v>
      </c>
      <c r="AV186" s="56">
        <f t="shared" ca="1" si="12"/>
        <v>133.33840699999999</v>
      </c>
      <c r="AW186" s="40" t="s">
        <v>690</v>
      </c>
      <c r="AX186" s="40" t="str">
        <f t="shared" ca="1" si="13"/>
        <v>crimson</v>
      </c>
      <c r="AY186" s="40" t="s">
        <v>688</v>
      </c>
      <c r="AZ186" s="40" t="str">
        <f t="shared" ca="1" si="14"/>
        <v>,{"type":"polyline","latLngs":[{"lat":35.437507,"lng":133.340544},{"lat":35.434739,"lng":133.338407}],"color":"crimson"}</v>
      </c>
      <c r="BA186" s="40" t="s">
        <v>691</v>
      </c>
      <c r="BB186" s="56">
        <f t="shared" ca="1" si="15"/>
        <v>35.437506999999997</v>
      </c>
      <c r="BC186" s="40" t="s">
        <v>684</v>
      </c>
      <c r="BD186" s="56">
        <f t="shared" ca="1" si="16"/>
        <v>133.34054399999999</v>
      </c>
      <c r="BE186" s="40" t="s">
        <v>692</v>
      </c>
      <c r="BF186" s="40" t="str">
        <f t="shared" ca="1" si="17"/>
        <v>crimson</v>
      </c>
      <c r="BG186" s="40" t="s">
        <v>688</v>
      </c>
      <c r="BH186" s="40" t="str">
        <f t="shared" ca="1" si="18"/>
        <v>,{"type":"marker","latLng":{"lat":35.437507,"lng":133.340544},"color":"crimson"}</v>
      </c>
      <c r="BI186" s="40" t="s">
        <v>693</v>
      </c>
      <c r="BJ186" s="40" t="s">
        <v>694</v>
      </c>
      <c r="BK186" s="267" t="str">
        <f t="shared" ca="1" si="19"/>
        <v>,{"type":"polyline","latLngs":[{"lat":35.437507,"lng":133.340544},{"lat":35.434739,"lng":133.338407}],"color":"crimson"}</v>
      </c>
      <c r="BL186" s="40"/>
      <c r="BM186" s="40"/>
    </row>
    <row r="187" spans="2:65" ht="17.5">
      <c r="C187" s="279">
        <f>'2.ポータル'!B180</f>
        <v>0</v>
      </c>
      <c r="D187" s="279">
        <f>'2.ポータル'!C177</f>
        <v>0</v>
      </c>
      <c r="E187" s="279">
        <f>'2.ポータル'!D177</f>
        <v>0</v>
      </c>
      <c r="G187" s="261"/>
      <c r="H187" s="262" t="s">
        <v>672</v>
      </c>
      <c r="I187" s="93" t="str">
        <f ca="1">IFERROR(__xludf.DUMMYFUNCTION("""COMPUTED_VALUE"""),"Agent07")</f>
        <v>Agent07</v>
      </c>
      <c r="J187" s="93" t="str">
        <f ca="1">IFERROR(__xludf.DUMMYFUNCTION("""COMPUTED_VALUE"""),"P69")</f>
        <v>P69</v>
      </c>
      <c r="K187" s="93" t="str">
        <f ca="1">IFERROR(__xludf.DUMMYFUNCTION("""COMPUTED_VALUE"""),"P70")</f>
        <v>P70</v>
      </c>
      <c r="L187" s="242" t="s">
        <v>681</v>
      </c>
      <c r="M187" s="263" t="str">
        <f t="shared" ca="1" si="0"/>
        <v>crimson</v>
      </c>
      <c r="N187" s="264" t="str">
        <f ca="1">IFERROR(__xludf.DUMMYFUNCTION("FILTER(C:E,B:B=J187)"),"住居表示街区案内図 米子市東福原1丁目")</f>
        <v>住居表示街区案内図 米子市東福原1丁目</v>
      </c>
      <c r="O187" s="265">
        <f ca="1">IFERROR(__xludf.DUMMYFUNCTION("""COMPUTED_VALUE"""),35.437492)</f>
        <v>35.437491999999999</v>
      </c>
      <c r="P187" s="265">
        <f ca="1">IFERROR(__xludf.DUMMYFUNCTION("""COMPUTED_VALUE"""),133.340979)</f>
        <v>133.340979</v>
      </c>
      <c r="Q187" s="264" t="str">
        <f ca="1">IFERROR(__xludf.DUMMYFUNCTION("FILTER(C:E,B:B=K187)"),"米川堤防のつつじ")</f>
        <v>米川堤防のつつじ</v>
      </c>
      <c r="R187" s="265">
        <f ca="1">IFERROR(__xludf.DUMMYFUNCTION("""COMPUTED_VALUE"""),35.437507)</f>
        <v>35.437506999999997</v>
      </c>
      <c r="S187" s="265">
        <f ca="1">IFERROR(__xludf.DUMMYFUNCTION("""COMPUTED_VALUE"""),133.340544)</f>
        <v>133.34054399999999</v>
      </c>
      <c r="T187" s="264" t="str">
        <f ca="1">IFERROR(__xludf.DUMMYFUNCTION("FILTER(C:E,B:B=L187)")," ")</f>
        <v xml:space="preserve"> </v>
      </c>
      <c r="U187" s="40" t="str">
        <f ca="1">IFERROR(__xludf.DUMMYFUNCTION("""COMPUTED_VALUE""")," ")</f>
        <v xml:space="preserve"> </v>
      </c>
      <c r="V187" s="40" t="str">
        <f ca="1">IFERROR(__xludf.DUMMYFUNCTION("""COMPUTED_VALUE""")," ")</f>
        <v xml:space="preserve"> </v>
      </c>
      <c r="W187" s="40" t="str">
        <f t="shared" ca="1" si="21"/>
        <v>,</v>
      </c>
      <c r="X187" s="40" t="s">
        <v>682</v>
      </c>
      <c r="Y187" s="40" t="s">
        <v>683</v>
      </c>
      <c r="Z187" s="264">
        <f t="shared" ca="1" si="1"/>
        <v>35.437491999999999</v>
      </c>
      <c r="AA187" s="40" t="s">
        <v>684</v>
      </c>
      <c r="AB187" s="264">
        <f t="shared" ca="1" si="2"/>
        <v>133.340979</v>
      </c>
      <c r="AC187" s="40" t="s">
        <v>685</v>
      </c>
      <c r="AD187" s="264">
        <f t="shared" ca="1" si="3"/>
        <v>35.437506999999997</v>
      </c>
      <c r="AE187" s="40" t="s">
        <v>684</v>
      </c>
      <c r="AF187" s="264">
        <f t="shared" ca="1" si="4"/>
        <v>133.34054399999999</v>
      </c>
      <c r="AG187" s="40" t="s">
        <v>686</v>
      </c>
      <c r="AH187" s="264" t="str">
        <f t="shared" ca="1" si="5"/>
        <v xml:space="preserve"> </v>
      </c>
      <c r="AI187" s="40" t="s">
        <v>684</v>
      </c>
      <c r="AJ187" s="264" t="str">
        <f t="shared" ca="1" si="6"/>
        <v xml:space="preserve"> </v>
      </c>
      <c r="AK187" s="40" t="s">
        <v>687</v>
      </c>
      <c r="AL187" s="264" t="str">
        <f t="shared" ca="1" si="7"/>
        <v>crimson</v>
      </c>
      <c r="AM187" s="40" t="s">
        <v>688</v>
      </c>
      <c r="AN187" s="40" t="str">
        <f t="shared" ca="1" si="8"/>
        <v>,{"type":"polygon","latLngs":[ {"lat":35.437492,"lng":133.340979}, {"lat":35.437507,"lng":133.340544},{"lat": ,"lng": }], "color":"crimson"}</v>
      </c>
      <c r="AO187" s="266" t="s">
        <v>689</v>
      </c>
      <c r="AP187" s="56">
        <f t="shared" ca="1" si="9"/>
        <v>35.437491999999999</v>
      </c>
      <c r="AQ187" s="40" t="s">
        <v>684</v>
      </c>
      <c r="AR187" s="56">
        <f t="shared" ca="1" si="10"/>
        <v>133.340979</v>
      </c>
      <c r="AS187" s="40" t="s">
        <v>686</v>
      </c>
      <c r="AT187" s="56">
        <f t="shared" ca="1" si="11"/>
        <v>35.437506999999997</v>
      </c>
      <c r="AU187" s="40" t="s">
        <v>684</v>
      </c>
      <c r="AV187" s="56">
        <f t="shared" ca="1" si="12"/>
        <v>133.34054399999999</v>
      </c>
      <c r="AW187" s="40" t="s">
        <v>690</v>
      </c>
      <c r="AX187" s="40" t="str">
        <f t="shared" ca="1" si="13"/>
        <v>crimson</v>
      </c>
      <c r="AY187" s="40" t="s">
        <v>688</v>
      </c>
      <c r="AZ187" s="40" t="str">
        <f t="shared" ca="1" si="14"/>
        <v>,{"type":"polyline","latLngs":[{"lat":35.437492,"lng":133.340979},{"lat":35.437507,"lng":133.340544}],"color":"crimson"}</v>
      </c>
      <c r="BA187" s="40" t="s">
        <v>691</v>
      </c>
      <c r="BB187" s="56">
        <f t="shared" ca="1" si="15"/>
        <v>35.437491999999999</v>
      </c>
      <c r="BC187" s="40" t="s">
        <v>684</v>
      </c>
      <c r="BD187" s="56">
        <f t="shared" ca="1" si="16"/>
        <v>133.340979</v>
      </c>
      <c r="BE187" s="40" t="s">
        <v>692</v>
      </c>
      <c r="BF187" s="40" t="str">
        <f t="shared" ca="1" si="17"/>
        <v>crimson</v>
      </c>
      <c r="BG187" s="40" t="s">
        <v>688</v>
      </c>
      <c r="BH187" s="40" t="str">
        <f t="shared" ca="1" si="18"/>
        <v>,{"type":"marker","latLng":{"lat":35.437492,"lng":133.340979},"color":"crimson"}</v>
      </c>
      <c r="BI187" s="40" t="s">
        <v>693</v>
      </c>
      <c r="BJ187" s="40" t="s">
        <v>694</v>
      </c>
      <c r="BK187" s="267" t="str">
        <f t="shared" ca="1" si="19"/>
        <v>,{"type":"polyline","latLngs":[{"lat":35.437492,"lng":133.340979},{"lat":35.437507,"lng":133.340544}],"color":"crimson"}</v>
      </c>
      <c r="BL187" s="40"/>
      <c r="BM187" s="40"/>
    </row>
    <row r="188" spans="2:65" ht="17.5">
      <c r="C188" s="279">
        <f>'2.ポータル'!B178</f>
        <v>0</v>
      </c>
      <c r="D188" s="279">
        <f>'2.ポータル'!C178</f>
        <v>0</v>
      </c>
      <c r="E188" s="279">
        <f>'2.ポータル'!D178</f>
        <v>0</v>
      </c>
      <c r="G188" s="261"/>
      <c r="H188" s="262" t="s">
        <v>672</v>
      </c>
      <c r="I188" s="93" t="str">
        <f ca="1">IFERROR(__xludf.DUMMYFUNCTION("""COMPUTED_VALUE"""),"Agent07")</f>
        <v>Agent07</v>
      </c>
      <c r="J188" s="93" t="str">
        <f ca="1">IFERROR(__xludf.DUMMYFUNCTION("""COMPUTED_VALUE"""),"P62")</f>
        <v>P62</v>
      </c>
      <c r="K188" s="93" t="str">
        <f ca="1">IFERROR(__xludf.DUMMYFUNCTION("""COMPUTED_VALUE"""),"P69")</f>
        <v>P69</v>
      </c>
      <c r="L188" s="242" t="s">
        <v>681</v>
      </c>
      <c r="M188" s="263" t="str">
        <f t="shared" ca="1" si="0"/>
        <v>crimson</v>
      </c>
      <c r="N188" s="264" t="str">
        <f ca="1">IFERROR(__xludf.DUMMYFUNCTION("FILTER(C:E,B:B=J188)"),"米子市役所博労町庁舎")</f>
        <v>米子市役所博労町庁舎</v>
      </c>
      <c r="O188" s="265">
        <f ca="1">IFERROR(__xludf.DUMMYFUNCTION("""COMPUTED_VALUE"""),35.435943)</f>
        <v>35.435943000000002</v>
      </c>
      <c r="P188" s="265">
        <f ca="1">IFERROR(__xludf.DUMMYFUNCTION("""COMPUTED_VALUE"""),133.34314)</f>
        <v>133.34314000000001</v>
      </c>
      <c r="Q188" s="264" t="str">
        <f ca="1">IFERROR(__xludf.DUMMYFUNCTION("FILTER(C:E,B:B=K188)"),"住居表示街区案内図 米子市東福原1丁目")</f>
        <v>住居表示街区案内図 米子市東福原1丁目</v>
      </c>
      <c r="R188" s="265">
        <f ca="1">IFERROR(__xludf.DUMMYFUNCTION("""COMPUTED_VALUE"""),35.437492)</f>
        <v>35.437491999999999</v>
      </c>
      <c r="S188" s="265">
        <f ca="1">IFERROR(__xludf.DUMMYFUNCTION("""COMPUTED_VALUE"""),133.340979)</f>
        <v>133.340979</v>
      </c>
      <c r="T188" s="264" t="str">
        <f ca="1">IFERROR(__xludf.DUMMYFUNCTION("FILTER(C:E,B:B=L188)")," ")</f>
        <v xml:space="preserve"> </v>
      </c>
      <c r="U188" s="40" t="str">
        <f ca="1">IFERROR(__xludf.DUMMYFUNCTION("""COMPUTED_VALUE""")," ")</f>
        <v xml:space="preserve"> </v>
      </c>
      <c r="V188" s="40" t="str">
        <f ca="1">IFERROR(__xludf.DUMMYFUNCTION("""COMPUTED_VALUE""")," ")</f>
        <v xml:space="preserve"> </v>
      </c>
      <c r="W188" s="40" t="str">
        <f t="shared" ca="1" si="21"/>
        <v>,</v>
      </c>
      <c r="X188" s="40" t="s">
        <v>682</v>
      </c>
      <c r="Y188" s="40" t="s">
        <v>683</v>
      </c>
      <c r="Z188" s="264">
        <f t="shared" ca="1" si="1"/>
        <v>35.435943000000002</v>
      </c>
      <c r="AA188" s="40" t="s">
        <v>684</v>
      </c>
      <c r="AB188" s="264">
        <f t="shared" ca="1" si="2"/>
        <v>133.34314000000001</v>
      </c>
      <c r="AC188" s="40" t="s">
        <v>685</v>
      </c>
      <c r="AD188" s="264">
        <f t="shared" ca="1" si="3"/>
        <v>35.437491999999999</v>
      </c>
      <c r="AE188" s="40" t="s">
        <v>684</v>
      </c>
      <c r="AF188" s="264">
        <f t="shared" ca="1" si="4"/>
        <v>133.340979</v>
      </c>
      <c r="AG188" s="40" t="s">
        <v>686</v>
      </c>
      <c r="AH188" s="264" t="str">
        <f t="shared" ca="1" si="5"/>
        <v xml:space="preserve"> </v>
      </c>
      <c r="AI188" s="40" t="s">
        <v>684</v>
      </c>
      <c r="AJ188" s="264" t="str">
        <f t="shared" ca="1" si="6"/>
        <v xml:space="preserve"> </v>
      </c>
      <c r="AK188" s="40" t="s">
        <v>687</v>
      </c>
      <c r="AL188" s="264" t="str">
        <f t="shared" ca="1" si="7"/>
        <v>crimson</v>
      </c>
      <c r="AM188" s="40" t="s">
        <v>688</v>
      </c>
      <c r="AN188" s="40" t="str">
        <f t="shared" ca="1" si="8"/>
        <v>,{"type":"polygon","latLngs":[ {"lat":35.435943,"lng":133.34314}, {"lat":35.437492,"lng":133.340979},{"lat": ,"lng": }], "color":"crimson"}</v>
      </c>
      <c r="AO188" s="266" t="s">
        <v>689</v>
      </c>
      <c r="AP188" s="56">
        <f t="shared" ca="1" si="9"/>
        <v>35.435943000000002</v>
      </c>
      <c r="AQ188" s="40" t="s">
        <v>684</v>
      </c>
      <c r="AR188" s="56">
        <f t="shared" ca="1" si="10"/>
        <v>133.34314000000001</v>
      </c>
      <c r="AS188" s="40" t="s">
        <v>686</v>
      </c>
      <c r="AT188" s="56">
        <f t="shared" ca="1" si="11"/>
        <v>35.437491999999999</v>
      </c>
      <c r="AU188" s="40" t="s">
        <v>684</v>
      </c>
      <c r="AV188" s="56">
        <f t="shared" ca="1" si="12"/>
        <v>133.340979</v>
      </c>
      <c r="AW188" s="40" t="s">
        <v>690</v>
      </c>
      <c r="AX188" s="40" t="str">
        <f t="shared" ca="1" si="13"/>
        <v>crimson</v>
      </c>
      <c r="AY188" s="40" t="s">
        <v>688</v>
      </c>
      <c r="AZ188" s="40" t="str">
        <f t="shared" ca="1" si="14"/>
        <v>,{"type":"polyline","latLngs":[{"lat":35.435943,"lng":133.34314},{"lat":35.437492,"lng":133.340979}],"color":"crimson"}</v>
      </c>
      <c r="BA188" s="40" t="s">
        <v>691</v>
      </c>
      <c r="BB188" s="56">
        <f t="shared" ca="1" si="15"/>
        <v>35.435943000000002</v>
      </c>
      <c r="BC188" s="40" t="s">
        <v>684</v>
      </c>
      <c r="BD188" s="56">
        <f t="shared" ca="1" si="16"/>
        <v>133.34314000000001</v>
      </c>
      <c r="BE188" s="40" t="s">
        <v>692</v>
      </c>
      <c r="BF188" s="40" t="str">
        <f t="shared" ca="1" si="17"/>
        <v>crimson</v>
      </c>
      <c r="BG188" s="40" t="s">
        <v>688</v>
      </c>
      <c r="BH188" s="40" t="str">
        <f t="shared" ca="1" si="18"/>
        <v>,{"type":"marker","latLng":{"lat":35.435943,"lng":133.34314},"color":"crimson"}</v>
      </c>
      <c r="BI188" s="40" t="s">
        <v>693</v>
      </c>
      <c r="BJ188" s="40" t="s">
        <v>694</v>
      </c>
      <c r="BK188" s="267" t="str">
        <f t="shared" ca="1" si="19"/>
        <v>,{"type":"polyline","latLngs":[{"lat":35.435943,"lng":133.34314},{"lat":35.437492,"lng":133.340979}],"color":"crimson"}</v>
      </c>
      <c r="BL188" s="40"/>
      <c r="BM188" s="40"/>
    </row>
    <row r="189" spans="2:65" ht="17.5">
      <c r="C189" s="279">
        <f>'2.ポータル'!B179</f>
        <v>0</v>
      </c>
      <c r="D189" s="279">
        <f>'2.ポータル'!C179</f>
        <v>0</v>
      </c>
      <c r="E189" s="279">
        <f>'2.ポータル'!D179</f>
        <v>0</v>
      </c>
      <c r="G189" s="261"/>
      <c r="H189" s="262" t="s">
        <v>672</v>
      </c>
      <c r="I189" s="93" t="str">
        <f ca="1">IFERROR(__xludf.DUMMYFUNCTION("""COMPUTED_VALUE"""),"Agent07")</f>
        <v>Agent07</v>
      </c>
      <c r="J189" s="93" t="str">
        <f ca="1">IFERROR(__xludf.DUMMYFUNCTION("""COMPUTED_VALUE"""),"P62")</f>
        <v>P62</v>
      </c>
      <c r="K189" s="93" t="str">
        <f ca="1">IFERROR(__xludf.DUMMYFUNCTION("""COMPUTED_VALUE"""),"P70")</f>
        <v>P70</v>
      </c>
      <c r="L189" s="242" t="s">
        <v>681</v>
      </c>
      <c r="M189" s="263" t="str">
        <f t="shared" ca="1" si="0"/>
        <v>crimson</v>
      </c>
      <c r="N189" s="264" t="str">
        <f ca="1">IFERROR(__xludf.DUMMYFUNCTION("FILTER(C:E,B:B=J189)"),"米子市役所博労町庁舎")</f>
        <v>米子市役所博労町庁舎</v>
      </c>
      <c r="O189" s="265">
        <f ca="1">IFERROR(__xludf.DUMMYFUNCTION("""COMPUTED_VALUE"""),35.435943)</f>
        <v>35.435943000000002</v>
      </c>
      <c r="P189" s="265">
        <f ca="1">IFERROR(__xludf.DUMMYFUNCTION("""COMPUTED_VALUE"""),133.34314)</f>
        <v>133.34314000000001</v>
      </c>
      <c r="Q189" s="264" t="str">
        <f ca="1">IFERROR(__xludf.DUMMYFUNCTION("FILTER(C:E,B:B=K189)"),"米川堤防のつつじ")</f>
        <v>米川堤防のつつじ</v>
      </c>
      <c r="R189" s="265">
        <f ca="1">IFERROR(__xludf.DUMMYFUNCTION("""COMPUTED_VALUE"""),35.437507)</f>
        <v>35.437506999999997</v>
      </c>
      <c r="S189" s="265">
        <f ca="1">IFERROR(__xludf.DUMMYFUNCTION("""COMPUTED_VALUE"""),133.340544)</f>
        <v>133.34054399999999</v>
      </c>
      <c r="T189" s="264" t="str">
        <f ca="1">IFERROR(__xludf.DUMMYFUNCTION("FILTER(C:E,B:B=L189)")," ")</f>
        <v xml:space="preserve"> </v>
      </c>
      <c r="U189" s="40" t="str">
        <f ca="1">IFERROR(__xludf.DUMMYFUNCTION("""COMPUTED_VALUE""")," ")</f>
        <v xml:space="preserve"> </v>
      </c>
      <c r="V189" s="40" t="str">
        <f ca="1">IFERROR(__xludf.DUMMYFUNCTION("""COMPUTED_VALUE""")," ")</f>
        <v xml:space="preserve"> </v>
      </c>
      <c r="W189" s="40" t="str">
        <f t="shared" ca="1" si="21"/>
        <v>,</v>
      </c>
      <c r="X189" s="40" t="s">
        <v>682</v>
      </c>
      <c r="Y189" s="40" t="s">
        <v>683</v>
      </c>
      <c r="Z189" s="264">
        <f t="shared" ca="1" si="1"/>
        <v>35.435943000000002</v>
      </c>
      <c r="AA189" s="40" t="s">
        <v>684</v>
      </c>
      <c r="AB189" s="264">
        <f t="shared" ca="1" si="2"/>
        <v>133.34314000000001</v>
      </c>
      <c r="AC189" s="40" t="s">
        <v>685</v>
      </c>
      <c r="AD189" s="264">
        <f t="shared" ca="1" si="3"/>
        <v>35.437506999999997</v>
      </c>
      <c r="AE189" s="40" t="s">
        <v>684</v>
      </c>
      <c r="AF189" s="264">
        <f t="shared" ca="1" si="4"/>
        <v>133.34054399999999</v>
      </c>
      <c r="AG189" s="40" t="s">
        <v>686</v>
      </c>
      <c r="AH189" s="264" t="str">
        <f t="shared" ca="1" si="5"/>
        <v xml:space="preserve"> </v>
      </c>
      <c r="AI189" s="40" t="s">
        <v>684</v>
      </c>
      <c r="AJ189" s="264" t="str">
        <f t="shared" ca="1" si="6"/>
        <v xml:space="preserve"> </v>
      </c>
      <c r="AK189" s="40" t="s">
        <v>687</v>
      </c>
      <c r="AL189" s="264" t="str">
        <f t="shared" ca="1" si="7"/>
        <v>crimson</v>
      </c>
      <c r="AM189" s="40" t="s">
        <v>688</v>
      </c>
      <c r="AN189" s="40" t="str">
        <f t="shared" ca="1" si="8"/>
        <v>,{"type":"polygon","latLngs":[ {"lat":35.435943,"lng":133.34314}, {"lat":35.437507,"lng":133.340544},{"lat": ,"lng": }], "color":"crimson"}</v>
      </c>
      <c r="AO189" s="266" t="s">
        <v>689</v>
      </c>
      <c r="AP189" s="56">
        <f t="shared" ca="1" si="9"/>
        <v>35.435943000000002</v>
      </c>
      <c r="AQ189" s="40" t="s">
        <v>684</v>
      </c>
      <c r="AR189" s="56">
        <f t="shared" ca="1" si="10"/>
        <v>133.34314000000001</v>
      </c>
      <c r="AS189" s="40" t="s">
        <v>686</v>
      </c>
      <c r="AT189" s="56">
        <f t="shared" ca="1" si="11"/>
        <v>35.437506999999997</v>
      </c>
      <c r="AU189" s="40" t="s">
        <v>684</v>
      </c>
      <c r="AV189" s="56">
        <f t="shared" ca="1" si="12"/>
        <v>133.34054399999999</v>
      </c>
      <c r="AW189" s="40" t="s">
        <v>690</v>
      </c>
      <c r="AX189" s="40" t="str">
        <f t="shared" ca="1" si="13"/>
        <v>crimson</v>
      </c>
      <c r="AY189" s="40" t="s">
        <v>688</v>
      </c>
      <c r="AZ189" s="40" t="str">
        <f t="shared" ca="1" si="14"/>
        <v>,{"type":"polyline","latLngs":[{"lat":35.435943,"lng":133.34314},{"lat":35.437507,"lng":133.340544}],"color":"crimson"}</v>
      </c>
      <c r="BA189" s="40" t="s">
        <v>691</v>
      </c>
      <c r="BB189" s="56">
        <f t="shared" ca="1" si="15"/>
        <v>35.435943000000002</v>
      </c>
      <c r="BC189" s="40" t="s">
        <v>684</v>
      </c>
      <c r="BD189" s="56">
        <f t="shared" ca="1" si="16"/>
        <v>133.34314000000001</v>
      </c>
      <c r="BE189" s="40" t="s">
        <v>692</v>
      </c>
      <c r="BF189" s="40" t="str">
        <f t="shared" ca="1" si="17"/>
        <v>crimson</v>
      </c>
      <c r="BG189" s="40" t="s">
        <v>688</v>
      </c>
      <c r="BH189" s="40" t="str">
        <f t="shared" ca="1" si="18"/>
        <v>,{"type":"marker","latLng":{"lat":35.435943,"lng":133.34314},"color":"crimson"}</v>
      </c>
      <c r="BI189" s="40" t="s">
        <v>693</v>
      </c>
      <c r="BJ189" s="40" t="s">
        <v>694</v>
      </c>
      <c r="BK189" s="267" t="str">
        <f t="shared" ca="1" si="19"/>
        <v>,{"type":"polyline","latLngs":[{"lat":35.435943,"lng":133.34314},{"lat":35.437507,"lng":133.340544}],"color":"crimson"}</v>
      </c>
      <c r="BL189" s="40"/>
      <c r="BM189" s="40"/>
    </row>
    <row r="190" spans="2:65" ht="17.5">
      <c r="G190" s="261"/>
      <c r="H190" s="262" t="s">
        <v>672</v>
      </c>
      <c r="I190" s="93" t="str">
        <f ca="1">IFERROR(__xludf.DUMMYFUNCTION("""COMPUTED_VALUE"""),"Agent07")</f>
        <v>Agent07</v>
      </c>
      <c r="J190" s="93" t="str">
        <f ca="1">IFERROR(__xludf.DUMMYFUNCTION("""COMPUTED_VALUE"""),"P34")</f>
        <v>P34</v>
      </c>
      <c r="K190" s="93" t="str">
        <f ca="1">IFERROR(__xludf.DUMMYFUNCTION("""COMPUTED_VALUE"""),"P70")</f>
        <v>P70</v>
      </c>
      <c r="L190" s="242" t="s">
        <v>681</v>
      </c>
      <c r="M190" s="263" t="str">
        <f t="shared" ca="1" si="0"/>
        <v>crimson</v>
      </c>
      <c r="N190" s="264" t="str">
        <f ca="1">IFERROR(__xludf.DUMMYFUNCTION("FILTER(C:E,B:B=J190)"),"米子 法城寺")</f>
        <v>米子 法城寺</v>
      </c>
      <c r="O190" s="265">
        <f ca="1">IFERROR(__xludf.DUMMYFUNCTION("""COMPUTED_VALUE"""),35.432157)</f>
        <v>35.432156999999997</v>
      </c>
      <c r="P190" s="265">
        <f ca="1">IFERROR(__xludf.DUMMYFUNCTION("""COMPUTED_VALUE"""),133.342227)</f>
        <v>133.34222700000001</v>
      </c>
      <c r="Q190" s="264" t="str">
        <f ca="1">IFERROR(__xludf.DUMMYFUNCTION("FILTER(C:E,B:B=K190)"),"米川堤防のつつじ")</f>
        <v>米川堤防のつつじ</v>
      </c>
      <c r="R190" s="265">
        <f ca="1">IFERROR(__xludf.DUMMYFUNCTION("""COMPUTED_VALUE"""),35.437507)</f>
        <v>35.437506999999997</v>
      </c>
      <c r="S190" s="265">
        <f ca="1">IFERROR(__xludf.DUMMYFUNCTION("""COMPUTED_VALUE"""),133.340544)</f>
        <v>133.34054399999999</v>
      </c>
      <c r="T190" s="264" t="str">
        <f ca="1">IFERROR(__xludf.DUMMYFUNCTION("FILTER(C:E,B:B=L190)")," ")</f>
        <v xml:space="preserve"> </v>
      </c>
      <c r="U190" s="40" t="str">
        <f ca="1">IFERROR(__xludf.DUMMYFUNCTION("""COMPUTED_VALUE""")," ")</f>
        <v xml:space="preserve"> </v>
      </c>
      <c r="V190" s="40" t="str">
        <f ca="1">IFERROR(__xludf.DUMMYFUNCTION("""COMPUTED_VALUE""")," ")</f>
        <v xml:space="preserve"> </v>
      </c>
      <c r="W190" s="40" t="str">
        <f t="shared" ca="1" si="21"/>
        <v>,</v>
      </c>
      <c r="X190" s="40" t="s">
        <v>682</v>
      </c>
      <c r="Y190" s="40" t="s">
        <v>683</v>
      </c>
      <c r="Z190" s="264">
        <f t="shared" ca="1" si="1"/>
        <v>35.432156999999997</v>
      </c>
      <c r="AA190" s="40" t="s">
        <v>684</v>
      </c>
      <c r="AB190" s="264">
        <f t="shared" ca="1" si="2"/>
        <v>133.34222700000001</v>
      </c>
      <c r="AC190" s="40" t="s">
        <v>685</v>
      </c>
      <c r="AD190" s="264">
        <f t="shared" ca="1" si="3"/>
        <v>35.437506999999997</v>
      </c>
      <c r="AE190" s="40" t="s">
        <v>684</v>
      </c>
      <c r="AF190" s="264">
        <f t="shared" ca="1" si="4"/>
        <v>133.34054399999999</v>
      </c>
      <c r="AG190" s="40" t="s">
        <v>686</v>
      </c>
      <c r="AH190" s="264" t="str">
        <f t="shared" ca="1" si="5"/>
        <v xml:space="preserve"> </v>
      </c>
      <c r="AI190" s="40" t="s">
        <v>684</v>
      </c>
      <c r="AJ190" s="264" t="str">
        <f t="shared" ca="1" si="6"/>
        <v xml:space="preserve"> </v>
      </c>
      <c r="AK190" s="40" t="s">
        <v>687</v>
      </c>
      <c r="AL190" s="264" t="str">
        <f t="shared" ca="1" si="7"/>
        <v>crimson</v>
      </c>
      <c r="AM190" s="40" t="s">
        <v>688</v>
      </c>
      <c r="AN190" s="40" t="str">
        <f t="shared" ca="1" si="8"/>
        <v>,{"type":"polygon","latLngs":[ {"lat":35.432157,"lng":133.342227}, {"lat":35.437507,"lng":133.340544},{"lat": ,"lng": }], "color":"crimson"}</v>
      </c>
      <c r="AO190" s="266" t="s">
        <v>689</v>
      </c>
      <c r="AP190" s="56">
        <f t="shared" ca="1" si="9"/>
        <v>35.432156999999997</v>
      </c>
      <c r="AQ190" s="40" t="s">
        <v>684</v>
      </c>
      <c r="AR190" s="56">
        <f t="shared" ca="1" si="10"/>
        <v>133.34222700000001</v>
      </c>
      <c r="AS190" s="40" t="s">
        <v>686</v>
      </c>
      <c r="AT190" s="56">
        <f t="shared" ca="1" si="11"/>
        <v>35.437506999999997</v>
      </c>
      <c r="AU190" s="40" t="s">
        <v>684</v>
      </c>
      <c r="AV190" s="56">
        <f t="shared" ca="1" si="12"/>
        <v>133.34054399999999</v>
      </c>
      <c r="AW190" s="40" t="s">
        <v>690</v>
      </c>
      <c r="AX190" s="40" t="str">
        <f t="shared" ca="1" si="13"/>
        <v>crimson</v>
      </c>
      <c r="AY190" s="40" t="s">
        <v>688</v>
      </c>
      <c r="AZ190" s="40" t="str">
        <f t="shared" ca="1" si="14"/>
        <v>,{"type":"polyline","latLngs":[{"lat":35.432157,"lng":133.342227},{"lat":35.437507,"lng":133.340544}],"color":"crimson"}</v>
      </c>
      <c r="BA190" s="40" t="s">
        <v>691</v>
      </c>
      <c r="BB190" s="56">
        <f t="shared" ca="1" si="15"/>
        <v>35.432156999999997</v>
      </c>
      <c r="BC190" s="40" t="s">
        <v>684</v>
      </c>
      <c r="BD190" s="56">
        <f t="shared" ca="1" si="16"/>
        <v>133.34222700000001</v>
      </c>
      <c r="BE190" s="40" t="s">
        <v>692</v>
      </c>
      <c r="BF190" s="40" t="str">
        <f t="shared" ca="1" si="17"/>
        <v>crimson</v>
      </c>
      <c r="BG190" s="40" t="s">
        <v>688</v>
      </c>
      <c r="BH190" s="40" t="str">
        <f t="shared" ca="1" si="18"/>
        <v>,{"type":"marker","latLng":{"lat":35.432157,"lng":133.342227},"color":"crimson"}</v>
      </c>
      <c r="BI190" s="40" t="s">
        <v>693</v>
      </c>
      <c r="BJ190" s="40" t="s">
        <v>694</v>
      </c>
      <c r="BK190" s="267" t="str">
        <f t="shared" ca="1" si="19"/>
        <v>,{"type":"polyline","latLngs":[{"lat":35.432157,"lng":133.342227},{"lat":35.437507,"lng":133.340544}],"color":"crimson"}</v>
      </c>
      <c r="BL190" s="40"/>
      <c r="BM190" s="40"/>
    </row>
    <row r="191" spans="2:65" ht="17.5">
      <c r="G191" s="261"/>
      <c r="H191" s="262" t="s">
        <v>672</v>
      </c>
      <c r="I191" s="93" t="str">
        <f ca="1">IFERROR(__xludf.DUMMYFUNCTION("""COMPUTED_VALUE"""),"Agent07")</f>
        <v>Agent07</v>
      </c>
      <c r="J191" s="93" t="str">
        <f ca="1">IFERROR(__xludf.DUMMYFUNCTION("""COMPUTED_VALUE"""),"P35")</f>
        <v>P35</v>
      </c>
      <c r="K191" s="93" t="str">
        <f ca="1">IFERROR(__xludf.DUMMYFUNCTION("""COMPUTED_VALUE"""),"P34")</f>
        <v>P34</v>
      </c>
      <c r="L191" s="242" t="s">
        <v>681</v>
      </c>
      <c r="M191" s="263" t="str">
        <f t="shared" ca="1" si="0"/>
        <v>crimson</v>
      </c>
      <c r="N191" s="264" t="str">
        <f ca="1">IFERROR(__xludf.DUMMYFUNCTION("FILTER(C:E,B:B=J191)"),"勝田神社の社")</f>
        <v>勝田神社の社</v>
      </c>
      <c r="O191" s="265">
        <f ca="1">IFERROR(__xludf.DUMMYFUNCTION("""COMPUTED_VALUE"""),35.432161)</f>
        <v>35.432161000000001</v>
      </c>
      <c r="P191" s="265">
        <f ca="1">IFERROR(__xludf.DUMMYFUNCTION("""COMPUTED_VALUE"""),133.341019)</f>
        <v>133.34101899999999</v>
      </c>
      <c r="Q191" s="264" t="str">
        <f ca="1">IFERROR(__xludf.DUMMYFUNCTION("FILTER(C:E,B:B=K191)"),"米子 法城寺")</f>
        <v>米子 法城寺</v>
      </c>
      <c r="R191" s="265">
        <f ca="1">IFERROR(__xludf.DUMMYFUNCTION("""COMPUTED_VALUE"""),35.432157)</f>
        <v>35.432156999999997</v>
      </c>
      <c r="S191" s="265">
        <f ca="1">IFERROR(__xludf.DUMMYFUNCTION("""COMPUTED_VALUE"""),133.342227)</f>
        <v>133.34222700000001</v>
      </c>
      <c r="T191" s="264" t="str">
        <f ca="1">IFERROR(__xludf.DUMMYFUNCTION("FILTER(C:E,B:B=L191)")," ")</f>
        <v xml:space="preserve"> </v>
      </c>
      <c r="U191" s="40" t="str">
        <f ca="1">IFERROR(__xludf.DUMMYFUNCTION("""COMPUTED_VALUE""")," ")</f>
        <v xml:space="preserve"> </v>
      </c>
      <c r="V191" s="40" t="str">
        <f ca="1">IFERROR(__xludf.DUMMYFUNCTION("""COMPUTED_VALUE""")," ")</f>
        <v xml:space="preserve"> </v>
      </c>
      <c r="W191" s="40" t="str">
        <f t="shared" ca="1" si="21"/>
        <v>,</v>
      </c>
      <c r="X191" s="40" t="s">
        <v>682</v>
      </c>
      <c r="Y191" s="40" t="s">
        <v>683</v>
      </c>
      <c r="Z191" s="264">
        <f t="shared" ca="1" si="1"/>
        <v>35.432161000000001</v>
      </c>
      <c r="AA191" s="40" t="s">
        <v>684</v>
      </c>
      <c r="AB191" s="264">
        <f t="shared" ca="1" si="2"/>
        <v>133.34101899999999</v>
      </c>
      <c r="AC191" s="40" t="s">
        <v>685</v>
      </c>
      <c r="AD191" s="264">
        <f t="shared" ca="1" si="3"/>
        <v>35.432156999999997</v>
      </c>
      <c r="AE191" s="40" t="s">
        <v>684</v>
      </c>
      <c r="AF191" s="264">
        <f t="shared" ca="1" si="4"/>
        <v>133.34222700000001</v>
      </c>
      <c r="AG191" s="40" t="s">
        <v>686</v>
      </c>
      <c r="AH191" s="264" t="str">
        <f t="shared" ca="1" si="5"/>
        <v xml:space="preserve"> </v>
      </c>
      <c r="AI191" s="40" t="s">
        <v>684</v>
      </c>
      <c r="AJ191" s="264" t="str">
        <f t="shared" ca="1" si="6"/>
        <v xml:space="preserve"> </v>
      </c>
      <c r="AK191" s="40" t="s">
        <v>687</v>
      </c>
      <c r="AL191" s="264" t="str">
        <f t="shared" ca="1" si="7"/>
        <v>crimson</v>
      </c>
      <c r="AM191" s="40" t="s">
        <v>688</v>
      </c>
      <c r="AN191" s="40" t="str">
        <f t="shared" ca="1" si="8"/>
        <v>,{"type":"polygon","latLngs":[ {"lat":35.432161,"lng":133.341019}, {"lat":35.432157,"lng":133.342227},{"lat": ,"lng": }], "color":"crimson"}</v>
      </c>
      <c r="AO191" s="266" t="s">
        <v>689</v>
      </c>
      <c r="AP191" s="56">
        <f t="shared" ca="1" si="9"/>
        <v>35.432161000000001</v>
      </c>
      <c r="AQ191" s="40" t="s">
        <v>684</v>
      </c>
      <c r="AR191" s="56">
        <f t="shared" ca="1" si="10"/>
        <v>133.34101899999999</v>
      </c>
      <c r="AS191" s="40" t="s">
        <v>686</v>
      </c>
      <c r="AT191" s="56">
        <f t="shared" ca="1" si="11"/>
        <v>35.432156999999997</v>
      </c>
      <c r="AU191" s="40" t="s">
        <v>684</v>
      </c>
      <c r="AV191" s="56">
        <f t="shared" ca="1" si="12"/>
        <v>133.34222700000001</v>
      </c>
      <c r="AW191" s="40" t="s">
        <v>690</v>
      </c>
      <c r="AX191" s="40" t="str">
        <f t="shared" ca="1" si="13"/>
        <v>crimson</v>
      </c>
      <c r="AY191" s="40" t="s">
        <v>688</v>
      </c>
      <c r="AZ191" s="40" t="str">
        <f t="shared" ca="1" si="14"/>
        <v>,{"type":"polyline","latLngs":[{"lat":35.432161,"lng":133.341019},{"lat":35.432157,"lng":133.342227}],"color":"crimson"}</v>
      </c>
      <c r="BA191" s="40" t="s">
        <v>691</v>
      </c>
      <c r="BB191" s="56">
        <f t="shared" ca="1" si="15"/>
        <v>35.432161000000001</v>
      </c>
      <c r="BC191" s="40" t="s">
        <v>684</v>
      </c>
      <c r="BD191" s="56">
        <f t="shared" ca="1" si="16"/>
        <v>133.34101899999999</v>
      </c>
      <c r="BE191" s="40" t="s">
        <v>692</v>
      </c>
      <c r="BF191" s="40" t="str">
        <f t="shared" ca="1" si="17"/>
        <v>crimson</v>
      </c>
      <c r="BG191" s="40" t="s">
        <v>688</v>
      </c>
      <c r="BH191" s="40" t="str">
        <f t="shared" ca="1" si="18"/>
        <v>,{"type":"marker","latLng":{"lat":35.432161,"lng":133.341019},"color":"crimson"}</v>
      </c>
      <c r="BI191" s="40" t="s">
        <v>693</v>
      </c>
      <c r="BJ191" s="40" t="s">
        <v>694</v>
      </c>
      <c r="BK191" s="267" t="str">
        <f t="shared" ca="1" si="19"/>
        <v>,{"type":"polyline","latLngs":[{"lat":35.432161,"lng":133.341019},{"lat":35.432157,"lng":133.342227}],"color":"crimson"}</v>
      </c>
      <c r="BL191" s="40"/>
      <c r="BM191" s="40"/>
    </row>
    <row r="192" spans="2:65" ht="17.5">
      <c r="G192" s="261"/>
      <c r="H192" s="262" t="s">
        <v>672</v>
      </c>
      <c r="I192" s="93" t="str">
        <f ca="1">IFERROR(__xludf.DUMMYFUNCTION("""COMPUTED_VALUE"""),"Agent07")</f>
        <v>Agent07</v>
      </c>
      <c r="J192" s="93" t="str">
        <f ca="1">IFERROR(__xludf.DUMMYFUNCTION("""COMPUTED_VALUE"""),"P35")</f>
        <v>P35</v>
      </c>
      <c r="K192" s="93" t="str">
        <f ca="1">IFERROR(__xludf.DUMMYFUNCTION("""COMPUTED_VALUE"""),"P70")</f>
        <v>P70</v>
      </c>
      <c r="L192" s="242" t="s">
        <v>681</v>
      </c>
      <c r="M192" s="263" t="str">
        <f t="shared" ca="1" si="0"/>
        <v>crimson</v>
      </c>
      <c r="N192" s="264" t="str">
        <f ca="1">IFERROR(__xludf.DUMMYFUNCTION("FILTER(C:E,B:B=J192)"),"勝田神社の社")</f>
        <v>勝田神社の社</v>
      </c>
      <c r="O192" s="265">
        <f ca="1">IFERROR(__xludf.DUMMYFUNCTION("""COMPUTED_VALUE"""),35.432161)</f>
        <v>35.432161000000001</v>
      </c>
      <c r="P192" s="265">
        <f ca="1">IFERROR(__xludf.DUMMYFUNCTION("""COMPUTED_VALUE"""),133.341019)</f>
        <v>133.34101899999999</v>
      </c>
      <c r="Q192" s="264" t="str">
        <f ca="1">IFERROR(__xludf.DUMMYFUNCTION("FILTER(C:E,B:B=K192)"),"米川堤防のつつじ")</f>
        <v>米川堤防のつつじ</v>
      </c>
      <c r="R192" s="265">
        <f ca="1">IFERROR(__xludf.DUMMYFUNCTION("""COMPUTED_VALUE"""),35.437507)</f>
        <v>35.437506999999997</v>
      </c>
      <c r="S192" s="265">
        <f ca="1">IFERROR(__xludf.DUMMYFUNCTION("""COMPUTED_VALUE"""),133.340544)</f>
        <v>133.34054399999999</v>
      </c>
      <c r="T192" s="264" t="str">
        <f ca="1">IFERROR(__xludf.DUMMYFUNCTION("FILTER(C:E,B:B=L192)")," ")</f>
        <v xml:space="preserve"> </v>
      </c>
      <c r="U192" s="40" t="str">
        <f ca="1">IFERROR(__xludf.DUMMYFUNCTION("""COMPUTED_VALUE""")," ")</f>
        <v xml:space="preserve"> </v>
      </c>
      <c r="V192" s="40" t="str">
        <f ca="1">IFERROR(__xludf.DUMMYFUNCTION("""COMPUTED_VALUE""")," ")</f>
        <v xml:space="preserve"> </v>
      </c>
      <c r="W192" s="40" t="str">
        <f t="shared" ca="1" si="21"/>
        <v>,</v>
      </c>
      <c r="X192" s="40" t="s">
        <v>682</v>
      </c>
      <c r="Y192" s="40" t="s">
        <v>683</v>
      </c>
      <c r="Z192" s="264">
        <f t="shared" ca="1" si="1"/>
        <v>35.432161000000001</v>
      </c>
      <c r="AA192" s="40" t="s">
        <v>684</v>
      </c>
      <c r="AB192" s="264">
        <f t="shared" ca="1" si="2"/>
        <v>133.34101899999999</v>
      </c>
      <c r="AC192" s="40" t="s">
        <v>685</v>
      </c>
      <c r="AD192" s="264">
        <f t="shared" ca="1" si="3"/>
        <v>35.437506999999997</v>
      </c>
      <c r="AE192" s="40" t="s">
        <v>684</v>
      </c>
      <c r="AF192" s="264">
        <f t="shared" ca="1" si="4"/>
        <v>133.34054399999999</v>
      </c>
      <c r="AG192" s="40" t="s">
        <v>686</v>
      </c>
      <c r="AH192" s="264" t="str">
        <f t="shared" ca="1" si="5"/>
        <v xml:space="preserve"> </v>
      </c>
      <c r="AI192" s="40" t="s">
        <v>684</v>
      </c>
      <c r="AJ192" s="264" t="str">
        <f t="shared" ca="1" si="6"/>
        <v xml:space="preserve"> </v>
      </c>
      <c r="AK192" s="40" t="s">
        <v>687</v>
      </c>
      <c r="AL192" s="264" t="str">
        <f t="shared" ca="1" si="7"/>
        <v>crimson</v>
      </c>
      <c r="AM192" s="40" t="s">
        <v>688</v>
      </c>
      <c r="AN192" s="40" t="str">
        <f t="shared" ca="1" si="8"/>
        <v>,{"type":"polygon","latLngs":[ {"lat":35.432161,"lng":133.341019}, {"lat":35.437507,"lng":133.340544},{"lat": ,"lng": }], "color":"crimson"}</v>
      </c>
      <c r="AO192" s="266" t="s">
        <v>689</v>
      </c>
      <c r="AP192" s="56">
        <f t="shared" ca="1" si="9"/>
        <v>35.432161000000001</v>
      </c>
      <c r="AQ192" s="40" t="s">
        <v>684</v>
      </c>
      <c r="AR192" s="56">
        <f t="shared" ca="1" si="10"/>
        <v>133.34101899999999</v>
      </c>
      <c r="AS192" s="40" t="s">
        <v>686</v>
      </c>
      <c r="AT192" s="56">
        <f t="shared" ca="1" si="11"/>
        <v>35.437506999999997</v>
      </c>
      <c r="AU192" s="40" t="s">
        <v>684</v>
      </c>
      <c r="AV192" s="56">
        <f t="shared" ca="1" si="12"/>
        <v>133.34054399999999</v>
      </c>
      <c r="AW192" s="40" t="s">
        <v>690</v>
      </c>
      <c r="AX192" s="40" t="str">
        <f t="shared" ca="1" si="13"/>
        <v>crimson</v>
      </c>
      <c r="AY192" s="40" t="s">
        <v>688</v>
      </c>
      <c r="AZ192" s="40" t="str">
        <f t="shared" ca="1" si="14"/>
        <v>,{"type":"polyline","latLngs":[{"lat":35.432161,"lng":133.341019},{"lat":35.437507,"lng":133.340544}],"color":"crimson"}</v>
      </c>
      <c r="BA192" s="40" t="s">
        <v>691</v>
      </c>
      <c r="BB192" s="56">
        <f t="shared" ca="1" si="15"/>
        <v>35.432161000000001</v>
      </c>
      <c r="BC192" s="40" t="s">
        <v>684</v>
      </c>
      <c r="BD192" s="56">
        <f t="shared" ca="1" si="16"/>
        <v>133.34101899999999</v>
      </c>
      <c r="BE192" s="40" t="s">
        <v>692</v>
      </c>
      <c r="BF192" s="40" t="str">
        <f t="shared" ca="1" si="17"/>
        <v>crimson</v>
      </c>
      <c r="BG192" s="40" t="s">
        <v>688</v>
      </c>
      <c r="BH192" s="40" t="str">
        <f t="shared" ca="1" si="18"/>
        <v>,{"type":"marker","latLng":{"lat":35.432161,"lng":133.341019},"color":"crimson"}</v>
      </c>
      <c r="BI192" s="40" t="s">
        <v>693</v>
      </c>
      <c r="BJ192" s="40" t="s">
        <v>694</v>
      </c>
      <c r="BK192" s="267" t="str">
        <f t="shared" ca="1" si="19"/>
        <v>,{"type":"polyline","latLngs":[{"lat":35.432161,"lng":133.341019},{"lat":35.437507,"lng":133.340544}],"color":"crimson"}</v>
      </c>
      <c r="BL192" s="40"/>
      <c r="BM192" s="40"/>
    </row>
    <row r="193" spans="3:65" ht="17.5">
      <c r="C193" s="279">
        <f>'2.ポータル'!B186</f>
        <v>0</v>
      </c>
      <c r="D193" s="279">
        <f>'2.ポータル'!C183</f>
        <v>0</v>
      </c>
      <c r="E193" s="279">
        <f>'2.ポータル'!D183</f>
        <v>0</v>
      </c>
      <c r="G193" s="261"/>
      <c r="H193" s="262" t="s">
        <v>672</v>
      </c>
      <c r="I193" s="93" t="str">
        <f ca="1">IFERROR(__xludf.DUMMYFUNCTION("""COMPUTED_VALUE"""),"Agent07")</f>
        <v>Agent07</v>
      </c>
      <c r="J193" s="93" t="str">
        <f ca="1">IFERROR(__xludf.DUMMYFUNCTION("""COMPUTED_VALUE"""),"P33")</f>
        <v>P33</v>
      </c>
      <c r="K193" s="93" t="str">
        <f ca="1">IFERROR(__xludf.DUMMYFUNCTION("""COMPUTED_VALUE"""),"P70")</f>
        <v>P70</v>
      </c>
      <c r="L193" s="242" t="s">
        <v>681</v>
      </c>
      <c r="M193" s="263" t="str">
        <f t="shared" ca="1" si="0"/>
        <v>crimson</v>
      </c>
      <c r="N193" s="264" t="str">
        <f ca="1">IFERROR(__xludf.DUMMYFUNCTION("FILTER(C:E,B:B=J193)"),"出雲大社 米子分院")</f>
        <v>出雲大社 米子分院</v>
      </c>
      <c r="O193" s="265">
        <f ca="1">IFERROR(__xludf.DUMMYFUNCTION("""COMPUTED_VALUE"""),35.432135)</f>
        <v>35.432135000000002</v>
      </c>
      <c r="P193" s="265">
        <f ca="1">IFERROR(__xludf.DUMMYFUNCTION("""COMPUTED_VALUE"""),133.340211)</f>
        <v>133.34021100000001</v>
      </c>
      <c r="Q193" s="264" t="str">
        <f ca="1">IFERROR(__xludf.DUMMYFUNCTION("FILTER(C:E,B:B=K193)"),"米川堤防のつつじ")</f>
        <v>米川堤防のつつじ</v>
      </c>
      <c r="R193" s="265">
        <f ca="1">IFERROR(__xludf.DUMMYFUNCTION("""COMPUTED_VALUE"""),35.437507)</f>
        <v>35.437506999999997</v>
      </c>
      <c r="S193" s="265">
        <f ca="1">IFERROR(__xludf.DUMMYFUNCTION("""COMPUTED_VALUE"""),133.340544)</f>
        <v>133.34054399999999</v>
      </c>
      <c r="T193" s="264" t="str">
        <f ca="1">IFERROR(__xludf.DUMMYFUNCTION("FILTER(C:E,B:B=L193)")," ")</f>
        <v xml:space="preserve"> </v>
      </c>
      <c r="U193" s="40" t="str">
        <f ca="1">IFERROR(__xludf.DUMMYFUNCTION("""COMPUTED_VALUE""")," ")</f>
        <v xml:space="preserve"> </v>
      </c>
      <c r="V193" s="40" t="str">
        <f ca="1">IFERROR(__xludf.DUMMYFUNCTION("""COMPUTED_VALUE""")," ")</f>
        <v xml:space="preserve"> </v>
      </c>
      <c r="W193" s="40" t="str">
        <f t="shared" ca="1" si="21"/>
        <v>,</v>
      </c>
      <c r="X193" s="40" t="s">
        <v>682</v>
      </c>
      <c r="Y193" s="40" t="s">
        <v>683</v>
      </c>
      <c r="Z193" s="264">
        <f t="shared" ca="1" si="1"/>
        <v>35.432135000000002</v>
      </c>
      <c r="AA193" s="40" t="s">
        <v>684</v>
      </c>
      <c r="AB193" s="264">
        <f t="shared" ca="1" si="2"/>
        <v>133.34021100000001</v>
      </c>
      <c r="AC193" s="40" t="s">
        <v>685</v>
      </c>
      <c r="AD193" s="264">
        <f t="shared" ca="1" si="3"/>
        <v>35.437506999999997</v>
      </c>
      <c r="AE193" s="40" t="s">
        <v>684</v>
      </c>
      <c r="AF193" s="264">
        <f t="shared" ca="1" si="4"/>
        <v>133.34054399999999</v>
      </c>
      <c r="AG193" s="40" t="s">
        <v>686</v>
      </c>
      <c r="AH193" s="264" t="str">
        <f t="shared" ca="1" si="5"/>
        <v xml:space="preserve"> </v>
      </c>
      <c r="AI193" s="40" t="s">
        <v>684</v>
      </c>
      <c r="AJ193" s="264" t="str">
        <f t="shared" ca="1" si="6"/>
        <v xml:space="preserve"> </v>
      </c>
      <c r="AK193" s="40" t="s">
        <v>687</v>
      </c>
      <c r="AL193" s="264" t="str">
        <f t="shared" ca="1" si="7"/>
        <v>crimson</v>
      </c>
      <c r="AM193" s="40" t="s">
        <v>688</v>
      </c>
      <c r="AN193" s="40" t="str">
        <f t="shared" ca="1" si="8"/>
        <v>,{"type":"polygon","latLngs":[ {"lat":35.432135,"lng":133.340211}, {"lat":35.437507,"lng":133.340544},{"lat": ,"lng": }], "color":"crimson"}</v>
      </c>
      <c r="AO193" s="266" t="s">
        <v>689</v>
      </c>
      <c r="AP193" s="56">
        <f t="shared" ca="1" si="9"/>
        <v>35.432135000000002</v>
      </c>
      <c r="AQ193" s="40" t="s">
        <v>684</v>
      </c>
      <c r="AR193" s="56">
        <f t="shared" ca="1" si="10"/>
        <v>133.34021100000001</v>
      </c>
      <c r="AS193" s="40" t="s">
        <v>686</v>
      </c>
      <c r="AT193" s="56">
        <f t="shared" ca="1" si="11"/>
        <v>35.437506999999997</v>
      </c>
      <c r="AU193" s="40" t="s">
        <v>684</v>
      </c>
      <c r="AV193" s="56">
        <f t="shared" ca="1" si="12"/>
        <v>133.34054399999999</v>
      </c>
      <c r="AW193" s="40" t="s">
        <v>690</v>
      </c>
      <c r="AX193" s="40" t="str">
        <f t="shared" ca="1" si="13"/>
        <v>crimson</v>
      </c>
      <c r="AY193" s="40" t="s">
        <v>688</v>
      </c>
      <c r="AZ193" s="40" t="str">
        <f t="shared" ca="1" si="14"/>
        <v>,{"type":"polyline","latLngs":[{"lat":35.432135,"lng":133.340211},{"lat":35.437507,"lng":133.340544}],"color":"crimson"}</v>
      </c>
      <c r="BA193" s="40" t="s">
        <v>691</v>
      </c>
      <c r="BB193" s="56">
        <f t="shared" ca="1" si="15"/>
        <v>35.432135000000002</v>
      </c>
      <c r="BC193" s="40" t="s">
        <v>684</v>
      </c>
      <c r="BD193" s="56">
        <f t="shared" ca="1" si="16"/>
        <v>133.34021100000001</v>
      </c>
      <c r="BE193" s="40" t="s">
        <v>692</v>
      </c>
      <c r="BF193" s="40" t="str">
        <f t="shared" ca="1" si="17"/>
        <v>crimson</v>
      </c>
      <c r="BG193" s="40" t="s">
        <v>688</v>
      </c>
      <c r="BH193" s="40" t="str">
        <f t="shared" ca="1" si="18"/>
        <v>,{"type":"marker","latLng":{"lat":35.432135,"lng":133.340211},"color":"crimson"}</v>
      </c>
      <c r="BI193" s="40" t="s">
        <v>693</v>
      </c>
      <c r="BJ193" s="40" t="s">
        <v>694</v>
      </c>
      <c r="BK193" s="267" t="str">
        <f t="shared" ca="1" si="19"/>
        <v>,{"type":"polyline","latLngs":[{"lat":35.432135,"lng":133.340211},{"lat":35.437507,"lng":133.340544}],"color":"crimson"}</v>
      </c>
      <c r="BL193" s="40"/>
      <c r="BM193" s="40"/>
    </row>
    <row r="194" spans="3:65" ht="17.5">
      <c r="C194" s="279">
        <f>'2.ポータル'!B184</f>
        <v>0</v>
      </c>
      <c r="D194" s="279">
        <f>'2.ポータル'!C184</f>
        <v>0</v>
      </c>
      <c r="E194" s="279">
        <f>'2.ポータル'!D184</f>
        <v>0</v>
      </c>
      <c r="G194" s="261"/>
      <c r="H194" s="262" t="s">
        <v>672</v>
      </c>
      <c r="I194" s="93" t="str">
        <f ca="1">IFERROR(__xludf.DUMMYFUNCTION("""COMPUTED_VALUE"""),"Agent07")</f>
        <v>Agent07</v>
      </c>
      <c r="J194" s="93" t="str">
        <f ca="1">IFERROR(__xludf.DUMMYFUNCTION("""COMPUTED_VALUE"""),"P36")</f>
        <v>P36</v>
      </c>
      <c r="K194" s="93" t="str">
        <f ca="1">IFERROR(__xludf.DUMMYFUNCTION("""COMPUTED_VALUE"""),"P70")</f>
        <v>P70</v>
      </c>
      <c r="L194" s="242" t="s">
        <v>681</v>
      </c>
      <c r="M194" s="263" t="str">
        <f t="shared" ca="1" si="0"/>
        <v>crimson</v>
      </c>
      <c r="N194" s="264" t="str">
        <f ca="1">IFERROR(__xludf.DUMMYFUNCTION("FILTER(C:E,B:B=J194)"),"お地蔵さん")</f>
        <v>お地蔵さん</v>
      </c>
      <c r="O194" s="265">
        <f ca="1">IFERROR(__xludf.DUMMYFUNCTION("""COMPUTED_VALUE"""),35.432332)</f>
        <v>35.432332000000002</v>
      </c>
      <c r="P194" s="265">
        <f ca="1">IFERROR(__xludf.DUMMYFUNCTION("""COMPUTED_VALUE"""),133.339103)</f>
        <v>133.33910299999999</v>
      </c>
      <c r="Q194" s="264" t="str">
        <f ca="1">IFERROR(__xludf.DUMMYFUNCTION("FILTER(C:E,B:B=K194)"),"米川堤防のつつじ")</f>
        <v>米川堤防のつつじ</v>
      </c>
      <c r="R194" s="265">
        <f ca="1">IFERROR(__xludf.DUMMYFUNCTION("""COMPUTED_VALUE"""),35.437507)</f>
        <v>35.437506999999997</v>
      </c>
      <c r="S194" s="265">
        <f ca="1">IFERROR(__xludf.DUMMYFUNCTION("""COMPUTED_VALUE"""),133.340544)</f>
        <v>133.34054399999999</v>
      </c>
      <c r="T194" s="264" t="str">
        <f ca="1">IFERROR(__xludf.DUMMYFUNCTION("FILTER(C:E,B:B=L194)")," ")</f>
        <v xml:space="preserve"> </v>
      </c>
      <c r="U194" s="40" t="str">
        <f ca="1">IFERROR(__xludf.DUMMYFUNCTION("""COMPUTED_VALUE""")," ")</f>
        <v xml:space="preserve"> </v>
      </c>
      <c r="V194" s="40" t="str">
        <f ca="1">IFERROR(__xludf.DUMMYFUNCTION("""COMPUTED_VALUE""")," ")</f>
        <v xml:space="preserve"> </v>
      </c>
      <c r="W194" s="40" t="str">
        <f t="shared" ca="1" si="21"/>
        <v>,</v>
      </c>
      <c r="X194" s="40" t="s">
        <v>682</v>
      </c>
      <c r="Y194" s="40" t="s">
        <v>683</v>
      </c>
      <c r="Z194" s="264">
        <f t="shared" ca="1" si="1"/>
        <v>35.432332000000002</v>
      </c>
      <c r="AA194" s="40" t="s">
        <v>684</v>
      </c>
      <c r="AB194" s="264">
        <f t="shared" ca="1" si="2"/>
        <v>133.33910299999999</v>
      </c>
      <c r="AC194" s="40" t="s">
        <v>685</v>
      </c>
      <c r="AD194" s="264">
        <f t="shared" ca="1" si="3"/>
        <v>35.437506999999997</v>
      </c>
      <c r="AE194" s="40" t="s">
        <v>684</v>
      </c>
      <c r="AF194" s="264">
        <f t="shared" ca="1" si="4"/>
        <v>133.34054399999999</v>
      </c>
      <c r="AG194" s="40" t="s">
        <v>686</v>
      </c>
      <c r="AH194" s="264" t="str">
        <f t="shared" ca="1" si="5"/>
        <v xml:space="preserve"> </v>
      </c>
      <c r="AI194" s="40" t="s">
        <v>684</v>
      </c>
      <c r="AJ194" s="264" t="str">
        <f t="shared" ca="1" si="6"/>
        <v xml:space="preserve"> </v>
      </c>
      <c r="AK194" s="40" t="s">
        <v>687</v>
      </c>
      <c r="AL194" s="264" t="str">
        <f t="shared" ca="1" si="7"/>
        <v>crimson</v>
      </c>
      <c r="AM194" s="40" t="s">
        <v>688</v>
      </c>
      <c r="AN194" s="40" t="str">
        <f t="shared" ca="1" si="8"/>
        <v>,{"type":"polygon","latLngs":[ {"lat":35.432332,"lng":133.339103}, {"lat":35.437507,"lng":133.340544},{"lat": ,"lng": }], "color":"crimson"}</v>
      </c>
      <c r="AO194" s="266" t="s">
        <v>689</v>
      </c>
      <c r="AP194" s="56">
        <f t="shared" ca="1" si="9"/>
        <v>35.432332000000002</v>
      </c>
      <c r="AQ194" s="40" t="s">
        <v>684</v>
      </c>
      <c r="AR194" s="56">
        <f t="shared" ca="1" si="10"/>
        <v>133.33910299999999</v>
      </c>
      <c r="AS194" s="40" t="s">
        <v>686</v>
      </c>
      <c r="AT194" s="56">
        <f t="shared" ca="1" si="11"/>
        <v>35.437506999999997</v>
      </c>
      <c r="AU194" s="40" t="s">
        <v>684</v>
      </c>
      <c r="AV194" s="56">
        <f t="shared" ca="1" si="12"/>
        <v>133.34054399999999</v>
      </c>
      <c r="AW194" s="40" t="s">
        <v>690</v>
      </c>
      <c r="AX194" s="40" t="str">
        <f t="shared" ca="1" si="13"/>
        <v>crimson</v>
      </c>
      <c r="AY194" s="40" t="s">
        <v>688</v>
      </c>
      <c r="AZ194" s="40" t="str">
        <f t="shared" ca="1" si="14"/>
        <v>,{"type":"polyline","latLngs":[{"lat":35.432332,"lng":133.339103},{"lat":35.437507,"lng":133.340544}],"color":"crimson"}</v>
      </c>
      <c r="BA194" s="40" t="s">
        <v>691</v>
      </c>
      <c r="BB194" s="56">
        <f t="shared" ca="1" si="15"/>
        <v>35.432332000000002</v>
      </c>
      <c r="BC194" s="40" t="s">
        <v>684</v>
      </c>
      <c r="BD194" s="56">
        <f t="shared" ca="1" si="16"/>
        <v>133.33910299999999</v>
      </c>
      <c r="BE194" s="40" t="s">
        <v>692</v>
      </c>
      <c r="BF194" s="40" t="str">
        <f t="shared" ca="1" si="17"/>
        <v>crimson</v>
      </c>
      <c r="BG194" s="40" t="s">
        <v>688</v>
      </c>
      <c r="BH194" s="40" t="str">
        <f t="shared" ca="1" si="18"/>
        <v>,{"type":"marker","latLng":{"lat":35.432332,"lng":133.339103},"color":"crimson"}</v>
      </c>
      <c r="BI194" s="40" t="s">
        <v>693</v>
      </c>
      <c r="BJ194" s="40" t="s">
        <v>694</v>
      </c>
      <c r="BK194" s="267" t="str">
        <f t="shared" ca="1" si="19"/>
        <v>,{"type":"polyline","latLngs":[{"lat":35.432332,"lng":133.339103},{"lat":35.437507,"lng":133.340544}],"color":"crimson"}</v>
      </c>
      <c r="BL194" s="40"/>
      <c r="BM194" s="40"/>
    </row>
    <row r="195" spans="3:65" ht="17.5">
      <c r="C195" s="279">
        <f>'2.ポータル'!B185</f>
        <v>0</v>
      </c>
      <c r="D195" s="279">
        <f>'2.ポータル'!C185</f>
        <v>0</v>
      </c>
      <c r="E195" s="279">
        <f>'2.ポータル'!D185</f>
        <v>0</v>
      </c>
      <c r="G195" s="261"/>
      <c r="H195" s="262" t="s">
        <v>672</v>
      </c>
      <c r="I195" s="93" t="str">
        <f ca="1">IFERROR(__xludf.DUMMYFUNCTION("""COMPUTED_VALUE"""),"Agent07")</f>
        <v>Agent07</v>
      </c>
      <c r="J195" s="93" t="str">
        <f ca="1">IFERROR(__xludf.DUMMYFUNCTION("""COMPUTED_VALUE"""),"P36")</f>
        <v>P36</v>
      </c>
      <c r="K195" s="93" t="str">
        <f ca="1">IFERROR(__xludf.DUMMYFUNCTION("""COMPUTED_VALUE"""),"P33")</f>
        <v>P33</v>
      </c>
      <c r="L195" s="242" t="s">
        <v>681</v>
      </c>
      <c r="M195" s="263" t="str">
        <f t="shared" ca="1" si="0"/>
        <v>crimson</v>
      </c>
      <c r="N195" s="264" t="str">
        <f ca="1">IFERROR(__xludf.DUMMYFUNCTION("FILTER(C:E,B:B=J195)"),"お地蔵さん")</f>
        <v>お地蔵さん</v>
      </c>
      <c r="O195" s="265">
        <f ca="1">IFERROR(__xludf.DUMMYFUNCTION("""COMPUTED_VALUE"""),35.432332)</f>
        <v>35.432332000000002</v>
      </c>
      <c r="P195" s="265">
        <f ca="1">IFERROR(__xludf.DUMMYFUNCTION("""COMPUTED_VALUE"""),133.339103)</f>
        <v>133.33910299999999</v>
      </c>
      <c r="Q195" s="264" t="str">
        <f ca="1">IFERROR(__xludf.DUMMYFUNCTION("FILTER(C:E,B:B=K195)"),"出雲大社 米子分院")</f>
        <v>出雲大社 米子分院</v>
      </c>
      <c r="R195" s="265">
        <f ca="1">IFERROR(__xludf.DUMMYFUNCTION("""COMPUTED_VALUE"""),35.432135)</f>
        <v>35.432135000000002</v>
      </c>
      <c r="S195" s="265">
        <f ca="1">IFERROR(__xludf.DUMMYFUNCTION("""COMPUTED_VALUE"""),133.340211)</f>
        <v>133.34021100000001</v>
      </c>
      <c r="T195" s="264" t="str">
        <f ca="1">IFERROR(__xludf.DUMMYFUNCTION("FILTER(C:E,B:B=L195)")," ")</f>
        <v xml:space="preserve"> </v>
      </c>
      <c r="U195" s="40" t="str">
        <f ca="1">IFERROR(__xludf.DUMMYFUNCTION("""COMPUTED_VALUE""")," ")</f>
        <v xml:space="preserve"> </v>
      </c>
      <c r="V195" s="40" t="str">
        <f ca="1">IFERROR(__xludf.DUMMYFUNCTION("""COMPUTED_VALUE""")," ")</f>
        <v xml:space="preserve"> </v>
      </c>
      <c r="W195" s="40" t="str">
        <f t="shared" ca="1" si="21"/>
        <v>,</v>
      </c>
      <c r="X195" s="40" t="s">
        <v>682</v>
      </c>
      <c r="Y195" s="40" t="s">
        <v>683</v>
      </c>
      <c r="Z195" s="264">
        <f t="shared" ca="1" si="1"/>
        <v>35.432332000000002</v>
      </c>
      <c r="AA195" s="40" t="s">
        <v>684</v>
      </c>
      <c r="AB195" s="264">
        <f t="shared" ca="1" si="2"/>
        <v>133.33910299999999</v>
      </c>
      <c r="AC195" s="40" t="s">
        <v>685</v>
      </c>
      <c r="AD195" s="264">
        <f t="shared" ca="1" si="3"/>
        <v>35.432135000000002</v>
      </c>
      <c r="AE195" s="40" t="s">
        <v>684</v>
      </c>
      <c r="AF195" s="264">
        <f t="shared" ca="1" si="4"/>
        <v>133.34021100000001</v>
      </c>
      <c r="AG195" s="40" t="s">
        <v>686</v>
      </c>
      <c r="AH195" s="264" t="str">
        <f t="shared" ca="1" si="5"/>
        <v xml:space="preserve"> </v>
      </c>
      <c r="AI195" s="40" t="s">
        <v>684</v>
      </c>
      <c r="AJ195" s="264" t="str">
        <f t="shared" ca="1" si="6"/>
        <v xml:space="preserve"> </v>
      </c>
      <c r="AK195" s="40" t="s">
        <v>687</v>
      </c>
      <c r="AL195" s="264" t="str">
        <f t="shared" ca="1" si="7"/>
        <v>crimson</v>
      </c>
      <c r="AM195" s="40" t="s">
        <v>688</v>
      </c>
      <c r="AN195" s="40" t="str">
        <f t="shared" ca="1" si="8"/>
        <v>,{"type":"polygon","latLngs":[ {"lat":35.432332,"lng":133.339103}, {"lat":35.432135,"lng":133.340211},{"lat": ,"lng": }], "color":"crimson"}</v>
      </c>
      <c r="AO195" s="266" t="s">
        <v>689</v>
      </c>
      <c r="AP195" s="56">
        <f t="shared" ca="1" si="9"/>
        <v>35.432332000000002</v>
      </c>
      <c r="AQ195" s="40" t="s">
        <v>684</v>
      </c>
      <c r="AR195" s="56">
        <f t="shared" ca="1" si="10"/>
        <v>133.33910299999999</v>
      </c>
      <c r="AS195" s="40" t="s">
        <v>686</v>
      </c>
      <c r="AT195" s="56">
        <f t="shared" ca="1" si="11"/>
        <v>35.432135000000002</v>
      </c>
      <c r="AU195" s="40" t="s">
        <v>684</v>
      </c>
      <c r="AV195" s="56">
        <f t="shared" ca="1" si="12"/>
        <v>133.34021100000001</v>
      </c>
      <c r="AW195" s="40" t="s">
        <v>690</v>
      </c>
      <c r="AX195" s="40" t="str">
        <f t="shared" ca="1" si="13"/>
        <v>crimson</v>
      </c>
      <c r="AY195" s="40" t="s">
        <v>688</v>
      </c>
      <c r="AZ195" s="40" t="str">
        <f t="shared" ca="1" si="14"/>
        <v>,{"type":"polyline","latLngs":[{"lat":35.432332,"lng":133.339103},{"lat":35.432135,"lng":133.340211}],"color":"crimson"}</v>
      </c>
      <c r="BA195" s="40" t="s">
        <v>691</v>
      </c>
      <c r="BB195" s="56">
        <f t="shared" ca="1" si="15"/>
        <v>35.432332000000002</v>
      </c>
      <c r="BC195" s="40" t="s">
        <v>684</v>
      </c>
      <c r="BD195" s="56">
        <f t="shared" ca="1" si="16"/>
        <v>133.33910299999999</v>
      </c>
      <c r="BE195" s="40" t="s">
        <v>692</v>
      </c>
      <c r="BF195" s="40" t="str">
        <f t="shared" ca="1" si="17"/>
        <v>crimson</v>
      </c>
      <c r="BG195" s="40" t="s">
        <v>688</v>
      </c>
      <c r="BH195" s="40" t="str">
        <f t="shared" ca="1" si="18"/>
        <v>,{"type":"marker","latLng":{"lat":35.432332,"lng":133.339103},"color":"crimson"}</v>
      </c>
      <c r="BI195" s="40" t="s">
        <v>693</v>
      </c>
      <c r="BJ195" s="40" t="s">
        <v>694</v>
      </c>
      <c r="BK195" s="267" t="str">
        <f t="shared" ca="1" si="19"/>
        <v>,{"type":"polyline","latLngs":[{"lat":35.432332,"lng":133.339103},{"lat":35.432135,"lng":133.340211}],"color":"crimson"}</v>
      </c>
      <c r="BL195" s="40"/>
      <c r="BM195" s="40"/>
    </row>
    <row r="196" spans="3:65" ht="17.5">
      <c r="G196" s="261"/>
      <c r="H196" s="262" t="s">
        <v>672</v>
      </c>
      <c r="I196" s="93" t="str">
        <f ca="1">IFERROR(__xludf.DUMMYFUNCTION("""COMPUTED_VALUE"""),"Agent07")</f>
        <v>Agent07</v>
      </c>
      <c r="J196" s="93" t="str">
        <f ca="1">IFERROR(__xludf.DUMMYFUNCTION("""COMPUTED_VALUE"""),"P28")</f>
        <v>P28</v>
      </c>
      <c r="K196" s="93" t="str">
        <f ca="1">IFERROR(__xludf.DUMMYFUNCTION("""COMPUTED_VALUE"""),"P34")</f>
        <v>P34</v>
      </c>
      <c r="L196" s="242" t="s">
        <v>681</v>
      </c>
      <c r="M196" s="263" t="str">
        <f t="shared" ca="1" si="0"/>
        <v>crimson</v>
      </c>
      <c r="N196" s="264" t="str">
        <f ca="1">IFERROR(__xludf.DUMMYFUNCTION("FILTER(C:E,B:B=J196)"),"荒魂神社")</f>
        <v>荒魂神社</v>
      </c>
      <c r="O196" s="265">
        <f ca="1">IFERROR(__xludf.DUMMYFUNCTION("""COMPUTED_VALUE"""),35.431417)</f>
        <v>35.431417000000003</v>
      </c>
      <c r="P196" s="265">
        <f ca="1">IFERROR(__xludf.DUMMYFUNCTION("""COMPUTED_VALUE"""),133.338208)</f>
        <v>133.33820800000001</v>
      </c>
      <c r="Q196" s="264" t="str">
        <f ca="1">IFERROR(__xludf.DUMMYFUNCTION("FILTER(C:E,B:B=K196)"),"米子 法城寺")</f>
        <v>米子 法城寺</v>
      </c>
      <c r="R196" s="265">
        <f ca="1">IFERROR(__xludf.DUMMYFUNCTION("""COMPUTED_VALUE"""),35.432157)</f>
        <v>35.432156999999997</v>
      </c>
      <c r="S196" s="265">
        <f ca="1">IFERROR(__xludf.DUMMYFUNCTION("""COMPUTED_VALUE"""),133.342227)</f>
        <v>133.34222700000001</v>
      </c>
      <c r="T196" s="264" t="str">
        <f ca="1">IFERROR(__xludf.DUMMYFUNCTION("FILTER(C:E,B:B=L196)")," ")</f>
        <v xml:space="preserve"> </v>
      </c>
      <c r="U196" s="40" t="str">
        <f ca="1">IFERROR(__xludf.DUMMYFUNCTION("""COMPUTED_VALUE""")," ")</f>
        <v xml:space="preserve"> </v>
      </c>
      <c r="V196" s="40" t="str">
        <f ca="1">IFERROR(__xludf.DUMMYFUNCTION("""COMPUTED_VALUE""")," ")</f>
        <v xml:space="preserve"> </v>
      </c>
      <c r="W196" s="40" t="str">
        <f t="shared" ca="1" si="21"/>
        <v>,</v>
      </c>
      <c r="X196" s="40" t="s">
        <v>682</v>
      </c>
      <c r="Y196" s="40" t="s">
        <v>683</v>
      </c>
      <c r="Z196" s="264">
        <f t="shared" ca="1" si="1"/>
        <v>35.431417000000003</v>
      </c>
      <c r="AA196" s="40" t="s">
        <v>684</v>
      </c>
      <c r="AB196" s="264">
        <f t="shared" ca="1" si="2"/>
        <v>133.33820800000001</v>
      </c>
      <c r="AC196" s="40" t="s">
        <v>685</v>
      </c>
      <c r="AD196" s="264">
        <f t="shared" ca="1" si="3"/>
        <v>35.432156999999997</v>
      </c>
      <c r="AE196" s="40" t="s">
        <v>684</v>
      </c>
      <c r="AF196" s="264">
        <f t="shared" ca="1" si="4"/>
        <v>133.34222700000001</v>
      </c>
      <c r="AG196" s="40" t="s">
        <v>686</v>
      </c>
      <c r="AH196" s="264" t="str">
        <f t="shared" ca="1" si="5"/>
        <v xml:space="preserve"> </v>
      </c>
      <c r="AI196" s="40" t="s">
        <v>684</v>
      </c>
      <c r="AJ196" s="264" t="str">
        <f t="shared" ca="1" si="6"/>
        <v xml:space="preserve"> </v>
      </c>
      <c r="AK196" s="40" t="s">
        <v>687</v>
      </c>
      <c r="AL196" s="264" t="str">
        <f t="shared" ca="1" si="7"/>
        <v>crimson</v>
      </c>
      <c r="AM196" s="40" t="s">
        <v>688</v>
      </c>
      <c r="AN196" s="40" t="str">
        <f t="shared" ca="1" si="8"/>
        <v>,{"type":"polygon","latLngs":[ {"lat":35.431417,"lng":133.338208}, {"lat":35.432157,"lng":133.342227},{"lat": ,"lng": }], "color":"crimson"}</v>
      </c>
      <c r="AO196" s="266" t="s">
        <v>689</v>
      </c>
      <c r="AP196" s="56">
        <f t="shared" ca="1" si="9"/>
        <v>35.431417000000003</v>
      </c>
      <c r="AQ196" s="40" t="s">
        <v>684</v>
      </c>
      <c r="AR196" s="56">
        <f t="shared" ca="1" si="10"/>
        <v>133.33820800000001</v>
      </c>
      <c r="AS196" s="40" t="s">
        <v>686</v>
      </c>
      <c r="AT196" s="56">
        <f t="shared" ca="1" si="11"/>
        <v>35.432156999999997</v>
      </c>
      <c r="AU196" s="40" t="s">
        <v>684</v>
      </c>
      <c r="AV196" s="56">
        <f t="shared" ca="1" si="12"/>
        <v>133.34222700000001</v>
      </c>
      <c r="AW196" s="40" t="s">
        <v>690</v>
      </c>
      <c r="AX196" s="40" t="str">
        <f t="shared" ca="1" si="13"/>
        <v>crimson</v>
      </c>
      <c r="AY196" s="40" t="s">
        <v>688</v>
      </c>
      <c r="AZ196" s="40" t="str">
        <f t="shared" ca="1" si="14"/>
        <v>,{"type":"polyline","latLngs":[{"lat":35.431417,"lng":133.338208},{"lat":35.432157,"lng":133.342227}],"color":"crimson"}</v>
      </c>
      <c r="BA196" s="40" t="s">
        <v>691</v>
      </c>
      <c r="BB196" s="56">
        <f t="shared" ca="1" si="15"/>
        <v>35.431417000000003</v>
      </c>
      <c r="BC196" s="40" t="s">
        <v>684</v>
      </c>
      <c r="BD196" s="56">
        <f t="shared" ca="1" si="16"/>
        <v>133.33820800000001</v>
      </c>
      <c r="BE196" s="40" t="s">
        <v>692</v>
      </c>
      <c r="BF196" s="40" t="str">
        <f t="shared" ca="1" si="17"/>
        <v>crimson</v>
      </c>
      <c r="BG196" s="40" t="s">
        <v>688</v>
      </c>
      <c r="BH196" s="40" t="str">
        <f t="shared" ca="1" si="18"/>
        <v>,{"type":"marker","latLng":{"lat":35.431417,"lng":133.338208},"color":"crimson"}</v>
      </c>
      <c r="BI196" s="40" t="s">
        <v>693</v>
      </c>
      <c r="BJ196" s="40" t="s">
        <v>694</v>
      </c>
      <c r="BK196" s="267" t="str">
        <f t="shared" ca="1" si="19"/>
        <v>,{"type":"polyline","latLngs":[{"lat":35.431417,"lng":133.338208},{"lat":35.432157,"lng":133.342227}],"color":"crimson"}</v>
      </c>
      <c r="BL196" s="40"/>
      <c r="BM196" s="40"/>
    </row>
    <row r="197" spans="3:65" ht="17.5">
      <c r="G197" s="261"/>
      <c r="H197" s="262" t="s">
        <v>672</v>
      </c>
      <c r="I197" s="93" t="str">
        <f ca="1">IFERROR(__xludf.DUMMYFUNCTION("""COMPUTED_VALUE"""),"Agent07")</f>
        <v>Agent07</v>
      </c>
      <c r="J197" s="93" t="str">
        <f ca="1">IFERROR(__xludf.DUMMYFUNCTION("""COMPUTED_VALUE"""),"P28")</f>
        <v>P28</v>
      </c>
      <c r="K197" s="93" t="str">
        <f ca="1">IFERROR(__xludf.DUMMYFUNCTION("""COMPUTED_VALUE"""),"P70")</f>
        <v>P70</v>
      </c>
      <c r="L197" s="242" t="s">
        <v>681</v>
      </c>
      <c r="M197" s="263" t="str">
        <f t="shared" ca="1" si="0"/>
        <v>crimson</v>
      </c>
      <c r="N197" s="264" t="str">
        <f ca="1">IFERROR(__xludf.DUMMYFUNCTION("FILTER(C:E,B:B=J197)"),"荒魂神社")</f>
        <v>荒魂神社</v>
      </c>
      <c r="O197" s="265">
        <f ca="1">IFERROR(__xludf.DUMMYFUNCTION("""COMPUTED_VALUE"""),35.431417)</f>
        <v>35.431417000000003</v>
      </c>
      <c r="P197" s="265">
        <f ca="1">IFERROR(__xludf.DUMMYFUNCTION("""COMPUTED_VALUE"""),133.338208)</f>
        <v>133.33820800000001</v>
      </c>
      <c r="Q197" s="264" t="str">
        <f ca="1">IFERROR(__xludf.DUMMYFUNCTION("FILTER(C:E,B:B=K197)"),"米川堤防のつつじ")</f>
        <v>米川堤防のつつじ</v>
      </c>
      <c r="R197" s="265">
        <f ca="1">IFERROR(__xludf.DUMMYFUNCTION("""COMPUTED_VALUE"""),35.437507)</f>
        <v>35.437506999999997</v>
      </c>
      <c r="S197" s="265">
        <f ca="1">IFERROR(__xludf.DUMMYFUNCTION("""COMPUTED_VALUE"""),133.340544)</f>
        <v>133.34054399999999</v>
      </c>
      <c r="T197" s="264" t="str">
        <f ca="1">IFERROR(__xludf.DUMMYFUNCTION("FILTER(C:E,B:B=L197)")," ")</f>
        <v xml:space="preserve"> </v>
      </c>
      <c r="U197" s="40" t="str">
        <f ca="1">IFERROR(__xludf.DUMMYFUNCTION("""COMPUTED_VALUE""")," ")</f>
        <v xml:space="preserve"> </v>
      </c>
      <c r="V197" s="40" t="str">
        <f ca="1">IFERROR(__xludf.DUMMYFUNCTION("""COMPUTED_VALUE""")," ")</f>
        <v xml:space="preserve"> </v>
      </c>
      <c r="W197" s="40" t="str">
        <f t="shared" ca="1" si="21"/>
        <v>,</v>
      </c>
      <c r="X197" s="40" t="s">
        <v>682</v>
      </c>
      <c r="Y197" s="40" t="s">
        <v>683</v>
      </c>
      <c r="Z197" s="264">
        <f t="shared" ca="1" si="1"/>
        <v>35.431417000000003</v>
      </c>
      <c r="AA197" s="40" t="s">
        <v>684</v>
      </c>
      <c r="AB197" s="264">
        <f t="shared" ca="1" si="2"/>
        <v>133.33820800000001</v>
      </c>
      <c r="AC197" s="40" t="s">
        <v>685</v>
      </c>
      <c r="AD197" s="264">
        <f t="shared" ca="1" si="3"/>
        <v>35.437506999999997</v>
      </c>
      <c r="AE197" s="40" t="s">
        <v>684</v>
      </c>
      <c r="AF197" s="264">
        <f t="shared" ca="1" si="4"/>
        <v>133.34054399999999</v>
      </c>
      <c r="AG197" s="40" t="s">
        <v>686</v>
      </c>
      <c r="AH197" s="264" t="str">
        <f t="shared" ca="1" si="5"/>
        <v xml:space="preserve"> </v>
      </c>
      <c r="AI197" s="40" t="s">
        <v>684</v>
      </c>
      <c r="AJ197" s="264" t="str">
        <f t="shared" ca="1" si="6"/>
        <v xml:space="preserve"> </v>
      </c>
      <c r="AK197" s="40" t="s">
        <v>687</v>
      </c>
      <c r="AL197" s="264" t="str">
        <f t="shared" ca="1" si="7"/>
        <v>crimson</v>
      </c>
      <c r="AM197" s="40" t="s">
        <v>688</v>
      </c>
      <c r="AN197" s="40" t="str">
        <f t="shared" ca="1" si="8"/>
        <v>,{"type":"polygon","latLngs":[ {"lat":35.431417,"lng":133.338208}, {"lat":35.437507,"lng":133.340544},{"lat": ,"lng": }], "color":"crimson"}</v>
      </c>
      <c r="AO197" s="266" t="s">
        <v>689</v>
      </c>
      <c r="AP197" s="56">
        <f t="shared" ca="1" si="9"/>
        <v>35.431417000000003</v>
      </c>
      <c r="AQ197" s="40" t="s">
        <v>684</v>
      </c>
      <c r="AR197" s="56">
        <f t="shared" ca="1" si="10"/>
        <v>133.33820800000001</v>
      </c>
      <c r="AS197" s="40" t="s">
        <v>686</v>
      </c>
      <c r="AT197" s="56">
        <f t="shared" ca="1" si="11"/>
        <v>35.437506999999997</v>
      </c>
      <c r="AU197" s="40" t="s">
        <v>684</v>
      </c>
      <c r="AV197" s="56">
        <f t="shared" ca="1" si="12"/>
        <v>133.34054399999999</v>
      </c>
      <c r="AW197" s="40" t="s">
        <v>690</v>
      </c>
      <c r="AX197" s="40" t="str">
        <f t="shared" ca="1" si="13"/>
        <v>crimson</v>
      </c>
      <c r="AY197" s="40" t="s">
        <v>688</v>
      </c>
      <c r="AZ197" s="40" t="str">
        <f t="shared" ca="1" si="14"/>
        <v>,{"type":"polyline","latLngs":[{"lat":35.431417,"lng":133.338208},{"lat":35.437507,"lng":133.340544}],"color":"crimson"}</v>
      </c>
      <c r="BA197" s="40" t="s">
        <v>691</v>
      </c>
      <c r="BB197" s="56">
        <f t="shared" ca="1" si="15"/>
        <v>35.431417000000003</v>
      </c>
      <c r="BC197" s="40" t="s">
        <v>684</v>
      </c>
      <c r="BD197" s="56">
        <f t="shared" ca="1" si="16"/>
        <v>133.33820800000001</v>
      </c>
      <c r="BE197" s="40" t="s">
        <v>692</v>
      </c>
      <c r="BF197" s="40" t="str">
        <f t="shared" ca="1" si="17"/>
        <v>crimson</v>
      </c>
      <c r="BG197" s="40" t="s">
        <v>688</v>
      </c>
      <c r="BH197" s="40" t="str">
        <f t="shared" ca="1" si="18"/>
        <v>,{"type":"marker","latLng":{"lat":35.431417,"lng":133.338208},"color":"crimson"}</v>
      </c>
      <c r="BI197" s="40" t="s">
        <v>693</v>
      </c>
      <c r="BJ197" s="40" t="s">
        <v>694</v>
      </c>
      <c r="BK197" s="267" t="str">
        <f t="shared" ca="1" si="19"/>
        <v>,{"type":"polyline","latLngs":[{"lat":35.431417,"lng":133.338208},{"lat":35.437507,"lng":133.340544}],"color":"crimson"}</v>
      </c>
      <c r="BL197" s="40"/>
      <c r="BM197" s="40"/>
    </row>
    <row r="198" spans="3:65" ht="17.5">
      <c r="G198" s="261"/>
      <c r="H198" s="262" t="s">
        <v>672</v>
      </c>
      <c r="I198" s="93" t="str">
        <f ca="1">IFERROR(__xludf.DUMMYFUNCTION("""COMPUTED_VALUE"""),"Agent07")</f>
        <v>Agent07</v>
      </c>
      <c r="J198" s="93" t="str">
        <f ca="1">IFERROR(__xludf.DUMMYFUNCTION("""COMPUTED_VALUE"""),"P28")</f>
        <v>P28</v>
      </c>
      <c r="K198" s="93" t="str">
        <f ca="1">IFERROR(__xludf.DUMMYFUNCTION("""COMPUTED_VALUE"""),"P66")</f>
        <v>P66</v>
      </c>
      <c r="L198" s="242" t="s">
        <v>681</v>
      </c>
      <c r="M198" s="263" t="str">
        <f t="shared" ca="1" si="0"/>
        <v>crimson</v>
      </c>
      <c r="N198" s="264" t="str">
        <f ca="1">IFERROR(__xludf.DUMMYFUNCTION("FILTER(C:E,B:B=J198)"),"荒魂神社")</f>
        <v>荒魂神社</v>
      </c>
      <c r="O198" s="265">
        <f ca="1">IFERROR(__xludf.DUMMYFUNCTION("""COMPUTED_VALUE"""),35.431417)</f>
        <v>35.431417000000003</v>
      </c>
      <c r="P198" s="265">
        <f ca="1">IFERROR(__xludf.DUMMYFUNCTION("""COMPUTED_VALUE"""),133.338208)</f>
        <v>133.33820800000001</v>
      </c>
      <c r="Q198" s="264" t="str">
        <f ca="1">IFERROR(__xludf.DUMMYFUNCTION("FILTER(C:E,B:B=K198)"),"真如苑 米子支部")</f>
        <v>真如苑 米子支部</v>
      </c>
      <c r="R198" s="265">
        <f ca="1">IFERROR(__xludf.DUMMYFUNCTION("""COMPUTED_VALUE"""),35.43696)</f>
        <v>35.436959999999999</v>
      </c>
      <c r="S198" s="265">
        <f ca="1">IFERROR(__xludf.DUMMYFUNCTION("""COMPUTED_VALUE"""),133.337768)</f>
        <v>133.33776800000001</v>
      </c>
      <c r="T198" s="264" t="str">
        <f ca="1">IFERROR(__xludf.DUMMYFUNCTION("FILTER(C:E,B:B=L198)")," ")</f>
        <v xml:space="preserve"> </v>
      </c>
      <c r="U198" s="40" t="str">
        <f ca="1">IFERROR(__xludf.DUMMYFUNCTION("""COMPUTED_VALUE""")," ")</f>
        <v xml:space="preserve"> </v>
      </c>
      <c r="V198" s="40" t="str">
        <f ca="1">IFERROR(__xludf.DUMMYFUNCTION("""COMPUTED_VALUE""")," ")</f>
        <v xml:space="preserve"> </v>
      </c>
      <c r="W198" s="40" t="str">
        <f t="shared" ca="1" si="21"/>
        <v>,</v>
      </c>
      <c r="X198" s="40" t="s">
        <v>682</v>
      </c>
      <c r="Y198" s="40" t="s">
        <v>683</v>
      </c>
      <c r="Z198" s="264">
        <f t="shared" ca="1" si="1"/>
        <v>35.431417000000003</v>
      </c>
      <c r="AA198" s="40" t="s">
        <v>684</v>
      </c>
      <c r="AB198" s="264">
        <f t="shared" ca="1" si="2"/>
        <v>133.33820800000001</v>
      </c>
      <c r="AC198" s="40" t="s">
        <v>685</v>
      </c>
      <c r="AD198" s="264">
        <f t="shared" ca="1" si="3"/>
        <v>35.436959999999999</v>
      </c>
      <c r="AE198" s="40" t="s">
        <v>684</v>
      </c>
      <c r="AF198" s="264">
        <f t="shared" ca="1" si="4"/>
        <v>133.33776800000001</v>
      </c>
      <c r="AG198" s="40" t="s">
        <v>686</v>
      </c>
      <c r="AH198" s="264" t="str">
        <f t="shared" ca="1" si="5"/>
        <v xml:space="preserve"> </v>
      </c>
      <c r="AI198" s="40" t="s">
        <v>684</v>
      </c>
      <c r="AJ198" s="264" t="str">
        <f t="shared" ca="1" si="6"/>
        <v xml:space="preserve"> </v>
      </c>
      <c r="AK198" s="40" t="s">
        <v>687</v>
      </c>
      <c r="AL198" s="264" t="str">
        <f t="shared" ca="1" si="7"/>
        <v>crimson</v>
      </c>
      <c r="AM198" s="40" t="s">
        <v>688</v>
      </c>
      <c r="AN198" s="40" t="str">
        <f t="shared" ca="1" si="8"/>
        <v>,{"type":"polygon","latLngs":[ {"lat":35.431417,"lng":133.338208}, {"lat":35.43696,"lng":133.337768},{"lat": ,"lng": }], "color":"crimson"}</v>
      </c>
      <c r="AO198" s="266" t="s">
        <v>689</v>
      </c>
      <c r="AP198" s="56">
        <f t="shared" ca="1" si="9"/>
        <v>35.431417000000003</v>
      </c>
      <c r="AQ198" s="40" t="s">
        <v>684</v>
      </c>
      <c r="AR198" s="56">
        <f t="shared" ca="1" si="10"/>
        <v>133.33820800000001</v>
      </c>
      <c r="AS198" s="40" t="s">
        <v>686</v>
      </c>
      <c r="AT198" s="56">
        <f t="shared" ca="1" si="11"/>
        <v>35.436959999999999</v>
      </c>
      <c r="AU198" s="40" t="s">
        <v>684</v>
      </c>
      <c r="AV198" s="56">
        <f t="shared" ca="1" si="12"/>
        <v>133.33776800000001</v>
      </c>
      <c r="AW198" s="40" t="s">
        <v>690</v>
      </c>
      <c r="AX198" s="40" t="str">
        <f t="shared" ca="1" si="13"/>
        <v>crimson</v>
      </c>
      <c r="AY198" s="40" t="s">
        <v>688</v>
      </c>
      <c r="AZ198" s="40" t="str">
        <f t="shared" ca="1" si="14"/>
        <v>,{"type":"polyline","latLngs":[{"lat":35.431417,"lng":133.338208},{"lat":35.43696,"lng":133.337768}],"color":"crimson"}</v>
      </c>
      <c r="BA198" s="40" t="s">
        <v>691</v>
      </c>
      <c r="BB198" s="56">
        <f t="shared" ca="1" si="15"/>
        <v>35.431417000000003</v>
      </c>
      <c r="BC198" s="40" t="s">
        <v>684</v>
      </c>
      <c r="BD198" s="56">
        <f t="shared" ca="1" si="16"/>
        <v>133.33820800000001</v>
      </c>
      <c r="BE198" s="40" t="s">
        <v>692</v>
      </c>
      <c r="BF198" s="40" t="str">
        <f t="shared" ca="1" si="17"/>
        <v>crimson</v>
      </c>
      <c r="BG198" s="40" t="s">
        <v>688</v>
      </c>
      <c r="BH198" s="40" t="str">
        <f t="shared" ca="1" si="18"/>
        <v>,{"type":"marker","latLng":{"lat":35.431417,"lng":133.338208},"color":"crimson"}</v>
      </c>
      <c r="BI198" s="40" t="s">
        <v>693</v>
      </c>
      <c r="BJ198" s="40" t="s">
        <v>694</v>
      </c>
      <c r="BK198" s="267" t="str">
        <f t="shared" ca="1" si="19"/>
        <v>,{"type":"polyline","latLngs":[{"lat":35.431417,"lng":133.338208},{"lat":35.43696,"lng":133.337768}],"color":"crimson"}</v>
      </c>
      <c r="BL198" s="40"/>
      <c r="BM198" s="40"/>
    </row>
    <row r="199" spans="3:65" ht="17.5">
      <c r="C199" s="279">
        <f>'2.ポータル'!B192</f>
        <v>0</v>
      </c>
      <c r="D199" s="279">
        <f>'2.ポータル'!C189</f>
        <v>0</v>
      </c>
      <c r="E199" s="279">
        <f>'2.ポータル'!D189</f>
        <v>0</v>
      </c>
      <c r="G199" s="261"/>
      <c r="H199" s="262" t="s">
        <v>672</v>
      </c>
      <c r="I199" s="93" t="str">
        <f ca="1">IFERROR(__xludf.DUMMYFUNCTION("""COMPUTED_VALUE"""),"Agent08")</f>
        <v>Agent08</v>
      </c>
      <c r="J199" s="93" t="str">
        <f ca="1">IFERROR(__xludf.DUMMYFUNCTION("""COMPUTED_VALUE"""),"P43")</f>
        <v>P43</v>
      </c>
      <c r="K199" s="93" t="str">
        <f ca="1">IFERROR(__xludf.DUMMYFUNCTION("""COMPUTED_VALUE"""),"P49")</f>
        <v>P49</v>
      </c>
      <c r="L199" s="242" t="s">
        <v>681</v>
      </c>
      <c r="M199" s="263" t="str">
        <f t="shared" ca="1" si="0"/>
        <v>blue</v>
      </c>
      <c r="N199" s="264" t="str">
        <f ca="1">IFERROR(__xludf.DUMMYFUNCTION("FILTER(C:E,B:B=J199)"),"Big Boy 米子富士見町店")</f>
        <v>Big Boy 米子富士見町店</v>
      </c>
      <c r="O199" s="265">
        <f ca="1">IFERROR(__xludf.DUMMYFUNCTION("""COMPUTED_VALUE"""),35.433144)</f>
        <v>35.433143999999999</v>
      </c>
      <c r="P199" s="265">
        <f ca="1">IFERROR(__xludf.DUMMYFUNCTION("""COMPUTED_VALUE"""),133.334244)</f>
        <v>133.33424400000001</v>
      </c>
      <c r="Q199" s="264" t="str">
        <f ca="1">IFERROR(__xludf.DUMMYFUNCTION("FILTER(C:E,B:B=K199)"),"天理教米府分教会")</f>
        <v>天理教米府分教会</v>
      </c>
      <c r="R199" s="265">
        <f ca="1">IFERROR(__xludf.DUMMYFUNCTION("""COMPUTED_VALUE"""),35.434015)</f>
        <v>35.434015000000002</v>
      </c>
      <c r="S199" s="265">
        <f ca="1">IFERROR(__xludf.DUMMYFUNCTION("""COMPUTED_VALUE"""),133.335263)</f>
        <v>133.335263</v>
      </c>
      <c r="T199" s="264" t="str">
        <f ca="1">IFERROR(__xludf.DUMMYFUNCTION("FILTER(C:E,B:B=L199)")," ")</f>
        <v xml:space="preserve"> </v>
      </c>
      <c r="U199" s="40" t="str">
        <f ca="1">IFERROR(__xludf.DUMMYFUNCTION("""COMPUTED_VALUE""")," ")</f>
        <v xml:space="preserve"> </v>
      </c>
      <c r="V199" s="40" t="str">
        <f ca="1">IFERROR(__xludf.DUMMYFUNCTION("""COMPUTED_VALUE""")," ")</f>
        <v xml:space="preserve"> </v>
      </c>
      <c r="W199" s="40" t="str">
        <f t="shared" ca="1" si="21"/>
        <v>,</v>
      </c>
      <c r="X199" s="40" t="s">
        <v>682</v>
      </c>
      <c r="Y199" s="40" t="s">
        <v>683</v>
      </c>
      <c r="Z199" s="264">
        <f t="shared" ca="1" si="1"/>
        <v>35.433143999999999</v>
      </c>
      <c r="AA199" s="40" t="s">
        <v>684</v>
      </c>
      <c r="AB199" s="264">
        <f t="shared" ca="1" si="2"/>
        <v>133.33424400000001</v>
      </c>
      <c r="AC199" s="40" t="s">
        <v>685</v>
      </c>
      <c r="AD199" s="264">
        <f t="shared" ca="1" si="3"/>
        <v>35.434015000000002</v>
      </c>
      <c r="AE199" s="40" t="s">
        <v>684</v>
      </c>
      <c r="AF199" s="264">
        <f t="shared" ca="1" si="4"/>
        <v>133.335263</v>
      </c>
      <c r="AG199" s="40" t="s">
        <v>686</v>
      </c>
      <c r="AH199" s="264" t="str">
        <f t="shared" ca="1" si="5"/>
        <v xml:space="preserve"> </v>
      </c>
      <c r="AI199" s="40" t="s">
        <v>684</v>
      </c>
      <c r="AJ199" s="264" t="str">
        <f t="shared" ca="1" si="6"/>
        <v xml:space="preserve"> </v>
      </c>
      <c r="AK199" s="40" t="s">
        <v>687</v>
      </c>
      <c r="AL199" s="264" t="str">
        <f t="shared" ca="1" si="7"/>
        <v>blue</v>
      </c>
      <c r="AM199" s="40" t="s">
        <v>688</v>
      </c>
      <c r="AN199" s="40" t="str">
        <f t="shared" ca="1" si="8"/>
        <v>,{"type":"polygon","latLngs":[ {"lat":35.433144,"lng":133.334244}, {"lat":35.434015,"lng":133.335263},{"lat": ,"lng": }], "color":"blue"}</v>
      </c>
      <c r="AO199" s="266" t="s">
        <v>689</v>
      </c>
      <c r="AP199" s="56">
        <f t="shared" ca="1" si="9"/>
        <v>35.433143999999999</v>
      </c>
      <c r="AQ199" s="40" t="s">
        <v>684</v>
      </c>
      <c r="AR199" s="56">
        <f t="shared" ca="1" si="10"/>
        <v>133.33424400000001</v>
      </c>
      <c r="AS199" s="40" t="s">
        <v>686</v>
      </c>
      <c r="AT199" s="56">
        <f t="shared" ca="1" si="11"/>
        <v>35.434015000000002</v>
      </c>
      <c r="AU199" s="40" t="s">
        <v>684</v>
      </c>
      <c r="AV199" s="56">
        <f t="shared" ca="1" si="12"/>
        <v>133.335263</v>
      </c>
      <c r="AW199" s="40" t="s">
        <v>690</v>
      </c>
      <c r="AX199" s="40" t="str">
        <f t="shared" ca="1" si="13"/>
        <v>blue</v>
      </c>
      <c r="AY199" s="40" t="s">
        <v>688</v>
      </c>
      <c r="AZ199" s="40" t="str">
        <f t="shared" ca="1" si="14"/>
        <v>,{"type":"polyline","latLngs":[{"lat":35.433144,"lng":133.334244},{"lat":35.434015,"lng":133.335263}],"color":"blue"}</v>
      </c>
      <c r="BA199" s="40" t="s">
        <v>691</v>
      </c>
      <c r="BB199" s="56">
        <f t="shared" ca="1" si="15"/>
        <v>35.433143999999999</v>
      </c>
      <c r="BC199" s="40" t="s">
        <v>684</v>
      </c>
      <c r="BD199" s="56">
        <f t="shared" ca="1" si="16"/>
        <v>133.33424400000001</v>
      </c>
      <c r="BE199" s="40" t="s">
        <v>692</v>
      </c>
      <c r="BF199" s="40" t="str">
        <f t="shared" ca="1" si="17"/>
        <v>blue</v>
      </c>
      <c r="BG199" s="40" t="s">
        <v>688</v>
      </c>
      <c r="BH199" s="40" t="str">
        <f t="shared" ca="1" si="18"/>
        <v>,{"type":"marker","latLng":{"lat":35.433144,"lng":133.334244},"color":"blue"}</v>
      </c>
      <c r="BI199" s="40" t="s">
        <v>693</v>
      </c>
      <c r="BJ199" s="40" t="s">
        <v>694</v>
      </c>
      <c r="BK199" s="267" t="str">
        <f t="shared" ca="1" si="19"/>
        <v>,{"type":"polyline","latLngs":[{"lat":35.433144,"lng":133.334244},{"lat":35.434015,"lng":133.335263}],"color":"blue"}</v>
      </c>
      <c r="BL199" s="40"/>
      <c r="BM199" s="40"/>
    </row>
    <row r="200" spans="3:65" ht="17.5">
      <c r="C200" s="279">
        <f>'2.ポータル'!B190</f>
        <v>0</v>
      </c>
      <c r="D200" s="279">
        <f>'2.ポータル'!C190</f>
        <v>0</v>
      </c>
      <c r="E200" s="279">
        <f>'2.ポータル'!D190</f>
        <v>0</v>
      </c>
      <c r="G200" s="261"/>
      <c r="H200" s="262" t="s">
        <v>672</v>
      </c>
      <c r="I200" s="93" t="str">
        <f ca="1">IFERROR(__xludf.DUMMYFUNCTION("""COMPUTED_VALUE"""),"Agent08")</f>
        <v>Agent08</v>
      </c>
      <c r="J200" s="93" t="str">
        <f ca="1">IFERROR(__xludf.DUMMYFUNCTION("""COMPUTED_VALUE"""),"P46")</f>
        <v>P46</v>
      </c>
      <c r="K200" s="93" t="str">
        <f ca="1">IFERROR(__xludf.DUMMYFUNCTION("""COMPUTED_VALUE"""),"P45")</f>
        <v>P45</v>
      </c>
      <c r="L200" s="242" t="s">
        <v>681</v>
      </c>
      <c r="M200" s="263" t="str">
        <f t="shared" ca="1" si="0"/>
        <v>blue</v>
      </c>
      <c r="N200" s="264" t="str">
        <f ca="1">IFERROR(__xludf.DUMMYFUNCTION("FILTER(C:E,B:B=J200)"),"米子市公会堂")</f>
        <v>米子市公会堂</v>
      </c>
      <c r="O200" s="265">
        <f ca="1">IFERROR(__xludf.DUMMYFUNCTION("""COMPUTED_VALUE"""),35.433387)</f>
        <v>35.433387000000003</v>
      </c>
      <c r="P200" s="265">
        <f ca="1">IFERROR(__xludf.DUMMYFUNCTION("""COMPUTED_VALUE"""),133.333012)</f>
        <v>133.333012</v>
      </c>
      <c r="Q200" s="264" t="str">
        <f ca="1">IFERROR(__xludf.DUMMYFUNCTION("FILTER(C:E,B:B=K200)"),"米子市公会堂の彫刻")</f>
        <v>米子市公会堂の彫刻</v>
      </c>
      <c r="R200" s="265">
        <f ca="1">IFERROR(__xludf.DUMMYFUNCTION("""COMPUTED_VALUE"""),35.433328)</f>
        <v>35.433328000000003</v>
      </c>
      <c r="S200" s="265">
        <f ca="1">IFERROR(__xludf.DUMMYFUNCTION("""COMPUTED_VALUE"""),133.333404)</f>
        <v>133.333404</v>
      </c>
      <c r="T200" s="264" t="str">
        <f ca="1">IFERROR(__xludf.DUMMYFUNCTION("FILTER(C:E,B:B=L200)")," ")</f>
        <v xml:space="preserve"> </v>
      </c>
      <c r="U200" s="40" t="str">
        <f ca="1">IFERROR(__xludf.DUMMYFUNCTION("""COMPUTED_VALUE""")," ")</f>
        <v xml:space="preserve"> </v>
      </c>
      <c r="V200" s="40" t="str">
        <f ca="1">IFERROR(__xludf.DUMMYFUNCTION("""COMPUTED_VALUE""")," ")</f>
        <v xml:space="preserve"> </v>
      </c>
      <c r="W200" s="40" t="str">
        <f t="shared" ca="1" si="21"/>
        <v>,</v>
      </c>
      <c r="X200" s="40" t="s">
        <v>682</v>
      </c>
      <c r="Y200" s="40" t="s">
        <v>683</v>
      </c>
      <c r="Z200" s="264">
        <f t="shared" ca="1" si="1"/>
        <v>35.433387000000003</v>
      </c>
      <c r="AA200" s="40" t="s">
        <v>684</v>
      </c>
      <c r="AB200" s="264">
        <f t="shared" ca="1" si="2"/>
        <v>133.333012</v>
      </c>
      <c r="AC200" s="40" t="s">
        <v>685</v>
      </c>
      <c r="AD200" s="264">
        <f t="shared" ca="1" si="3"/>
        <v>35.433328000000003</v>
      </c>
      <c r="AE200" s="40" t="s">
        <v>684</v>
      </c>
      <c r="AF200" s="264">
        <f t="shared" ca="1" si="4"/>
        <v>133.333404</v>
      </c>
      <c r="AG200" s="40" t="s">
        <v>686</v>
      </c>
      <c r="AH200" s="264" t="str">
        <f t="shared" ca="1" si="5"/>
        <v xml:space="preserve"> </v>
      </c>
      <c r="AI200" s="40" t="s">
        <v>684</v>
      </c>
      <c r="AJ200" s="264" t="str">
        <f t="shared" ca="1" si="6"/>
        <v xml:space="preserve"> </v>
      </c>
      <c r="AK200" s="40" t="s">
        <v>687</v>
      </c>
      <c r="AL200" s="264" t="str">
        <f t="shared" ca="1" si="7"/>
        <v>blue</v>
      </c>
      <c r="AM200" s="40" t="s">
        <v>688</v>
      </c>
      <c r="AN200" s="40" t="str">
        <f t="shared" ca="1" si="8"/>
        <v>,{"type":"polygon","latLngs":[ {"lat":35.433387,"lng":133.333012}, {"lat":35.433328,"lng":133.333404},{"lat": ,"lng": }], "color":"blue"}</v>
      </c>
      <c r="AO200" s="266" t="s">
        <v>689</v>
      </c>
      <c r="AP200" s="56">
        <f t="shared" ca="1" si="9"/>
        <v>35.433387000000003</v>
      </c>
      <c r="AQ200" s="40" t="s">
        <v>684</v>
      </c>
      <c r="AR200" s="56">
        <f t="shared" ca="1" si="10"/>
        <v>133.333012</v>
      </c>
      <c r="AS200" s="40" t="s">
        <v>686</v>
      </c>
      <c r="AT200" s="56">
        <f t="shared" ca="1" si="11"/>
        <v>35.433328000000003</v>
      </c>
      <c r="AU200" s="40" t="s">
        <v>684</v>
      </c>
      <c r="AV200" s="56">
        <f t="shared" ca="1" si="12"/>
        <v>133.333404</v>
      </c>
      <c r="AW200" s="40" t="s">
        <v>690</v>
      </c>
      <c r="AX200" s="40" t="str">
        <f t="shared" ca="1" si="13"/>
        <v>blue</v>
      </c>
      <c r="AY200" s="40" t="s">
        <v>688</v>
      </c>
      <c r="AZ200" s="40" t="str">
        <f t="shared" ca="1" si="14"/>
        <v>,{"type":"polyline","latLngs":[{"lat":35.433387,"lng":133.333012},{"lat":35.433328,"lng":133.333404}],"color":"blue"}</v>
      </c>
      <c r="BA200" s="40" t="s">
        <v>691</v>
      </c>
      <c r="BB200" s="56">
        <f t="shared" ca="1" si="15"/>
        <v>35.433387000000003</v>
      </c>
      <c r="BC200" s="40" t="s">
        <v>684</v>
      </c>
      <c r="BD200" s="56">
        <f t="shared" ca="1" si="16"/>
        <v>133.333012</v>
      </c>
      <c r="BE200" s="40" t="s">
        <v>692</v>
      </c>
      <c r="BF200" s="40" t="str">
        <f t="shared" ca="1" si="17"/>
        <v>blue</v>
      </c>
      <c r="BG200" s="40" t="s">
        <v>688</v>
      </c>
      <c r="BH200" s="40" t="str">
        <f t="shared" ca="1" si="18"/>
        <v>,{"type":"marker","latLng":{"lat":35.433387,"lng":133.333012},"color":"blue"}</v>
      </c>
      <c r="BI200" s="40" t="s">
        <v>693</v>
      </c>
      <c r="BJ200" s="40" t="s">
        <v>694</v>
      </c>
      <c r="BK200" s="267" t="str">
        <f t="shared" ca="1" si="19"/>
        <v>,{"type":"polyline","latLngs":[{"lat":35.433387,"lng":133.333012},{"lat":35.433328,"lng":133.333404}],"color":"blue"}</v>
      </c>
      <c r="BL200" s="40"/>
      <c r="BM200" s="40"/>
    </row>
    <row r="201" spans="3:65" ht="17.5">
      <c r="C201" s="279">
        <f>'2.ポータル'!B191</f>
        <v>0</v>
      </c>
      <c r="D201" s="279">
        <f>'2.ポータル'!C191</f>
        <v>0</v>
      </c>
      <c r="E201" s="279">
        <f>'2.ポータル'!D191</f>
        <v>0</v>
      </c>
      <c r="G201" s="261"/>
      <c r="H201" s="262" t="s">
        <v>672</v>
      </c>
      <c r="I201" s="93" t="str">
        <f ca="1">IFERROR(__xludf.DUMMYFUNCTION("""COMPUTED_VALUE"""),"Agent08")</f>
        <v>Agent08</v>
      </c>
      <c r="J201" s="93" t="str">
        <f ca="1">IFERROR(__xludf.DUMMYFUNCTION("""COMPUTED_VALUE"""),"P55")</f>
        <v>P55</v>
      </c>
      <c r="K201" s="93" t="str">
        <f ca="1">IFERROR(__xludf.DUMMYFUNCTION("""COMPUTED_VALUE"""),"P46")</f>
        <v>P46</v>
      </c>
      <c r="L201" s="242" t="s">
        <v>681</v>
      </c>
      <c r="M201" s="263" t="str">
        <f t="shared" ca="1" si="0"/>
        <v>blue</v>
      </c>
      <c r="N201" s="264" t="str">
        <f ca="1">IFERROR(__xludf.DUMMYFUNCTION("FILTER(C:E,B:B=J201)"),"小公園")</f>
        <v>小公園</v>
      </c>
      <c r="O201" s="265">
        <f ca="1">IFERROR(__xludf.DUMMYFUNCTION("""COMPUTED_VALUE"""),35.434654)</f>
        <v>35.434654000000002</v>
      </c>
      <c r="P201" s="265">
        <f ca="1">IFERROR(__xludf.DUMMYFUNCTION("""COMPUTED_VALUE"""),133.333434)</f>
        <v>133.33343400000001</v>
      </c>
      <c r="Q201" s="264" t="str">
        <f ca="1">IFERROR(__xludf.DUMMYFUNCTION("FILTER(C:E,B:B=K201)"),"米子市公会堂")</f>
        <v>米子市公会堂</v>
      </c>
      <c r="R201" s="265">
        <f ca="1">IFERROR(__xludf.DUMMYFUNCTION("""COMPUTED_VALUE"""),35.433387)</f>
        <v>35.433387000000003</v>
      </c>
      <c r="S201" s="265">
        <f ca="1">IFERROR(__xludf.DUMMYFUNCTION("""COMPUTED_VALUE"""),133.333012)</f>
        <v>133.333012</v>
      </c>
      <c r="T201" s="264" t="str">
        <f ca="1">IFERROR(__xludf.DUMMYFUNCTION("FILTER(C:E,B:B=L201)")," ")</f>
        <v xml:space="preserve"> </v>
      </c>
      <c r="U201" s="40" t="str">
        <f ca="1">IFERROR(__xludf.DUMMYFUNCTION("""COMPUTED_VALUE""")," ")</f>
        <v xml:space="preserve"> </v>
      </c>
      <c r="V201" s="40" t="str">
        <f ca="1">IFERROR(__xludf.DUMMYFUNCTION("""COMPUTED_VALUE""")," ")</f>
        <v xml:space="preserve"> </v>
      </c>
      <c r="W201" s="40" t="str">
        <f t="shared" ca="1" si="21"/>
        <v>,</v>
      </c>
      <c r="X201" s="40" t="s">
        <v>682</v>
      </c>
      <c r="Y201" s="40" t="s">
        <v>683</v>
      </c>
      <c r="Z201" s="264">
        <f t="shared" ca="1" si="1"/>
        <v>35.434654000000002</v>
      </c>
      <c r="AA201" s="40" t="s">
        <v>684</v>
      </c>
      <c r="AB201" s="264">
        <f t="shared" ca="1" si="2"/>
        <v>133.33343400000001</v>
      </c>
      <c r="AC201" s="40" t="s">
        <v>685</v>
      </c>
      <c r="AD201" s="264">
        <f t="shared" ca="1" si="3"/>
        <v>35.433387000000003</v>
      </c>
      <c r="AE201" s="40" t="s">
        <v>684</v>
      </c>
      <c r="AF201" s="264">
        <f t="shared" ca="1" si="4"/>
        <v>133.333012</v>
      </c>
      <c r="AG201" s="40" t="s">
        <v>686</v>
      </c>
      <c r="AH201" s="264" t="str">
        <f t="shared" ca="1" si="5"/>
        <v xml:space="preserve"> </v>
      </c>
      <c r="AI201" s="40" t="s">
        <v>684</v>
      </c>
      <c r="AJ201" s="264" t="str">
        <f t="shared" ca="1" si="6"/>
        <v xml:space="preserve"> </v>
      </c>
      <c r="AK201" s="40" t="s">
        <v>687</v>
      </c>
      <c r="AL201" s="264" t="str">
        <f t="shared" ca="1" si="7"/>
        <v>blue</v>
      </c>
      <c r="AM201" s="40" t="s">
        <v>688</v>
      </c>
      <c r="AN201" s="40" t="str">
        <f t="shared" ca="1" si="8"/>
        <v>,{"type":"polygon","latLngs":[ {"lat":35.434654,"lng":133.333434}, {"lat":35.433387,"lng":133.333012},{"lat": ,"lng": }], "color":"blue"}</v>
      </c>
      <c r="AO201" s="266" t="s">
        <v>689</v>
      </c>
      <c r="AP201" s="56">
        <f t="shared" ca="1" si="9"/>
        <v>35.434654000000002</v>
      </c>
      <c r="AQ201" s="40" t="s">
        <v>684</v>
      </c>
      <c r="AR201" s="56">
        <f t="shared" ca="1" si="10"/>
        <v>133.33343400000001</v>
      </c>
      <c r="AS201" s="40" t="s">
        <v>686</v>
      </c>
      <c r="AT201" s="56">
        <f t="shared" ca="1" si="11"/>
        <v>35.433387000000003</v>
      </c>
      <c r="AU201" s="40" t="s">
        <v>684</v>
      </c>
      <c r="AV201" s="56">
        <f t="shared" ca="1" si="12"/>
        <v>133.333012</v>
      </c>
      <c r="AW201" s="40" t="s">
        <v>690</v>
      </c>
      <c r="AX201" s="40" t="str">
        <f t="shared" ca="1" si="13"/>
        <v>blue</v>
      </c>
      <c r="AY201" s="40" t="s">
        <v>688</v>
      </c>
      <c r="AZ201" s="40" t="str">
        <f t="shared" ca="1" si="14"/>
        <v>,{"type":"polyline","latLngs":[{"lat":35.434654,"lng":133.333434},{"lat":35.433387,"lng":133.333012}],"color":"blue"}</v>
      </c>
      <c r="BA201" s="40" t="s">
        <v>691</v>
      </c>
      <c r="BB201" s="56">
        <f t="shared" ca="1" si="15"/>
        <v>35.434654000000002</v>
      </c>
      <c r="BC201" s="40" t="s">
        <v>684</v>
      </c>
      <c r="BD201" s="56">
        <f t="shared" ca="1" si="16"/>
        <v>133.33343400000001</v>
      </c>
      <c r="BE201" s="40" t="s">
        <v>692</v>
      </c>
      <c r="BF201" s="40" t="str">
        <f t="shared" ca="1" si="17"/>
        <v>blue</v>
      </c>
      <c r="BG201" s="40" t="s">
        <v>688</v>
      </c>
      <c r="BH201" s="40" t="str">
        <f t="shared" ca="1" si="18"/>
        <v>,{"type":"marker","latLng":{"lat":35.434654,"lng":133.333434},"color":"blue"}</v>
      </c>
      <c r="BI201" s="40" t="s">
        <v>693</v>
      </c>
      <c r="BJ201" s="40" t="s">
        <v>694</v>
      </c>
      <c r="BK201" s="267" t="str">
        <f t="shared" ca="1" si="19"/>
        <v>,{"type":"polyline","latLngs":[{"lat":35.434654,"lng":133.333434},{"lat":35.433387,"lng":133.333012}],"color":"blue"}</v>
      </c>
      <c r="BL201" s="40"/>
      <c r="BM201" s="40"/>
    </row>
    <row r="202" spans="3:65" ht="17.5">
      <c r="G202" s="261"/>
      <c r="H202" s="262" t="s">
        <v>672</v>
      </c>
      <c r="I202" s="93" t="str">
        <f ca="1">IFERROR(__xludf.DUMMYFUNCTION("""COMPUTED_VALUE"""),"Agent08")</f>
        <v>Agent08</v>
      </c>
      <c r="J202" s="93" t="str">
        <f ca="1">IFERROR(__xludf.DUMMYFUNCTION("""COMPUTED_VALUE"""),"P55")</f>
        <v>P55</v>
      </c>
      <c r="K202" s="93" t="str">
        <f ca="1">IFERROR(__xludf.DUMMYFUNCTION("""COMPUTED_VALUE"""),"P45")</f>
        <v>P45</v>
      </c>
      <c r="L202" s="242" t="s">
        <v>681</v>
      </c>
      <c r="M202" s="263" t="str">
        <f t="shared" ca="1" si="0"/>
        <v>blue</v>
      </c>
      <c r="N202" s="264" t="str">
        <f ca="1">IFERROR(__xludf.DUMMYFUNCTION("FILTER(C:E,B:B=J202)"),"小公園")</f>
        <v>小公園</v>
      </c>
      <c r="O202" s="265">
        <f ca="1">IFERROR(__xludf.DUMMYFUNCTION("""COMPUTED_VALUE"""),35.434654)</f>
        <v>35.434654000000002</v>
      </c>
      <c r="P202" s="265">
        <f ca="1">IFERROR(__xludf.DUMMYFUNCTION("""COMPUTED_VALUE"""),133.333434)</f>
        <v>133.33343400000001</v>
      </c>
      <c r="Q202" s="264" t="str">
        <f ca="1">IFERROR(__xludf.DUMMYFUNCTION("FILTER(C:E,B:B=K202)"),"米子市公会堂の彫刻")</f>
        <v>米子市公会堂の彫刻</v>
      </c>
      <c r="R202" s="265">
        <f ca="1">IFERROR(__xludf.DUMMYFUNCTION("""COMPUTED_VALUE"""),35.433328)</f>
        <v>35.433328000000003</v>
      </c>
      <c r="S202" s="265">
        <f ca="1">IFERROR(__xludf.DUMMYFUNCTION("""COMPUTED_VALUE"""),133.333404)</f>
        <v>133.333404</v>
      </c>
      <c r="T202" s="264" t="str">
        <f ca="1">IFERROR(__xludf.DUMMYFUNCTION("FILTER(C:E,B:B=L202)")," ")</f>
        <v xml:space="preserve"> </v>
      </c>
      <c r="U202" s="40" t="str">
        <f ca="1">IFERROR(__xludf.DUMMYFUNCTION("""COMPUTED_VALUE""")," ")</f>
        <v xml:space="preserve"> </v>
      </c>
      <c r="V202" s="40" t="str">
        <f ca="1">IFERROR(__xludf.DUMMYFUNCTION("""COMPUTED_VALUE""")," ")</f>
        <v xml:space="preserve"> </v>
      </c>
      <c r="W202" s="40" t="str">
        <f t="shared" ca="1" si="21"/>
        <v>,</v>
      </c>
      <c r="X202" s="40" t="s">
        <v>682</v>
      </c>
      <c r="Y202" s="40" t="s">
        <v>683</v>
      </c>
      <c r="Z202" s="264">
        <f t="shared" ca="1" si="1"/>
        <v>35.434654000000002</v>
      </c>
      <c r="AA202" s="40" t="s">
        <v>684</v>
      </c>
      <c r="AB202" s="264">
        <f t="shared" ca="1" si="2"/>
        <v>133.33343400000001</v>
      </c>
      <c r="AC202" s="40" t="s">
        <v>685</v>
      </c>
      <c r="AD202" s="264">
        <f t="shared" ca="1" si="3"/>
        <v>35.433328000000003</v>
      </c>
      <c r="AE202" s="40" t="s">
        <v>684</v>
      </c>
      <c r="AF202" s="264">
        <f t="shared" ca="1" si="4"/>
        <v>133.333404</v>
      </c>
      <c r="AG202" s="40" t="s">
        <v>686</v>
      </c>
      <c r="AH202" s="264" t="str">
        <f t="shared" ca="1" si="5"/>
        <v xml:space="preserve"> </v>
      </c>
      <c r="AI202" s="40" t="s">
        <v>684</v>
      </c>
      <c r="AJ202" s="264" t="str">
        <f t="shared" ca="1" si="6"/>
        <v xml:space="preserve"> </v>
      </c>
      <c r="AK202" s="40" t="s">
        <v>687</v>
      </c>
      <c r="AL202" s="264" t="str">
        <f t="shared" ca="1" si="7"/>
        <v>blue</v>
      </c>
      <c r="AM202" s="40" t="s">
        <v>688</v>
      </c>
      <c r="AN202" s="40" t="str">
        <f t="shared" ca="1" si="8"/>
        <v>,{"type":"polygon","latLngs":[ {"lat":35.434654,"lng":133.333434}, {"lat":35.433328,"lng":133.333404},{"lat": ,"lng": }], "color":"blue"}</v>
      </c>
      <c r="AO202" s="266" t="s">
        <v>689</v>
      </c>
      <c r="AP202" s="56">
        <f t="shared" ca="1" si="9"/>
        <v>35.434654000000002</v>
      </c>
      <c r="AQ202" s="40" t="s">
        <v>684</v>
      </c>
      <c r="AR202" s="56">
        <f t="shared" ca="1" si="10"/>
        <v>133.33343400000001</v>
      </c>
      <c r="AS202" s="40" t="s">
        <v>686</v>
      </c>
      <c r="AT202" s="56">
        <f t="shared" ca="1" si="11"/>
        <v>35.433328000000003</v>
      </c>
      <c r="AU202" s="40" t="s">
        <v>684</v>
      </c>
      <c r="AV202" s="56">
        <f t="shared" ca="1" si="12"/>
        <v>133.333404</v>
      </c>
      <c r="AW202" s="40" t="s">
        <v>690</v>
      </c>
      <c r="AX202" s="40" t="str">
        <f t="shared" ca="1" si="13"/>
        <v>blue</v>
      </c>
      <c r="AY202" s="40" t="s">
        <v>688</v>
      </c>
      <c r="AZ202" s="40" t="str">
        <f t="shared" ca="1" si="14"/>
        <v>,{"type":"polyline","latLngs":[{"lat":35.434654,"lng":133.333434},{"lat":35.433328,"lng":133.333404}],"color":"blue"}</v>
      </c>
      <c r="BA202" s="40" t="s">
        <v>691</v>
      </c>
      <c r="BB202" s="56">
        <f t="shared" ca="1" si="15"/>
        <v>35.434654000000002</v>
      </c>
      <c r="BC202" s="40" t="s">
        <v>684</v>
      </c>
      <c r="BD202" s="56">
        <f t="shared" ca="1" si="16"/>
        <v>133.33343400000001</v>
      </c>
      <c r="BE202" s="40" t="s">
        <v>692</v>
      </c>
      <c r="BF202" s="40" t="str">
        <f t="shared" ca="1" si="17"/>
        <v>blue</v>
      </c>
      <c r="BG202" s="40" t="s">
        <v>688</v>
      </c>
      <c r="BH202" s="40" t="str">
        <f t="shared" ca="1" si="18"/>
        <v>,{"type":"marker","latLng":{"lat":35.434654,"lng":133.333434},"color":"blue"}</v>
      </c>
      <c r="BI202" s="40" t="s">
        <v>693</v>
      </c>
      <c r="BJ202" s="40" t="s">
        <v>694</v>
      </c>
      <c r="BK202" s="267" t="str">
        <f t="shared" ca="1" si="19"/>
        <v>,{"type":"polyline","latLngs":[{"lat":35.434654,"lng":133.333434},{"lat":35.433328,"lng":133.333404}],"color":"blue"}</v>
      </c>
      <c r="BL202" s="40"/>
      <c r="BM202" s="40"/>
    </row>
    <row r="203" spans="3:65" ht="17.5">
      <c r="G203" s="261"/>
      <c r="H203" s="262" t="s">
        <v>672</v>
      </c>
      <c r="I203" s="93" t="str">
        <f ca="1">IFERROR(__xludf.DUMMYFUNCTION("""COMPUTED_VALUE"""),"Agent08")</f>
        <v>Agent08</v>
      </c>
      <c r="J203" s="93" t="str">
        <f ca="1">IFERROR(__xludf.DUMMYFUNCTION("""COMPUTED_VALUE"""),"P58")</f>
        <v>P58</v>
      </c>
      <c r="K203" s="93" t="str">
        <f ca="1">IFERROR(__xludf.DUMMYFUNCTION("""COMPUTED_VALUE"""),"P55")</f>
        <v>P55</v>
      </c>
      <c r="L203" s="242" t="s">
        <v>681</v>
      </c>
      <c r="M203" s="263" t="str">
        <f t="shared" ca="1" si="0"/>
        <v>blue</v>
      </c>
      <c r="N203" s="264" t="str">
        <f ca="1">IFERROR(__xludf.DUMMYFUNCTION("FILTER(C:E,B:B=J203)"),"一心延命助地蔵尊")</f>
        <v>一心延命助地蔵尊</v>
      </c>
      <c r="O203" s="265">
        <f ca="1">IFERROR(__xludf.DUMMYFUNCTION("""COMPUTED_VALUE"""),35.434964)</f>
        <v>35.434964000000001</v>
      </c>
      <c r="P203" s="265">
        <f ca="1">IFERROR(__xludf.DUMMYFUNCTION("""COMPUTED_VALUE"""),133.334625)</f>
        <v>133.33462499999999</v>
      </c>
      <c r="Q203" s="264" t="str">
        <f ca="1">IFERROR(__xludf.DUMMYFUNCTION("FILTER(C:E,B:B=K203)"),"小公園")</f>
        <v>小公園</v>
      </c>
      <c r="R203" s="265">
        <f ca="1">IFERROR(__xludf.DUMMYFUNCTION("""COMPUTED_VALUE"""),35.434654)</f>
        <v>35.434654000000002</v>
      </c>
      <c r="S203" s="265">
        <f ca="1">IFERROR(__xludf.DUMMYFUNCTION("""COMPUTED_VALUE"""),133.333434)</f>
        <v>133.33343400000001</v>
      </c>
      <c r="T203" s="264" t="str">
        <f ca="1">IFERROR(__xludf.DUMMYFUNCTION("FILTER(C:E,B:B=L203)")," ")</f>
        <v xml:space="preserve"> </v>
      </c>
      <c r="U203" s="40" t="str">
        <f ca="1">IFERROR(__xludf.DUMMYFUNCTION("""COMPUTED_VALUE""")," ")</f>
        <v xml:space="preserve"> </v>
      </c>
      <c r="V203" s="40" t="str">
        <f ca="1">IFERROR(__xludf.DUMMYFUNCTION("""COMPUTED_VALUE""")," ")</f>
        <v xml:space="preserve"> </v>
      </c>
      <c r="W203" s="40" t="str">
        <f t="shared" ca="1" si="21"/>
        <v>,</v>
      </c>
      <c r="X203" s="40" t="s">
        <v>682</v>
      </c>
      <c r="Y203" s="40" t="s">
        <v>683</v>
      </c>
      <c r="Z203" s="264">
        <f t="shared" ca="1" si="1"/>
        <v>35.434964000000001</v>
      </c>
      <c r="AA203" s="40" t="s">
        <v>684</v>
      </c>
      <c r="AB203" s="264">
        <f t="shared" ca="1" si="2"/>
        <v>133.33462499999999</v>
      </c>
      <c r="AC203" s="40" t="s">
        <v>685</v>
      </c>
      <c r="AD203" s="264">
        <f t="shared" ca="1" si="3"/>
        <v>35.434654000000002</v>
      </c>
      <c r="AE203" s="40" t="s">
        <v>684</v>
      </c>
      <c r="AF203" s="264">
        <f t="shared" ca="1" si="4"/>
        <v>133.33343400000001</v>
      </c>
      <c r="AG203" s="40" t="s">
        <v>686</v>
      </c>
      <c r="AH203" s="264" t="str">
        <f t="shared" ca="1" si="5"/>
        <v xml:space="preserve"> </v>
      </c>
      <c r="AI203" s="40" t="s">
        <v>684</v>
      </c>
      <c r="AJ203" s="264" t="str">
        <f t="shared" ca="1" si="6"/>
        <v xml:space="preserve"> </v>
      </c>
      <c r="AK203" s="40" t="s">
        <v>687</v>
      </c>
      <c r="AL203" s="264" t="str">
        <f t="shared" ca="1" si="7"/>
        <v>blue</v>
      </c>
      <c r="AM203" s="40" t="s">
        <v>688</v>
      </c>
      <c r="AN203" s="40" t="str">
        <f t="shared" ca="1" si="8"/>
        <v>,{"type":"polygon","latLngs":[ {"lat":35.434964,"lng":133.334625}, {"lat":35.434654,"lng":133.333434},{"lat": ,"lng": }], "color":"blue"}</v>
      </c>
      <c r="AO203" s="266" t="s">
        <v>689</v>
      </c>
      <c r="AP203" s="56">
        <f t="shared" ca="1" si="9"/>
        <v>35.434964000000001</v>
      </c>
      <c r="AQ203" s="40" t="s">
        <v>684</v>
      </c>
      <c r="AR203" s="56">
        <f t="shared" ca="1" si="10"/>
        <v>133.33462499999999</v>
      </c>
      <c r="AS203" s="40" t="s">
        <v>686</v>
      </c>
      <c r="AT203" s="56">
        <f t="shared" ca="1" si="11"/>
        <v>35.434654000000002</v>
      </c>
      <c r="AU203" s="40" t="s">
        <v>684</v>
      </c>
      <c r="AV203" s="56">
        <f t="shared" ca="1" si="12"/>
        <v>133.33343400000001</v>
      </c>
      <c r="AW203" s="40" t="s">
        <v>690</v>
      </c>
      <c r="AX203" s="40" t="str">
        <f t="shared" ca="1" si="13"/>
        <v>blue</v>
      </c>
      <c r="AY203" s="40" t="s">
        <v>688</v>
      </c>
      <c r="AZ203" s="40" t="str">
        <f t="shared" ca="1" si="14"/>
        <v>,{"type":"polyline","latLngs":[{"lat":35.434964,"lng":133.334625},{"lat":35.434654,"lng":133.333434}],"color":"blue"}</v>
      </c>
      <c r="BA203" s="40" t="s">
        <v>691</v>
      </c>
      <c r="BB203" s="56">
        <f t="shared" ca="1" si="15"/>
        <v>35.434964000000001</v>
      </c>
      <c r="BC203" s="40" t="s">
        <v>684</v>
      </c>
      <c r="BD203" s="56">
        <f t="shared" ca="1" si="16"/>
        <v>133.33462499999999</v>
      </c>
      <c r="BE203" s="40" t="s">
        <v>692</v>
      </c>
      <c r="BF203" s="40" t="str">
        <f t="shared" ca="1" si="17"/>
        <v>blue</v>
      </c>
      <c r="BG203" s="40" t="s">
        <v>688</v>
      </c>
      <c r="BH203" s="40" t="str">
        <f t="shared" ca="1" si="18"/>
        <v>,{"type":"marker","latLng":{"lat":35.434964,"lng":133.334625},"color":"blue"}</v>
      </c>
      <c r="BI203" s="40" t="s">
        <v>693</v>
      </c>
      <c r="BJ203" s="40" t="s">
        <v>694</v>
      </c>
      <c r="BK203" s="267" t="str">
        <f t="shared" ca="1" si="19"/>
        <v>,{"type":"polyline","latLngs":[{"lat":35.434964,"lng":133.334625},{"lat":35.434654,"lng":133.333434}],"color":"blue"}</v>
      </c>
      <c r="BL203" s="40"/>
      <c r="BM203" s="40"/>
    </row>
    <row r="204" spans="3:65" ht="17.5">
      <c r="G204" s="261"/>
      <c r="H204" s="262" t="s">
        <v>672</v>
      </c>
      <c r="I204" s="93" t="str">
        <f ca="1">IFERROR(__xludf.DUMMYFUNCTION("""COMPUTED_VALUE"""),"Agent08")</f>
        <v>Agent08</v>
      </c>
      <c r="J204" s="93" t="str">
        <f ca="1">IFERROR(__xludf.DUMMYFUNCTION("""COMPUTED_VALUE"""),"P57")</f>
        <v>P57</v>
      </c>
      <c r="K204" s="93" t="str">
        <f ca="1">IFERROR(__xludf.DUMMYFUNCTION("""COMPUTED_VALUE"""),"P55")</f>
        <v>P55</v>
      </c>
      <c r="L204" s="242" t="s">
        <v>681</v>
      </c>
      <c r="M204" s="263" t="str">
        <f t="shared" ca="1" si="0"/>
        <v>blue</v>
      </c>
      <c r="N204" s="264" t="str">
        <f ca="1">IFERROR(__xludf.DUMMYFUNCTION("FILTER(C:E,B:B=J204)"),"JR富士見町駅")</f>
        <v>JR富士見町駅</v>
      </c>
      <c r="O204" s="265">
        <f ca="1">IFERROR(__xludf.DUMMYFUNCTION("""COMPUTED_VALUE"""),35.434744)</f>
        <v>35.434744000000002</v>
      </c>
      <c r="P204" s="265">
        <f ca="1">IFERROR(__xludf.DUMMYFUNCTION("""COMPUTED_VALUE"""),133.33648)</f>
        <v>133.33647999999999</v>
      </c>
      <c r="Q204" s="264" t="str">
        <f ca="1">IFERROR(__xludf.DUMMYFUNCTION("FILTER(C:E,B:B=K204)"),"小公園")</f>
        <v>小公園</v>
      </c>
      <c r="R204" s="265">
        <f ca="1">IFERROR(__xludf.DUMMYFUNCTION("""COMPUTED_VALUE"""),35.434654)</f>
        <v>35.434654000000002</v>
      </c>
      <c r="S204" s="265">
        <f ca="1">IFERROR(__xludf.DUMMYFUNCTION("""COMPUTED_VALUE"""),133.333434)</f>
        <v>133.33343400000001</v>
      </c>
      <c r="T204" s="264" t="str">
        <f ca="1">IFERROR(__xludf.DUMMYFUNCTION("FILTER(C:E,B:B=L204)")," ")</f>
        <v xml:space="preserve"> </v>
      </c>
      <c r="U204" s="40" t="str">
        <f ca="1">IFERROR(__xludf.DUMMYFUNCTION("""COMPUTED_VALUE""")," ")</f>
        <v xml:space="preserve"> </v>
      </c>
      <c r="V204" s="40" t="str">
        <f ca="1">IFERROR(__xludf.DUMMYFUNCTION("""COMPUTED_VALUE""")," ")</f>
        <v xml:space="preserve"> </v>
      </c>
      <c r="W204" s="40" t="str">
        <f t="shared" ca="1" si="21"/>
        <v>,</v>
      </c>
      <c r="X204" s="40" t="s">
        <v>682</v>
      </c>
      <c r="Y204" s="40" t="s">
        <v>683</v>
      </c>
      <c r="Z204" s="264">
        <f t="shared" ca="1" si="1"/>
        <v>35.434744000000002</v>
      </c>
      <c r="AA204" s="40" t="s">
        <v>684</v>
      </c>
      <c r="AB204" s="264">
        <f t="shared" ca="1" si="2"/>
        <v>133.33647999999999</v>
      </c>
      <c r="AC204" s="40" t="s">
        <v>685</v>
      </c>
      <c r="AD204" s="264">
        <f t="shared" ca="1" si="3"/>
        <v>35.434654000000002</v>
      </c>
      <c r="AE204" s="40" t="s">
        <v>684</v>
      </c>
      <c r="AF204" s="264">
        <f t="shared" ca="1" si="4"/>
        <v>133.33343400000001</v>
      </c>
      <c r="AG204" s="40" t="s">
        <v>686</v>
      </c>
      <c r="AH204" s="264" t="str">
        <f t="shared" ca="1" si="5"/>
        <v xml:space="preserve"> </v>
      </c>
      <c r="AI204" s="40" t="s">
        <v>684</v>
      </c>
      <c r="AJ204" s="264" t="str">
        <f t="shared" ca="1" si="6"/>
        <v xml:space="preserve"> </v>
      </c>
      <c r="AK204" s="40" t="s">
        <v>687</v>
      </c>
      <c r="AL204" s="264" t="str">
        <f t="shared" ca="1" si="7"/>
        <v>blue</v>
      </c>
      <c r="AM204" s="40" t="s">
        <v>688</v>
      </c>
      <c r="AN204" s="40" t="str">
        <f t="shared" ca="1" si="8"/>
        <v>,{"type":"polygon","latLngs":[ {"lat":35.434744,"lng":133.33648}, {"lat":35.434654,"lng":133.333434},{"lat": ,"lng": }], "color":"blue"}</v>
      </c>
      <c r="AO204" s="266" t="s">
        <v>689</v>
      </c>
      <c r="AP204" s="56">
        <f t="shared" ca="1" si="9"/>
        <v>35.434744000000002</v>
      </c>
      <c r="AQ204" s="40" t="s">
        <v>684</v>
      </c>
      <c r="AR204" s="56">
        <f t="shared" ca="1" si="10"/>
        <v>133.33647999999999</v>
      </c>
      <c r="AS204" s="40" t="s">
        <v>686</v>
      </c>
      <c r="AT204" s="56">
        <f t="shared" ca="1" si="11"/>
        <v>35.434654000000002</v>
      </c>
      <c r="AU204" s="40" t="s">
        <v>684</v>
      </c>
      <c r="AV204" s="56">
        <f t="shared" ca="1" si="12"/>
        <v>133.33343400000001</v>
      </c>
      <c r="AW204" s="40" t="s">
        <v>690</v>
      </c>
      <c r="AX204" s="40" t="str">
        <f t="shared" ca="1" si="13"/>
        <v>blue</v>
      </c>
      <c r="AY204" s="40" t="s">
        <v>688</v>
      </c>
      <c r="AZ204" s="40" t="str">
        <f t="shared" ca="1" si="14"/>
        <v>,{"type":"polyline","latLngs":[{"lat":35.434744,"lng":133.33648},{"lat":35.434654,"lng":133.333434}],"color":"blue"}</v>
      </c>
      <c r="BA204" s="40" t="s">
        <v>691</v>
      </c>
      <c r="BB204" s="56">
        <f t="shared" ca="1" si="15"/>
        <v>35.434744000000002</v>
      </c>
      <c r="BC204" s="40" t="s">
        <v>684</v>
      </c>
      <c r="BD204" s="56">
        <f t="shared" ca="1" si="16"/>
        <v>133.33647999999999</v>
      </c>
      <c r="BE204" s="40" t="s">
        <v>692</v>
      </c>
      <c r="BF204" s="40" t="str">
        <f t="shared" ca="1" si="17"/>
        <v>blue</v>
      </c>
      <c r="BG204" s="40" t="s">
        <v>688</v>
      </c>
      <c r="BH204" s="40" t="str">
        <f t="shared" ca="1" si="18"/>
        <v>,{"type":"marker","latLng":{"lat":35.434744,"lng":133.33648},"color":"blue"}</v>
      </c>
      <c r="BI204" s="40" t="s">
        <v>693</v>
      </c>
      <c r="BJ204" s="40" t="s">
        <v>694</v>
      </c>
      <c r="BK204" s="267" t="str">
        <f t="shared" ca="1" si="19"/>
        <v>,{"type":"polyline","latLngs":[{"lat":35.434744,"lng":133.33648},{"lat":35.434654,"lng":133.333434}],"color":"blue"}</v>
      </c>
      <c r="BL204" s="40"/>
      <c r="BM204" s="40"/>
    </row>
    <row r="205" spans="3:65" ht="17.5">
      <c r="C205" s="279">
        <f>'2.ポータル'!B198</f>
        <v>0</v>
      </c>
      <c r="D205" s="279">
        <f>'2.ポータル'!C195</f>
        <v>0</v>
      </c>
      <c r="E205" s="279">
        <f>'2.ポータル'!D195</f>
        <v>0</v>
      </c>
      <c r="G205" s="261"/>
      <c r="H205" s="262" t="s">
        <v>672</v>
      </c>
      <c r="I205" s="93" t="str">
        <f ca="1">IFERROR(__xludf.DUMMYFUNCTION("""COMPUTED_VALUE"""),"Agent08")</f>
        <v>Agent08</v>
      </c>
      <c r="J205" s="93" t="str">
        <f ca="1">IFERROR(__xludf.DUMMYFUNCTION("""COMPUTED_VALUE"""),"P57")</f>
        <v>P57</v>
      </c>
      <c r="K205" s="93" t="str">
        <f ca="1">IFERROR(__xludf.DUMMYFUNCTION("""COMPUTED_VALUE"""),"P58")</f>
        <v>P58</v>
      </c>
      <c r="L205" s="242" t="s">
        <v>681</v>
      </c>
      <c r="M205" s="263" t="str">
        <f t="shared" ca="1" si="0"/>
        <v>blue</v>
      </c>
      <c r="N205" s="264" t="str">
        <f ca="1">IFERROR(__xludf.DUMMYFUNCTION("FILTER(C:E,B:B=J205)"),"JR富士見町駅")</f>
        <v>JR富士見町駅</v>
      </c>
      <c r="O205" s="265">
        <f ca="1">IFERROR(__xludf.DUMMYFUNCTION("""COMPUTED_VALUE"""),35.434744)</f>
        <v>35.434744000000002</v>
      </c>
      <c r="P205" s="265">
        <f ca="1">IFERROR(__xludf.DUMMYFUNCTION("""COMPUTED_VALUE"""),133.33648)</f>
        <v>133.33647999999999</v>
      </c>
      <c r="Q205" s="264" t="str">
        <f ca="1">IFERROR(__xludf.DUMMYFUNCTION("FILTER(C:E,B:B=K205)"),"一心延命助地蔵尊")</f>
        <v>一心延命助地蔵尊</v>
      </c>
      <c r="R205" s="265">
        <f ca="1">IFERROR(__xludf.DUMMYFUNCTION("""COMPUTED_VALUE"""),35.434964)</f>
        <v>35.434964000000001</v>
      </c>
      <c r="S205" s="265">
        <f ca="1">IFERROR(__xludf.DUMMYFUNCTION("""COMPUTED_VALUE"""),133.334625)</f>
        <v>133.33462499999999</v>
      </c>
      <c r="T205" s="264" t="str">
        <f ca="1">IFERROR(__xludf.DUMMYFUNCTION("FILTER(C:E,B:B=L205)")," ")</f>
        <v xml:space="preserve"> </v>
      </c>
      <c r="U205" s="40" t="str">
        <f ca="1">IFERROR(__xludf.DUMMYFUNCTION("""COMPUTED_VALUE""")," ")</f>
        <v xml:space="preserve"> </v>
      </c>
      <c r="V205" s="40" t="str">
        <f ca="1">IFERROR(__xludf.DUMMYFUNCTION("""COMPUTED_VALUE""")," ")</f>
        <v xml:space="preserve"> </v>
      </c>
      <c r="W205" s="40" t="str">
        <f t="shared" ca="1" si="21"/>
        <v>,</v>
      </c>
      <c r="X205" s="40" t="s">
        <v>682</v>
      </c>
      <c r="Y205" s="40" t="s">
        <v>683</v>
      </c>
      <c r="Z205" s="264">
        <f t="shared" ca="1" si="1"/>
        <v>35.434744000000002</v>
      </c>
      <c r="AA205" s="40" t="s">
        <v>684</v>
      </c>
      <c r="AB205" s="264">
        <f t="shared" ca="1" si="2"/>
        <v>133.33647999999999</v>
      </c>
      <c r="AC205" s="40" t="s">
        <v>685</v>
      </c>
      <c r="AD205" s="264">
        <f t="shared" ca="1" si="3"/>
        <v>35.434964000000001</v>
      </c>
      <c r="AE205" s="40" t="s">
        <v>684</v>
      </c>
      <c r="AF205" s="264">
        <f t="shared" ca="1" si="4"/>
        <v>133.33462499999999</v>
      </c>
      <c r="AG205" s="40" t="s">
        <v>686</v>
      </c>
      <c r="AH205" s="264" t="str">
        <f t="shared" ca="1" si="5"/>
        <v xml:space="preserve"> </v>
      </c>
      <c r="AI205" s="40" t="s">
        <v>684</v>
      </c>
      <c r="AJ205" s="264" t="str">
        <f t="shared" ca="1" si="6"/>
        <v xml:space="preserve"> </v>
      </c>
      <c r="AK205" s="40" t="s">
        <v>687</v>
      </c>
      <c r="AL205" s="264" t="str">
        <f t="shared" ca="1" si="7"/>
        <v>blue</v>
      </c>
      <c r="AM205" s="40" t="s">
        <v>688</v>
      </c>
      <c r="AN205" s="40" t="str">
        <f t="shared" ca="1" si="8"/>
        <v>,{"type":"polygon","latLngs":[ {"lat":35.434744,"lng":133.33648}, {"lat":35.434964,"lng":133.334625},{"lat": ,"lng": }], "color":"blue"}</v>
      </c>
      <c r="AO205" s="266" t="s">
        <v>689</v>
      </c>
      <c r="AP205" s="56">
        <f t="shared" ca="1" si="9"/>
        <v>35.434744000000002</v>
      </c>
      <c r="AQ205" s="40" t="s">
        <v>684</v>
      </c>
      <c r="AR205" s="56">
        <f t="shared" ca="1" si="10"/>
        <v>133.33647999999999</v>
      </c>
      <c r="AS205" s="40" t="s">
        <v>686</v>
      </c>
      <c r="AT205" s="56">
        <f t="shared" ca="1" si="11"/>
        <v>35.434964000000001</v>
      </c>
      <c r="AU205" s="40" t="s">
        <v>684</v>
      </c>
      <c r="AV205" s="56">
        <f t="shared" ca="1" si="12"/>
        <v>133.33462499999999</v>
      </c>
      <c r="AW205" s="40" t="s">
        <v>690</v>
      </c>
      <c r="AX205" s="40" t="str">
        <f t="shared" ca="1" si="13"/>
        <v>blue</v>
      </c>
      <c r="AY205" s="40" t="s">
        <v>688</v>
      </c>
      <c r="AZ205" s="40" t="str">
        <f t="shared" ca="1" si="14"/>
        <v>,{"type":"polyline","latLngs":[{"lat":35.434744,"lng":133.33648},{"lat":35.434964,"lng":133.334625}],"color":"blue"}</v>
      </c>
      <c r="BA205" s="40" t="s">
        <v>691</v>
      </c>
      <c r="BB205" s="56">
        <f t="shared" ca="1" si="15"/>
        <v>35.434744000000002</v>
      </c>
      <c r="BC205" s="40" t="s">
        <v>684</v>
      </c>
      <c r="BD205" s="56">
        <f t="shared" ca="1" si="16"/>
        <v>133.33647999999999</v>
      </c>
      <c r="BE205" s="40" t="s">
        <v>692</v>
      </c>
      <c r="BF205" s="40" t="str">
        <f t="shared" ca="1" si="17"/>
        <v>blue</v>
      </c>
      <c r="BG205" s="40" t="s">
        <v>688</v>
      </c>
      <c r="BH205" s="40" t="str">
        <f t="shared" ca="1" si="18"/>
        <v>,{"type":"marker","latLng":{"lat":35.434744,"lng":133.33648},"color":"blue"}</v>
      </c>
      <c r="BI205" s="40" t="s">
        <v>693</v>
      </c>
      <c r="BJ205" s="40" t="s">
        <v>694</v>
      </c>
      <c r="BK205" s="267" t="str">
        <f t="shared" ca="1" si="19"/>
        <v>,{"type":"polyline","latLngs":[{"lat":35.434744,"lng":133.33648},{"lat":35.434964,"lng":133.334625}],"color":"blue"}</v>
      </c>
      <c r="BL205" s="40"/>
      <c r="BM205" s="40"/>
    </row>
    <row r="206" spans="3:65" ht="17.5">
      <c r="C206" s="279">
        <f>'2.ポータル'!B196</f>
        <v>0</v>
      </c>
      <c r="D206" s="279">
        <f>'2.ポータル'!C196</f>
        <v>0</v>
      </c>
      <c r="E206" s="279">
        <f>'2.ポータル'!D196</f>
        <v>0</v>
      </c>
      <c r="G206" s="261"/>
      <c r="H206" s="262" t="s">
        <v>672</v>
      </c>
      <c r="I206" s="93" t="str">
        <f ca="1">IFERROR(__xludf.DUMMYFUNCTION("""COMPUTED_VALUE"""),"Agent08")</f>
        <v>Agent08</v>
      </c>
      <c r="J206" s="93" t="str">
        <f ca="1">IFERROR(__xludf.DUMMYFUNCTION("""COMPUTED_VALUE"""),"P57")</f>
        <v>P57</v>
      </c>
      <c r="K206" s="93" t="str">
        <f ca="1">IFERROR(__xludf.DUMMYFUNCTION("""COMPUTED_VALUE"""),"P52")</f>
        <v>P52</v>
      </c>
      <c r="L206" s="242" t="s">
        <v>681</v>
      </c>
      <c r="M206" s="263" t="str">
        <f t="shared" ca="1" si="0"/>
        <v>blue</v>
      </c>
      <c r="N206" s="264" t="str">
        <f ca="1">IFERROR(__xludf.DUMMYFUNCTION("FILTER(C:E,B:B=J206)"),"JR富士見町駅")</f>
        <v>JR富士見町駅</v>
      </c>
      <c r="O206" s="265">
        <f ca="1">IFERROR(__xludf.DUMMYFUNCTION("""COMPUTED_VALUE"""),35.434744)</f>
        <v>35.434744000000002</v>
      </c>
      <c r="P206" s="265">
        <f ca="1">IFERROR(__xludf.DUMMYFUNCTION("""COMPUTED_VALUE"""),133.33648)</f>
        <v>133.33647999999999</v>
      </c>
      <c r="Q206" s="264" t="str">
        <f ca="1">IFERROR(__xludf.DUMMYFUNCTION("FILTER(C:E,B:B=K206)"),"博労町公園")</f>
        <v>博労町公園</v>
      </c>
      <c r="R206" s="265">
        <f ca="1">IFERROR(__xludf.DUMMYFUNCTION("""COMPUTED_VALUE"""),35.434543)</f>
        <v>35.434542999999998</v>
      </c>
      <c r="S206" s="265">
        <f ca="1">IFERROR(__xludf.DUMMYFUNCTION("""COMPUTED_VALUE"""),133.33716)</f>
        <v>133.33716000000001</v>
      </c>
      <c r="T206" s="264" t="str">
        <f ca="1">IFERROR(__xludf.DUMMYFUNCTION("FILTER(C:E,B:B=L206)")," ")</f>
        <v xml:space="preserve"> </v>
      </c>
      <c r="U206" s="40" t="str">
        <f ca="1">IFERROR(__xludf.DUMMYFUNCTION("""COMPUTED_VALUE""")," ")</f>
        <v xml:space="preserve"> </v>
      </c>
      <c r="V206" s="40" t="str">
        <f ca="1">IFERROR(__xludf.DUMMYFUNCTION("""COMPUTED_VALUE""")," ")</f>
        <v xml:space="preserve"> </v>
      </c>
      <c r="W206" s="40" t="str">
        <f t="shared" ca="1" si="21"/>
        <v>,</v>
      </c>
      <c r="X206" s="40" t="s">
        <v>682</v>
      </c>
      <c r="Y206" s="40" t="s">
        <v>683</v>
      </c>
      <c r="Z206" s="264">
        <f t="shared" ca="1" si="1"/>
        <v>35.434744000000002</v>
      </c>
      <c r="AA206" s="40" t="s">
        <v>684</v>
      </c>
      <c r="AB206" s="264">
        <f t="shared" ca="1" si="2"/>
        <v>133.33647999999999</v>
      </c>
      <c r="AC206" s="40" t="s">
        <v>685</v>
      </c>
      <c r="AD206" s="264">
        <f t="shared" ca="1" si="3"/>
        <v>35.434542999999998</v>
      </c>
      <c r="AE206" s="40" t="s">
        <v>684</v>
      </c>
      <c r="AF206" s="264">
        <f t="shared" ca="1" si="4"/>
        <v>133.33716000000001</v>
      </c>
      <c r="AG206" s="40" t="s">
        <v>686</v>
      </c>
      <c r="AH206" s="264" t="str">
        <f t="shared" ca="1" si="5"/>
        <v xml:space="preserve"> </v>
      </c>
      <c r="AI206" s="40" t="s">
        <v>684</v>
      </c>
      <c r="AJ206" s="264" t="str">
        <f t="shared" ca="1" si="6"/>
        <v xml:space="preserve"> </v>
      </c>
      <c r="AK206" s="40" t="s">
        <v>687</v>
      </c>
      <c r="AL206" s="264" t="str">
        <f t="shared" ca="1" si="7"/>
        <v>blue</v>
      </c>
      <c r="AM206" s="40" t="s">
        <v>688</v>
      </c>
      <c r="AN206" s="40" t="str">
        <f t="shared" ca="1" si="8"/>
        <v>,{"type":"polygon","latLngs":[ {"lat":35.434744,"lng":133.33648}, {"lat":35.434543,"lng":133.33716},{"lat": ,"lng": }], "color":"blue"}</v>
      </c>
      <c r="AO206" s="266" t="s">
        <v>689</v>
      </c>
      <c r="AP206" s="56">
        <f t="shared" ca="1" si="9"/>
        <v>35.434744000000002</v>
      </c>
      <c r="AQ206" s="40" t="s">
        <v>684</v>
      </c>
      <c r="AR206" s="56">
        <f t="shared" ca="1" si="10"/>
        <v>133.33647999999999</v>
      </c>
      <c r="AS206" s="40" t="s">
        <v>686</v>
      </c>
      <c r="AT206" s="56">
        <f t="shared" ca="1" si="11"/>
        <v>35.434542999999998</v>
      </c>
      <c r="AU206" s="40" t="s">
        <v>684</v>
      </c>
      <c r="AV206" s="56">
        <f t="shared" ca="1" si="12"/>
        <v>133.33716000000001</v>
      </c>
      <c r="AW206" s="40" t="s">
        <v>690</v>
      </c>
      <c r="AX206" s="40" t="str">
        <f t="shared" ca="1" si="13"/>
        <v>blue</v>
      </c>
      <c r="AY206" s="40" t="s">
        <v>688</v>
      </c>
      <c r="AZ206" s="40" t="str">
        <f t="shared" ca="1" si="14"/>
        <v>,{"type":"polyline","latLngs":[{"lat":35.434744,"lng":133.33648},{"lat":35.434543,"lng":133.33716}],"color":"blue"}</v>
      </c>
      <c r="BA206" s="40" t="s">
        <v>691</v>
      </c>
      <c r="BB206" s="56">
        <f t="shared" ca="1" si="15"/>
        <v>35.434744000000002</v>
      </c>
      <c r="BC206" s="40" t="s">
        <v>684</v>
      </c>
      <c r="BD206" s="56">
        <f t="shared" ca="1" si="16"/>
        <v>133.33647999999999</v>
      </c>
      <c r="BE206" s="40" t="s">
        <v>692</v>
      </c>
      <c r="BF206" s="40" t="str">
        <f t="shared" ca="1" si="17"/>
        <v>blue</v>
      </c>
      <c r="BG206" s="40" t="s">
        <v>688</v>
      </c>
      <c r="BH206" s="40" t="str">
        <f t="shared" ca="1" si="18"/>
        <v>,{"type":"marker","latLng":{"lat":35.434744,"lng":133.33648},"color":"blue"}</v>
      </c>
      <c r="BI206" s="40" t="s">
        <v>693</v>
      </c>
      <c r="BJ206" s="40" t="s">
        <v>694</v>
      </c>
      <c r="BK206" s="267" t="str">
        <f t="shared" ca="1" si="19"/>
        <v>,{"type":"polyline","latLngs":[{"lat":35.434744,"lng":133.33648},{"lat":35.434543,"lng":133.33716}],"color":"blue"}</v>
      </c>
      <c r="BL206" s="40"/>
      <c r="BM206" s="40"/>
    </row>
    <row r="207" spans="3:65" ht="17.5">
      <c r="C207" s="279">
        <f>'2.ポータル'!B197</f>
        <v>0</v>
      </c>
      <c r="D207" s="279">
        <f>'2.ポータル'!C197</f>
        <v>0</v>
      </c>
      <c r="E207" s="279">
        <f>'2.ポータル'!D197</f>
        <v>0</v>
      </c>
      <c r="G207" s="261"/>
      <c r="H207" s="262" t="s">
        <v>672</v>
      </c>
      <c r="I207" s="93" t="str">
        <f ca="1">IFERROR(__xludf.DUMMYFUNCTION("""COMPUTED_VALUE"""),"Agent08")</f>
        <v>Agent08</v>
      </c>
      <c r="J207" s="93" t="str">
        <f ca="1">IFERROR(__xludf.DUMMYFUNCTION("""COMPUTED_VALUE"""),"P48")</f>
        <v>P48</v>
      </c>
      <c r="K207" s="93" t="str">
        <f ca="1">IFERROR(__xludf.DUMMYFUNCTION("""COMPUTED_VALUE"""),"P49")</f>
        <v>P49</v>
      </c>
      <c r="L207" s="242" t="s">
        <v>681</v>
      </c>
      <c r="M207" s="263" t="str">
        <f t="shared" ca="1" si="0"/>
        <v>blue</v>
      </c>
      <c r="N207" s="264" t="str">
        <f ca="1">IFERROR(__xludf.DUMMYFUNCTION("FILTER(C:E,B:B=J207)"),"囚われの馬")</f>
        <v>囚われの馬</v>
      </c>
      <c r="O207" s="265">
        <f ca="1">IFERROR(__xludf.DUMMYFUNCTION("""COMPUTED_VALUE"""),35.433869)</f>
        <v>35.433869000000001</v>
      </c>
      <c r="P207" s="265">
        <f ca="1">IFERROR(__xludf.DUMMYFUNCTION("""COMPUTED_VALUE"""),133.336341)</f>
        <v>133.336341</v>
      </c>
      <c r="Q207" s="264" t="str">
        <f ca="1">IFERROR(__xludf.DUMMYFUNCTION("FILTER(C:E,B:B=K207)"),"天理教米府分教会")</f>
        <v>天理教米府分教会</v>
      </c>
      <c r="R207" s="265">
        <f ca="1">IFERROR(__xludf.DUMMYFUNCTION("""COMPUTED_VALUE"""),35.434015)</f>
        <v>35.434015000000002</v>
      </c>
      <c r="S207" s="265">
        <f ca="1">IFERROR(__xludf.DUMMYFUNCTION("""COMPUTED_VALUE"""),133.335263)</f>
        <v>133.335263</v>
      </c>
      <c r="T207" s="264" t="str">
        <f ca="1">IFERROR(__xludf.DUMMYFUNCTION("FILTER(C:E,B:B=L207)")," ")</f>
        <v xml:space="preserve"> </v>
      </c>
      <c r="U207" s="40" t="str">
        <f ca="1">IFERROR(__xludf.DUMMYFUNCTION("""COMPUTED_VALUE""")," ")</f>
        <v xml:space="preserve"> </v>
      </c>
      <c r="V207" s="40" t="str">
        <f ca="1">IFERROR(__xludf.DUMMYFUNCTION("""COMPUTED_VALUE""")," ")</f>
        <v xml:space="preserve"> </v>
      </c>
      <c r="W207" s="40" t="str">
        <f t="shared" ca="1" si="21"/>
        <v>,</v>
      </c>
      <c r="X207" s="40" t="s">
        <v>682</v>
      </c>
      <c r="Y207" s="40" t="s">
        <v>683</v>
      </c>
      <c r="Z207" s="264">
        <f t="shared" ca="1" si="1"/>
        <v>35.433869000000001</v>
      </c>
      <c r="AA207" s="40" t="s">
        <v>684</v>
      </c>
      <c r="AB207" s="264">
        <f t="shared" ca="1" si="2"/>
        <v>133.336341</v>
      </c>
      <c r="AC207" s="40" t="s">
        <v>685</v>
      </c>
      <c r="AD207" s="264">
        <f t="shared" ca="1" si="3"/>
        <v>35.434015000000002</v>
      </c>
      <c r="AE207" s="40" t="s">
        <v>684</v>
      </c>
      <c r="AF207" s="264">
        <f t="shared" ca="1" si="4"/>
        <v>133.335263</v>
      </c>
      <c r="AG207" s="40" t="s">
        <v>686</v>
      </c>
      <c r="AH207" s="264" t="str">
        <f t="shared" ca="1" si="5"/>
        <v xml:space="preserve"> </v>
      </c>
      <c r="AI207" s="40" t="s">
        <v>684</v>
      </c>
      <c r="AJ207" s="264" t="str">
        <f t="shared" ca="1" si="6"/>
        <v xml:space="preserve"> </v>
      </c>
      <c r="AK207" s="40" t="s">
        <v>687</v>
      </c>
      <c r="AL207" s="264" t="str">
        <f t="shared" ca="1" si="7"/>
        <v>blue</v>
      </c>
      <c r="AM207" s="40" t="s">
        <v>688</v>
      </c>
      <c r="AN207" s="40" t="str">
        <f t="shared" ca="1" si="8"/>
        <v>,{"type":"polygon","latLngs":[ {"lat":35.433869,"lng":133.336341}, {"lat":35.434015,"lng":133.335263},{"lat": ,"lng": }], "color":"blue"}</v>
      </c>
      <c r="AO207" s="266" t="s">
        <v>689</v>
      </c>
      <c r="AP207" s="56">
        <f t="shared" ca="1" si="9"/>
        <v>35.433869000000001</v>
      </c>
      <c r="AQ207" s="40" t="s">
        <v>684</v>
      </c>
      <c r="AR207" s="56">
        <f t="shared" ca="1" si="10"/>
        <v>133.336341</v>
      </c>
      <c r="AS207" s="40" t="s">
        <v>686</v>
      </c>
      <c r="AT207" s="56">
        <f t="shared" ca="1" si="11"/>
        <v>35.434015000000002</v>
      </c>
      <c r="AU207" s="40" t="s">
        <v>684</v>
      </c>
      <c r="AV207" s="56">
        <f t="shared" ca="1" si="12"/>
        <v>133.335263</v>
      </c>
      <c r="AW207" s="40" t="s">
        <v>690</v>
      </c>
      <c r="AX207" s="40" t="str">
        <f t="shared" ca="1" si="13"/>
        <v>blue</v>
      </c>
      <c r="AY207" s="40" t="s">
        <v>688</v>
      </c>
      <c r="AZ207" s="40" t="str">
        <f t="shared" ca="1" si="14"/>
        <v>,{"type":"polyline","latLngs":[{"lat":35.433869,"lng":133.336341},{"lat":35.434015,"lng":133.335263}],"color":"blue"}</v>
      </c>
      <c r="BA207" s="40" t="s">
        <v>691</v>
      </c>
      <c r="BB207" s="56">
        <f t="shared" ca="1" si="15"/>
        <v>35.433869000000001</v>
      </c>
      <c r="BC207" s="40" t="s">
        <v>684</v>
      </c>
      <c r="BD207" s="56">
        <f t="shared" ca="1" si="16"/>
        <v>133.336341</v>
      </c>
      <c r="BE207" s="40" t="s">
        <v>692</v>
      </c>
      <c r="BF207" s="40" t="str">
        <f t="shared" ca="1" si="17"/>
        <v>blue</v>
      </c>
      <c r="BG207" s="40" t="s">
        <v>688</v>
      </c>
      <c r="BH207" s="40" t="str">
        <f t="shared" ca="1" si="18"/>
        <v>,{"type":"marker","latLng":{"lat":35.433869,"lng":133.336341},"color":"blue"}</v>
      </c>
      <c r="BI207" s="40" t="s">
        <v>693</v>
      </c>
      <c r="BJ207" s="40" t="s">
        <v>694</v>
      </c>
      <c r="BK207" s="267" t="str">
        <f t="shared" ca="1" si="19"/>
        <v>,{"type":"polyline","latLngs":[{"lat":35.433869,"lng":133.336341},{"lat":35.434015,"lng":133.335263}],"color":"blue"}</v>
      </c>
      <c r="BL207" s="40"/>
      <c r="BM207" s="40"/>
    </row>
    <row r="208" spans="3:65" ht="17.5">
      <c r="G208" s="261"/>
      <c r="H208" s="262" t="s">
        <v>672</v>
      </c>
      <c r="I208" s="93" t="str">
        <f ca="1">IFERROR(__xludf.DUMMYFUNCTION("""COMPUTED_VALUE"""),"Agent08")</f>
        <v>Agent08</v>
      </c>
      <c r="J208" s="93" t="str">
        <f ca="1">IFERROR(__xludf.DUMMYFUNCTION("""COMPUTED_VALUE"""),"P41")</f>
        <v>P41</v>
      </c>
      <c r="K208" s="93" t="str">
        <f ca="1">IFERROR(__xludf.DUMMYFUNCTION("""COMPUTED_VALUE"""),"P48")</f>
        <v>P48</v>
      </c>
      <c r="L208" s="242" t="s">
        <v>681</v>
      </c>
      <c r="M208" s="263" t="str">
        <f t="shared" ca="1" si="0"/>
        <v>blue</v>
      </c>
      <c r="N208" s="264" t="str">
        <f ca="1">IFERROR(__xludf.DUMMYFUNCTION("FILTER(C:E,B:B=J208)"),"米子盆踊発祥之地")</f>
        <v>米子盆踊発祥之地</v>
      </c>
      <c r="O208" s="265">
        <f ca="1">IFERROR(__xludf.DUMMYFUNCTION("""COMPUTED_VALUE"""),35.432755)</f>
        <v>35.432755</v>
      </c>
      <c r="P208" s="265">
        <f ca="1">IFERROR(__xludf.DUMMYFUNCTION("""COMPUTED_VALUE"""),133.33603)</f>
        <v>133.33602999999999</v>
      </c>
      <c r="Q208" s="264" t="str">
        <f ca="1">IFERROR(__xludf.DUMMYFUNCTION("FILTER(C:E,B:B=K208)"),"囚われの馬")</f>
        <v>囚われの馬</v>
      </c>
      <c r="R208" s="265">
        <f ca="1">IFERROR(__xludf.DUMMYFUNCTION("""COMPUTED_VALUE"""),35.433869)</f>
        <v>35.433869000000001</v>
      </c>
      <c r="S208" s="265">
        <f ca="1">IFERROR(__xludf.DUMMYFUNCTION("""COMPUTED_VALUE"""),133.336341)</f>
        <v>133.336341</v>
      </c>
      <c r="T208" s="264" t="str">
        <f ca="1">IFERROR(__xludf.DUMMYFUNCTION("FILTER(C:E,B:B=L208)")," ")</f>
        <v xml:space="preserve"> </v>
      </c>
      <c r="U208" s="40" t="str">
        <f ca="1">IFERROR(__xludf.DUMMYFUNCTION("""COMPUTED_VALUE""")," ")</f>
        <v xml:space="preserve"> </v>
      </c>
      <c r="V208" s="40" t="str">
        <f ca="1">IFERROR(__xludf.DUMMYFUNCTION("""COMPUTED_VALUE""")," ")</f>
        <v xml:space="preserve"> </v>
      </c>
      <c r="W208" s="40" t="str">
        <f t="shared" ca="1" si="21"/>
        <v>,</v>
      </c>
      <c r="X208" s="40" t="s">
        <v>682</v>
      </c>
      <c r="Y208" s="40" t="s">
        <v>683</v>
      </c>
      <c r="Z208" s="264">
        <f t="shared" ca="1" si="1"/>
        <v>35.432755</v>
      </c>
      <c r="AA208" s="40" t="s">
        <v>684</v>
      </c>
      <c r="AB208" s="264">
        <f t="shared" ca="1" si="2"/>
        <v>133.33602999999999</v>
      </c>
      <c r="AC208" s="40" t="s">
        <v>685</v>
      </c>
      <c r="AD208" s="264">
        <f t="shared" ca="1" si="3"/>
        <v>35.433869000000001</v>
      </c>
      <c r="AE208" s="40" t="s">
        <v>684</v>
      </c>
      <c r="AF208" s="264">
        <f t="shared" ca="1" si="4"/>
        <v>133.336341</v>
      </c>
      <c r="AG208" s="40" t="s">
        <v>686</v>
      </c>
      <c r="AH208" s="264" t="str">
        <f t="shared" ca="1" si="5"/>
        <v xml:space="preserve"> </v>
      </c>
      <c r="AI208" s="40" t="s">
        <v>684</v>
      </c>
      <c r="AJ208" s="264" t="str">
        <f t="shared" ca="1" si="6"/>
        <v xml:space="preserve"> </v>
      </c>
      <c r="AK208" s="40" t="s">
        <v>687</v>
      </c>
      <c r="AL208" s="264" t="str">
        <f t="shared" ca="1" si="7"/>
        <v>blue</v>
      </c>
      <c r="AM208" s="40" t="s">
        <v>688</v>
      </c>
      <c r="AN208" s="40" t="str">
        <f t="shared" ca="1" si="8"/>
        <v>,{"type":"polygon","latLngs":[ {"lat":35.432755,"lng":133.33603}, {"lat":35.433869,"lng":133.336341},{"lat": ,"lng": }], "color":"blue"}</v>
      </c>
      <c r="AO208" s="266" t="s">
        <v>689</v>
      </c>
      <c r="AP208" s="56">
        <f t="shared" ca="1" si="9"/>
        <v>35.432755</v>
      </c>
      <c r="AQ208" s="40" t="s">
        <v>684</v>
      </c>
      <c r="AR208" s="56">
        <f t="shared" ca="1" si="10"/>
        <v>133.33602999999999</v>
      </c>
      <c r="AS208" s="40" t="s">
        <v>686</v>
      </c>
      <c r="AT208" s="56">
        <f t="shared" ca="1" si="11"/>
        <v>35.433869000000001</v>
      </c>
      <c r="AU208" s="40" t="s">
        <v>684</v>
      </c>
      <c r="AV208" s="56">
        <f t="shared" ca="1" si="12"/>
        <v>133.336341</v>
      </c>
      <c r="AW208" s="40" t="s">
        <v>690</v>
      </c>
      <c r="AX208" s="40" t="str">
        <f t="shared" ca="1" si="13"/>
        <v>blue</v>
      </c>
      <c r="AY208" s="40" t="s">
        <v>688</v>
      </c>
      <c r="AZ208" s="40" t="str">
        <f t="shared" ca="1" si="14"/>
        <v>,{"type":"polyline","latLngs":[{"lat":35.432755,"lng":133.33603},{"lat":35.433869,"lng":133.336341}],"color":"blue"}</v>
      </c>
      <c r="BA208" s="40" t="s">
        <v>691</v>
      </c>
      <c r="BB208" s="56">
        <f t="shared" ca="1" si="15"/>
        <v>35.432755</v>
      </c>
      <c r="BC208" s="40" t="s">
        <v>684</v>
      </c>
      <c r="BD208" s="56">
        <f t="shared" ca="1" si="16"/>
        <v>133.33602999999999</v>
      </c>
      <c r="BE208" s="40" t="s">
        <v>692</v>
      </c>
      <c r="BF208" s="40" t="str">
        <f t="shared" ca="1" si="17"/>
        <v>blue</v>
      </c>
      <c r="BG208" s="40" t="s">
        <v>688</v>
      </c>
      <c r="BH208" s="40" t="str">
        <f t="shared" ca="1" si="18"/>
        <v>,{"type":"marker","latLng":{"lat":35.432755,"lng":133.33603},"color":"blue"}</v>
      </c>
      <c r="BI208" s="40" t="s">
        <v>693</v>
      </c>
      <c r="BJ208" s="40" t="s">
        <v>694</v>
      </c>
      <c r="BK208" s="267" t="str">
        <f t="shared" ca="1" si="19"/>
        <v>,{"type":"polyline","latLngs":[{"lat":35.432755,"lng":133.33603},{"lat":35.433869,"lng":133.336341}],"color":"blue"}</v>
      </c>
      <c r="BL208" s="40"/>
      <c r="BM208" s="40"/>
    </row>
    <row r="209" spans="3:65" ht="17.5">
      <c r="G209" s="261"/>
      <c r="H209" s="262" t="s">
        <v>672</v>
      </c>
      <c r="I209" s="93" t="str">
        <f ca="1">IFERROR(__xludf.DUMMYFUNCTION("""COMPUTED_VALUE"""),"Agent08")</f>
        <v>Agent08</v>
      </c>
      <c r="J209" s="93" t="str">
        <f ca="1">IFERROR(__xludf.DUMMYFUNCTION("""COMPUTED_VALUE"""),"P41")</f>
        <v>P41</v>
      </c>
      <c r="K209" s="93" t="str">
        <f ca="1">IFERROR(__xludf.DUMMYFUNCTION("""COMPUTED_VALUE"""),"P49")</f>
        <v>P49</v>
      </c>
      <c r="L209" s="242" t="s">
        <v>681</v>
      </c>
      <c r="M209" s="263" t="str">
        <f t="shared" ca="1" si="0"/>
        <v>blue</v>
      </c>
      <c r="N209" s="264" t="str">
        <f ca="1">IFERROR(__xludf.DUMMYFUNCTION("FILTER(C:E,B:B=J209)"),"米子盆踊発祥之地")</f>
        <v>米子盆踊発祥之地</v>
      </c>
      <c r="O209" s="265">
        <f ca="1">IFERROR(__xludf.DUMMYFUNCTION("""COMPUTED_VALUE"""),35.432755)</f>
        <v>35.432755</v>
      </c>
      <c r="P209" s="265">
        <f ca="1">IFERROR(__xludf.DUMMYFUNCTION("""COMPUTED_VALUE"""),133.33603)</f>
        <v>133.33602999999999</v>
      </c>
      <c r="Q209" s="264" t="str">
        <f ca="1">IFERROR(__xludf.DUMMYFUNCTION("FILTER(C:E,B:B=K209)"),"天理教米府分教会")</f>
        <v>天理教米府分教会</v>
      </c>
      <c r="R209" s="265">
        <f ca="1">IFERROR(__xludf.DUMMYFUNCTION("""COMPUTED_VALUE"""),35.434015)</f>
        <v>35.434015000000002</v>
      </c>
      <c r="S209" s="265">
        <f ca="1">IFERROR(__xludf.DUMMYFUNCTION("""COMPUTED_VALUE"""),133.335263)</f>
        <v>133.335263</v>
      </c>
      <c r="T209" s="264" t="str">
        <f ca="1">IFERROR(__xludf.DUMMYFUNCTION("FILTER(C:E,B:B=L209)")," ")</f>
        <v xml:space="preserve"> </v>
      </c>
      <c r="U209" s="40" t="str">
        <f ca="1">IFERROR(__xludf.DUMMYFUNCTION("""COMPUTED_VALUE""")," ")</f>
        <v xml:space="preserve"> </v>
      </c>
      <c r="V209" s="40" t="str">
        <f ca="1">IFERROR(__xludf.DUMMYFUNCTION("""COMPUTED_VALUE""")," ")</f>
        <v xml:space="preserve"> </v>
      </c>
      <c r="W209" s="40" t="str">
        <f t="shared" ca="1" si="21"/>
        <v>,</v>
      </c>
      <c r="X209" s="40" t="s">
        <v>682</v>
      </c>
      <c r="Y209" s="40" t="s">
        <v>683</v>
      </c>
      <c r="Z209" s="264">
        <f t="shared" ca="1" si="1"/>
        <v>35.432755</v>
      </c>
      <c r="AA209" s="40" t="s">
        <v>684</v>
      </c>
      <c r="AB209" s="264">
        <f t="shared" ca="1" si="2"/>
        <v>133.33602999999999</v>
      </c>
      <c r="AC209" s="40" t="s">
        <v>685</v>
      </c>
      <c r="AD209" s="264">
        <f t="shared" ca="1" si="3"/>
        <v>35.434015000000002</v>
      </c>
      <c r="AE209" s="40" t="s">
        <v>684</v>
      </c>
      <c r="AF209" s="264">
        <f t="shared" ca="1" si="4"/>
        <v>133.335263</v>
      </c>
      <c r="AG209" s="40" t="s">
        <v>686</v>
      </c>
      <c r="AH209" s="264" t="str">
        <f t="shared" ca="1" si="5"/>
        <v xml:space="preserve"> </v>
      </c>
      <c r="AI209" s="40" t="s">
        <v>684</v>
      </c>
      <c r="AJ209" s="264" t="str">
        <f t="shared" ca="1" si="6"/>
        <v xml:space="preserve"> </v>
      </c>
      <c r="AK209" s="40" t="s">
        <v>687</v>
      </c>
      <c r="AL209" s="264" t="str">
        <f t="shared" ca="1" si="7"/>
        <v>blue</v>
      </c>
      <c r="AM209" s="40" t="s">
        <v>688</v>
      </c>
      <c r="AN209" s="40" t="str">
        <f t="shared" ca="1" si="8"/>
        <v>,{"type":"polygon","latLngs":[ {"lat":35.432755,"lng":133.33603}, {"lat":35.434015,"lng":133.335263},{"lat": ,"lng": }], "color":"blue"}</v>
      </c>
      <c r="AO209" s="266" t="s">
        <v>689</v>
      </c>
      <c r="AP209" s="56">
        <f t="shared" ca="1" si="9"/>
        <v>35.432755</v>
      </c>
      <c r="AQ209" s="40" t="s">
        <v>684</v>
      </c>
      <c r="AR209" s="56">
        <f t="shared" ca="1" si="10"/>
        <v>133.33602999999999</v>
      </c>
      <c r="AS209" s="40" t="s">
        <v>686</v>
      </c>
      <c r="AT209" s="56">
        <f t="shared" ca="1" si="11"/>
        <v>35.434015000000002</v>
      </c>
      <c r="AU209" s="40" t="s">
        <v>684</v>
      </c>
      <c r="AV209" s="56">
        <f t="shared" ca="1" si="12"/>
        <v>133.335263</v>
      </c>
      <c r="AW209" s="40" t="s">
        <v>690</v>
      </c>
      <c r="AX209" s="40" t="str">
        <f t="shared" ca="1" si="13"/>
        <v>blue</v>
      </c>
      <c r="AY209" s="40" t="s">
        <v>688</v>
      </c>
      <c r="AZ209" s="40" t="str">
        <f t="shared" ca="1" si="14"/>
        <v>,{"type":"polyline","latLngs":[{"lat":35.432755,"lng":133.33603},{"lat":35.434015,"lng":133.335263}],"color":"blue"}</v>
      </c>
      <c r="BA209" s="40" t="s">
        <v>691</v>
      </c>
      <c r="BB209" s="56">
        <f t="shared" ca="1" si="15"/>
        <v>35.432755</v>
      </c>
      <c r="BC209" s="40" t="s">
        <v>684</v>
      </c>
      <c r="BD209" s="56">
        <f t="shared" ca="1" si="16"/>
        <v>133.33602999999999</v>
      </c>
      <c r="BE209" s="40" t="s">
        <v>692</v>
      </c>
      <c r="BF209" s="40" t="str">
        <f t="shared" ca="1" si="17"/>
        <v>blue</v>
      </c>
      <c r="BG209" s="40" t="s">
        <v>688</v>
      </c>
      <c r="BH209" s="40" t="str">
        <f t="shared" ca="1" si="18"/>
        <v>,{"type":"marker","latLng":{"lat":35.432755,"lng":133.33603},"color":"blue"}</v>
      </c>
      <c r="BI209" s="40" t="s">
        <v>693</v>
      </c>
      <c r="BJ209" s="40" t="s">
        <v>694</v>
      </c>
      <c r="BK209" s="267" t="str">
        <f t="shared" ca="1" si="19"/>
        <v>,{"type":"polyline","latLngs":[{"lat":35.432755,"lng":133.33603},{"lat":35.434015,"lng":133.335263}],"color":"blue"}</v>
      </c>
      <c r="BL209" s="40"/>
      <c r="BM209" s="40"/>
    </row>
    <row r="210" spans="3:65" ht="17.5">
      <c r="G210" s="261"/>
      <c r="H210" s="262" t="s">
        <v>672</v>
      </c>
      <c r="I210" s="93" t="str">
        <f ca="1">IFERROR(__xludf.DUMMYFUNCTION("""COMPUTED_VALUE"""),"Agent08")</f>
        <v>Agent08</v>
      </c>
      <c r="J210" s="93" t="str">
        <f ca="1">IFERROR(__xludf.DUMMYFUNCTION("""COMPUTED_VALUE"""),"P38")</f>
        <v>P38</v>
      </c>
      <c r="K210" s="93" t="str">
        <f ca="1">IFERROR(__xludf.DUMMYFUNCTION("""COMPUTED_VALUE"""),"P57")</f>
        <v>P57</v>
      </c>
      <c r="L210" s="242" t="s">
        <v>681</v>
      </c>
      <c r="M210" s="263" t="str">
        <f t="shared" ca="1" si="0"/>
        <v>blue</v>
      </c>
      <c r="N210" s="264" t="str">
        <f ca="1">IFERROR(__xludf.DUMMYFUNCTION("FILTER(C:E,B:B=J210)"),"米子市中央隣保館")</f>
        <v>米子市中央隣保館</v>
      </c>
      <c r="O210" s="265">
        <f ca="1">IFERROR(__xludf.DUMMYFUNCTION("""COMPUTED_VALUE"""),35.432593)</f>
        <v>35.432592999999997</v>
      </c>
      <c r="P210" s="265">
        <f ca="1">IFERROR(__xludf.DUMMYFUNCTION("""COMPUTED_VALUE"""),133.337234)</f>
        <v>133.337234</v>
      </c>
      <c r="Q210" s="264" t="str">
        <f ca="1">IFERROR(__xludf.DUMMYFUNCTION("FILTER(C:E,B:B=K210)"),"JR富士見町駅")</f>
        <v>JR富士見町駅</v>
      </c>
      <c r="R210" s="265">
        <f ca="1">IFERROR(__xludf.DUMMYFUNCTION("""COMPUTED_VALUE"""),35.434744)</f>
        <v>35.434744000000002</v>
      </c>
      <c r="S210" s="265">
        <f ca="1">IFERROR(__xludf.DUMMYFUNCTION("""COMPUTED_VALUE"""),133.33648)</f>
        <v>133.33647999999999</v>
      </c>
      <c r="T210" s="264" t="str">
        <f ca="1">IFERROR(__xludf.DUMMYFUNCTION("FILTER(C:E,B:B=L210)")," ")</f>
        <v xml:space="preserve"> </v>
      </c>
      <c r="U210" s="40" t="str">
        <f ca="1">IFERROR(__xludf.DUMMYFUNCTION("""COMPUTED_VALUE""")," ")</f>
        <v xml:space="preserve"> </v>
      </c>
      <c r="V210" s="40" t="str">
        <f ca="1">IFERROR(__xludf.DUMMYFUNCTION("""COMPUTED_VALUE""")," ")</f>
        <v xml:space="preserve"> </v>
      </c>
      <c r="W210" s="40" t="str">
        <f t="shared" ca="1" si="21"/>
        <v>,</v>
      </c>
      <c r="X210" s="40" t="s">
        <v>682</v>
      </c>
      <c r="Y210" s="40" t="s">
        <v>683</v>
      </c>
      <c r="Z210" s="264">
        <f t="shared" ca="1" si="1"/>
        <v>35.432592999999997</v>
      </c>
      <c r="AA210" s="40" t="s">
        <v>684</v>
      </c>
      <c r="AB210" s="264">
        <f t="shared" ca="1" si="2"/>
        <v>133.337234</v>
      </c>
      <c r="AC210" s="40" t="s">
        <v>685</v>
      </c>
      <c r="AD210" s="264">
        <f t="shared" ca="1" si="3"/>
        <v>35.434744000000002</v>
      </c>
      <c r="AE210" s="40" t="s">
        <v>684</v>
      </c>
      <c r="AF210" s="264">
        <f t="shared" ca="1" si="4"/>
        <v>133.33647999999999</v>
      </c>
      <c r="AG210" s="40" t="s">
        <v>686</v>
      </c>
      <c r="AH210" s="264" t="str">
        <f t="shared" ca="1" si="5"/>
        <v xml:space="preserve"> </v>
      </c>
      <c r="AI210" s="40" t="s">
        <v>684</v>
      </c>
      <c r="AJ210" s="264" t="str">
        <f t="shared" ca="1" si="6"/>
        <v xml:space="preserve"> </v>
      </c>
      <c r="AK210" s="40" t="s">
        <v>687</v>
      </c>
      <c r="AL210" s="264" t="str">
        <f t="shared" ca="1" si="7"/>
        <v>blue</v>
      </c>
      <c r="AM210" s="40" t="s">
        <v>688</v>
      </c>
      <c r="AN210" s="40" t="str">
        <f t="shared" ca="1" si="8"/>
        <v>,{"type":"polygon","latLngs":[ {"lat":35.432593,"lng":133.337234}, {"lat":35.434744,"lng":133.33648},{"lat": ,"lng": }], "color":"blue"}</v>
      </c>
      <c r="AO210" s="266" t="s">
        <v>689</v>
      </c>
      <c r="AP210" s="56">
        <f t="shared" ca="1" si="9"/>
        <v>35.432592999999997</v>
      </c>
      <c r="AQ210" s="40" t="s">
        <v>684</v>
      </c>
      <c r="AR210" s="56">
        <f t="shared" ca="1" si="10"/>
        <v>133.337234</v>
      </c>
      <c r="AS210" s="40" t="s">
        <v>686</v>
      </c>
      <c r="AT210" s="56">
        <f t="shared" ca="1" si="11"/>
        <v>35.434744000000002</v>
      </c>
      <c r="AU210" s="40" t="s">
        <v>684</v>
      </c>
      <c r="AV210" s="56">
        <f t="shared" ca="1" si="12"/>
        <v>133.33647999999999</v>
      </c>
      <c r="AW210" s="40" t="s">
        <v>690</v>
      </c>
      <c r="AX210" s="40" t="str">
        <f t="shared" ca="1" si="13"/>
        <v>blue</v>
      </c>
      <c r="AY210" s="40" t="s">
        <v>688</v>
      </c>
      <c r="AZ210" s="40" t="str">
        <f t="shared" ca="1" si="14"/>
        <v>,{"type":"polyline","latLngs":[{"lat":35.432593,"lng":133.337234},{"lat":35.434744,"lng":133.33648}],"color":"blue"}</v>
      </c>
      <c r="BA210" s="40" t="s">
        <v>691</v>
      </c>
      <c r="BB210" s="56">
        <f t="shared" ca="1" si="15"/>
        <v>35.432592999999997</v>
      </c>
      <c r="BC210" s="40" t="s">
        <v>684</v>
      </c>
      <c r="BD210" s="56">
        <f t="shared" ca="1" si="16"/>
        <v>133.337234</v>
      </c>
      <c r="BE210" s="40" t="s">
        <v>692</v>
      </c>
      <c r="BF210" s="40" t="str">
        <f t="shared" ca="1" si="17"/>
        <v>blue</v>
      </c>
      <c r="BG210" s="40" t="s">
        <v>688</v>
      </c>
      <c r="BH210" s="40" t="str">
        <f t="shared" ca="1" si="18"/>
        <v>,{"type":"marker","latLng":{"lat":35.432593,"lng":133.337234},"color":"blue"}</v>
      </c>
      <c r="BI210" s="40" t="s">
        <v>693</v>
      </c>
      <c r="BJ210" s="40" t="s">
        <v>694</v>
      </c>
      <c r="BK210" s="267" t="str">
        <f t="shared" ca="1" si="19"/>
        <v>,{"type":"polyline","latLngs":[{"lat":35.432593,"lng":133.337234},{"lat":35.434744,"lng":133.33648}],"color":"blue"}</v>
      </c>
      <c r="BL210" s="40"/>
      <c r="BM210" s="40"/>
    </row>
    <row r="211" spans="3:65" ht="17.5">
      <c r="C211" s="279">
        <f>'2.ポータル'!B204</f>
        <v>0</v>
      </c>
      <c r="D211" s="279">
        <f>'2.ポータル'!C201</f>
        <v>0</v>
      </c>
      <c r="E211" s="279">
        <f>'2.ポータル'!D201</f>
        <v>0</v>
      </c>
      <c r="G211" s="261"/>
      <c r="H211" s="262" t="s">
        <v>672</v>
      </c>
      <c r="I211" s="93" t="str">
        <f ca="1">IFERROR(__xludf.DUMMYFUNCTION("""COMPUTED_VALUE"""),"Agent08")</f>
        <v>Agent08</v>
      </c>
      <c r="J211" s="93" t="str">
        <f ca="1">IFERROR(__xludf.DUMMYFUNCTION("""COMPUTED_VALUE"""),"P38")</f>
        <v>P38</v>
      </c>
      <c r="K211" s="93" t="str">
        <f ca="1">IFERROR(__xludf.DUMMYFUNCTION("""COMPUTED_VALUE"""),"P52")</f>
        <v>P52</v>
      </c>
      <c r="L211" s="242" t="s">
        <v>681</v>
      </c>
      <c r="M211" s="263" t="str">
        <f t="shared" ca="1" si="0"/>
        <v>blue</v>
      </c>
      <c r="N211" s="264" t="str">
        <f ca="1">IFERROR(__xludf.DUMMYFUNCTION("FILTER(C:E,B:B=J211)"),"米子市中央隣保館")</f>
        <v>米子市中央隣保館</v>
      </c>
      <c r="O211" s="265">
        <f ca="1">IFERROR(__xludf.DUMMYFUNCTION("""COMPUTED_VALUE"""),35.432593)</f>
        <v>35.432592999999997</v>
      </c>
      <c r="P211" s="265">
        <f ca="1">IFERROR(__xludf.DUMMYFUNCTION("""COMPUTED_VALUE"""),133.337234)</f>
        <v>133.337234</v>
      </c>
      <c r="Q211" s="264" t="str">
        <f ca="1">IFERROR(__xludf.DUMMYFUNCTION("FILTER(C:E,B:B=K211)"),"博労町公園")</f>
        <v>博労町公園</v>
      </c>
      <c r="R211" s="265">
        <f ca="1">IFERROR(__xludf.DUMMYFUNCTION("""COMPUTED_VALUE"""),35.434543)</f>
        <v>35.434542999999998</v>
      </c>
      <c r="S211" s="265">
        <f ca="1">IFERROR(__xludf.DUMMYFUNCTION("""COMPUTED_VALUE"""),133.33716)</f>
        <v>133.33716000000001</v>
      </c>
      <c r="T211" s="264" t="str">
        <f ca="1">IFERROR(__xludf.DUMMYFUNCTION("FILTER(C:E,B:B=L211)")," ")</f>
        <v xml:space="preserve"> </v>
      </c>
      <c r="U211" s="40" t="str">
        <f ca="1">IFERROR(__xludf.DUMMYFUNCTION("""COMPUTED_VALUE""")," ")</f>
        <v xml:space="preserve"> </v>
      </c>
      <c r="V211" s="40" t="str">
        <f ca="1">IFERROR(__xludf.DUMMYFUNCTION("""COMPUTED_VALUE""")," ")</f>
        <v xml:space="preserve"> </v>
      </c>
      <c r="W211" s="40" t="str">
        <f t="shared" ca="1" si="21"/>
        <v>,</v>
      </c>
      <c r="X211" s="40" t="s">
        <v>682</v>
      </c>
      <c r="Y211" s="40" t="s">
        <v>683</v>
      </c>
      <c r="Z211" s="264">
        <f t="shared" ca="1" si="1"/>
        <v>35.432592999999997</v>
      </c>
      <c r="AA211" s="40" t="s">
        <v>684</v>
      </c>
      <c r="AB211" s="264">
        <f t="shared" ca="1" si="2"/>
        <v>133.337234</v>
      </c>
      <c r="AC211" s="40" t="s">
        <v>685</v>
      </c>
      <c r="AD211" s="264">
        <f t="shared" ca="1" si="3"/>
        <v>35.434542999999998</v>
      </c>
      <c r="AE211" s="40" t="s">
        <v>684</v>
      </c>
      <c r="AF211" s="264">
        <f t="shared" ca="1" si="4"/>
        <v>133.33716000000001</v>
      </c>
      <c r="AG211" s="40" t="s">
        <v>686</v>
      </c>
      <c r="AH211" s="264" t="str">
        <f t="shared" ca="1" si="5"/>
        <v xml:space="preserve"> </v>
      </c>
      <c r="AI211" s="40" t="s">
        <v>684</v>
      </c>
      <c r="AJ211" s="264" t="str">
        <f t="shared" ca="1" si="6"/>
        <v xml:space="preserve"> </v>
      </c>
      <c r="AK211" s="40" t="s">
        <v>687</v>
      </c>
      <c r="AL211" s="264" t="str">
        <f t="shared" ca="1" si="7"/>
        <v>blue</v>
      </c>
      <c r="AM211" s="40" t="s">
        <v>688</v>
      </c>
      <c r="AN211" s="40" t="str">
        <f t="shared" ca="1" si="8"/>
        <v>,{"type":"polygon","latLngs":[ {"lat":35.432593,"lng":133.337234}, {"lat":35.434543,"lng":133.33716},{"lat": ,"lng": }], "color":"blue"}</v>
      </c>
      <c r="AO211" s="266" t="s">
        <v>689</v>
      </c>
      <c r="AP211" s="56">
        <f t="shared" ca="1" si="9"/>
        <v>35.432592999999997</v>
      </c>
      <c r="AQ211" s="40" t="s">
        <v>684</v>
      </c>
      <c r="AR211" s="56">
        <f t="shared" ca="1" si="10"/>
        <v>133.337234</v>
      </c>
      <c r="AS211" s="40" t="s">
        <v>686</v>
      </c>
      <c r="AT211" s="56">
        <f t="shared" ca="1" si="11"/>
        <v>35.434542999999998</v>
      </c>
      <c r="AU211" s="40" t="s">
        <v>684</v>
      </c>
      <c r="AV211" s="56">
        <f t="shared" ca="1" si="12"/>
        <v>133.33716000000001</v>
      </c>
      <c r="AW211" s="40" t="s">
        <v>690</v>
      </c>
      <c r="AX211" s="40" t="str">
        <f t="shared" ca="1" si="13"/>
        <v>blue</v>
      </c>
      <c r="AY211" s="40" t="s">
        <v>688</v>
      </c>
      <c r="AZ211" s="40" t="str">
        <f t="shared" ca="1" si="14"/>
        <v>,{"type":"polyline","latLngs":[{"lat":35.432593,"lng":133.337234},{"lat":35.434543,"lng":133.33716}],"color":"blue"}</v>
      </c>
      <c r="BA211" s="40" t="s">
        <v>691</v>
      </c>
      <c r="BB211" s="56">
        <f t="shared" ca="1" si="15"/>
        <v>35.432592999999997</v>
      </c>
      <c r="BC211" s="40" t="s">
        <v>684</v>
      </c>
      <c r="BD211" s="56">
        <f t="shared" ca="1" si="16"/>
        <v>133.337234</v>
      </c>
      <c r="BE211" s="40" t="s">
        <v>692</v>
      </c>
      <c r="BF211" s="40" t="str">
        <f t="shared" ca="1" si="17"/>
        <v>blue</v>
      </c>
      <c r="BG211" s="40" t="s">
        <v>688</v>
      </c>
      <c r="BH211" s="40" t="str">
        <f t="shared" ca="1" si="18"/>
        <v>,{"type":"marker","latLng":{"lat":35.432593,"lng":133.337234},"color":"blue"}</v>
      </c>
      <c r="BI211" s="40" t="s">
        <v>693</v>
      </c>
      <c r="BJ211" s="40" t="s">
        <v>694</v>
      </c>
      <c r="BK211" s="267" t="str">
        <f t="shared" ca="1" si="19"/>
        <v>,{"type":"polyline","latLngs":[{"lat":35.432593,"lng":133.337234},{"lat":35.434543,"lng":133.33716}],"color":"blue"}</v>
      </c>
      <c r="BL211" s="40"/>
      <c r="BM211" s="40"/>
    </row>
    <row r="212" spans="3:65" ht="17.5">
      <c r="C212" s="279">
        <f>'2.ポータル'!B202</f>
        <v>0</v>
      </c>
      <c r="D212" s="279">
        <f>'2.ポータル'!C202</f>
        <v>0</v>
      </c>
      <c r="E212" s="279">
        <f>'2.ポータル'!D202</f>
        <v>0</v>
      </c>
      <c r="G212" s="261"/>
      <c r="H212" s="262" t="s">
        <v>672</v>
      </c>
      <c r="I212" s="93" t="str">
        <f ca="1">IFERROR(__xludf.DUMMYFUNCTION("""COMPUTED_VALUE"""),"Agent08")</f>
        <v>Agent08</v>
      </c>
      <c r="J212" s="93" t="str">
        <f ca="1">IFERROR(__xludf.DUMMYFUNCTION("""COMPUTED_VALUE"""),"P38")</f>
        <v>P38</v>
      </c>
      <c r="K212" s="93" t="str">
        <f ca="1">IFERROR(__xludf.DUMMYFUNCTION("""COMPUTED_VALUE"""),"P48")</f>
        <v>P48</v>
      </c>
      <c r="L212" s="242" t="s">
        <v>681</v>
      </c>
      <c r="M212" s="263" t="str">
        <f t="shared" ca="1" si="0"/>
        <v>blue</v>
      </c>
      <c r="N212" s="264" t="str">
        <f ca="1">IFERROR(__xludf.DUMMYFUNCTION("FILTER(C:E,B:B=J212)"),"米子市中央隣保館")</f>
        <v>米子市中央隣保館</v>
      </c>
      <c r="O212" s="265">
        <f ca="1">IFERROR(__xludf.DUMMYFUNCTION("""COMPUTED_VALUE"""),35.432593)</f>
        <v>35.432592999999997</v>
      </c>
      <c r="P212" s="265">
        <f ca="1">IFERROR(__xludf.DUMMYFUNCTION("""COMPUTED_VALUE"""),133.337234)</f>
        <v>133.337234</v>
      </c>
      <c r="Q212" s="264" t="str">
        <f ca="1">IFERROR(__xludf.DUMMYFUNCTION("FILTER(C:E,B:B=K212)"),"囚われの馬")</f>
        <v>囚われの馬</v>
      </c>
      <c r="R212" s="265">
        <f ca="1">IFERROR(__xludf.DUMMYFUNCTION("""COMPUTED_VALUE"""),35.433869)</f>
        <v>35.433869000000001</v>
      </c>
      <c r="S212" s="265">
        <f ca="1">IFERROR(__xludf.DUMMYFUNCTION("""COMPUTED_VALUE"""),133.336341)</f>
        <v>133.336341</v>
      </c>
      <c r="T212" s="264" t="str">
        <f ca="1">IFERROR(__xludf.DUMMYFUNCTION("FILTER(C:E,B:B=L212)")," ")</f>
        <v xml:space="preserve"> </v>
      </c>
      <c r="U212" s="40" t="str">
        <f ca="1">IFERROR(__xludf.DUMMYFUNCTION("""COMPUTED_VALUE""")," ")</f>
        <v xml:space="preserve"> </v>
      </c>
      <c r="V212" s="40" t="str">
        <f ca="1">IFERROR(__xludf.DUMMYFUNCTION("""COMPUTED_VALUE""")," ")</f>
        <v xml:space="preserve"> </v>
      </c>
      <c r="W212" s="40" t="str">
        <f t="shared" ca="1" si="21"/>
        <v>,</v>
      </c>
      <c r="X212" s="40" t="s">
        <v>682</v>
      </c>
      <c r="Y212" s="40" t="s">
        <v>683</v>
      </c>
      <c r="Z212" s="264">
        <f t="shared" ca="1" si="1"/>
        <v>35.432592999999997</v>
      </c>
      <c r="AA212" s="40" t="s">
        <v>684</v>
      </c>
      <c r="AB212" s="264">
        <f t="shared" ca="1" si="2"/>
        <v>133.337234</v>
      </c>
      <c r="AC212" s="40" t="s">
        <v>685</v>
      </c>
      <c r="AD212" s="264">
        <f t="shared" ca="1" si="3"/>
        <v>35.433869000000001</v>
      </c>
      <c r="AE212" s="40" t="s">
        <v>684</v>
      </c>
      <c r="AF212" s="264">
        <f t="shared" ca="1" si="4"/>
        <v>133.336341</v>
      </c>
      <c r="AG212" s="40" t="s">
        <v>686</v>
      </c>
      <c r="AH212" s="264" t="str">
        <f t="shared" ca="1" si="5"/>
        <v xml:space="preserve"> </v>
      </c>
      <c r="AI212" s="40" t="s">
        <v>684</v>
      </c>
      <c r="AJ212" s="264" t="str">
        <f t="shared" ca="1" si="6"/>
        <v xml:space="preserve"> </v>
      </c>
      <c r="AK212" s="40" t="s">
        <v>687</v>
      </c>
      <c r="AL212" s="264" t="str">
        <f t="shared" ca="1" si="7"/>
        <v>blue</v>
      </c>
      <c r="AM212" s="40" t="s">
        <v>688</v>
      </c>
      <c r="AN212" s="40" t="str">
        <f t="shared" ca="1" si="8"/>
        <v>,{"type":"polygon","latLngs":[ {"lat":35.432593,"lng":133.337234}, {"lat":35.433869,"lng":133.336341},{"lat": ,"lng": }], "color":"blue"}</v>
      </c>
      <c r="AO212" s="266" t="s">
        <v>689</v>
      </c>
      <c r="AP212" s="56">
        <f t="shared" ca="1" si="9"/>
        <v>35.432592999999997</v>
      </c>
      <c r="AQ212" s="40" t="s">
        <v>684</v>
      </c>
      <c r="AR212" s="56">
        <f t="shared" ca="1" si="10"/>
        <v>133.337234</v>
      </c>
      <c r="AS212" s="40" t="s">
        <v>686</v>
      </c>
      <c r="AT212" s="56">
        <f t="shared" ca="1" si="11"/>
        <v>35.433869000000001</v>
      </c>
      <c r="AU212" s="40" t="s">
        <v>684</v>
      </c>
      <c r="AV212" s="56">
        <f t="shared" ca="1" si="12"/>
        <v>133.336341</v>
      </c>
      <c r="AW212" s="40" t="s">
        <v>690</v>
      </c>
      <c r="AX212" s="40" t="str">
        <f t="shared" ca="1" si="13"/>
        <v>blue</v>
      </c>
      <c r="AY212" s="40" t="s">
        <v>688</v>
      </c>
      <c r="AZ212" s="40" t="str">
        <f t="shared" ca="1" si="14"/>
        <v>,{"type":"polyline","latLngs":[{"lat":35.432593,"lng":133.337234},{"lat":35.433869,"lng":133.336341}],"color":"blue"}</v>
      </c>
      <c r="BA212" s="40" t="s">
        <v>691</v>
      </c>
      <c r="BB212" s="56">
        <f t="shared" ca="1" si="15"/>
        <v>35.432592999999997</v>
      </c>
      <c r="BC212" s="40" t="s">
        <v>684</v>
      </c>
      <c r="BD212" s="56">
        <f t="shared" ca="1" si="16"/>
        <v>133.337234</v>
      </c>
      <c r="BE212" s="40" t="s">
        <v>692</v>
      </c>
      <c r="BF212" s="40" t="str">
        <f t="shared" ca="1" si="17"/>
        <v>blue</v>
      </c>
      <c r="BG212" s="40" t="s">
        <v>688</v>
      </c>
      <c r="BH212" s="40" t="str">
        <f t="shared" ca="1" si="18"/>
        <v>,{"type":"marker","latLng":{"lat":35.432593,"lng":133.337234},"color":"blue"}</v>
      </c>
      <c r="BI212" s="40" t="s">
        <v>693</v>
      </c>
      <c r="BJ212" s="40" t="s">
        <v>694</v>
      </c>
      <c r="BK212" s="267" t="str">
        <f t="shared" ca="1" si="19"/>
        <v>,{"type":"polyline","latLngs":[{"lat":35.432593,"lng":133.337234},{"lat":35.433869,"lng":133.336341}],"color":"blue"}</v>
      </c>
      <c r="BL212" s="40"/>
      <c r="BM212" s="40"/>
    </row>
    <row r="213" spans="3:65" ht="17.5">
      <c r="C213" s="279">
        <f>'2.ポータル'!B203</f>
        <v>0</v>
      </c>
      <c r="D213" s="279">
        <f>'2.ポータル'!C203</f>
        <v>0</v>
      </c>
      <c r="E213" s="279">
        <f>'2.ポータル'!D203</f>
        <v>0</v>
      </c>
      <c r="G213" s="261"/>
      <c r="H213" s="262" t="s">
        <v>672</v>
      </c>
      <c r="I213" s="93" t="str">
        <f ca="1">IFERROR(__xludf.DUMMYFUNCTION("""COMPUTED_VALUE"""),"Agent08")</f>
        <v>Agent08</v>
      </c>
      <c r="J213" s="93" t="str">
        <f ca="1">IFERROR(__xludf.DUMMYFUNCTION("""COMPUTED_VALUE"""),"P31")</f>
        <v>P31</v>
      </c>
      <c r="K213" s="93" t="str">
        <f ca="1">IFERROR(__xludf.DUMMYFUNCTION("""COMPUTED_VALUE"""),"P48")</f>
        <v>P48</v>
      </c>
      <c r="L213" s="242" t="s">
        <v>681</v>
      </c>
      <c r="M213" s="263" t="str">
        <f t="shared" ca="1" si="0"/>
        <v>blue</v>
      </c>
      <c r="N213" s="264" t="str">
        <f ca="1">IFERROR(__xludf.DUMMYFUNCTION("FILTER(C:E,B:B=J213)"),"歯科医院のマスコット")</f>
        <v>歯科医院のマスコット</v>
      </c>
      <c r="O213" s="265">
        <f ca="1">IFERROR(__xludf.DUMMYFUNCTION("""COMPUTED_VALUE"""),35.43165)</f>
        <v>35.431649999999998</v>
      </c>
      <c r="P213" s="265">
        <f ca="1">IFERROR(__xludf.DUMMYFUNCTION("""COMPUTED_VALUE"""),133.336166)</f>
        <v>133.33616599999999</v>
      </c>
      <c r="Q213" s="264" t="str">
        <f ca="1">IFERROR(__xludf.DUMMYFUNCTION("FILTER(C:E,B:B=K213)"),"囚われの馬")</f>
        <v>囚われの馬</v>
      </c>
      <c r="R213" s="265">
        <f ca="1">IFERROR(__xludf.DUMMYFUNCTION("""COMPUTED_VALUE"""),35.433869)</f>
        <v>35.433869000000001</v>
      </c>
      <c r="S213" s="265">
        <f ca="1">IFERROR(__xludf.DUMMYFUNCTION("""COMPUTED_VALUE"""),133.336341)</f>
        <v>133.336341</v>
      </c>
      <c r="T213" s="264" t="str">
        <f ca="1">IFERROR(__xludf.DUMMYFUNCTION("FILTER(C:E,B:B=L213)")," ")</f>
        <v xml:space="preserve"> </v>
      </c>
      <c r="U213" s="40" t="str">
        <f ca="1">IFERROR(__xludf.DUMMYFUNCTION("""COMPUTED_VALUE""")," ")</f>
        <v xml:space="preserve"> </v>
      </c>
      <c r="V213" s="40" t="str">
        <f ca="1">IFERROR(__xludf.DUMMYFUNCTION("""COMPUTED_VALUE""")," ")</f>
        <v xml:space="preserve"> </v>
      </c>
      <c r="W213" s="40" t="str">
        <f t="shared" ca="1" si="21"/>
        <v>,</v>
      </c>
      <c r="X213" s="40" t="s">
        <v>682</v>
      </c>
      <c r="Y213" s="40" t="s">
        <v>683</v>
      </c>
      <c r="Z213" s="264">
        <f t="shared" ca="1" si="1"/>
        <v>35.431649999999998</v>
      </c>
      <c r="AA213" s="40" t="s">
        <v>684</v>
      </c>
      <c r="AB213" s="264">
        <f t="shared" ca="1" si="2"/>
        <v>133.33616599999999</v>
      </c>
      <c r="AC213" s="40" t="s">
        <v>685</v>
      </c>
      <c r="AD213" s="264">
        <f t="shared" ca="1" si="3"/>
        <v>35.433869000000001</v>
      </c>
      <c r="AE213" s="40" t="s">
        <v>684</v>
      </c>
      <c r="AF213" s="264">
        <f t="shared" ca="1" si="4"/>
        <v>133.336341</v>
      </c>
      <c r="AG213" s="40" t="s">
        <v>686</v>
      </c>
      <c r="AH213" s="264" t="str">
        <f t="shared" ca="1" si="5"/>
        <v xml:space="preserve"> </v>
      </c>
      <c r="AI213" s="40" t="s">
        <v>684</v>
      </c>
      <c r="AJ213" s="264" t="str">
        <f t="shared" ca="1" si="6"/>
        <v xml:space="preserve"> </v>
      </c>
      <c r="AK213" s="40" t="s">
        <v>687</v>
      </c>
      <c r="AL213" s="264" t="str">
        <f t="shared" ca="1" si="7"/>
        <v>blue</v>
      </c>
      <c r="AM213" s="40" t="s">
        <v>688</v>
      </c>
      <c r="AN213" s="40" t="str">
        <f t="shared" ca="1" si="8"/>
        <v>,{"type":"polygon","latLngs":[ {"lat":35.43165,"lng":133.336166}, {"lat":35.433869,"lng":133.336341},{"lat": ,"lng": }], "color":"blue"}</v>
      </c>
      <c r="AO213" s="266" t="s">
        <v>689</v>
      </c>
      <c r="AP213" s="56">
        <f t="shared" ca="1" si="9"/>
        <v>35.431649999999998</v>
      </c>
      <c r="AQ213" s="40" t="s">
        <v>684</v>
      </c>
      <c r="AR213" s="56">
        <f t="shared" ca="1" si="10"/>
        <v>133.33616599999999</v>
      </c>
      <c r="AS213" s="40" t="s">
        <v>686</v>
      </c>
      <c r="AT213" s="56">
        <f t="shared" ca="1" si="11"/>
        <v>35.433869000000001</v>
      </c>
      <c r="AU213" s="40" t="s">
        <v>684</v>
      </c>
      <c r="AV213" s="56">
        <f t="shared" ca="1" si="12"/>
        <v>133.336341</v>
      </c>
      <c r="AW213" s="40" t="s">
        <v>690</v>
      </c>
      <c r="AX213" s="40" t="str">
        <f t="shared" ca="1" si="13"/>
        <v>blue</v>
      </c>
      <c r="AY213" s="40" t="s">
        <v>688</v>
      </c>
      <c r="AZ213" s="40" t="str">
        <f t="shared" ca="1" si="14"/>
        <v>,{"type":"polyline","latLngs":[{"lat":35.43165,"lng":133.336166},{"lat":35.433869,"lng":133.336341}],"color":"blue"}</v>
      </c>
      <c r="BA213" s="40" t="s">
        <v>691</v>
      </c>
      <c r="BB213" s="56">
        <f t="shared" ca="1" si="15"/>
        <v>35.431649999999998</v>
      </c>
      <c r="BC213" s="40" t="s">
        <v>684</v>
      </c>
      <c r="BD213" s="56">
        <f t="shared" ca="1" si="16"/>
        <v>133.33616599999999</v>
      </c>
      <c r="BE213" s="40" t="s">
        <v>692</v>
      </c>
      <c r="BF213" s="40" t="str">
        <f t="shared" ca="1" si="17"/>
        <v>blue</v>
      </c>
      <c r="BG213" s="40" t="s">
        <v>688</v>
      </c>
      <c r="BH213" s="40" t="str">
        <f t="shared" ca="1" si="18"/>
        <v>,{"type":"marker","latLng":{"lat":35.43165,"lng":133.336166},"color":"blue"}</v>
      </c>
      <c r="BI213" s="40" t="s">
        <v>693</v>
      </c>
      <c r="BJ213" s="40" t="s">
        <v>694</v>
      </c>
      <c r="BK213" s="267" t="str">
        <f t="shared" ca="1" si="19"/>
        <v>,{"type":"polyline","latLngs":[{"lat":35.43165,"lng":133.336166},{"lat":35.433869,"lng":133.336341}],"color":"blue"}</v>
      </c>
      <c r="BL213" s="40"/>
      <c r="BM213" s="40"/>
    </row>
    <row r="214" spans="3:65" ht="17.5">
      <c r="G214" s="261"/>
      <c r="H214" s="262" t="s">
        <v>672</v>
      </c>
      <c r="I214" s="93" t="str">
        <f ca="1">IFERROR(__xludf.DUMMYFUNCTION("""COMPUTED_VALUE"""),"Agent08")</f>
        <v>Agent08</v>
      </c>
      <c r="J214" s="93" t="str">
        <f ca="1">IFERROR(__xludf.DUMMYFUNCTION("""COMPUTED_VALUE"""),"P31")</f>
        <v>P31</v>
      </c>
      <c r="K214" s="93" t="str">
        <f ca="1">IFERROR(__xludf.DUMMYFUNCTION("""COMPUTED_VALUE"""),"P49")</f>
        <v>P49</v>
      </c>
      <c r="L214" s="242" t="s">
        <v>681</v>
      </c>
      <c r="M214" s="263" t="str">
        <f t="shared" ca="1" si="0"/>
        <v>blue</v>
      </c>
      <c r="N214" s="264" t="str">
        <f ca="1">IFERROR(__xludf.DUMMYFUNCTION("FILTER(C:E,B:B=J214)"),"歯科医院のマスコット")</f>
        <v>歯科医院のマスコット</v>
      </c>
      <c r="O214" s="265">
        <f ca="1">IFERROR(__xludf.DUMMYFUNCTION("""COMPUTED_VALUE"""),35.43165)</f>
        <v>35.431649999999998</v>
      </c>
      <c r="P214" s="265">
        <f ca="1">IFERROR(__xludf.DUMMYFUNCTION("""COMPUTED_VALUE"""),133.336166)</f>
        <v>133.33616599999999</v>
      </c>
      <c r="Q214" s="264" t="str">
        <f ca="1">IFERROR(__xludf.DUMMYFUNCTION("FILTER(C:E,B:B=K214)"),"天理教米府分教会")</f>
        <v>天理教米府分教会</v>
      </c>
      <c r="R214" s="265">
        <f ca="1">IFERROR(__xludf.DUMMYFUNCTION("""COMPUTED_VALUE"""),35.434015)</f>
        <v>35.434015000000002</v>
      </c>
      <c r="S214" s="265">
        <f ca="1">IFERROR(__xludf.DUMMYFUNCTION("""COMPUTED_VALUE"""),133.335263)</f>
        <v>133.335263</v>
      </c>
      <c r="T214" s="264" t="str">
        <f ca="1">IFERROR(__xludf.DUMMYFUNCTION("FILTER(C:E,B:B=L214)")," ")</f>
        <v xml:space="preserve"> </v>
      </c>
      <c r="U214" s="40" t="str">
        <f ca="1">IFERROR(__xludf.DUMMYFUNCTION("""COMPUTED_VALUE""")," ")</f>
        <v xml:space="preserve"> </v>
      </c>
      <c r="V214" s="40" t="str">
        <f ca="1">IFERROR(__xludf.DUMMYFUNCTION("""COMPUTED_VALUE""")," ")</f>
        <v xml:space="preserve"> </v>
      </c>
      <c r="W214" s="40" t="str">
        <f t="shared" ca="1" si="21"/>
        <v>,</v>
      </c>
      <c r="X214" s="40" t="s">
        <v>682</v>
      </c>
      <c r="Y214" s="40" t="s">
        <v>683</v>
      </c>
      <c r="Z214" s="264">
        <f t="shared" ca="1" si="1"/>
        <v>35.431649999999998</v>
      </c>
      <c r="AA214" s="40" t="s">
        <v>684</v>
      </c>
      <c r="AB214" s="264">
        <f t="shared" ca="1" si="2"/>
        <v>133.33616599999999</v>
      </c>
      <c r="AC214" s="40" t="s">
        <v>685</v>
      </c>
      <c r="AD214" s="264">
        <f t="shared" ca="1" si="3"/>
        <v>35.434015000000002</v>
      </c>
      <c r="AE214" s="40" t="s">
        <v>684</v>
      </c>
      <c r="AF214" s="264">
        <f t="shared" ca="1" si="4"/>
        <v>133.335263</v>
      </c>
      <c r="AG214" s="40" t="s">
        <v>686</v>
      </c>
      <c r="AH214" s="264" t="str">
        <f t="shared" ca="1" si="5"/>
        <v xml:space="preserve"> </v>
      </c>
      <c r="AI214" s="40" t="s">
        <v>684</v>
      </c>
      <c r="AJ214" s="264" t="str">
        <f t="shared" ca="1" si="6"/>
        <v xml:space="preserve"> </v>
      </c>
      <c r="AK214" s="40" t="s">
        <v>687</v>
      </c>
      <c r="AL214" s="264" t="str">
        <f t="shared" ca="1" si="7"/>
        <v>blue</v>
      </c>
      <c r="AM214" s="40" t="s">
        <v>688</v>
      </c>
      <c r="AN214" s="40" t="str">
        <f t="shared" ca="1" si="8"/>
        <v>,{"type":"polygon","latLngs":[ {"lat":35.43165,"lng":133.336166}, {"lat":35.434015,"lng":133.335263},{"lat": ,"lng": }], "color":"blue"}</v>
      </c>
      <c r="AO214" s="266" t="s">
        <v>689</v>
      </c>
      <c r="AP214" s="56">
        <f t="shared" ca="1" si="9"/>
        <v>35.431649999999998</v>
      </c>
      <c r="AQ214" s="40" t="s">
        <v>684</v>
      </c>
      <c r="AR214" s="56">
        <f t="shared" ca="1" si="10"/>
        <v>133.33616599999999</v>
      </c>
      <c r="AS214" s="40" t="s">
        <v>686</v>
      </c>
      <c r="AT214" s="56">
        <f t="shared" ca="1" si="11"/>
        <v>35.434015000000002</v>
      </c>
      <c r="AU214" s="40" t="s">
        <v>684</v>
      </c>
      <c r="AV214" s="56">
        <f t="shared" ca="1" si="12"/>
        <v>133.335263</v>
      </c>
      <c r="AW214" s="40" t="s">
        <v>690</v>
      </c>
      <c r="AX214" s="40" t="str">
        <f t="shared" ca="1" si="13"/>
        <v>blue</v>
      </c>
      <c r="AY214" s="40" t="s">
        <v>688</v>
      </c>
      <c r="AZ214" s="40" t="str">
        <f t="shared" ca="1" si="14"/>
        <v>,{"type":"polyline","latLngs":[{"lat":35.43165,"lng":133.336166},{"lat":35.434015,"lng":133.335263}],"color":"blue"}</v>
      </c>
      <c r="BA214" s="40" t="s">
        <v>691</v>
      </c>
      <c r="BB214" s="56">
        <f t="shared" ca="1" si="15"/>
        <v>35.431649999999998</v>
      </c>
      <c r="BC214" s="40" t="s">
        <v>684</v>
      </c>
      <c r="BD214" s="56">
        <f t="shared" ca="1" si="16"/>
        <v>133.33616599999999</v>
      </c>
      <c r="BE214" s="40" t="s">
        <v>692</v>
      </c>
      <c r="BF214" s="40" t="str">
        <f t="shared" ca="1" si="17"/>
        <v>blue</v>
      </c>
      <c r="BG214" s="40" t="s">
        <v>688</v>
      </c>
      <c r="BH214" s="40" t="str">
        <f t="shared" ca="1" si="18"/>
        <v>,{"type":"marker","latLng":{"lat":35.43165,"lng":133.336166},"color":"blue"}</v>
      </c>
      <c r="BI214" s="40" t="s">
        <v>693</v>
      </c>
      <c r="BJ214" s="40" t="s">
        <v>694</v>
      </c>
      <c r="BK214" s="267" t="str">
        <f t="shared" ca="1" si="19"/>
        <v>,{"type":"polyline","latLngs":[{"lat":35.43165,"lng":133.336166},{"lat":35.434015,"lng":133.335263}],"color":"blue"}</v>
      </c>
      <c r="BL214" s="40"/>
      <c r="BM214" s="40"/>
    </row>
    <row r="215" spans="3:65" ht="17.5">
      <c r="G215" s="261"/>
      <c r="H215" s="262" t="s">
        <v>672</v>
      </c>
      <c r="I215" s="93" t="str">
        <f ca="1">IFERROR(__xludf.DUMMYFUNCTION("""COMPUTED_VALUE"""),"Agent08")</f>
        <v>Agent08</v>
      </c>
      <c r="J215" s="93" t="str">
        <f ca="1">IFERROR(__xludf.DUMMYFUNCTION("""COMPUTED_VALUE"""),"P31")</f>
        <v>P31</v>
      </c>
      <c r="K215" s="93" t="str">
        <f ca="1">IFERROR(__xludf.DUMMYFUNCTION("""COMPUTED_VALUE"""),"P38")</f>
        <v>P38</v>
      </c>
      <c r="L215" s="242" t="s">
        <v>681</v>
      </c>
      <c r="M215" s="263" t="str">
        <f t="shared" ca="1" si="0"/>
        <v>blue</v>
      </c>
      <c r="N215" s="264" t="str">
        <f ca="1">IFERROR(__xludf.DUMMYFUNCTION("FILTER(C:E,B:B=J215)"),"歯科医院のマスコット")</f>
        <v>歯科医院のマスコット</v>
      </c>
      <c r="O215" s="265">
        <f ca="1">IFERROR(__xludf.DUMMYFUNCTION("""COMPUTED_VALUE"""),35.43165)</f>
        <v>35.431649999999998</v>
      </c>
      <c r="P215" s="265">
        <f ca="1">IFERROR(__xludf.DUMMYFUNCTION("""COMPUTED_VALUE"""),133.336166)</f>
        <v>133.33616599999999</v>
      </c>
      <c r="Q215" s="264" t="str">
        <f ca="1">IFERROR(__xludf.DUMMYFUNCTION("FILTER(C:E,B:B=K215)"),"米子市中央隣保館")</f>
        <v>米子市中央隣保館</v>
      </c>
      <c r="R215" s="265">
        <f ca="1">IFERROR(__xludf.DUMMYFUNCTION("""COMPUTED_VALUE"""),35.432593)</f>
        <v>35.432592999999997</v>
      </c>
      <c r="S215" s="265">
        <f ca="1">IFERROR(__xludf.DUMMYFUNCTION("""COMPUTED_VALUE"""),133.337234)</f>
        <v>133.337234</v>
      </c>
      <c r="T215" s="264" t="str">
        <f ca="1">IFERROR(__xludf.DUMMYFUNCTION("FILTER(C:E,B:B=L215)")," ")</f>
        <v xml:space="preserve"> </v>
      </c>
      <c r="U215" s="40" t="str">
        <f ca="1">IFERROR(__xludf.DUMMYFUNCTION("""COMPUTED_VALUE""")," ")</f>
        <v xml:space="preserve"> </v>
      </c>
      <c r="V215" s="40" t="str">
        <f ca="1">IFERROR(__xludf.DUMMYFUNCTION("""COMPUTED_VALUE""")," ")</f>
        <v xml:space="preserve"> </v>
      </c>
      <c r="W215" s="40" t="str">
        <f t="shared" ca="1" si="21"/>
        <v>,</v>
      </c>
      <c r="X215" s="40" t="s">
        <v>682</v>
      </c>
      <c r="Y215" s="40" t="s">
        <v>683</v>
      </c>
      <c r="Z215" s="264">
        <f t="shared" ca="1" si="1"/>
        <v>35.431649999999998</v>
      </c>
      <c r="AA215" s="40" t="s">
        <v>684</v>
      </c>
      <c r="AB215" s="264">
        <f t="shared" ca="1" si="2"/>
        <v>133.33616599999999</v>
      </c>
      <c r="AC215" s="40" t="s">
        <v>685</v>
      </c>
      <c r="AD215" s="264">
        <f t="shared" ca="1" si="3"/>
        <v>35.432592999999997</v>
      </c>
      <c r="AE215" s="40" t="s">
        <v>684</v>
      </c>
      <c r="AF215" s="264">
        <f t="shared" ca="1" si="4"/>
        <v>133.337234</v>
      </c>
      <c r="AG215" s="40" t="s">
        <v>686</v>
      </c>
      <c r="AH215" s="264" t="str">
        <f t="shared" ca="1" si="5"/>
        <v xml:space="preserve"> </v>
      </c>
      <c r="AI215" s="40" t="s">
        <v>684</v>
      </c>
      <c r="AJ215" s="264" t="str">
        <f t="shared" ca="1" si="6"/>
        <v xml:space="preserve"> </v>
      </c>
      <c r="AK215" s="40" t="s">
        <v>687</v>
      </c>
      <c r="AL215" s="264" t="str">
        <f t="shared" ca="1" si="7"/>
        <v>blue</v>
      </c>
      <c r="AM215" s="40" t="s">
        <v>688</v>
      </c>
      <c r="AN215" s="40" t="str">
        <f t="shared" ca="1" si="8"/>
        <v>,{"type":"polygon","latLngs":[ {"lat":35.43165,"lng":133.336166}, {"lat":35.432593,"lng":133.337234},{"lat": ,"lng": }], "color":"blue"}</v>
      </c>
      <c r="AO215" s="266" t="s">
        <v>689</v>
      </c>
      <c r="AP215" s="56">
        <f t="shared" ca="1" si="9"/>
        <v>35.431649999999998</v>
      </c>
      <c r="AQ215" s="40" t="s">
        <v>684</v>
      </c>
      <c r="AR215" s="56">
        <f t="shared" ca="1" si="10"/>
        <v>133.33616599999999</v>
      </c>
      <c r="AS215" s="40" t="s">
        <v>686</v>
      </c>
      <c r="AT215" s="56">
        <f t="shared" ca="1" si="11"/>
        <v>35.432592999999997</v>
      </c>
      <c r="AU215" s="40" t="s">
        <v>684</v>
      </c>
      <c r="AV215" s="56">
        <f t="shared" ca="1" si="12"/>
        <v>133.337234</v>
      </c>
      <c r="AW215" s="40" t="s">
        <v>690</v>
      </c>
      <c r="AX215" s="40" t="str">
        <f t="shared" ca="1" si="13"/>
        <v>blue</v>
      </c>
      <c r="AY215" s="40" t="s">
        <v>688</v>
      </c>
      <c r="AZ215" s="40" t="str">
        <f t="shared" ca="1" si="14"/>
        <v>,{"type":"polyline","latLngs":[{"lat":35.43165,"lng":133.336166},{"lat":35.432593,"lng":133.337234}],"color":"blue"}</v>
      </c>
      <c r="BA215" s="40" t="s">
        <v>691</v>
      </c>
      <c r="BB215" s="56">
        <f t="shared" ca="1" si="15"/>
        <v>35.431649999999998</v>
      </c>
      <c r="BC215" s="40" t="s">
        <v>684</v>
      </c>
      <c r="BD215" s="56">
        <f t="shared" ca="1" si="16"/>
        <v>133.33616599999999</v>
      </c>
      <c r="BE215" s="40" t="s">
        <v>692</v>
      </c>
      <c r="BF215" s="40" t="str">
        <f t="shared" ca="1" si="17"/>
        <v>blue</v>
      </c>
      <c r="BG215" s="40" t="s">
        <v>688</v>
      </c>
      <c r="BH215" s="40" t="str">
        <f t="shared" ca="1" si="18"/>
        <v>,{"type":"marker","latLng":{"lat":35.43165,"lng":133.336166},"color":"blue"}</v>
      </c>
      <c r="BI215" s="40" t="s">
        <v>693</v>
      </c>
      <c r="BJ215" s="40" t="s">
        <v>694</v>
      </c>
      <c r="BK215" s="267" t="str">
        <f t="shared" ca="1" si="19"/>
        <v>,{"type":"polyline","latLngs":[{"lat":35.43165,"lng":133.336166},{"lat":35.432593,"lng":133.337234}],"color":"blue"}</v>
      </c>
      <c r="BL215" s="40"/>
      <c r="BM215" s="40"/>
    </row>
    <row r="216" spans="3:65" ht="17.5">
      <c r="G216" s="261"/>
      <c r="H216" s="262" t="s">
        <v>672</v>
      </c>
      <c r="I216" s="93" t="str">
        <f ca="1">IFERROR(__xludf.DUMMYFUNCTION("""COMPUTED_VALUE"""),"Agent08")</f>
        <v>Agent08</v>
      </c>
      <c r="J216" s="93" t="str">
        <f ca="1">IFERROR(__xludf.DUMMYFUNCTION("""COMPUTED_VALUE"""),"P32")</f>
        <v>P32</v>
      </c>
      <c r="K216" s="93" t="str">
        <f ca="1">IFERROR(__xludf.DUMMYFUNCTION("""COMPUTED_VALUE"""),"P31")</f>
        <v>P31</v>
      </c>
      <c r="L216" s="242" t="s">
        <v>681</v>
      </c>
      <c r="M216" s="263" t="str">
        <f t="shared" ca="1" si="0"/>
        <v>blue</v>
      </c>
      <c r="N216" s="264" t="str">
        <f ca="1">IFERROR(__xludf.DUMMYFUNCTION("FILTER(C:E,B:B=J216)"),"富士見2号公園")</f>
        <v>富士見2号公園</v>
      </c>
      <c r="O216" s="265">
        <f ca="1">IFERROR(__xludf.DUMMYFUNCTION("""COMPUTED_VALUE"""),35.431738)</f>
        <v>35.431738000000003</v>
      </c>
      <c r="P216" s="265">
        <f ca="1">IFERROR(__xludf.DUMMYFUNCTION("""COMPUTED_VALUE"""),133.334961)</f>
        <v>133.33496099999999</v>
      </c>
      <c r="Q216" s="264" t="str">
        <f ca="1">IFERROR(__xludf.DUMMYFUNCTION("FILTER(C:E,B:B=K216)"),"歯科医院のマスコット")</f>
        <v>歯科医院のマスコット</v>
      </c>
      <c r="R216" s="265">
        <f ca="1">IFERROR(__xludf.DUMMYFUNCTION("""COMPUTED_VALUE"""),35.43165)</f>
        <v>35.431649999999998</v>
      </c>
      <c r="S216" s="265">
        <f ca="1">IFERROR(__xludf.DUMMYFUNCTION("""COMPUTED_VALUE"""),133.336166)</f>
        <v>133.33616599999999</v>
      </c>
      <c r="T216" s="264" t="str">
        <f ca="1">IFERROR(__xludf.DUMMYFUNCTION("FILTER(C:E,B:B=L216)")," ")</f>
        <v xml:space="preserve"> </v>
      </c>
      <c r="U216" s="40" t="str">
        <f ca="1">IFERROR(__xludf.DUMMYFUNCTION("""COMPUTED_VALUE""")," ")</f>
        <v xml:space="preserve"> </v>
      </c>
      <c r="V216" s="40" t="str">
        <f ca="1">IFERROR(__xludf.DUMMYFUNCTION("""COMPUTED_VALUE""")," ")</f>
        <v xml:space="preserve"> </v>
      </c>
      <c r="W216" s="40" t="str">
        <f t="shared" ca="1" si="21"/>
        <v>,</v>
      </c>
      <c r="X216" s="40" t="s">
        <v>682</v>
      </c>
      <c r="Y216" s="40" t="s">
        <v>683</v>
      </c>
      <c r="Z216" s="264">
        <f t="shared" ca="1" si="1"/>
        <v>35.431738000000003</v>
      </c>
      <c r="AA216" s="40" t="s">
        <v>684</v>
      </c>
      <c r="AB216" s="264">
        <f t="shared" ca="1" si="2"/>
        <v>133.33496099999999</v>
      </c>
      <c r="AC216" s="40" t="s">
        <v>685</v>
      </c>
      <c r="AD216" s="264">
        <f t="shared" ca="1" si="3"/>
        <v>35.431649999999998</v>
      </c>
      <c r="AE216" s="40" t="s">
        <v>684</v>
      </c>
      <c r="AF216" s="264">
        <f t="shared" ca="1" si="4"/>
        <v>133.33616599999999</v>
      </c>
      <c r="AG216" s="40" t="s">
        <v>686</v>
      </c>
      <c r="AH216" s="264" t="str">
        <f t="shared" ca="1" si="5"/>
        <v xml:space="preserve"> </v>
      </c>
      <c r="AI216" s="40" t="s">
        <v>684</v>
      </c>
      <c r="AJ216" s="264" t="str">
        <f t="shared" ca="1" si="6"/>
        <v xml:space="preserve"> </v>
      </c>
      <c r="AK216" s="40" t="s">
        <v>687</v>
      </c>
      <c r="AL216" s="264" t="str">
        <f t="shared" ca="1" si="7"/>
        <v>blue</v>
      </c>
      <c r="AM216" s="40" t="s">
        <v>688</v>
      </c>
      <c r="AN216" s="40" t="str">
        <f t="shared" ca="1" si="8"/>
        <v>,{"type":"polygon","latLngs":[ {"lat":35.431738,"lng":133.334961}, {"lat":35.43165,"lng":133.336166},{"lat": ,"lng": }], "color":"blue"}</v>
      </c>
      <c r="AO216" s="266" t="s">
        <v>689</v>
      </c>
      <c r="AP216" s="56">
        <f t="shared" ca="1" si="9"/>
        <v>35.431738000000003</v>
      </c>
      <c r="AQ216" s="40" t="s">
        <v>684</v>
      </c>
      <c r="AR216" s="56">
        <f t="shared" ca="1" si="10"/>
        <v>133.33496099999999</v>
      </c>
      <c r="AS216" s="40" t="s">
        <v>686</v>
      </c>
      <c r="AT216" s="56">
        <f t="shared" ca="1" si="11"/>
        <v>35.431649999999998</v>
      </c>
      <c r="AU216" s="40" t="s">
        <v>684</v>
      </c>
      <c r="AV216" s="56">
        <f t="shared" ca="1" si="12"/>
        <v>133.33616599999999</v>
      </c>
      <c r="AW216" s="40" t="s">
        <v>690</v>
      </c>
      <c r="AX216" s="40" t="str">
        <f t="shared" ca="1" si="13"/>
        <v>blue</v>
      </c>
      <c r="AY216" s="40" t="s">
        <v>688</v>
      </c>
      <c r="AZ216" s="40" t="str">
        <f t="shared" ca="1" si="14"/>
        <v>,{"type":"polyline","latLngs":[{"lat":35.431738,"lng":133.334961},{"lat":35.43165,"lng":133.336166}],"color":"blue"}</v>
      </c>
      <c r="BA216" s="40" t="s">
        <v>691</v>
      </c>
      <c r="BB216" s="56">
        <f t="shared" ca="1" si="15"/>
        <v>35.431738000000003</v>
      </c>
      <c r="BC216" s="40" t="s">
        <v>684</v>
      </c>
      <c r="BD216" s="56">
        <f t="shared" ca="1" si="16"/>
        <v>133.33496099999999</v>
      </c>
      <c r="BE216" s="40" t="s">
        <v>692</v>
      </c>
      <c r="BF216" s="40" t="str">
        <f t="shared" ca="1" si="17"/>
        <v>blue</v>
      </c>
      <c r="BG216" s="40" t="s">
        <v>688</v>
      </c>
      <c r="BH216" s="40" t="str">
        <f t="shared" ca="1" si="18"/>
        <v>,{"type":"marker","latLng":{"lat":35.431738,"lng":133.334961},"color":"blue"}</v>
      </c>
      <c r="BI216" s="40" t="s">
        <v>693</v>
      </c>
      <c r="BJ216" s="40" t="s">
        <v>694</v>
      </c>
      <c r="BK216" s="267" t="str">
        <f t="shared" ca="1" si="19"/>
        <v>,{"type":"polyline","latLngs":[{"lat":35.431738,"lng":133.334961},{"lat":35.43165,"lng":133.336166}],"color":"blue"}</v>
      </c>
      <c r="BL216" s="40"/>
      <c r="BM216" s="40"/>
    </row>
    <row r="217" spans="3:65" ht="17.5">
      <c r="C217" s="279">
        <f>'2.ポータル'!B210</f>
        <v>0</v>
      </c>
      <c r="D217" s="279">
        <f>'2.ポータル'!C207</f>
        <v>0</v>
      </c>
      <c r="E217" s="279">
        <f>'2.ポータル'!D207</f>
        <v>0</v>
      </c>
      <c r="G217" s="261"/>
      <c r="H217" s="262" t="s">
        <v>672</v>
      </c>
      <c r="I217" s="93" t="str">
        <f ca="1">IFERROR(__xludf.DUMMYFUNCTION("""COMPUTED_VALUE"""),"Agent08")</f>
        <v>Agent08</v>
      </c>
      <c r="J217" s="93" t="str">
        <f ca="1">IFERROR(__xludf.DUMMYFUNCTION("""COMPUTED_VALUE"""),"P32")</f>
        <v>P32</v>
      </c>
      <c r="K217" s="93" t="str">
        <f ca="1">IFERROR(__xludf.DUMMYFUNCTION("""COMPUTED_VALUE"""),"P49")</f>
        <v>P49</v>
      </c>
      <c r="L217" s="242" t="s">
        <v>681</v>
      </c>
      <c r="M217" s="263" t="str">
        <f t="shared" ca="1" si="0"/>
        <v>blue</v>
      </c>
      <c r="N217" s="264" t="str">
        <f ca="1">IFERROR(__xludf.DUMMYFUNCTION("FILTER(C:E,B:B=J217)"),"富士見2号公園")</f>
        <v>富士見2号公園</v>
      </c>
      <c r="O217" s="265">
        <f ca="1">IFERROR(__xludf.DUMMYFUNCTION("""COMPUTED_VALUE"""),35.431738)</f>
        <v>35.431738000000003</v>
      </c>
      <c r="P217" s="265">
        <f ca="1">IFERROR(__xludf.DUMMYFUNCTION("""COMPUTED_VALUE"""),133.334961)</f>
        <v>133.33496099999999</v>
      </c>
      <c r="Q217" s="264" t="str">
        <f ca="1">IFERROR(__xludf.DUMMYFUNCTION("FILTER(C:E,B:B=K217)"),"天理教米府分教会")</f>
        <v>天理教米府分教会</v>
      </c>
      <c r="R217" s="265">
        <f ca="1">IFERROR(__xludf.DUMMYFUNCTION("""COMPUTED_VALUE"""),35.434015)</f>
        <v>35.434015000000002</v>
      </c>
      <c r="S217" s="265">
        <f ca="1">IFERROR(__xludf.DUMMYFUNCTION("""COMPUTED_VALUE"""),133.335263)</f>
        <v>133.335263</v>
      </c>
      <c r="T217" s="264" t="str">
        <f ca="1">IFERROR(__xludf.DUMMYFUNCTION("FILTER(C:E,B:B=L217)")," ")</f>
        <v xml:space="preserve"> </v>
      </c>
      <c r="U217" s="40" t="str">
        <f ca="1">IFERROR(__xludf.DUMMYFUNCTION("""COMPUTED_VALUE""")," ")</f>
        <v xml:space="preserve"> </v>
      </c>
      <c r="V217" s="40" t="str">
        <f ca="1">IFERROR(__xludf.DUMMYFUNCTION("""COMPUTED_VALUE""")," ")</f>
        <v xml:space="preserve"> </v>
      </c>
      <c r="W217" s="40" t="str">
        <f t="shared" ca="1" si="21"/>
        <v>,</v>
      </c>
      <c r="X217" s="40" t="s">
        <v>682</v>
      </c>
      <c r="Y217" s="40" t="s">
        <v>683</v>
      </c>
      <c r="Z217" s="264">
        <f t="shared" ca="1" si="1"/>
        <v>35.431738000000003</v>
      </c>
      <c r="AA217" s="40" t="s">
        <v>684</v>
      </c>
      <c r="AB217" s="264">
        <f t="shared" ca="1" si="2"/>
        <v>133.33496099999999</v>
      </c>
      <c r="AC217" s="40" t="s">
        <v>685</v>
      </c>
      <c r="AD217" s="264">
        <f t="shared" ca="1" si="3"/>
        <v>35.434015000000002</v>
      </c>
      <c r="AE217" s="40" t="s">
        <v>684</v>
      </c>
      <c r="AF217" s="264">
        <f t="shared" ca="1" si="4"/>
        <v>133.335263</v>
      </c>
      <c r="AG217" s="40" t="s">
        <v>686</v>
      </c>
      <c r="AH217" s="264" t="str">
        <f t="shared" ca="1" si="5"/>
        <v xml:space="preserve"> </v>
      </c>
      <c r="AI217" s="40" t="s">
        <v>684</v>
      </c>
      <c r="AJ217" s="264" t="str">
        <f t="shared" ca="1" si="6"/>
        <v xml:space="preserve"> </v>
      </c>
      <c r="AK217" s="40" t="s">
        <v>687</v>
      </c>
      <c r="AL217" s="264" t="str">
        <f t="shared" ca="1" si="7"/>
        <v>blue</v>
      </c>
      <c r="AM217" s="40" t="s">
        <v>688</v>
      </c>
      <c r="AN217" s="40" t="str">
        <f t="shared" ca="1" si="8"/>
        <v>,{"type":"polygon","latLngs":[ {"lat":35.431738,"lng":133.334961}, {"lat":35.434015,"lng":133.335263},{"lat": ,"lng": }], "color":"blue"}</v>
      </c>
      <c r="AO217" s="266" t="s">
        <v>689</v>
      </c>
      <c r="AP217" s="56">
        <f t="shared" ca="1" si="9"/>
        <v>35.431738000000003</v>
      </c>
      <c r="AQ217" s="40" t="s">
        <v>684</v>
      </c>
      <c r="AR217" s="56">
        <f t="shared" ca="1" si="10"/>
        <v>133.33496099999999</v>
      </c>
      <c r="AS217" s="40" t="s">
        <v>686</v>
      </c>
      <c r="AT217" s="56">
        <f t="shared" ca="1" si="11"/>
        <v>35.434015000000002</v>
      </c>
      <c r="AU217" s="40" t="s">
        <v>684</v>
      </c>
      <c r="AV217" s="56">
        <f t="shared" ca="1" si="12"/>
        <v>133.335263</v>
      </c>
      <c r="AW217" s="40" t="s">
        <v>690</v>
      </c>
      <c r="AX217" s="40" t="str">
        <f t="shared" ca="1" si="13"/>
        <v>blue</v>
      </c>
      <c r="AY217" s="40" t="s">
        <v>688</v>
      </c>
      <c r="AZ217" s="40" t="str">
        <f t="shared" ca="1" si="14"/>
        <v>,{"type":"polyline","latLngs":[{"lat":35.431738,"lng":133.334961},{"lat":35.434015,"lng":133.335263}],"color":"blue"}</v>
      </c>
      <c r="BA217" s="40" t="s">
        <v>691</v>
      </c>
      <c r="BB217" s="56">
        <f t="shared" ca="1" si="15"/>
        <v>35.431738000000003</v>
      </c>
      <c r="BC217" s="40" t="s">
        <v>684</v>
      </c>
      <c r="BD217" s="56">
        <f t="shared" ca="1" si="16"/>
        <v>133.33496099999999</v>
      </c>
      <c r="BE217" s="40" t="s">
        <v>692</v>
      </c>
      <c r="BF217" s="40" t="str">
        <f t="shared" ca="1" si="17"/>
        <v>blue</v>
      </c>
      <c r="BG217" s="40" t="s">
        <v>688</v>
      </c>
      <c r="BH217" s="40" t="str">
        <f t="shared" ca="1" si="18"/>
        <v>,{"type":"marker","latLng":{"lat":35.431738,"lng":133.334961},"color":"blue"}</v>
      </c>
      <c r="BI217" s="40" t="s">
        <v>693</v>
      </c>
      <c r="BJ217" s="40" t="s">
        <v>694</v>
      </c>
      <c r="BK217" s="267" t="str">
        <f t="shared" ca="1" si="19"/>
        <v>,{"type":"polyline","latLngs":[{"lat":35.431738,"lng":133.334961},{"lat":35.434015,"lng":133.335263}],"color":"blue"}</v>
      </c>
      <c r="BL217" s="40"/>
      <c r="BM217" s="40"/>
    </row>
    <row r="218" spans="3:65" ht="17.5">
      <c r="C218" s="279">
        <f>'2.ポータル'!B208</f>
        <v>0</v>
      </c>
      <c r="D218" s="279">
        <f>'2.ポータル'!C208</f>
        <v>0</v>
      </c>
      <c r="E218" s="279">
        <f>'2.ポータル'!D208</f>
        <v>0</v>
      </c>
      <c r="G218" s="261"/>
      <c r="H218" s="262" t="s">
        <v>672</v>
      </c>
      <c r="I218" s="93" t="str">
        <f ca="1">IFERROR(__xludf.DUMMYFUNCTION("""COMPUTED_VALUE"""),"Agent08")</f>
        <v>Agent08</v>
      </c>
      <c r="J218" s="93" t="str">
        <f ca="1">IFERROR(__xludf.DUMMYFUNCTION("""COMPUTED_VALUE"""),"P32")</f>
        <v>P32</v>
      </c>
      <c r="K218" s="93" t="str">
        <f ca="1">IFERROR(__xludf.DUMMYFUNCTION("""COMPUTED_VALUE"""),"P43")</f>
        <v>P43</v>
      </c>
      <c r="L218" s="242" t="s">
        <v>681</v>
      </c>
      <c r="M218" s="263" t="str">
        <f t="shared" ca="1" si="0"/>
        <v>blue</v>
      </c>
      <c r="N218" s="264" t="str">
        <f ca="1">IFERROR(__xludf.DUMMYFUNCTION("FILTER(C:E,B:B=J218)"),"富士見2号公園")</f>
        <v>富士見2号公園</v>
      </c>
      <c r="O218" s="265">
        <f ca="1">IFERROR(__xludf.DUMMYFUNCTION("""COMPUTED_VALUE"""),35.431738)</f>
        <v>35.431738000000003</v>
      </c>
      <c r="P218" s="265">
        <f ca="1">IFERROR(__xludf.DUMMYFUNCTION("""COMPUTED_VALUE"""),133.334961)</f>
        <v>133.33496099999999</v>
      </c>
      <c r="Q218" s="264" t="str">
        <f ca="1">IFERROR(__xludf.DUMMYFUNCTION("FILTER(C:E,B:B=K218)"),"Big Boy 米子富士見町店")</f>
        <v>Big Boy 米子富士見町店</v>
      </c>
      <c r="R218" s="265">
        <f ca="1">IFERROR(__xludf.DUMMYFUNCTION("""COMPUTED_VALUE"""),35.433144)</f>
        <v>35.433143999999999</v>
      </c>
      <c r="S218" s="265">
        <f ca="1">IFERROR(__xludf.DUMMYFUNCTION("""COMPUTED_VALUE"""),133.334244)</f>
        <v>133.33424400000001</v>
      </c>
      <c r="T218" s="264" t="str">
        <f ca="1">IFERROR(__xludf.DUMMYFUNCTION("FILTER(C:E,B:B=L218)")," ")</f>
        <v xml:space="preserve"> </v>
      </c>
      <c r="U218" s="40" t="str">
        <f ca="1">IFERROR(__xludf.DUMMYFUNCTION("""COMPUTED_VALUE""")," ")</f>
        <v xml:space="preserve"> </v>
      </c>
      <c r="V218" s="40" t="str">
        <f ca="1">IFERROR(__xludf.DUMMYFUNCTION("""COMPUTED_VALUE""")," ")</f>
        <v xml:space="preserve"> </v>
      </c>
      <c r="W218" s="40" t="str">
        <f t="shared" ca="1" si="21"/>
        <v>,</v>
      </c>
      <c r="X218" s="40" t="s">
        <v>682</v>
      </c>
      <c r="Y218" s="40" t="s">
        <v>683</v>
      </c>
      <c r="Z218" s="264">
        <f t="shared" ca="1" si="1"/>
        <v>35.431738000000003</v>
      </c>
      <c r="AA218" s="40" t="s">
        <v>684</v>
      </c>
      <c r="AB218" s="264">
        <f t="shared" ca="1" si="2"/>
        <v>133.33496099999999</v>
      </c>
      <c r="AC218" s="40" t="s">
        <v>685</v>
      </c>
      <c r="AD218" s="264">
        <f t="shared" ca="1" si="3"/>
        <v>35.433143999999999</v>
      </c>
      <c r="AE218" s="40" t="s">
        <v>684</v>
      </c>
      <c r="AF218" s="264">
        <f t="shared" ca="1" si="4"/>
        <v>133.33424400000001</v>
      </c>
      <c r="AG218" s="40" t="s">
        <v>686</v>
      </c>
      <c r="AH218" s="264" t="str">
        <f t="shared" ca="1" si="5"/>
        <v xml:space="preserve"> </v>
      </c>
      <c r="AI218" s="40" t="s">
        <v>684</v>
      </c>
      <c r="AJ218" s="264" t="str">
        <f t="shared" ca="1" si="6"/>
        <v xml:space="preserve"> </v>
      </c>
      <c r="AK218" s="40" t="s">
        <v>687</v>
      </c>
      <c r="AL218" s="264" t="str">
        <f t="shared" ca="1" si="7"/>
        <v>blue</v>
      </c>
      <c r="AM218" s="40" t="s">
        <v>688</v>
      </c>
      <c r="AN218" s="40" t="str">
        <f t="shared" ca="1" si="8"/>
        <v>,{"type":"polygon","latLngs":[ {"lat":35.431738,"lng":133.334961}, {"lat":35.433144,"lng":133.334244},{"lat": ,"lng": }], "color":"blue"}</v>
      </c>
      <c r="AO218" s="266" t="s">
        <v>689</v>
      </c>
      <c r="AP218" s="56">
        <f t="shared" ca="1" si="9"/>
        <v>35.431738000000003</v>
      </c>
      <c r="AQ218" s="40" t="s">
        <v>684</v>
      </c>
      <c r="AR218" s="56">
        <f t="shared" ca="1" si="10"/>
        <v>133.33496099999999</v>
      </c>
      <c r="AS218" s="40" t="s">
        <v>686</v>
      </c>
      <c r="AT218" s="56">
        <f t="shared" ca="1" si="11"/>
        <v>35.433143999999999</v>
      </c>
      <c r="AU218" s="40" t="s">
        <v>684</v>
      </c>
      <c r="AV218" s="56">
        <f t="shared" ca="1" si="12"/>
        <v>133.33424400000001</v>
      </c>
      <c r="AW218" s="40" t="s">
        <v>690</v>
      </c>
      <c r="AX218" s="40" t="str">
        <f t="shared" ca="1" si="13"/>
        <v>blue</v>
      </c>
      <c r="AY218" s="40" t="s">
        <v>688</v>
      </c>
      <c r="AZ218" s="40" t="str">
        <f t="shared" ca="1" si="14"/>
        <v>,{"type":"polyline","latLngs":[{"lat":35.431738,"lng":133.334961},{"lat":35.433144,"lng":133.334244}],"color":"blue"}</v>
      </c>
      <c r="BA218" s="40" t="s">
        <v>691</v>
      </c>
      <c r="BB218" s="56">
        <f t="shared" ca="1" si="15"/>
        <v>35.431738000000003</v>
      </c>
      <c r="BC218" s="40" t="s">
        <v>684</v>
      </c>
      <c r="BD218" s="56">
        <f t="shared" ca="1" si="16"/>
        <v>133.33496099999999</v>
      </c>
      <c r="BE218" s="40" t="s">
        <v>692</v>
      </c>
      <c r="BF218" s="40" t="str">
        <f t="shared" ca="1" si="17"/>
        <v>blue</v>
      </c>
      <c r="BG218" s="40" t="s">
        <v>688</v>
      </c>
      <c r="BH218" s="40" t="str">
        <f t="shared" ca="1" si="18"/>
        <v>,{"type":"marker","latLng":{"lat":35.431738,"lng":133.334961},"color":"blue"}</v>
      </c>
      <c r="BI218" s="40" t="s">
        <v>693</v>
      </c>
      <c r="BJ218" s="40" t="s">
        <v>694</v>
      </c>
      <c r="BK218" s="267" t="str">
        <f t="shared" ca="1" si="19"/>
        <v>,{"type":"polyline","latLngs":[{"lat":35.431738,"lng":133.334961},{"lat":35.433144,"lng":133.334244}],"color":"blue"}</v>
      </c>
      <c r="BL218" s="40"/>
      <c r="BM218" s="40"/>
    </row>
    <row r="219" spans="3:65" ht="17.5">
      <c r="C219" s="279">
        <f>'2.ポータル'!B209</f>
        <v>0</v>
      </c>
      <c r="D219" s="279">
        <f>'2.ポータル'!C209</f>
        <v>0</v>
      </c>
      <c r="E219" s="279">
        <f>'2.ポータル'!D209</f>
        <v>0</v>
      </c>
      <c r="G219" s="261"/>
      <c r="H219" s="262" t="s">
        <v>672</v>
      </c>
      <c r="I219" s="93" t="str">
        <f ca="1">IFERROR(__xludf.DUMMYFUNCTION("""COMPUTED_VALUE"""),"Agent08")</f>
        <v>Agent08</v>
      </c>
      <c r="J219" s="93" t="str">
        <f ca="1">IFERROR(__xludf.DUMMYFUNCTION("""COMPUTED_VALUE"""),"P12")</f>
        <v>P12</v>
      </c>
      <c r="K219" s="93" t="str">
        <f ca="1">IFERROR(__xludf.DUMMYFUNCTION("""COMPUTED_VALUE"""),"P34")</f>
        <v>P34</v>
      </c>
      <c r="L219" s="242" t="s">
        <v>681</v>
      </c>
      <c r="M219" s="263" t="str">
        <f t="shared" ca="1" si="0"/>
        <v>blue</v>
      </c>
      <c r="N219" s="264" t="str">
        <f ca="1">IFERROR(__xludf.DUMMYFUNCTION("FILTER(C:E,B:B=J219)"),"鳥取県西部総合事務所")</f>
        <v>鳥取県西部総合事務所</v>
      </c>
      <c r="O219" s="265">
        <f ca="1">IFERROR(__xludf.DUMMYFUNCTION("""COMPUTED_VALUE"""),35.427792)</f>
        <v>35.427791999999997</v>
      </c>
      <c r="P219" s="265">
        <f ca="1">IFERROR(__xludf.DUMMYFUNCTION("""COMPUTED_VALUE"""),133.339157)</f>
        <v>133.339157</v>
      </c>
      <c r="Q219" s="264" t="str">
        <f ca="1">IFERROR(__xludf.DUMMYFUNCTION("FILTER(C:E,B:B=K219)"),"米子 法城寺")</f>
        <v>米子 法城寺</v>
      </c>
      <c r="R219" s="265">
        <f ca="1">IFERROR(__xludf.DUMMYFUNCTION("""COMPUTED_VALUE"""),35.432157)</f>
        <v>35.432156999999997</v>
      </c>
      <c r="S219" s="265">
        <f ca="1">IFERROR(__xludf.DUMMYFUNCTION("""COMPUTED_VALUE"""),133.342227)</f>
        <v>133.34222700000001</v>
      </c>
      <c r="T219" s="264" t="str">
        <f ca="1">IFERROR(__xludf.DUMMYFUNCTION("FILTER(C:E,B:B=L219)")," ")</f>
        <v xml:space="preserve"> </v>
      </c>
      <c r="U219" s="40" t="str">
        <f ca="1">IFERROR(__xludf.DUMMYFUNCTION("""COMPUTED_VALUE""")," ")</f>
        <v xml:space="preserve"> </v>
      </c>
      <c r="V219" s="40" t="str">
        <f ca="1">IFERROR(__xludf.DUMMYFUNCTION("""COMPUTED_VALUE""")," ")</f>
        <v xml:space="preserve"> </v>
      </c>
      <c r="W219" s="40" t="str">
        <f t="shared" ca="1" si="21"/>
        <v>,</v>
      </c>
      <c r="X219" s="40" t="s">
        <v>682</v>
      </c>
      <c r="Y219" s="40" t="s">
        <v>683</v>
      </c>
      <c r="Z219" s="264">
        <f t="shared" ca="1" si="1"/>
        <v>35.427791999999997</v>
      </c>
      <c r="AA219" s="40" t="s">
        <v>684</v>
      </c>
      <c r="AB219" s="264">
        <f t="shared" ca="1" si="2"/>
        <v>133.339157</v>
      </c>
      <c r="AC219" s="40" t="s">
        <v>685</v>
      </c>
      <c r="AD219" s="264">
        <f t="shared" ca="1" si="3"/>
        <v>35.432156999999997</v>
      </c>
      <c r="AE219" s="40" t="s">
        <v>684</v>
      </c>
      <c r="AF219" s="264">
        <f t="shared" ca="1" si="4"/>
        <v>133.34222700000001</v>
      </c>
      <c r="AG219" s="40" t="s">
        <v>686</v>
      </c>
      <c r="AH219" s="264" t="str">
        <f t="shared" ca="1" si="5"/>
        <v xml:space="preserve"> </v>
      </c>
      <c r="AI219" s="40" t="s">
        <v>684</v>
      </c>
      <c r="AJ219" s="264" t="str">
        <f t="shared" ca="1" si="6"/>
        <v xml:space="preserve"> </v>
      </c>
      <c r="AK219" s="40" t="s">
        <v>687</v>
      </c>
      <c r="AL219" s="264" t="str">
        <f t="shared" ca="1" si="7"/>
        <v>blue</v>
      </c>
      <c r="AM219" s="40" t="s">
        <v>688</v>
      </c>
      <c r="AN219" s="40" t="str">
        <f t="shared" ca="1" si="8"/>
        <v>,{"type":"polygon","latLngs":[ {"lat":35.427792,"lng":133.339157}, {"lat":35.432157,"lng":133.342227},{"lat": ,"lng": }], "color":"blue"}</v>
      </c>
      <c r="AO219" s="266" t="s">
        <v>689</v>
      </c>
      <c r="AP219" s="56">
        <f t="shared" ca="1" si="9"/>
        <v>35.427791999999997</v>
      </c>
      <c r="AQ219" s="40" t="s">
        <v>684</v>
      </c>
      <c r="AR219" s="56">
        <f t="shared" ca="1" si="10"/>
        <v>133.339157</v>
      </c>
      <c r="AS219" s="40" t="s">
        <v>686</v>
      </c>
      <c r="AT219" s="56">
        <f t="shared" ca="1" si="11"/>
        <v>35.432156999999997</v>
      </c>
      <c r="AU219" s="40" t="s">
        <v>684</v>
      </c>
      <c r="AV219" s="56">
        <f t="shared" ca="1" si="12"/>
        <v>133.34222700000001</v>
      </c>
      <c r="AW219" s="40" t="s">
        <v>690</v>
      </c>
      <c r="AX219" s="40" t="str">
        <f t="shared" ca="1" si="13"/>
        <v>blue</v>
      </c>
      <c r="AY219" s="40" t="s">
        <v>688</v>
      </c>
      <c r="AZ219" s="40" t="str">
        <f t="shared" ca="1" si="14"/>
        <v>,{"type":"polyline","latLngs":[{"lat":35.427792,"lng":133.339157},{"lat":35.432157,"lng":133.342227}],"color":"blue"}</v>
      </c>
      <c r="BA219" s="40" t="s">
        <v>691</v>
      </c>
      <c r="BB219" s="56">
        <f t="shared" ca="1" si="15"/>
        <v>35.427791999999997</v>
      </c>
      <c r="BC219" s="40" t="s">
        <v>684</v>
      </c>
      <c r="BD219" s="56">
        <f t="shared" ca="1" si="16"/>
        <v>133.339157</v>
      </c>
      <c r="BE219" s="40" t="s">
        <v>692</v>
      </c>
      <c r="BF219" s="40" t="str">
        <f t="shared" ca="1" si="17"/>
        <v>blue</v>
      </c>
      <c r="BG219" s="40" t="s">
        <v>688</v>
      </c>
      <c r="BH219" s="40" t="str">
        <f t="shared" ca="1" si="18"/>
        <v>,{"type":"marker","latLng":{"lat":35.427792,"lng":133.339157},"color":"blue"}</v>
      </c>
      <c r="BI219" s="40" t="s">
        <v>693</v>
      </c>
      <c r="BJ219" s="40" t="s">
        <v>694</v>
      </c>
      <c r="BK219" s="267" t="str">
        <f t="shared" ca="1" si="19"/>
        <v>,{"type":"polyline","latLngs":[{"lat":35.427792,"lng":133.339157},{"lat":35.432157,"lng":133.342227}],"color":"blue"}</v>
      </c>
      <c r="BL219" s="40"/>
      <c r="BM219" s="40"/>
    </row>
    <row r="220" spans="3:65" ht="17.5">
      <c r="G220" s="261"/>
      <c r="H220" s="262" t="s">
        <v>672</v>
      </c>
      <c r="I220" s="93" t="str">
        <f ca="1">IFERROR(__xludf.DUMMYFUNCTION("""COMPUTED_VALUE"""),"Agent08")</f>
        <v>Agent08</v>
      </c>
      <c r="J220" s="93" t="str">
        <f ca="1">IFERROR(__xludf.DUMMYFUNCTION("""COMPUTED_VALUE"""),"P12")</f>
        <v>P12</v>
      </c>
      <c r="K220" s="93" t="str">
        <f ca="1">IFERROR(__xludf.DUMMYFUNCTION("""COMPUTED_VALUE"""),"P28")</f>
        <v>P28</v>
      </c>
      <c r="L220" s="242" t="s">
        <v>681</v>
      </c>
      <c r="M220" s="263" t="str">
        <f t="shared" ca="1" si="0"/>
        <v>blue</v>
      </c>
      <c r="N220" s="264" t="str">
        <f ca="1">IFERROR(__xludf.DUMMYFUNCTION("FILTER(C:E,B:B=J220)"),"鳥取県西部総合事務所")</f>
        <v>鳥取県西部総合事務所</v>
      </c>
      <c r="O220" s="265">
        <f ca="1">IFERROR(__xludf.DUMMYFUNCTION("""COMPUTED_VALUE"""),35.427792)</f>
        <v>35.427791999999997</v>
      </c>
      <c r="P220" s="265">
        <f ca="1">IFERROR(__xludf.DUMMYFUNCTION("""COMPUTED_VALUE"""),133.339157)</f>
        <v>133.339157</v>
      </c>
      <c r="Q220" s="264" t="str">
        <f ca="1">IFERROR(__xludf.DUMMYFUNCTION("FILTER(C:E,B:B=K220)"),"荒魂神社")</f>
        <v>荒魂神社</v>
      </c>
      <c r="R220" s="265">
        <f ca="1">IFERROR(__xludf.DUMMYFUNCTION("""COMPUTED_VALUE"""),35.431417)</f>
        <v>35.431417000000003</v>
      </c>
      <c r="S220" s="265">
        <f ca="1">IFERROR(__xludf.DUMMYFUNCTION("""COMPUTED_VALUE"""),133.338208)</f>
        <v>133.33820800000001</v>
      </c>
      <c r="T220" s="264" t="str">
        <f ca="1">IFERROR(__xludf.DUMMYFUNCTION("FILTER(C:E,B:B=L220)")," ")</f>
        <v xml:space="preserve"> </v>
      </c>
      <c r="U220" s="40" t="str">
        <f ca="1">IFERROR(__xludf.DUMMYFUNCTION("""COMPUTED_VALUE""")," ")</f>
        <v xml:space="preserve"> </v>
      </c>
      <c r="V220" s="40" t="str">
        <f ca="1">IFERROR(__xludf.DUMMYFUNCTION("""COMPUTED_VALUE""")," ")</f>
        <v xml:space="preserve"> </v>
      </c>
      <c r="W220" s="40" t="str">
        <f t="shared" ca="1" si="21"/>
        <v>,</v>
      </c>
      <c r="X220" s="40" t="s">
        <v>682</v>
      </c>
      <c r="Y220" s="40" t="s">
        <v>683</v>
      </c>
      <c r="Z220" s="264">
        <f t="shared" ca="1" si="1"/>
        <v>35.427791999999997</v>
      </c>
      <c r="AA220" s="40" t="s">
        <v>684</v>
      </c>
      <c r="AB220" s="264">
        <f t="shared" ca="1" si="2"/>
        <v>133.339157</v>
      </c>
      <c r="AC220" s="40" t="s">
        <v>685</v>
      </c>
      <c r="AD220" s="264">
        <f t="shared" ca="1" si="3"/>
        <v>35.431417000000003</v>
      </c>
      <c r="AE220" s="40" t="s">
        <v>684</v>
      </c>
      <c r="AF220" s="264">
        <f t="shared" ca="1" si="4"/>
        <v>133.33820800000001</v>
      </c>
      <c r="AG220" s="40" t="s">
        <v>686</v>
      </c>
      <c r="AH220" s="264" t="str">
        <f t="shared" ca="1" si="5"/>
        <v xml:space="preserve"> </v>
      </c>
      <c r="AI220" s="40" t="s">
        <v>684</v>
      </c>
      <c r="AJ220" s="264" t="str">
        <f t="shared" ca="1" si="6"/>
        <v xml:space="preserve"> </v>
      </c>
      <c r="AK220" s="40" t="s">
        <v>687</v>
      </c>
      <c r="AL220" s="264" t="str">
        <f t="shared" ca="1" si="7"/>
        <v>blue</v>
      </c>
      <c r="AM220" s="40" t="s">
        <v>688</v>
      </c>
      <c r="AN220" s="40" t="str">
        <f t="shared" ca="1" si="8"/>
        <v>,{"type":"polygon","latLngs":[ {"lat":35.427792,"lng":133.339157}, {"lat":35.431417,"lng":133.338208},{"lat": ,"lng": }], "color":"blue"}</v>
      </c>
      <c r="AO220" s="266" t="s">
        <v>689</v>
      </c>
      <c r="AP220" s="56">
        <f t="shared" ca="1" si="9"/>
        <v>35.427791999999997</v>
      </c>
      <c r="AQ220" s="40" t="s">
        <v>684</v>
      </c>
      <c r="AR220" s="56">
        <f t="shared" ca="1" si="10"/>
        <v>133.339157</v>
      </c>
      <c r="AS220" s="40" t="s">
        <v>686</v>
      </c>
      <c r="AT220" s="56">
        <f t="shared" ca="1" si="11"/>
        <v>35.431417000000003</v>
      </c>
      <c r="AU220" s="40" t="s">
        <v>684</v>
      </c>
      <c r="AV220" s="56">
        <f t="shared" ca="1" si="12"/>
        <v>133.33820800000001</v>
      </c>
      <c r="AW220" s="40" t="s">
        <v>690</v>
      </c>
      <c r="AX220" s="40" t="str">
        <f t="shared" ca="1" si="13"/>
        <v>blue</v>
      </c>
      <c r="AY220" s="40" t="s">
        <v>688</v>
      </c>
      <c r="AZ220" s="40" t="str">
        <f t="shared" ca="1" si="14"/>
        <v>,{"type":"polyline","latLngs":[{"lat":35.427792,"lng":133.339157},{"lat":35.431417,"lng":133.338208}],"color":"blue"}</v>
      </c>
      <c r="BA220" s="40" t="s">
        <v>691</v>
      </c>
      <c r="BB220" s="56">
        <f t="shared" ca="1" si="15"/>
        <v>35.427791999999997</v>
      </c>
      <c r="BC220" s="40" t="s">
        <v>684</v>
      </c>
      <c r="BD220" s="56">
        <f t="shared" ca="1" si="16"/>
        <v>133.339157</v>
      </c>
      <c r="BE220" s="40" t="s">
        <v>692</v>
      </c>
      <c r="BF220" s="40" t="str">
        <f t="shared" ca="1" si="17"/>
        <v>blue</v>
      </c>
      <c r="BG220" s="40" t="s">
        <v>688</v>
      </c>
      <c r="BH220" s="40" t="str">
        <f t="shared" ca="1" si="18"/>
        <v>,{"type":"marker","latLng":{"lat":35.427792,"lng":133.339157},"color":"blue"}</v>
      </c>
      <c r="BI220" s="40" t="s">
        <v>693</v>
      </c>
      <c r="BJ220" s="40" t="s">
        <v>694</v>
      </c>
      <c r="BK220" s="267" t="str">
        <f t="shared" ca="1" si="19"/>
        <v>,{"type":"polyline","latLngs":[{"lat":35.427792,"lng":133.339157},{"lat":35.431417,"lng":133.338208}],"color":"blue"}</v>
      </c>
      <c r="BL220" s="40"/>
      <c r="BM220" s="40"/>
    </row>
    <row r="221" spans="3:65" ht="17.5">
      <c r="G221" s="261"/>
      <c r="H221" s="262" t="s">
        <v>672</v>
      </c>
      <c r="I221" s="93" t="str">
        <f ca="1">IFERROR(__xludf.DUMMYFUNCTION("""COMPUTED_VALUE"""),"Agent08")</f>
        <v>Agent08</v>
      </c>
      <c r="J221" s="93" t="str">
        <f ca="1">IFERROR(__xludf.DUMMYFUNCTION("""COMPUTED_VALUE"""),"P03")</f>
        <v>P03</v>
      </c>
      <c r="K221" s="93" t="str">
        <f ca="1">IFERROR(__xludf.DUMMYFUNCTION("""COMPUTED_VALUE"""),"P12")</f>
        <v>P12</v>
      </c>
      <c r="L221" s="242" t="s">
        <v>681</v>
      </c>
      <c r="M221" s="263" t="str">
        <f t="shared" ca="1" si="0"/>
        <v>blue</v>
      </c>
      <c r="N221" s="264" t="str">
        <f ca="1">IFERROR(__xludf.DUMMYFUNCTION("FILTER(C:E,B:B=J221)"),"日本海情報ビジネス専門学校")</f>
        <v>日本海情報ビジネス専門学校</v>
      </c>
      <c r="O221" s="265">
        <f ca="1">IFERROR(__xludf.DUMMYFUNCTION("""COMPUTED_VALUE"""),35.425722)</f>
        <v>35.425722</v>
      </c>
      <c r="P221" s="265">
        <f ca="1">IFERROR(__xludf.DUMMYFUNCTION("""COMPUTED_VALUE"""),133.33711)</f>
        <v>133.33711</v>
      </c>
      <c r="Q221" s="264" t="str">
        <f ca="1">IFERROR(__xludf.DUMMYFUNCTION("FILTER(C:E,B:B=K221)"),"鳥取県西部総合事務所")</f>
        <v>鳥取県西部総合事務所</v>
      </c>
      <c r="R221" s="265">
        <f ca="1">IFERROR(__xludf.DUMMYFUNCTION("""COMPUTED_VALUE"""),35.427792)</f>
        <v>35.427791999999997</v>
      </c>
      <c r="S221" s="265">
        <f ca="1">IFERROR(__xludf.DUMMYFUNCTION("""COMPUTED_VALUE"""),133.339157)</f>
        <v>133.339157</v>
      </c>
      <c r="T221" s="264" t="str">
        <f ca="1">IFERROR(__xludf.DUMMYFUNCTION("FILTER(C:E,B:B=L221)")," ")</f>
        <v xml:space="preserve"> </v>
      </c>
      <c r="U221" s="40" t="str">
        <f ca="1">IFERROR(__xludf.DUMMYFUNCTION("""COMPUTED_VALUE""")," ")</f>
        <v xml:space="preserve"> </v>
      </c>
      <c r="V221" s="40" t="str">
        <f ca="1">IFERROR(__xludf.DUMMYFUNCTION("""COMPUTED_VALUE""")," ")</f>
        <v xml:space="preserve"> </v>
      </c>
      <c r="W221" s="40" t="str">
        <f t="shared" ca="1" si="21"/>
        <v>,</v>
      </c>
      <c r="X221" s="40" t="s">
        <v>682</v>
      </c>
      <c r="Y221" s="40" t="s">
        <v>683</v>
      </c>
      <c r="Z221" s="264">
        <f t="shared" ca="1" si="1"/>
        <v>35.425722</v>
      </c>
      <c r="AA221" s="40" t="s">
        <v>684</v>
      </c>
      <c r="AB221" s="264">
        <f t="shared" ca="1" si="2"/>
        <v>133.33711</v>
      </c>
      <c r="AC221" s="40" t="s">
        <v>685</v>
      </c>
      <c r="AD221" s="264">
        <f t="shared" ca="1" si="3"/>
        <v>35.427791999999997</v>
      </c>
      <c r="AE221" s="40" t="s">
        <v>684</v>
      </c>
      <c r="AF221" s="264">
        <f t="shared" ca="1" si="4"/>
        <v>133.339157</v>
      </c>
      <c r="AG221" s="40" t="s">
        <v>686</v>
      </c>
      <c r="AH221" s="264" t="str">
        <f t="shared" ca="1" si="5"/>
        <v xml:space="preserve"> </v>
      </c>
      <c r="AI221" s="40" t="s">
        <v>684</v>
      </c>
      <c r="AJ221" s="264" t="str">
        <f t="shared" ca="1" si="6"/>
        <v xml:space="preserve"> </v>
      </c>
      <c r="AK221" s="40" t="s">
        <v>687</v>
      </c>
      <c r="AL221" s="264" t="str">
        <f t="shared" ca="1" si="7"/>
        <v>blue</v>
      </c>
      <c r="AM221" s="40" t="s">
        <v>688</v>
      </c>
      <c r="AN221" s="40" t="str">
        <f t="shared" ca="1" si="8"/>
        <v>,{"type":"polygon","latLngs":[ {"lat":35.425722,"lng":133.33711}, {"lat":35.427792,"lng":133.339157},{"lat": ,"lng": }], "color":"blue"}</v>
      </c>
      <c r="AO221" s="266" t="s">
        <v>689</v>
      </c>
      <c r="AP221" s="56">
        <f t="shared" ca="1" si="9"/>
        <v>35.425722</v>
      </c>
      <c r="AQ221" s="40" t="s">
        <v>684</v>
      </c>
      <c r="AR221" s="56">
        <f t="shared" ca="1" si="10"/>
        <v>133.33711</v>
      </c>
      <c r="AS221" s="40" t="s">
        <v>686</v>
      </c>
      <c r="AT221" s="56">
        <f t="shared" ca="1" si="11"/>
        <v>35.427791999999997</v>
      </c>
      <c r="AU221" s="40" t="s">
        <v>684</v>
      </c>
      <c r="AV221" s="56">
        <f t="shared" ca="1" si="12"/>
        <v>133.339157</v>
      </c>
      <c r="AW221" s="40" t="s">
        <v>690</v>
      </c>
      <c r="AX221" s="40" t="str">
        <f t="shared" ca="1" si="13"/>
        <v>blue</v>
      </c>
      <c r="AY221" s="40" t="s">
        <v>688</v>
      </c>
      <c r="AZ221" s="40" t="str">
        <f t="shared" ca="1" si="14"/>
        <v>,{"type":"polyline","latLngs":[{"lat":35.425722,"lng":133.33711},{"lat":35.427792,"lng":133.339157}],"color":"blue"}</v>
      </c>
      <c r="BA221" s="40" t="s">
        <v>691</v>
      </c>
      <c r="BB221" s="56">
        <f t="shared" ca="1" si="15"/>
        <v>35.425722</v>
      </c>
      <c r="BC221" s="40" t="s">
        <v>684</v>
      </c>
      <c r="BD221" s="56">
        <f t="shared" ca="1" si="16"/>
        <v>133.33711</v>
      </c>
      <c r="BE221" s="40" t="s">
        <v>692</v>
      </c>
      <c r="BF221" s="40" t="str">
        <f t="shared" ca="1" si="17"/>
        <v>blue</v>
      </c>
      <c r="BG221" s="40" t="s">
        <v>688</v>
      </c>
      <c r="BH221" s="40" t="str">
        <f t="shared" ca="1" si="18"/>
        <v>,{"type":"marker","latLng":{"lat":35.425722,"lng":133.33711},"color":"blue"}</v>
      </c>
      <c r="BI221" s="40" t="s">
        <v>693</v>
      </c>
      <c r="BJ221" s="40" t="s">
        <v>694</v>
      </c>
      <c r="BK221" s="267" t="str">
        <f t="shared" ca="1" si="19"/>
        <v>,{"type":"polyline","latLngs":[{"lat":35.425722,"lng":133.33711},{"lat":35.427792,"lng":133.339157}],"color":"blue"}</v>
      </c>
      <c r="BL221" s="40"/>
      <c r="BM221" s="40"/>
    </row>
    <row r="222" spans="3:65" ht="17.5">
      <c r="G222" s="261"/>
      <c r="H222" s="262" t="s">
        <v>672</v>
      </c>
      <c r="I222" s="93" t="str">
        <f ca="1">IFERROR(__xludf.DUMMYFUNCTION("""COMPUTED_VALUE"""),"Agent08")</f>
        <v>Agent08</v>
      </c>
      <c r="J222" s="93" t="str">
        <f ca="1">IFERROR(__xludf.DUMMYFUNCTION("""COMPUTED_VALUE"""),"P03")</f>
        <v>P03</v>
      </c>
      <c r="K222" s="93" t="str">
        <f ca="1">IFERROR(__xludf.DUMMYFUNCTION("""COMPUTED_VALUE"""),"P28")</f>
        <v>P28</v>
      </c>
      <c r="L222" s="242" t="s">
        <v>681</v>
      </c>
      <c r="M222" s="263" t="str">
        <f t="shared" ca="1" si="0"/>
        <v>blue</v>
      </c>
      <c r="N222" s="264" t="str">
        <f ca="1">IFERROR(__xludf.DUMMYFUNCTION("FILTER(C:E,B:B=J222)"),"日本海情報ビジネス専門学校")</f>
        <v>日本海情報ビジネス専門学校</v>
      </c>
      <c r="O222" s="265">
        <f ca="1">IFERROR(__xludf.DUMMYFUNCTION("""COMPUTED_VALUE"""),35.425722)</f>
        <v>35.425722</v>
      </c>
      <c r="P222" s="265">
        <f ca="1">IFERROR(__xludf.DUMMYFUNCTION("""COMPUTED_VALUE"""),133.33711)</f>
        <v>133.33711</v>
      </c>
      <c r="Q222" s="264" t="str">
        <f ca="1">IFERROR(__xludf.DUMMYFUNCTION("FILTER(C:E,B:B=K222)"),"荒魂神社")</f>
        <v>荒魂神社</v>
      </c>
      <c r="R222" s="265">
        <f ca="1">IFERROR(__xludf.DUMMYFUNCTION("""COMPUTED_VALUE"""),35.431417)</f>
        <v>35.431417000000003</v>
      </c>
      <c r="S222" s="265">
        <f ca="1">IFERROR(__xludf.DUMMYFUNCTION("""COMPUTED_VALUE"""),133.338208)</f>
        <v>133.33820800000001</v>
      </c>
      <c r="T222" s="264" t="str">
        <f ca="1">IFERROR(__xludf.DUMMYFUNCTION("FILTER(C:E,B:B=L222)")," ")</f>
        <v xml:space="preserve"> </v>
      </c>
      <c r="U222" s="40" t="str">
        <f ca="1">IFERROR(__xludf.DUMMYFUNCTION("""COMPUTED_VALUE""")," ")</f>
        <v xml:space="preserve"> </v>
      </c>
      <c r="V222" s="40" t="str">
        <f ca="1">IFERROR(__xludf.DUMMYFUNCTION("""COMPUTED_VALUE""")," ")</f>
        <v xml:space="preserve"> </v>
      </c>
      <c r="W222" s="40" t="str">
        <f t="shared" ca="1" si="21"/>
        <v>,</v>
      </c>
      <c r="X222" s="40" t="s">
        <v>682</v>
      </c>
      <c r="Y222" s="40" t="s">
        <v>683</v>
      </c>
      <c r="Z222" s="264">
        <f t="shared" ca="1" si="1"/>
        <v>35.425722</v>
      </c>
      <c r="AA222" s="40" t="s">
        <v>684</v>
      </c>
      <c r="AB222" s="264">
        <f t="shared" ca="1" si="2"/>
        <v>133.33711</v>
      </c>
      <c r="AC222" s="40" t="s">
        <v>685</v>
      </c>
      <c r="AD222" s="264">
        <f t="shared" ca="1" si="3"/>
        <v>35.431417000000003</v>
      </c>
      <c r="AE222" s="40" t="s">
        <v>684</v>
      </c>
      <c r="AF222" s="264">
        <f t="shared" ca="1" si="4"/>
        <v>133.33820800000001</v>
      </c>
      <c r="AG222" s="40" t="s">
        <v>686</v>
      </c>
      <c r="AH222" s="264" t="str">
        <f t="shared" ca="1" si="5"/>
        <v xml:space="preserve"> </v>
      </c>
      <c r="AI222" s="40" t="s">
        <v>684</v>
      </c>
      <c r="AJ222" s="264" t="str">
        <f t="shared" ca="1" si="6"/>
        <v xml:space="preserve"> </v>
      </c>
      <c r="AK222" s="40" t="s">
        <v>687</v>
      </c>
      <c r="AL222" s="264" t="str">
        <f t="shared" ca="1" si="7"/>
        <v>blue</v>
      </c>
      <c r="AM222" s="40" t="s">
        <v>688</v>
      </c>
      <c r="AN222" s="40" t="str">
        <f t="shared" ca="1" si="8"/>
        <v>,{"type":"polygon","latLngs":[ {"lat":35.425722,"lng":133.33711}, {"lat":35.431417,"lng":133.338208},{"lat": ,"lng": }], "color":"blue"}</v>
      </c>
      <c r="AO222" s="266" t="s">
        <v>689</v>
      </c>
      <c r="AP222" s="56">
        <f t="shared" ca="1" si="9"/>
        <v>35.425722</v>
      </c>
      <c r="AQ222" s="40" t="s">
        <v>684</v>
      </c>
      <c r="AR222" s="56">
        <f t="shared" ca="1" si="10"/>
        <v>133.33711</v>
      </c>
      <c r="AS222" s="40" t="s">
        <v>686</v>
      </c>
      <c r="AT222" s="56">
        <f t="shared" ca="1" si="11"/>
        <v>35.431417000000003</v>
      </c>
      <c r="AU222" s="40" t="s">
        <v>684</v>
      </c>
      <c r="AV222" s="56">
        <f t="shared" ca="1" si="12"/>
        <v>133.33820800000001</v>
      </c>
      <c r="AW222" s="40" t="s">
        <v>690</v>
      </c>
      <c r="AX222" s="40" t="str">
        <f t="shared" ca="1" si="13"/>
        <v>blue</v>
      </c>
      <c r="AY222" s="40" t="s">
        <v>688</v>
      </c>
      <c r="AZ222" s="40" t="str">
        <f t="shared" ca="1" si="14"/>
        <v>,{"type":"polyline","latLngs":[{"lat":35.425722,"lng":133.33711},{"lat":35.431417,"lng":133.338208}],"color":"blue"}</v>
      </c>
      <c r="BA222" s="40" t="s">
        <v>691</v>
      </c>
      <c r="BB222" s="56">
        <f t="shared" ca="1" si="15"/>
        <v>35.425722</v>
      </c>
      <c r="BC222" s="40" t="s">
        <v>684</v>
      </c>
      <c r="BD222" s="56">
        <f t="shared" ca="1" si="16"/>
        <v>133.33711</v>
      </c>
      <c r="BE222" s="40" t="s">
        <v>692</v>
      </c>
      <c r="BF222" s="40" t="str">
        <f t="shared" ca="1" si="17"/>
        <v>blue</v>
      </c>
      <c r="BG222" s="40" t="s">
        <v>688</v>
      </c>
      <c r="BH222" s="40" t="str">
        <f t="shared" ca="1" si="18"/>
        <v>,{"type":"marker","latLng":{"lat":35.425722,"lng":133.33711},"color":"blue"}</v>
      </c>
      <c r="BI222" s="40" t="s">
        <v>693</v>
      </c>
      <c r="BJ222" s="40" t="s">
        <v>694</v>
      </c>
      <c r="BK222" s="267" t="str">
        <f t="shared" ca="1" si="19"/>
        <v>,{"type":"polyline","latLngs":[{"lat":35.425722,"lng":133.33711},{"lat":35.431417,"lng":133.338208}],"color":"blue"}</v>
      </c>
      <c r="BL222" s="40"/>
      <c r="BM222" s="40"/>
    </row>
    <row r="223" spans="3:65" ht="17.5">
      <c r="C223" s="279">
        <f>'2.ポータル'!B216</f>
        <v>0</v>
      </c>
      <c r="D223" s="279">
        <f>'2.ポータル'!C213</f>
        <v>0</v>
      </c>
      <c r="E223" s="279">
        <f>'2.ポータル'!D213</f>
        <v>0</v>
      </c>
      <c r="G223" s="261"/>
      <c r="H223" s="262" t="s">
        <v>672</v>
      </c>
      <c r="I223" s="93" t="str">
        <f ca="1">IFERROR(__xludf.DUMMYFUNCTION("""COMPUTED_VALUE"""),"Agent21")</f>
        <v>Agent21</v>
      </c>
      <c r="J223" s="93" t="str">
        <f ca="1">IFERROR(__xludf.DUMMYFUNCTION("""COMPUTED_VALUE"""),"P201")</f>
        <v>P201</v>
      </c>
      <c r="K223" s="93" t="str">
        <f ca="1">IFERROR(__xludf.DUMMYFUNCTION("""COMPUTED_VALUE"""),"P203")</f>
        <v>P203</v>
      </c>
      <c r="L223" s="242" t="s">
        <v>681</v>
      </c>
      <c r="M223" s="263" t="str">
        <f t="shared" ca="1" si="0"/>
        <v>navy</v>
      </c>
      <c r="N223" s="264" t="str">
        <f ca="1">IFERROR(__xludf.DUMMYFUNCTION("FILTER(C:E,B:B=J223)"),"湊山体育館")</f>
        <v>湊山体育館</v>
      </c>
      <c r="O223" s="265">
        <f ca="1">IFERROR(__xludf.DUMMYFUNCTION("""COMPUTED_VALUE"""),35.41896)</f>
        <v>35.418959999999998</v>
      </c>
      <c r="P223" s="265">
        <f ca="1">IFERROR(__xludf.DUMMYFUNCTION("""COMPUTED_VALUE"""),133.332523)</f>
        <v>133.33252300000001</v>
      </c>
      <c r="Q223" s="264" t="str">
        <f ca="1">IFERROR(__xludf.DUMMYFUNCTION("FILTER(C:E,B:B=K223)"),"JR米子駅南口")</f>
        <v>JR米子駅南口</v>
      </c>
      <c r="R223" s="265">
        <f ca="1">IFERROR(__xludf.DUMMYFUNCTION("""COMPUTED_VALUE"""),35.422583)</f>
        <v>35.422583000000003</v>
      </c>
      <c r="S223" s="265">
        <f ca="1">IFERROR(__xludf.DUMMYFUNCTION("""COMPUTED_VALUE"""),133.337411)</f>
        <v>133.337411</v>
      </c>
      <c r="T223" s="264" t="str">
        <f ca="1">IFERROR(__xludf.DUMMYFUNCTION("FILTER(C:E,B:B=L223)")," ")</f>
        <v xml:space="preserve"> </v>
      </c>
      <c r="U223" s="40" t="str">
        <f ca="1">IFERROR(__xludf.DUMMYFUNCTION("""COMPUTED_VALUE""")," ")</f>
        <v xml:space="preserve"> </v>
      </c>
      <c r="V223" s="40" t="str">
        <f ca="1">IFERROR(__xludf.DUMMYFUNCTION("""COMPUTED_VALUE""")," ")</f>
        <v xml:space="preserve"> </v>
      </c>
      <c r="W223" s="40" t="str">
        <f t="shared" ca="1" si="21"/>
        <v>,</v>
      </c>
      <c r="X223" s="40" t="s">
        <v>682</v>
      </c>
      <c r="Y223" s="40" t="s">
        <v>683</v>
      </c>
      <c r="Z223" s="264">
        <f t="shared" ca="1" si="1"/>
        <v>35.418959999999998</v>
      </c>
      <c r="AA223" s="40" t="s">
        <v>684</v>
      </c>
      <c r="AB223" s="264">
        <f t="shared" ca="1" si="2"/>
        <v>133.33252300000001</v>
      </c>
      <c r="AC223" s="40" t="s">
        <v>685</v>
      </c>
      <c r="AD223" s="264">
        <f t="shared" ca="1" si="3"/>
        <v>35.422583000000003</v>
      </c>
      <c r="AE223" s="40" t="s">
        <v>684</v>
      </c>
      <c r="AF223" s="264">
        <f t="shared" ca="1" si="4"/>
        <v>133.337411</v>
      </c>
      <c r="AG223" s="40" t="s">
        <v>686</v>
      </c>
      <c r="AH223" s="264" t="str">
        <f t="shared" ca="1" si="5"/>
        <v xml:space="preserve"> </v>
      </c>
      <c r="AI223" s="40" t="s">
        <v>684</v>
      </c>
      <c r="AJ223" s="264" t="str">
        <f t="shared" ca="1" si="6"/>
        <v xml:space="preserve"> </v>
      </c>
      <c r="AK223" s="40" t="s">
        <v>687</v>
      </c>
      <c r="AL223" s="264" t="str">
        <f t="shared" ca="1" si="7"/>
        <v>navy</v>
      </c>
      <c r="AM223" s="40" t="s">
        <v>688</v>
      </c>
      <c r="AN223" s="40" t="str">
        <f t="shared" ca="1" si="8"/>
        <v>,{"type":"polygon","latLngs":[ {"lat":35.41896,"lng":133.332523}, {"lat":35.422583,"lng":133.337411},{"lat": ,"lng": }], "color":"navy"}</v>
      </c>
      <c r="AO223" s="266" t="s">
        <v>689</v>
      </c>
      <c r="AP223" s="56">
        <f t="shared" ca="1" si="9"/>
        <v>35.418959999999998</v>
      </c>
      <c r="AQ223" s="40" t="s">
        <v>684</v>
      </c>
      <c r="AR223" s="56">
        <f t="shared" ca="1" si="10"/>
        <v>133.33252300000001</v>
      </c>
      <c r="AS223" s="40" t="s">
        <v>686</v>
      </c>
      <c r="AT223" s="56">
        <f t="shared" ca="1" si="11"/>
        <v>35.422583000000003</v>
      </c>
      <c r="AU223" s="40" t="s">
        <v>684</v>
      </c>
      <c r="AV223" s="56">
        <f t="shared" ca="1" si="12"/>
        <v>133.337411</v>
      </c>
      <c r="AW223" s="40" t="s">
        <v>690</v>
      </c>
      <c r="AX223" s="40" t="str">
        <f t="shared" ca="1" si="13"/>
        <v>navy</v>
      </c>
      <c r="AY223" s="40" t="s">
        <v>688</v>
      </c>
      <c r="AZ223" s="40" t="str">
        <f t="shared" ca="1" si="14"/>
        <v>,{"type":"polyline","latLngs":[{"lat":35.41896,"lng":133.332523},{"lat":35.422583,"lng":133.337411}],"color":"navy"}</v>
      </c>
      <c r="BA223" s="40" t="s">
        <v>691</v>
      </c>
      <c r="BB223" s="56">
        <f t="shared" ca="1" si="15"/>
        <v>35.418959999999998</v>
      </c>
      <c r="BC223" s="40" t="s">
        <v>684</v>
      </c>
      <c r="BD223" s="56">
        <f t="shared" ca="1" si="16"/>
        <v>133.33252300000001</v>
      </c>
      <c r="BE223" s="40" t="s">
        <v>692</v>
      </c>
      <c r="BF223" s="40" t="str">
        <f t="shared" ca="1" si="17"/>
        <v>navy</v>
      </c>
      <c r="BG223" s="40" t="s">
        <v>688</v>
      </c>
      <c r="BH223" s="40" t="str">
        <f t="shared" ca="1" si="18"/>
        <v>,{"type":"marker","latLng":{"lat":35.41896,"lng":133.332523},"color":"navy"}</v>
      </c>
      <c r="BI223" s="40" t="s">
        <v>693</v>
      </c>
      <c r="BJ223" s="40" t="s">
        <v>694</v>
      </c>
      <c r="BK223" s="267" t="str">
        <f t="shared" ca="1" si="19"/>
        <v>,{"type":"polyline","latLngs":[{"lat":35.41896,"lng":133.332523},{"lat":35.422583,"lng":133.337411}],"color":"navy"}</v>
      </c>
      <c r="BL223" s="40"/>
      <c r="BM223" s="40"/>
    </row>
    <row r="224" spans="3:65" ht="17.5">
      <c r="C224" s="279">
        <f>'2.ポータル'!B214</f>
        <v>0</v>
      </c>
      <c r="D224" s="279">
        <f>'2.ポータル'!C214</f>
        <v>0</v>
      </c>
      <c r="E224" s="279">
        <f>'2.ポータル'!D214</f>
        <v>0</v>
      </c>
      <c r="G224" s="261"/>
      <c r="H224" s="262" t="s">
        <v>672</v>
      </c>
      <c r="I224" s="93" t="str">
        <f ca="1">IFERROR(__xludf.DUMMYFUNCTION("""COMPUTED_VALUE"""),"Agent21")</f>
        <v>Agent21</v>
      </c>
      <c r="J224" s="93" t="str">
        <f ca="1">IFERROR(__xludf.DUMMYFUNCTION("""COMPUTED_VALUE"""),"P202")</f>
        <v>P202</v>
      </c>
      <c r="K224" s="93" t="str">
        <f ca="1">IFERROR(__xludf.DUMMYFUNCTION("""COMPUTED_VALUE"""),"P201")</f>
        <v>P201</v>
      </c>
      <c r="L224" s="242" t="s">
        <v>681</v>
      </c>
      <c r="M224" s="263" t="str">
        <f t="shared" ca="1" si="0"/>
        <v>navy</v>
      </c>
      <c r="N224" s="264" t="str">
        <f ca="1">IFERROR(__xludf.DUMMYFUNCTION("FILTER(C:E,B:B=J224)"),"総泉時 本堂")</f>
        <v>総泉時 本堂</v>
      </c>
      <c r="O224" s="265">
        <f ca="1">IFERROR(__xludf.DUMMYFUNCTION("""COMPUTED_VALUE"""),35.419396)</f>
        <v>35.419395999999999</v>
      </c>
      <c r="P224" s="265">
        <f ca="1">IFERROR(__xludf.DUMMYFUNCTION("""COMPUTED_VALUE"""),133.328658)</f>
        <v>133.32865799999999</v>
      </c>
      <c r="Q224" s="264" t="str">
        <f ca="1">IFERROR(__xludf.DUMMYFUNCTION("FILTER(C:E,B:B=K224)"),"湊山体育館")</f>
        <v>湊山体育館</v>
      </c>
      <c r="R224" s="265">
        <f ca="1">IFERROR(__xludf.DUMMYFUNCTION("""COMPUTED_VALUE"""),35.41896)</f>
        <v>35.418959999999998</v>
      </c>
      <c r="S224" s="265">
        <f ca="1">IFERROR(__xludf.DUMMYFUNCTION("""COMPUTED_VALUE"""),133.332523)</f>
        <v>133.33252300000001</v>
      </c>
      <c r="T224" s="264" t="str">
        <f ca="1">IFERROR(__xludf.DUMMYFUNCTION("FILTER(C:E,B:B=L224)")," ")</f>
        <v xml:space="preserve"> </v>
      </c>
      <c r="U224" s="40" t="str">
        <f ca="1">IFERROR(__xludf.DUMMYFUNCTION("""COMPUTED_VALUE""")," ")</f>
        <v xml:space="preserve"> </v>
      </c>
      <c r="V224" s="40" t="str">
        <f ca="1">IFERROR(__xludf.DUMMYFUNCTION("""COMPUTED_VALUE""")," ")</f>
        <v xml:space="preserve"> </v>
      </c>
      <c r="W224" s="40" t="str">
        <f t="shared" ca="1" si="21"/>
        <v>,</v>
      </c>
      <c r="X224" s="40" t="s">
        <v>682</v>
      </c>
      <c r="Y224" s="40" t="s">
        <v>683</v>
      </c>
      <c r="Z224" s="264">
        <f t="shared" ca="1" si="1"/>
        <v>35.419395999999999</v>
      </c>
      <c r="AA224" s="40" t="s">
        <v>684</v>
      </c>
      <c r="AB224" s="264">
        <f t="shared" ca="1" si="2"/>
        <v>133.32865799999999</v>
      </c>
      <c r="AC224" s="40" t="s">
        <v>685</v>
      </c>
      <c r="AD224" s="264">
        <f t="shared" ca="1" si="3"/>
        <v>35.418959999999998</v>
      </c>
      <c r="AE224" s="40" t="s">
        <v>684</v>
      </c>
      <c r="AF224" s="264">
        <f t="shared" ca="1" si="4"/>
        <v>133.33252300000001</v>
      </c>
      <c r="AG224" s="40" t="s">
        <v>686</v>
      </c>
      <c r="AH224" s="264" t="str">
        <f t="shared" ca="1" si="5"/>
        <v xml:space="preserve"> </v>
      </c>
      <c r="AI224" s="40" t="s">
        <v>684</v>
      </c>
      <c r="AJ224" s="264" t="str">
        <f t="shared" ca="1" si="6"/>
        <v xml:space="preserve"> </v>
      </c>
      <c r="AK224" s="40" t="s">
        <v>687</v>
      </c>
      <c r="AL224" s="264" t="str">
        <f t="shared" ca="1" si="7"/>
        <v>navy</v>
      </c>
      <c r="AM224" s="40" t="s">
        <v>688</v>
      </c>
      <c r="AN224" s="40" t="str">
        <f t="shared" ca="1" si="8"/>
        <v>,{"type":"polygon","latLngs":[ {"lat":35.419396,"lng":133.328658}, {"lat":35.41896,"lng":133.332523},{"lat": ,"lng": }], "color":"navy"}</v>
      </c>
      <c r="AO224" s="266" t="s">
        <v>689</v>
      </c>
      <c r="AP224" s="56">
        <f t="shared" ca="1" si="9"/>
        <v>35.419395999999999</v>
      </c>
      <c r="AQ224" s="40" t="s">
        <v>684</v>
      </c>
      <c r="AR224" s="56">
        <f t="shared" ca="1" si="10"/>
        <v>133.32865799999999</v>
      </c>
      <c r="AS224" s="40" t="s">
        <v>686</v>
      </c>
      <c r="AT224" s="56">
        <f t="shared" ca="1" si="11"/>
        <v>35.418959999999998</v>
      </c>
      <c r="AU224" s="40" t="s">
        <v>684</v>
      </c>
      <c r="AV224" s="56">
        <f t="shared" ca="1" si="12"/>
        <v>133.33252300000001</v>
      </c>
      <c r="AW224" s="40" t="s">
        <v>690</v>
      </c>
      <c r="AX224" s="40" t="str">
        <f t="shared" ca="1" si="13"/>
        <v>navy</v>
      </c>
      <c r="AY224" s="40" t="s">
        <v>688</v>
      </c>
      <c r="AZ224" s="40" t="str">
        <f t="shared" ca="1" si="14"/>
        <v>,{"type":"polyline","latLngs":[{"lat":35.419396,"lng":133.328658},{"lat":35.41896,"lng":133.332523}],"color":"navy"}</v>
      </c>
      <c r="BA224" s="40" t="s">
        <v>691</v>
      </c>
      <c r="BB224" s="56">
        <f t="shared" ca="1" si="15"/>
        <v>35.419395999999999</v>
      </c>
      <c r="BC224" s="40" t="s">
        <v>684</v>
      </c>
      <c r="BD224" s="56">
        <f t="shared" ca="1" si="16"/>
        <v>133.32865799999999</v>
      </c>
      <c r="BE224" s="40" t="s">
        <v>692</v>
      </c>
      <c r="BF224" s="40" t="str">
        <f t="shared" ca="1" si="17"/>
        <v>navy</v>
      </c>
      <c r="BG224" s="40" t="s">
        <v>688</v>
      </c>
      <c r="BH224" s="40" t="str">
        <f t="shared" ca="1" si="18"/>
        <v>,{"type":"marker","latLng":{"lat":35.419396,"lng":133.328658},"color":"navy"}</v>
      </c>
      <c r="BI224" s="40" t="s">
        <v>693</v>
      </c>
      <c r="BJ224" s="40" t="s">
        <v>694</v>
      </c>
      <c r="BK224" s="267" t="str">
        <f t="shared" ca="1" si="19"/>
        <v>,{"type":"polyline","latLngs":[{"lat":35.419396,"lng":133.328658},{"lat":35.41896,"lng":133.332523}],"color":"navy"}</v>
      </c>
      <c r="BL224" s="40"/>
      <c r="BM224" s="40"/>
    </row>
    <row r="225" spans="3:65" ht="17.5">
      <c r="C225" s="279">
        <f>'2.ポータル'!B215</f>
        <v>0</v>
      </c>
      <c r="D225" s="279">
        <f>'2.ポータル'!C215</f>
        <v>0</v>
      </c>
      <c r="E225" s="279">
        <f>'2.ポータル'!D215</f>
        <v>0</v>
      </c>
      <c r="G225" s="261"/>
      <c r="H225" s="262" t="s">
        <v>672</v>
      </c>
      <c r="I225" s="93" t="str">
        <f ca="1">IFERROR(__xludf.DUMMYFUNCTION("""COMPUTED_VALUE"""),"Agent21")</f>
        <v>Agent21</v>
      </c>
      <c r="J225" s="93" t="str">
        <f ca="1">IFERROR(__xludf.DUMMYFUNCTION("""COMPUTED_VALUE"""),"P210")</f>
        <v>P210</v>
      </c>
      <c r="K225" s="93" t="str">
        <f ca="1">IFERROR(__xludf.DUMMYFUNCTION("""COMPUTED_VALUE"""),"P217")</f>
        <v>P217</v>
      </c>
      <c r="L225" s="242" t="s">
        <v>681</v>
      </c>
      <c r="M225" s="263" t="str">
        <f t="shared" ca="1" si="0"/>
        <v>navy</v>
      </c>
      <c r="N225" s="264" t="str">
        <f ca="1">IFERROR(__xludf.DUMMYFUNCTION("FILTER(C:E,B:B=J225)"),"祇園地蔵")</f>
        <v>祇園地蔵</v>
      </c>
      <c r="O225" s="265">
        <f ca="1">IFERROR(__xludf.DUMMYFUNCTION("""COMPUTED_VALUE"""),35.423166)</f>
        <v>35.423166000000002</v>
      </c>
      <c r="P225" s="265">
        <f ca="1">IFERROR(__xludf.DUMMYFUNCTION("""COMPUTED_VALUE"""),133.327908)</f>
        <v>133.32790800000001</v>
      </c>
      <c r="Q225" s="264" t="str">
        <f ca="1">IFERROR(__xludf.DUMMYFUNCTION("FILTER(C:E,B:B=K225)"),"明治第一公園のパーゴラ休憩所")</f>
        <v>明治第一公園のパーゴラ休憩所</v>
      </c>
      <c r="R225" s="265">
        <f ca="1">IFERROR(__xludf.DUMMYFUNCTION("""COMPUTED_VALUE"""),35.42404)</f>
        <v>35.424039999999998</v>
      </c>
      <c r="S225" s="265">
        <f ca="1">IFERROR(__xludf.DUMMYFUNCTION("""COMPUTED_VALUE"""),133.33353)</f>
        <v>133.33353</v>
      </c>
      <c r="T225" s="264" t="str">
        <f ca="1">IFERROR(__xludf.DUMMYFUNCTION("FILTER(C:E,B:B=L225)")," ")</f>
        <v xml:space="preserve"> </v>
      </c>
      <c r="U225" s="40" t="str">
        <f ca="1">IFERROR(__xludf.DUMMYFUNCTION("""COMPUTED_VALUE""")," ")</f>
        <v xml:space="preserve"> </v>
      </c>
      <c r="V225" s="40" t="str">
        <f ca="1">IFERROR(__xludf.DUMMYFUNCTION("""COMPUTED_VALUE""")," ")</f>
        <v xml:space="preserve"> </v>
      </c>
      <c r="W225" s="40" t="str">
        <f t="shared" ca="1" si="21"/>
        <v>,</v>
      </c>
      <c r="X225" s="40" t="s">
        <v>682</v>
      </c>
      <c r="Y225" s="40" t="s">
        <v>683</v>
      </c>
      <c r="Z225" s="264">
        <f t="shared" ca="1" si="1"/>
        <v>35.423166000000002</v>
      </c>
      <c r="AA225" s="40" t="s">
        <v>684</v>
      </c>
      <c r="AB225" s="264">
        <f t="shared" ca="1" si="2"/>
        <v>133.32790800000001</v>
      </c>
      <c r="AC225" s="40" t="s">
        <v>685</v>
      </c>
      <c r="AD225" s="264">
        <f t="shared" ca="1" si="3"/>
        <v>35.424039999999998</v>
      </c>
      <c r="AE225" s="40" t="s">
        <v>684</v>
      </c>
      <c r="AF225" s="264">
        <f t="shared" ca="1" si="4"/>
        <v>133.33353</v>
      </c>
      <c r="AG225" s="40" t="s">
        <v>686</v>
      </c>
      <c r="AH225" s="264" t="str">
        <f t="shared" ca="1" si="5"/>
        <v xml:space="preserve"> </v>
      </c>
      <c r="AI225" s="40" t="s">
        <v>684</v>
      </c>
      <c r="AJ225" s="264" t="str">
        <f t="shared" ca="1" si="6"/>
        <v xml:space="preserve"> </v>
      </c>
      <c r="AK225" s="40" t="s">
        <v>687</v>
      </c>
      <c r="AL225" s="264" t="str">
        <f t="shared" ca="1" si="7"/>
        <v>navy</v>
      </c>
      <c r="AM225" s="40" t="s">
        <v>688</v>
      </c>
      <c r="AN225" s="40" t="str">
        <f t="shared" ca="1" si="8"/>
        <v>,{"type":"polygon","latLngs":[ {"lat":35.423166,"lng":133.327908}, {"lat":35.42404,"lng":133.33353},{"lat": ,"lng": }], "color":"navy"}</v>
      </c>
      <c r="AO225" s="266" t="s">
        <v>689</v>
      </c>
      <c r="AP225" s="56">
        <f t="shared" ca="1" si="9"/>
        <v>35.423166000000002</v>
      </c>
      <c r="AQ225" s="40" t="s">
        <v>684</v>
      </c>
      <c r="AR225" s="56">
        <f t="shared" ca="1" si="10"/>
        <v>133.32790800000001</v>
      </c>
      <c r="AS225" s="40" t="s">
        <v>686</v>
      </c>
      <c r="AT225" s="56">
        <f t="shared" ca="1" si="11"/>
        <v>35.424039999999998</v>
      </c>
      <c r="AU225" s="40" t="s">
        <v>684</v>
      </c>
      <c r="AV225" s="56">
        <f t="shared" ca="1" si="12"/>
        <v>133.33353</v>
      </c>
      <c r="AW225" s="40" t="s">
        <v>690</v>
      </c>
      <c r="AX225" s="40" t="str">
        <f t="shared" ca="1" si="13"/>
        <v>navy</v>
      </c>
      <c r="AY225" s="40" t="s">
        <v>688</v>
      </c>
      <c r="AZ225" s="40" t="str">
        <f t="shared" ca="1" si="14"/>
        <v>,{"type":"polyline","latLngs":[{"lat":35.423166,"lng":133.327908},{"lat":35.42404,"lng":133.33353}],"color":"navy"}</v>
      </c>
      <c r="BA225" s="40" t="s">
        <v>691</v>
      </c>
      <c r="BB225" s="56">
        <f t="shared" ca="1" si="15"/>
        <v>35.423166000000002</v>
      </c>
      <c r="BC225" s="40" t="s">
        <v>684</v>
      </c>
      <c r="BD225" s="56">
        <f t="shared" ca="1" si="16"/>
        <v>133.32790800000001</v>
      </c>
      <c r="BE225" s="40" t="s">
        <v>692</v>
      </c>
      <c r="BF225" s="40" t="str">
        <f t="shared" ca="1" si="17"/>
        <v>navy</v>
      </c>
      <c r="BG225" s="40" t="s">
        <v>688</v>
      </c>
      <c r="BH225" s="40" t="str">
        <f t="shared" ca="1" si="18"/>
        <v>,{"type":"marker","latLng":{"lat":35.423166,"lng":133.327908},"color":"navy"}</v>
      </c>
      <c r="BI225" s="40" t="s">
        <v>693</v>
      </c>
      <c r="BJ225" s="40" t="s">
        <v>694</v>
      </c>
      <c r="BK225" s="267" t="str">
        <f t="shared" ca="1" si="19"/>
        <v>,{"type":"polyline","latLngs":[{"lat":35.423166,"lng":133.327908},{"lat":35.42404,"lng":133.33353}],"color":"navy"}</v>
      </c>
      <c r="BL225" s="40"/>
      <c r="BM225" s="40"/>
    </row>
    <row r="226" spans="3:65" ht="17.5">
      <c r="G226" s="261"/>
      <c r="H226" s="262" t="s">
        <v>672</v>
      </c>
      <c r="I226" s="93" t="str">
        <f ca="1">IFERROR(__xludf.DUMMYFUNCTION("""COMPUTED_VALUE"""),"Agent21")</f>
        <v>Agent21</v>
      </c>
      <c r="J226" s="93" t="str">
        <f ca="1">IFERROR(__xludf.DUMMYFUNCTION("""COMPUTED_VALUE"""),"P216")</f>
        <v>P216</v>
      </c>
      <c r="K226" s="93" t="str">
        <f ca="1">IFERROR(__xludf.DUMMYFUNCTION("""COMPUTED_VALUE"""),"P202")</f>
        <v>P202</v>
      </c>
      <c r="L226" s="242" t="s">
        <v>681</v>
      </c>
      <c r="M226" s="263" t="str">
        <f t="shared" ca="1" si="0"/>
        <v>navy</v>
      </c>
      <c r="N226" s="264" t="str">
        <f ca="1">IFERROR(__xludf.DUMMYFUNCTION("FILTER(C:E,B:B=J226)"),"繁多寺")</f>
        <v>繁多寺</v>
      </c>
      <c r="O226" s="265">
        <f ca="1">IFERROR(__xludf.DUMMYFUNCTION("""COMPUTED_VALUE"""),35.424037)</f>
        <v>35.424036999999998</v>
      </c>
      <c r="P226" s="265">
        <f ca="1">IFERROR(__xludf.DUMMYFUNCTION("""COMPUTED_VALUE"""),133.323137)</f>
        <v>133.323137</v>
      </c>
      <c r="Q226" s="264" t="str">
        <f ca="1">IFERROR(__xludf.DUMMYFUNCTION("FILTER(C:E,B:B=K226)"),"総泉時 本堂")</f>
        <v>総泉時 本堂</v>
      </c>
      <c r="R226" s="265">
        <f ca="1">IFERROR(__xludf.DUMMYFUNCTION("""COMPUTED_VALUE"""),35.419396)</f>
        <v>35.419395999999999</v>
      </c>
      <c r="S226" s="265">
        <f ca="1">IFERROR(__xludf.DUMMYFUNCTION("""COMPUTED_VALUE"""),133.328658)</f>
        <v>133.32865799999999</v>
      </c>
      <c r="T226" s="264" t="str">
        <f ca="1">IFERROR(__xludf.DUMMYFUNCTION("FILTER(C:E,B:B=L226)")," ")</f>
        <v xml:space="preserve"> </v>
      </c>
      <c r="U226" s="40" t="str">
        <f ca="1">IFERROR(__xludf.DUMMYFUNCTION("""COMPUTED_VALUE""")," ")</f>
        <v xml:space="preserve"> </v>
      </c>
      <c r="V226" s="40" t="str">
        <f ca="1">IFERROR(__xludf.DUMMYFUNCTION("""COMPUTED_VALUE""")," ")</f>
        <v xml:space="preserve"> </v>
      </c>
      <c r="W226" s="40" t="str">
        <f t="shared" ca="1" si="21"/>
        <v>,</v>
      </c>
      <c r="X226" s="40" t="s">
        <v>682</v>
      </c>
      <c r="Y226" s="40" t="s">
        <v>683</v>
      </c>
      <c r="Z226" s="264">
        <f t="shared" ca="1" si="1"/>
        <v>35.424036999999998</v>
      </c>
      <c r="AA226" s="40" t="s">
        <v>684</v>
      </c>
      <c r="AB226" s="264">
        <f t="shared" ca="1" si="2"/>
        <v>133.323137</v>
      </c>
      <c r="AC226" s="40" t="s">
        <v>685</v>
      </c>
      <c r="AD226" s="264">
        <f t="shared" ca="1" si="3"/>
        <v>35.419395999999999</v>
      </c>
      <c r="AE226" s="40" t="s">
        <v>684</v>
      </c>
      <c r="AF226" s="264">
        <f t="shared" ca="1" si="4"/>
        <v>133.32865799999999</v>
      </c>
      <c r="AG226" s="40" t="s">
        <v>686</v>
      </c>
      <c r="AH226" s="264" t="str">
        <f t="shared" ca="1" si="5"/>
        <v xml:space="preserve"> </v>
      </c>
      <c r="AI226" s="40" t="s">
        <v>684</v>
      </c>
      <c r="AJ226" s="264" t="str">
        <f t="shared" ca="1" si="6"/>
        <v xml:space="preserve"> </v>
      </c>
      <c r="AK226" s="40" t="s">
        <v>687</v>
      </c>
      <c r="AL226" s="264" t="str">
        <f t="shared" ca="1" si="7"/>
        <v>navy</v>
      </c>
      <c r="AM226" s="40" t="s">
        <v>688</v>
      </c>
      <c r="AN226" s="40" t="str">
        <f t="shared" ca="1" si="8"/>
        <v>,{"type":"polygon","latLngs":[ {"lat":35.424037,"lng":133.323137}, {"lat":35.419396,"lng":133.328658},{"lat": ,"lng": }], "color":"navy"}</v>
      </c>
      <c r="AO226" s="266" t="s">
        <v>689</v>
      </c>
      <c r="AP226" s="56">
        <f t="shared" ca="1" si="9"/>
        <v>35.424036999999998</v>
      </c>
      <c r="AQ226" s="40" t="s">
        <v>684</v>
      </c>
      <c r="AR226" s="56">
        <f t="shared" ca="1" si="10"/>
        <v>133.323137</v>
      </c>
      <c r="AS226" s="40" t="s">
        <v>686</v>
      </c>
      <c r="AT226" s="56">
        <f t="shared" ca="1" si="11"/>
        <v>35.419395999999999</v>
      </c>
      <c r="AU226" s="40" t="s">
        <v>684</v>
      </c>
      <c r="AV226" s="56">
        <f t="shared" ca="1" si="12"/>
        <v>133.32865799999999</v>
      </c>
      <c r="AW226" s="40" t="s">
        <v>690</v>
      </c>
      <c r="AX226" s="40" t="str">
        <f t="shared" ca="1" si="13"/>
        <v>navy</v>
      </c>
      <c r="AY226" s="40" t="s">
        <v>688</v>
      </c>
      <c r="AZ226" s="40" t="str">
        <f t="shared" ca="1" si="14"/>
        <v>,{"type":"polyline","latLngs":[{"lat":35.424037,"lng":133.323137},{"lat":35.419396,"lng":133.328658}],"color":"navy"}</v>
      </c>
      <c r="BA226" s="40" t="s">
        <v>691</v>
      </c>
      <c r="BB226" s="56">
        <f t="shared" ca="1" si="15"/>
        <v>35.424036999999998</v>
      </c>
      <c r="BC226" s="40" t="s">
        <v>684</v>
      </c>
      <c r="BD226" s="56">
        <f t="shared" ca="1" si="16"/>
        <v>133.323137</v>
      </c>
      <c r="BE226" s="40" t="s">
        <v>692</v>
      </c>
      <c r="BF226" s="40" t="str">
        <f t="shared" ca="1" si="17"/>
        <v>navy</v>
      </c>
      <c r="BG226" s="40" t="s">
        <v>688</v>
      </c>
      <c r="BH226" s="40" t="str">
        <f t="shared" ca="1" si="18"/>
        <v>,{"type":"marker","latLng":{"lat":35.424037,"lng":133.323137},"color":"navy"}</v>
      </c>
      <c r="BI226" s="40" t="s">
        <v>693</v>
      </c>
      <c r="BJ226" s="40" t="s">
        <v>694</v>
      </c>
      <c r="BK226" s="267" t="str">
        <f t="shared" ca="1" si="19"/>
        <v>,{"type":"polyline","latLngs":[{"lat":35.424037,"lng":133.323137},{"lat":35.419396,"lng":133.328658}],"color":"navy"}</v>
      </c>
      <c r="BL226" s="40"/>
      <c r="BM226" s="40"/>
    </row>
    <row r="227" spans="3:65" ht="17.5">
      <c r="G227" s="261"/>
      <c r="H227" s="262" t="s">
        <v>672</v>
      </c>
      <c r="I227" s="93" t="str">
        <f ca="1">IFERROR(__xludf.DUMMYFUNCTION("""COMPUTED_VALUE"""),"Agent21")</f>
        <v>Agent21</v>
      </c>
      <c r="J227" s="93" t="str">
        <f ca="1">IFERROR(__xludf.DUMMYFUNCTION("""COMPUTED_VALUE"""),"P216")</f>
        <v>P216</v>
      </c>
      <c r="K227" s="93" t="str">
        <f ca="1">IFERROR(__xludf.DUMMYFUNCTION("""COMPUTED_VALUE"""),"P212")</f>
        <v>P212</v>
      </c>
      <c r="L227" s="242" t="s">
        <v>681</v>
      </c>
      <c r="M227" s="263" t="str">
        <f t="shared" ca="1" si="0"/>
        <v>navy</v>
      </c>
      <c r="N227" s="264" t="str">
        <f ca="1">IFERROR(__xludf.DUMMYFUNCTION("FILTER(C:E,B:B=J227)"),"繁多寺")</f>
        <v>繁多寺</v>
      </c>
      <c r="O227" s="265">
        <f ca="1">IFERROR(__xludf.DUMMYFUNCTION("""COMPUTED_VALUE"""),35.424037)</f>
        <v>35.424036999999998</v>
      </c>
      <c r="P227" s="265">
        <f ca="1">IFERROR(__xludf.DUMMYFUNCTION("""COMPUTED_VALUE"""),133.323137)</f>
        <v>133.323137</v>
      </c>
      <c r="Q227" s="264" t="str">
        <f ca="1">IFERROR(__xludf.DUMMYFUNCTION("FILTER(C:E,B:B=K227)"),"彫刻ロード「光」")</f>
        <v>彫刻ロード「光」</v>
      </c>
      <c r="R227" s="265">
        <f ca="1">IFERROR(__xludf.DUMMYFUNCTION("""COMPUTED_VALUE"""),35.423258)</f>
        <v>35.423257999999997</v>
      </c>
      <c r="S227" s="265">
        <f ca="1">IFERROR(__xludf.DUMMYFUNCTION("""COMPUTED_VALUE"""),133.326555)</f>
        <v>133.32655500000001</v>
      </c>
      <c r="T227" s="264" t="str">
        <f ca="1">IFERROR(__xludf.DUMMYFUNCTION("FILTER(C:E,B:B=L227)")," ")</f>
        <v xml:space="preserve"> </v>
      </c>
      <c r="U227" s="40" t="str">
        <f ca="1">IFERROR(__xludf.DUMMYFUNCTION("""COMPUTED_VALUE""")," ")</f>
        <v xml:space="preserve"> </v>
      </c>
      <c r="V227" s="40" t="str">
        <f ca="1">IFERROR(__xludf.DUMMYFUNCTION("""COMPUTED_VALUE""")," ")</f>
        <v xml:space="preserve"> </v>
      </c>
      <c r="W227" s="40" t="str">
        <f t="shared" ca="1" si="21"/>
        <v>,</v>
      </c>
      <c r="X227" s="40" t="s">
        <v>682</v>
      </c>
      <c r="Y227" s="40" t="s">
        <v>683</v>
      </c>
      <c r="Z227" s="264">
        <f t="shared" ca="1" si="1"/>
        <v>35.424036999999998</v>
      </c>
      <c r="AA227" s="40" t="s">
        <v>684</v>
      </c>
      <c r="AB227" s="264">
        <f t="shared" ca="1" si="2"/>
        <v>133.323137</v>
      </c>
      <c r="AC227" s="40" t="s">
        <v>685</v>
      </c>
      <c r="AD227" s="264">
        <f t="shared" ca="1" si="3"/>
        <v>35.423257999999997</v>
      </c>
      <c r="AE227" s="40" t="s">
        <v>684</v>
      </c>
      <c r="AF227" s="264">
        <f t="shared" ca="1" si="4"/>
        <v>133.32655500000001</v>
      </c>
      <c r="AG227" s="40" t="s">
        <v>686</v>
      </c>
      <c r="AH227" s="264" t="str">
        <f t="shared" ca="1" si="5"/>
        <v xml:space="preserve"> </v>
      </c>
      <c r="AI227" s="40" t="s">
        <v>684</v>
      </c>
      <c r="AJ227" s="264" t="str">
        <f t="shared" ca="1" si="6"/>
        <v xml:space="preserve"> </v>
      </c>
      <c r="AK227" s="40" t="s">
        <v>687</v>
      </c>
      <c r="AL227" s="264" t="str">
        <f t="shared" ca="1" si="7"/>
        <v>navy</v>
      </c>
      <c r="AM227" s="40" t="s">
        <v>688</v>
      </c>
      <c r="AN227" s="40" t="str">
        <f t="shared" ca="1" si="8"/>
        <v>,{"type":"polygon","latLngs":[ {"lat":35.424037,"lng":133.323137}, {"lat":35.423258,"lng":133.326555},{"lat": ,"lng": }], "color":"navy"}</v>
      </c>
      <c r="AO227" s="266" t="s">
        <v>689</v>
      </c>
      <c r="AP227" s="56">
        <f t="shared" ca="1" si="9"/>
        <v>35.424036999999998</v>
      </c>
      <c r="AQ227" s="40" t="s">
        <v>684</v>
      </c>
      <c r="AR227" s="56">
        <f t="shared" ca="1" si="10"/>
        <v>133.323137</v>
      </c>
      <c r="AS227" s="40" t="s">
        <v>686</v>
      </c>
      <c r="AT227" s="56">
        <f t="shared" ca="1" si="11"/>
        <v>35.423257999999997</v>
      </c>
      <c r="AU227" s="40" t="s">
        <v>684</v>
      </c>
      <c r="AV227" s="56">
        <f t="shared" ca="1" si="12"/>
        <v>133.32655500000001</v>
      </c>
      <c r="AW227" s="40" t="s">
        <v>690</v>
      </c>
      <c r="AX227" s="40" t="str">
        <f t="shared" ca="1" si="13"/>
        <v>navy</v>
      </c>
      <c r="AY227" s="40" t="s">
        <v>688</v>
      </c>
      <c r="AZ227" s="40" t="str">
        <f t="shared" ca="1" si="14"/>
        <v>,{"type":"polyline","latLngs":[{"lat":35.424037,"lng":133.323137},{"lat":35.423258,"lng":133.326555}],"color":"navy"}</v>
      </c>
      <c r="BA227" s="40" t="s">
        <v>691</v>
      </c>
      <c r="BB227" s="56">
        <f t="shared" ca="1" si="15"/>
        <v>35.424036999999998</v>
      </c>
      <c r="BC227" s="40" t="s">
        <v>684</v>
      </c>
      <c r="BD227" s="56">
        <f t="shared" ca="1" si="16"/>
        <v>133.323137</v>
      </c>
      <c r="BE227" s="40" t="s">
        <v>692</v>
      </c>
      <c r="BF227" s="40" t="str">
        <f t="shared" ca="1" si="17"/>
        <v>navy</v>
      </c>
      <c r="BG227" s="40" t="s">
        <v>688</v>
      </c>
      <c r="BH227" s="40" t="str">
        <f t="shared" ca="1" si="18"/>
        <v>,{"type":"marker","latLng":{"lat":35.424037,"lng":133.323137},"color":"navy"}</v>
      </c>
      <c r="BI227" s="40" t="s">
        <v>693</v>
      </c>
      <c r="BJ227" s="40" t="s">
        <v>694</v>
      </c>
      <c r="BK227" s="267" t="str">
        <f t="shared" ca="1" si="19"/>
        <v>,{"type":"polyline","latLngs":[{"lat":35.424037,"lng":133.323137},{"lat":35.423258,"lng":133.326555}],"color":"navy"}</v>
      </c>
      <c r="BL227" s="40"/>
      <c r="BM227" s="40"/>
    </row>
    <row r="228" spans="3:65" ht="17.5">
      <c r="G228" s="261"/>
      <c r="H228" s="262" t="s">
        <v>672</v>
      </c>
      <c r="I228" s="93" t="str">
        <f ca="1">IFERROR(__xludf.DUMMYFUNCTION("""COMPUTED_VALUE"""),"Agent21")</f>
        <v>Agent21</v>
      </c>
      <c r="J228" s="93" t="str">
        <f ca="1">IFERROR(__xludf.DUMMYFUNCTION("""COMPUTED_VALUE"""),"P222")</f>
        <v>P222</v>
      </c>
      <c r="K228" s="93" t="str">
        <f ca="1">IFERROR(__xludf.DUMMYFUNCTION("""COMPUTED_VALUE"""),"P216")</f>
        <v>P216</v>
      </c>
      <c r="L228" s="242" t="s">
        <v>681</v>
      </c>
      <c r="M228" s="263" t="str">
        <f t="shared" ca="1" si="0"/>
        <v>navy</v>
      </c>
      <c r="N228" s="264" t="str">
        <f ca="1">IFERROR(__xludf.DUMMYFUNCTION("FILTER(C:E,B:B=J228)"),"米子城跡 上り口")</f>
        <v>米子城跡 上り口</v>
      </c>
      <c r="O228" s="265">
        <f ca="1">IFERROR(__xludf.DUMMYFUNCTION("""COMPUTED_VALUE"""),35.424862)</f>
        <v>35.424861999999997</v>
      </c>
      <c r="P228" s="265">
        <f ca="1">IFERROR(__xludf.DUMMYFUNCTION("""COMPUTED_VALUE"""),133.326159)</f>
        <v>133.32615899999999</v>
      </c>
      <c r="Q228" s="264" t="str">
        <f ca="1">IFERROR(__xludf.DUMMYFUNCTION("FILTER(C:E,B:B=K228)"),"繁多寺")</f>
        <v>繁多寺</v>
      </c>
      <c r="R228" s="265">
        <f ca="1">IFERROR(__xludf.DUMMYFUNCTION("""COMPUTED_VALUE"""),35.424037)</f>
        <v>35.424036999999998</v>
      </c>
      <c r="S228" s="265">
        <f ca="1">IFERROR(__xludf.DUMMYFUNCTION("""COMPUTED_VALUE"""),133.323137)</f>
        <v>133.323137</v>
      </c>
      <c r="T228" s="264" t="str">
        <f ca="1">IFERROR(__xludf.DUMMYFUNCTION("FILTER(C:E,B:B=L228)")," ")</f>
        <v xml:space="preserve"> </v>
      </c>
      <c r="U228" s="40" t="str">
        <f ca="1">IFERROR(__xludf.DUMMYFUNCTION("""COMPUTED_VALUE""")," ")</f>
        <v xml:space="preserve"> </v>
      </c>
      <c r="V228" s="40" t="str">
        <f ca="1">IFERROR(__xludf.DUMMYFUNCTION("""COMPUTED_VALUE""")," ")</f>
        <v xml:space="preserve"> </v>
      </c>
      <c r="W228" s="40" t="str">
        <f t="shared" ca="1" si="21"/>
        <v>,</v>
      </c>
      <c r="X228" s="40" t="s">
        <v>682</v>
      </c>
      <c r="Y228" s="40" t="s">
        <v>683</v>
      </c>
      <c r="Z228" s="264">
        <f t="shared" ca="1" si="1"/>
        <v>35.424861999999997</v>
      </c>
      <c r="AA228" s="40" t="s">
        <v>684</v>
      </c>
      <c r="AB228" s="264">
        <f t="shared" ca="1" si="2"/>
        <v>133.32615899999999</v>
      </c>
      <c r="AC228" s="40" t="s">
        <v>685</v>
      </c>
      <c r="AD228" s="264">
        <f t="shared" ca="1" si="3"/>
        <v>35.424036999999998</v>
      </c>
      <c r="AE228" s="40" t="s">
        <v>684</v>
      </c>
      <c r="AF228" s="264">
        <f t="shared" ca="1" si="4"/>
        <v>133.323137</v>
      </c>
      <c r="AG228" s="40" t="s">
        <v>686</v>
      </c>
      <c r="AH228" s="264" t="str">
        <f t="shared" ca="1" si="5"/>
        <v xml:space="preserve"> </v>
      </c>
      <c r="AI228" s="40" t="s">
        <v>684</v>
      </c>
      <c r="AJ228" s="264" t="str">
        <f t="shared" ca="1" si="6"/>
        <v xml:space="preserve"> </v>
      </c>
      <c r="AK228" s="40" t="s">
        <v>687</v>
      </c>
      <c r="AL228" s="264" t="str">
        <f t="shared" ca="1" si="7"/>
        <v>navy</v>
      </c>
      <c r="AM228" s="40" t="s">
        <v>688</v>
      </c>
      <c r="AN228" s="40" t="str">
        <f t="shared" ca="1" si="8"/>
        <v>,{"type":"polygon","latLngs":[ {"lat":35.424862,"lng":133.326159}, {"lat":35.424037,"lng":133.323137},{"lat": ,"lng": }], "color":"navy"}</v>
      </c>
      <c r="AO228" s="266" t="s">
        <v>689</v>
      </c>
      <c r="AP228" s="56">
        <f t="shared" ca="1" si="9"/>
        <v>35.424861999999997</v>
      </c>
      <c r="AQ228" s="40" t="s">
        <v>684</v>
      </c>
      <c r="AR228" s="56">
        <f t="shared" ca="1" si="10"/>
        <v>133.32615899999999</v>
      </c>
      <c r="AS228" s="40" t="s">
        <v>686</v>
      </c>
      <c r="AT228" s="56">
        <f t="shared" ca="1" si="11"/>
        <v>35.424036999999998</v>
      </c>
      <c r="AU228" s="40" t="s">
        <v>684</v>
      </c>
      <c r="AV228" s="56">
        <f t="shared" ca="1" si="12"/>
        <v>133.323137</v>
      </c>
      <c r="AW228" s="40" t="s">
        <v>690</v>
      </c>
      <c r="AX228" s="40" t="str">
        <f t="shared" ca="1" si="13"/>
        <v>navy</v>
      </c>
      <c r="AY228" s="40" t="s">
        <v>688</v>
      </c>
      <c r="AZ228" s="40" t="str">
        <f t="shared" ca="1" si="14"/>
        <v>,{"type":"polyline","latLngs":[{"lat":35.424862,"lng":133.326159},{"lat":35.424037,"lng":133.323137}],"color":"navy"}</v>
      </c>
      <c r="BA228" s="40" t="s">
        <v>691</v>
      </c>
      <c r="BB228" s="56">
        <f t="shared" ca="1" si="15"/>
        <v>35.424861999999997</v>
      </c>
      <c r="BC228" s="40" t="s">
        <v>684</v>
      </c>
      <c r="BD228" s="56">
        <f t="shared" ca="1" si="16"/>
        <v>133.32615899999999</v>
      </c>
      <c r="BE228" s="40" t="s">
        <v>692</v>
      </c>
      <c r="BF228" s="40" t="str">
        <f t="shared" ca="1" si="17"/>
        <v>navy</v>
      </c>
      <c r="BG228" s="40" t="s">
        <v>688</v>
      </c>
      <c r="BH228" s="40" t="str">
        <f t="shared" ca="1" si="18"/>
        <v>,{"type":"marker","latLng":{"lat":35.424862,"lng":133.326159},"color":"navy"}</v>
      </c>
      <c r="BI228" s="40" t="s">
        <v>693</v>
      </c>
      <c r="BJ228" s="40" t="s">
        <v>694</v>
      </c>
      <c r="BK228" s="267" t="str">
        <f t="shared" ca="1" si="19"/>
        <v>,{"type":"polyline","latLngs":[{"lat":35.424862,"lng":133.326159},{"lat":35.424037,"lng":133.323137}],"color":"navy"}</v>
      </c>
      <c r="BL228" s="40"/>
      <c r="BM228" s="40"/>
    </row>
    <row r="229" spans="3:65" ht="17.5">
      <c r="C229" s="279">
        <f>'2.ポータル'!B222</f>
        <v>0</v>
      </c>
      <c r="D229" s="279">
        <f>'2.ポータル'!C219</f>
        <v>0</v>
      </c>
      <c r="E229" s="279">
        <f>'2.ポータル'!D219</f>
        <v>0</v>
      </c>
      <c r="G229" s="261"/>
      <c r="H229" s="262" t="s">
        <v>672</v>
      </c>
      <c r="I229" s="93" t="str">
        <f ca="1">IFERROR(__xludf.DUMMYFUNCTION("""COMPUTED_VALUE"""),"Agent21")</f>
        <v>Agent21</v>
      </c>
      <c r="J229" s="93" t="str">
        <f ca="1">IFERROR(__xludf.DUMMYFUNCTION("""COMPUTED_VALUE"""),"P222")</f>
        <v>P222</v>
      </c>
      <c r="K229" s="93" t="str">
        <f ca="1">IFERROR(__xludf.DUMMYFUNCTION("""COMPUTED_VALUE"""),"P223")</f>
        <v>P223</v>
      </c>
      <c r="L229" s="242" t="s">
        <v>681</v>
      </c>
      <c r="M229" s="263" t="str">
        <f t="shared" ca="1" si="0"/>
        <v>navy</v>
      </c>
      <c r="N229" s="264" t="str">
        <f ca="1">IFERROR(__xludf.DUMMYFUNCTION("FILTER(C:E,B:B=J229)"),"米子城跡 上り口")</f>
        <v>米子城跡 上り口</v>
      </c>
      <c r="O229" s="265">
        <f ca="1">IFERROR(__xludf.DUMMYFUNCTION("""COMPUTED_VALUE"""),35.424862)</f>
        <v>35.424861999999997</v>
      </c>
      <c r="P229" s="265">
        <f ca="1">IFERROR(__xludf.DUMMYFUNCTION("""COMPUTED_VALUE"""),133.326159)</f>
        <v>133.32615899999999</v>
      </c>
      <c r="Q229" s="264" t="str">
        <f ca="1">IFERROR(__xludf.DUMMYFUNCTION("FILTER(C:E,B:B=K229)"),"焼肉韓国料理 大力家族亭")</f>
        <v>焼肉韓国料理 大力家族亭</v>
      </c>
      <c r="R229" s="265">
        <f ca="1">IFERROR(__xludf.DUMMYFUNCTION("""COMPUTED_VALUE"""),35.42498)</f>
        <v>35.424979999999998</v>
      </c>
      <c r="S229" s="265">
        <f ca="1">IFERROR(__xludf.DUMMYFUNCTION("""COMPUTED_VALUE"""),133.330266)</f>
        <v>133.33026599999999</v>
      </c>
      <c r="T229" s="264" t="str">
        <f ca="1">IFERROR(__xludf.DUMMYFUNCTION("FILTER(C:E,B:B=L229)")," ")</f>
        <v xml:space="preserve"> </v>
      </c>
      <c r="U229" s="40" t="str">
        <f ca="1">IFERROR(__xludf.DUMMYFUNCTION("""COMPUTED_VALUE""")," ")</f>
        <v xml:space="preserve"> </v>
      </c>
      <c r="V229" s="40" t="str">
        <f ca="1">IFERROR(__xludf.DUMMYFUNCTION("""COMPUTED_VALUE""")," ")</f>
        <v xml:space="preserve"> </v>
      </c>
      <c r="W229" s="40" t="str">
        <f t="shared" ca="1" si="21"/>
        <v>,</v>
      </c>
      <c r="X229" s="40" t="s">
        <v>682</v>
      </c>
      <c r="Y229" s="40" t="s">
        <v>683</v>
      </c>
      <c r="Z229" s="264">
        <f t="shared" ca="1" si="1"/>
        <v>35.424861999999997</v>
      </c>
      <c r="AA229" s="40" t="s">
        <v>684</v>
      </c>
      <c r="AB229" s="264">
        <f t="shared" ca="1" si="2"/>
        <v>133.32615899999999</v>
      </c>
      <c r="AC229" s="40" t="s">
        <v>685</v>
      </c>
      <c r="AD229" s="264">
        <f t="shared" ca="1" si="3"/>
        <v>35.424979999999998</v>
      </c>
      <c r="AE229" s="40" t="s">
        <v>684</v>
      </c>
      <c r="AF229" s="264">
        <f t="shared" ca="1" si="4"/>
        <v>133.33026599999999</v>
      </c>
      <c r="AG229" s="40" t="s">
        <v>686</v>
      </c>
      <c r="AH229" s="264" t="str">
        <f t="shared" ca="1" si="5"/>
        <v xml:space="preserve"> </v>
      </c>
      <c r="AI229" s="40" t="s">
        <v>684</v>
      </c>
      <c r="AJ229" s="264" t="str">
        <f t="shared" ca="1" si="6"/>
        <v xml:space="preserve"> </v>
      </c>
      <c r="AK229" s="40" t="s">
        <v>687</v>
      </c>
      <c r="AL229" s="264" t="str">
        <f t="shared" ca="1" si="7"/>
        <v>navy</v>
      </c>
      <c r="AM229" s="40" t="s">
        <v>688</v>
      </c>
      <c r="AN229" s="40" t="str">
        <f t="shared" ca="1" si="8"/>
        <v>,{"type":"polygon","latLngs":[ {"lat":35.424862,"lng":133.326159}, {"lat":35.42498,"lng":133.330266},{"lat": ,"lng": }], "color":"navy"}</v>
      </c>
      <c r="AO229" s="266" t="s">
        <v>689</v>
      </c>
      <c r="AP229" s="56">
        <f t="shared" ca="1" si="9"/>
        <v>35.424861999999997</v>
      </c>
      <c r="AQ229" s="40" t="s">
        <v>684</v>
      </c>
      <c r="AR229" s="56">
        <f t="shared" ca="1" si="10"/>
        <v>133.32615899999999</v>
      </c>
      <c r="AS229" s="40" t="s">
        <v>686</v>
      </c>
      <c r="AT229" s="56">
        <f t="shared" ca="1" si="11"/>
        <v>35.424979999999998</v>
      </c>
      <c r="AU229" s="40" t="s">
        <v>684</v>
      </c>
      <c r="AV229" s="56">
        <f t="shared" ca="1" si="12"/>
        <v>133.33026599999999</v>
      </c>
      <c r="AW229" s="40" t="s">
        <v>690</v>
      </c>
      <c r="AX229" s="40" t="str">
        <f t="shared" ca="1" si="13"/>
        <v>navy</v>
      </c>
      <c r="AY229" s="40" t="s">
        <v>688</v>
      </c>
      <c r="AZ229" s="40" t="str">
        <f t="shared" ca="1" si="14"/>
        <v>,{"type":"polyline","latLngs":[{"lat":35.424862,"lng":133.326159},{"lat":35.42498,"lng":133.330266}],"color":"navy"}</v>
      </c>
      <c r="BA229" s="40" t="s">
        <v>691</v>
      </c>
      <c r="BB229" s="56">
        <f t="shared" ca="1" si="15"/>
        <v>35.424861999999997</v>
      </c>
      <c r="BC229" s="40" t="s">
        <v>684</v>
      </c>
      <c r="BD229" s="56">
        <f t="shared" ca="1" si="16"/>
        <v>133.32615899999999</v>
      </c>
      <c r="BE229" s="40" t="s">
        <v>692</v>
      </c>
      <c r="BF229" s="40" t="str">
        <f t="shared" ca="1" si="17"/>
        <v>navy</v>
      </c>
      <c r="BG229" s="40" t="s">
        <v>688</v>
      </c>
      <c r="BH229" s="40" t="str">
        <f t="shared" ca="1" si="18"/>
        <v>,{"type":"marker","latLng":{"lat":35.424862,"lng":133.326159},"color":"navy"}</v>
      </c>
      <c r="BI229" s="40" t="s">
        <v>693</v>
      </c>
      <c r="BJ229" s="40" t="s">
        <v>694</v>
      </c>
      <c r="BK229" s="267" t="str">
        <f t="shared" ca="1" si="19"/>
        <v>,{"type":"polyline","latLngs":[{"lat":35.424862,"lng":133.326159},{"lat":35.42498,"lng":133.330266}],"color":"navy"}</v>
      </c>
      <c r="BL229" s="40"/>
      <c r="BM229" s="40"/>
    </row>
    <row r="230" spans="3:65" ht="17.5">
      <c r="C230" s="279">
        <f>'2.ポータル'!B220</f>
        <v>0</v>
      </c>
      <c r="D230" s="279">
        <f>'2.ポータル'!C220</f>
        <v>0</v>
      </c>
      <c r="E230" s="279">
        <f>'2.ポータル'!D220</f>
        <v>0</v>
      </c>
      <c r="G230" s="261"/>
      <c r="H230" s="262" t="s">
        <v>672</v>
      </c>
      <c r="I230" s="93" t="str">
        <f ca="1">IFERROR(__xludf.DUMMYFUNCTION("""COMPUTED_VALUE"""),"Agent21")</f>
        <v>Agent21</v>
      </c>
      <c r="J230" s="93" t="str">
        <f ca="1">IFERROR(__xludf.DUMMYFUNCTION("""COMPUTED_VALUE"""),"P222")</f>
        <v>P222</v>
      </c>
      <c r="K230" s="93" t="str">
        <f ca="1">IFERROR(__xludf.DUMMYFUNCTION("""COMPUTED_VALUE"""),"P212")</f>
        <v>P212</v>
      </c>
      <c r="L230" s="242" t="s">
        <v>681</v>
      </c>
      <c r="M230" s="263" t="str">
        <f t="shared" ca="1" si="0"/>
        <v>navy</v>
      </c>
      <c r="N230" s="264" t="str">
        <f ca="1">IFERROR(__xludf.DUMMYFUNCTION("FILTER(C:E,B:B=J230)"),"米子城跡 上り口")</f>
        <v>米子城跡 上り口</v>
      </c>
      <c r="O230" s="265">
        <f ca="1">IFERROR(__xludf.DUMMYFUNCTION("""COMPUTED_VALUE"""),35.424862)</f>
        <v>35.424861999999997</v>
      </c>
      <c r="P230" s="265">
        <f ca="1">IFERROR(__xludf.DUMMYFUNCTION("""COMPUTED_VALUE"""),133.326159)</f>
        <v>133.32615899999999</v>
      </c>
      <c r="Q230" s="264" t="str">
        <f ca="1">IFERROR(__xludf.DUMMYFUNCTION("FILTER(C:E,B:B=K230)"),"彫刻ロード「光」")</f>
        <v>彫刻ロード「光」</v>
      </c>
      <c r="R230" s="265">
        <f ca="1">IFERROR(__xludf.DUMMYFUNCTION("""COMPUTED_VALUE"""),35.423258)</f>
        <v>35.423257999999997</v>
      </c>
      <c r="S230" s="265">
        <f ca="1">IFERROR(__xludf.DUMMYFUNCTION("""COMPUTED_VALUE"""),133.326555)</f>
        <v>133.32655500000001</v>
      </c>
      <c r="T230" s="264" t="str">
        <f ca="1">IFERROR(__xludf.DUMMYFUNCTION("FILTER(C:E,B:B=L230)")," ")</f>
        <v xml:space="preserve"> </v>
      </c>
      <c r="U230" s="40" t="str">
        <f ca="1">IFERROR(__xludf.DUMMYFUNCTION("""COMPUTED_VALUE""")," ")</f>
        <v xml:space="preserve"> </v>
      </c>
      <c r="V230" s="40" t="str">
        <f ca="1">IFERROR(__xludf.DUMMYFUNCTION("""COMPUTED_VALUE""")," ")</f>
        <v xml:space="preserve"> </v>
      </c>
      <c r="W230" s="40" t="str">
        <f t="shared" ca="1" si="21"/>
        <v>,</v>
      </c>
      <c r="X230" s="40" t="s">
        <v>682</v>
      </c>
      <c r="Y230" s="40" t="s">
        <v>683</v>
      </c>
      <c r="Z230" s="264">
        <f t="shared" ca="1" si="1"/>
        <v>35.424861999999997</v>
      </c>
      <c r="AA230" s="40" t="s">
        <v>684</v>
      </c>
      <c r="AB230" s="264">
        <f t="shared" ca="1" si="2"/>
        <v>133.32615899999999</v>
      </c>
      <c r="AC230" s="40" t="s">
        <v>685</v>
      </c>
      <c r="AD230" s="264">
        <f t="shared" ca="1" si="3"/>
        <v>35.423257999999997</v>
      </c>
      <c r="AE230" s="40" t="s">
        <v>684</v>
      </c>
      <c r="AF230" s="264">
        <f t="shared" ca="1" si="4"/>
        <v>133.32655500000001</v>
      </c>
      <c r="AG230" s="40" t="s">
        <v>686</v>
      </c>
      <c r="AH230" s="264" t="str">
        <f t="shared" ca="1" si="5"/>
        <v xml:space="preserve"> </v>
      </c>
      <c r="AI230" s="40" t="s">
        <v>684</v>
      </c>
      <c r="AJ230" s="264" t="str">
        <f t="shared" ca="1" si="6"/>
        <v xml:space="preserve"> </v>
      </c>
      <c r="AK230" s="40" t="s">
        <v>687</v>
      </c>
      <c r="AL230" s="264" t="str">
        <f t="shared" ca="1" si="7"/>
        <v>navy</v>
      </c>
      <c r="AM230" s="40" t="s">
        <v>688</v>
      </c>
      <c r="AN230" s="40" t="str">
        <f t="shared" ca="1" si="8"/>
        <v>,{"type":"polygon","latLngs":[ {"lat":35.424862,"lng":133.326159}, {"lat":35.423258,"lng":133.326555},{"lat": ,"lng": }], "color":"navy"}</v>
      </c>
      <c r="AO230" s="266" t="s">
        <v>689</v>
      </c>
      <c r="AP230" s="56">
        <f t="shared" ca="1" si="9"/>
        <v>35.424861999999997</v>
      </c>
      <c r="AQ230" s="40" t="s">
        <v>684</v>
      </c>
      <c r="AR230" s="56">
        <f t="shared" ca="1" si="10"/>
        <v>133.32615899999999</v>
      </c>
      <c r="AS230" s="40" t="s">
        <v>686</v>
      </c>
      <c r="AT230" s="56">
        <f t="shared" ca="1" si="11"/>
        <v>35.423257999999997</v>
      </c>
      <c r="AU230" s="40" t="s">
        <v>684</v>
      </c>
      <c r="AV230" s="56">
        <f t="shared" ca="1" si="12"/>
        <v>133.32655500000001</v>
      </c>
      <c r="AW230" s="40" t="s">
        <v>690</v>
      </c>
      <c r="AX230" s="40" t="str">
        <f t="shared" ca="1" si="13"/>
        <v>navy</v>
      </c>
      <c r="AY230" s="40" t="s">
        <v>688</v>
      </c>
      <c r="AZ230" s="40" t="str">
        <f t="shared" ca="1" si="14"/>
        <v>,{"type":"polyline","latLngs":[{"lat":35.424862,"lng":133.326159},{"lat":35.423258,"lng":133.326555}],"color":"navy"}</v>
      </c>
      <c r="BA230" s="40" t="s">
        <v>691</v>
      </c>
      <c r="BB230" s="56">
        <f t="shared" ca="1" si="15"/>
        <v>35.424861999999997</v>
      </c>
      <c r="BC230" s="40" t="s">
        <v>684</v>
      </c>
      <c r="BD230" s="56">
        <f t="shared" ca="1" si="16"/>
        <v>133.32615899999999</v>
      </c>
      <c r="BE230" s="40" t="s">
        <v>692</v>
      </c>
      <c r="BF230" s="40" t="str">
        <f t="shared" ca="1" si="17"/>
        <v>navy</v>
      </c>
      <c r="BG230" s="40" t="s">
        <v>688</v>
      </c>
      <c r="BH230" s="40" t="str">
        <f t="shared" ca="1" si="18"/>
        <v>,{"type":"marker","latLng":{"lat":35.424862,"lng":133.326159},"color":"navy"}</v>
      </c>
      <c r="BI230" s="40" t="s">
        <v>693</v>
      </c>
      <c r="BJ230" s="40" t="s">
        <v>694</v>
      </c>
      <c r="BK230" s="267" t="str">
        <f t="shared" ca="1" si="19"/>
        <v>,{"type":"polyline","latLngs":[{"lat":35.424862,"lng":133.326159},{"lat":35.423258,"lng":133.326555}],"color":"navy"}</v>
      </c>
      <c r="BL230" s="40"/>
      <c r="BM230" s="40"/>
    </row>
    <row r="231" spans="3:65" ht="17.5">
      <c r="C231" s="279">
        <f>'2.ポータル'!B221</f>
        <v>0</v>
      </c>
      <c r="D231" s="279">
        <f>'2.ポータル'!C221</f>
        <v>0</v>
      </c>
      <c r="E231" s="279">
        <f>'2.ポータル'!D221</f>
        <v>0</v>
      </c>
      <c r="G231" s="261"/>
      <c r="H231" s="262" t="s">
        <v>672</v>
      </c>
      <c r="I231" s="93" t="str">
        <f ca="1">IFERROR(__xludf.DUMMYFUNCTION("""COMPUTED_VALUE"""),"Agent22")</f>
        <v>Agent22</v>
      </c>
      <c r="J231" s="93" t="str">
        <f ca="1">IFERROR(__xludf.DUMMYFUNCTION("""COMPUTED_VALUE"""),"P206")</f>
        <v>P206</v>
      </c>
      <c r="K231" s="93" t="str">
        <f ca="1">IFERROR(__xludf.DUMMYFUNCTION("""COMPUTED_VALUE"""),"P203")</f>
        <v>P203</v>
      </c>
      <c r="L231" s="242" t="s">
        <v>681</v>
      </c>
      <c r="M231" s="263" t="str">
        <f t="shared" ca="1" si="0"/>
        <v>blueviolet</v>
      </c>
      <c r="N231" s="264" t="str">
        <f ca="1">IFERROR(__xludf.DUMMYFUNCTION("FILTER(C:E,B:B=J231)"),"米子駅バス乗り場 観光案内地図")</f>
        <v>米子駅バス乗り場 観光案内地図</v>
      </c>
      <c r="O231" s="265">
        <f ca="1">IFERROR(__xludf.DUMMYFUNCTION("""COMPUTED_VALUE"""),35.422825)</f>
        <v>35.422825000000003</v>
      </c>
      <c r="P231" s="265">
        <f ca="1">IFERROR(__xludf.DUMMYFUNCTION("""COMPUTED_VALUE"""),133.335512)</f>
        <v>133.33551199999999</v>
      </c>
      <c r="Q231" s="264" t="str">
        <f ca="1">IFERROR(__xludf.DUMMYFUNCTION("FILTER(C:E,B:B=K231)"),"JR米子駅南口")</f>
        <v>JR米子駅南口</v>
      </c>
      <c r="R231" s="265">
        <f ca="1">IFERROR(__xludf.DUMMYFUNCTION("""COMPUTED_VALUE"""),35.422583)</f>
        <v>35.422583000000003</v>
      </c>
      <c r="S231" s="265">
        <f ca="1">IFERROR(__xludf.DUMMYFUNCTION("""COMPUTED_VALUE"""),133.337411)</f>
        <v>133.337411</v>
      </c>
      <c r="T231" s="264" t="str">
        <f ca="1">IFERROR(__xludf.DUMMYFUNCTION("FILTER(C:E,B:B=L231)")," ")</f>
        <v xml:space="preserve"> </v>
      </c>
      <c r="U231" s="40" t="str">
        <f ca="1">IFERROR(__xludf.DUMMYFUNCTION("""COMPUTED_VALUE""")," ")</f>
        <v xml:space="preserve"> </v>
      </c>
      <c r="V231" s="40" t="str">
        <f ca="1">IFERROR(__xludf.DUMMYFUNCTION("""COMPUTED_VALUE""")," ")</f>
        <v xml:space="preserve"> </v>
      </c>
      <c r="W231" s="40" t="str">
        <f t="shared" ca="1" si="21"/>
        <v>,</v>
      </c>
      <c r="X231" s="40" t="s">
        <v>682</v>
      </c>
      <c r="Y231" s="40" t="s">
        <v>683</v>
      </c>
      <c r="Z231" s="264">
        <f t="shared" ca="1" si="1"/>
        <v>35.422825000000003</v>
      </c>
      <c r="AA231" s="40" t="s">
        <v>684</v>
      </c>
      <c r="AB231" s="264">
        <f t="shared" ca="1" si="2"/>
        <v>133.33551199999999</v>
      </c>
      <c r="AC231" s="40" t="s">
        <v>685</v>
      </c>
      <c r="AD231" s="264">
        <f t="shared" ca="1" si="3"/>
        <v>35.422583000000003</v>
      </c>
      <c r="AE231" s="40" t="s">
        <v>684</v>
      </c>
      <c r="AF231" s="264">
        <f t="shared" ca="1" si="4"/>
        <v>133.337411</v>
      </c>
      <c r="AG231" s="40" t="s">
        <v>686</v>
      </c>
      <c r="AH231" s="264" t="str">
        <f t="shared" ca="1" si="5"/>
        <v xml:space="preserve"> </v>
      </c>
      <c r="AI231" s="40" t="s">
        <v>684</v>
      </c>
      <c r="AJ231" s="264" t="str">
        <f t="shared" ca="1" si="6"/>
        <v xml:space="preserve"> </v>
      </c>
      <c r="AK231" s="40" t="s">
        <v>687</v>
      </c>
      <c r="AL231" s="264" t="str">
        <f t="shared" ca="1" si="7"/>
        <v>blueviolet</v>
      </c>
      <c r="AM231" s="40" t="s">
        <v>688</v>
      </c>
      <c r="AN231" s="40" t="str">
        <f t="shared" ca="1" si="8"/>
        <v>,{"type":"polygon","latLngs":[ {"lat":35.422825,"lng":133.335512}, {"lat":35.422583,"lng":133.337411},{"lat": ,"lng": }], "color":"blueviolet"}</v>
      </c>
      <c r="AO231" s="266" t="s">
        <v>689</v>
      </c>
      <c r="AP231" s="56">
        <f t="shared" ca="1" si="9"/>
        <v>35.422825000000003</v>
      </c>
      <c r="AQ231" s="40" t="s">
        <v>684</v>
      </c>
      <c r="AR231" s="56">
        <f t="shared" ca="1" si="10"/>
        <v>133.33551199999999</v>
      </c>
      <c r="AS231" s="40" t="s">
        <v>686</v>
      </c>
      <c r="AT231" s="56">
        <f t="shared" ca="1" si="11"/>
        <v>35.422583000000003</v>
      </c>
      <c r="AU231" s="40" t="s">
        <v>684</v>
      </c>
      <c r="AV231" s="56">
        <f t="shared" ca="1" si="12"/>
        <v>133.337411</v>
      </c>
      <c r="AW231" s="40" t="s">
        <v>690</v>
      </c>
      <c r="AX231" s="40" t="str">
        <f t="shared" ca="1" si="13"/>
        <v>blueviolet</v>
      </c>
      <c r="AY231" s="40" t="s">
        <v>688</v>
      </c>
      <c r="AZ231" s="40" t="str">
        <f t="shared" ca="1" si="14"/>
        <v>,{"type":"polyline","latLngs":[{"lat":35.422825,"lng":133.335512},{"lat":35.422583,"lng":133.337411}],"color":"blueviolet"}</v>
      </c>
      <c r="BA231" s="40" t="s">
        <v>691</v>
      </c>
      <c r="BB231" s="56">
        <f t="shared" ca="1" si="15"/>
        <v>35.422825000000003</v>
      </c>
      <c r="BC231" s="40" t="s">
        <v>684</v>
      </c>
      <c r="BD231" s="56">
        <f t="shared" ca="1" si="16"/>
        <v>133.33551199999999</v>
      </c>
      <c r="BE231" s="40" t="s">
        <v>692</v>
      </c>
      <c r="BF231" s="40" t="str">
        <f t="shared" ca="1" si="17"/>
        <v>blueviolet</v>
      </c>
      <c r="BG231" s="40" t="s">
        <v>688</v>
      </c>
      <c r="BH231" s="40" t="str">
        <f t="shared" ca="1" si="18"/>
        <v>,{"type":"marker","latLng":{"lat":35.422825,"lng":133.335512},"color":"blueviolet"}</v>
      </c>
      <c r="BI231" s="40" t="s">
        <v>693</v>
      </c>
      <c r="BJ231" s="40" t="s">
        <v>694</v>
      </c>
      <c r="BK231" s="267" t="str">
        <f t="shared" ca="1" si="19"/>
        <v>,{"type":"polyline","latLngs":[{"lat":35.422825,"lng":133.335512},{"lat":35.422583,"lng":133.337411}],"color":"blueviolet"}</v>
      </c>
      <c r="BL231" s="40"/>
      <c r="BM231" s="40"/>
    </row>
    <row r="232" spans="3:65" ht="17.5">
      <c r="G232" s="261"/>
      <c r="H232" s="262" t="s">
        <v>672</v>
      </c>
      <c r="I232" s="93" t="str">
        <f ca="1">IFERROR(__xludf.DUMMYFUNCTION("""COMPUTED_VALUE"""),"Agent22")</f>
        <v>Agent22</v>
      </c>
      <c r="J232" s="93" t="str">
        <f ca="1">IFERROR(__xludf.DUMMYFUNCTION("""COMPUTED_VALUE"""),"P206")</f>
        <v>P206</v>
      </c>
      <c r="K232" s="93" t="str">
        <f ca="1">IFERROR(__xludf.DUMMYFUNCTION("""COMPUTED_VALUE"""),"P217")</f>
        <v>P217</v>
      </c>
      <c r="L232" s="242" t="s">
        <v>681</v>
      </c>
      <c r="M232" s="263" t="str">
        <f t="shared" ca="1" si="0"/>
        <v>blueviolet</v>
      </c>
      <c r="N232" s="264" t="str">
        <f ca="1">IFERROR(__xludf.DUMMYFUNCTION("FILTER(C:E,B:B=J232)"),"米子駅バス乗り場 観光案内地図")</f>
        <v>米子駅バス乗り場 観光案内地図</v>
      </c>
      <c r="O232" s="265">
        <f ca="1">IFERROR(__xludf.DUMMYFUNCTION("""COMPUTED_VALUE"""),35.422825)</f>
        <v>35.422825000000003</v>
      </c>
      <c r="P232" s="265">
        <f ca="1">IFERROR(__xludf.DUMMYFUNCTION("""COMPUTED_VALUE"""),133.335512)</f>
        <v>133.33551199999999</v>
      </c>
      <c r="Q232" s="264" t="str">
        <f ca="1">IFERROR(__xludf.DUMMYFUNCTION("FILTER(C:E,B:B=K232)"),"明治第一公園のパーゴラ休憩所")</f>
        <v>明治第一公園のパーゴラ休憩所</v>
      </c>
      <c r="R232" s="265">
        <f ca="1">IFERROR(__xludf.DUMMYFUNCTION("""COMPUTED_VALUE"""),35.42404)</f>
        <v>35.424039999999998</v>
      </c>
      <c r="S232" s="265">
        <f ca="1">IFERROR(__xludf.DUMMYFUNCTION("""COMPUTED_VALUE"""),133.33353)</f>
        <v>133.33353</v>
      </c>
      <c r="T232" s="264" t="str">
        <f ca="1">IFERROR(__xludf.DUMMYFUNCTION("FILTER(C:E,B:B=L232)")," ")</f>
        <v xml:space="preserve"> </v>
      </c>
      <c r="U232" s="40" t="str">
        <f ca="1">IFERROR(__xludf.DUMMYFUNCTION("""COMPUTED_VALUE""")," ")</f>
        <v xml:space="preserve"> </v>
      </c>
      <c r="V232" s="40" t="str">
        <f ca="1">IFERROR(__xludf.DUMMYFUNCTION("""COMPUTED_VALUE""")," ")</f>
        <v xml:space="preserve"> </v>
      </c>
      <c r="W232" s="40" t="str">
        <f t="shared" ca="1" si="21"/>
        <v>,</v>
      </c>
      <c r="X232" s="40" t="s">
        <v>682</v>
      </c>
      <c r="Y232" s="40" t="s">
        <v>683</v>
      </c>
      <c r="Z232" s="264">
        <f t="shared" ca="1" si="1"/>
        <v>35.422825000000003</v>
      </c>
      <c r="AA232" s="40" t="s">
        <v>684</v>
      </c>
      <c r="AB232" s="264">
        <f t="shared" ca="1" si="2"/>
        <v>133.33551199999999</v>
      </c>
      <c r="AC232" s="40" t="s">
        <v>685</v>
      </c>
      <c r="AD232" s="264">
        <f t="shared" ca="1" si="3"/>
        <v>35.424039999999998</v>
      </c>
      <c r="AE232" s="40" t="s">
        <v>684</v>
      </c>
      <c r="AF232" s="264">
        <f t="shared" ca="1" si="4"/>
        <v>133.33353</v>
      </c>
      <c r="AG232" s="40" t="s">
        <v>686</v>
      </c>
      <c r="AH232" s="264" t="str">
        <f t="shared" ca="1" si="5"/>
        <v xml:space="preserve"> </v>
      </c>
      <c r="AI232" s="40" t="s">
        <v>684</v>
      </c>
      <c r="AJ232" s="264" t="str">
        <f t="shared" ca="1" si="6"/>
        <v xml:space="preserve"> </v>
      </c>
      <c r="AK232" s="40" t="s">
        <v>687</v>
      </c>
      <c r="AL232" s="264" t="str">
        <f t="shared" ca="1" si="7"/>
        <v>blueviolet</v>
      </c>
      <c r="AM232" s="40" t="s">
        <v>688</v>
      </c>
      <c r="AN232" s="40" t="str">
        <f t="shared" ca="1" si="8"/>
        <v>,{"type":"polygon","latLngs":[ {"lat":35.422825,"lng":133.335512}, {"lat":35.42404,"lng":133.33353},{"lat": ,"lng": }], "color":"blueviolet"}</v>
      </c>
      <c r="AO232" s="266" t="s">
        <v>689</v>
      </c>
      <c r="AP232" s="56">
        <f t="shared" ca="1" si="9"/>
        <v>35.422825000000003</v>
      </c>
      <c r="AQ232" s="40" t="s">
        <v>684</v>
      </c>
      <c r="AR232" s="56">
        <f t="shared" ca="1" si="10"/>
        <v>133.33551199999999</v>
      </c>
      <c r="AS232" s="40" t="s">
        <v>686</v>
      </c>
      <c r="AT232" s="56">
        <f t="shared" ca="1" si="11"/>
        <v>35.424039999999998</v>
      </c>
      <c r="AU232" s="40" t="s">
        <v>684</v>
      </c>
      <c r="AV232" s="56">
        <f t="shared" ca="1" si="12"/>
        <v>133.33353</v>
      </c>
      <c r="AW232" s="40" t="s">
        <v>690</v>
      </c>
      <c r="AX232" s="40" t="str">
        <f t="shared" ca="1" si="13"/>
        <v>blueviolet</v>
      </c>
      <c r="AY232" s="40" t="s">
        <v>688</v>
      </c>
      <c r="AZ232" s="40" t="str">
        <f t="shared" ca="1" si="14"/>
        <v>,{"type":"polyline","latLngs":[{"lat":35.422825,"lng":133.335512},{"lat":35.42404,"lng":133.33353}],"color":"blueviolet"}</v>
      </c>
      <c r="BA232" s="40" t="s">
        <v>691</v>
      </c>
      <c r="BB232" s="56">
        <f t="shared" ca="1" si="15"/>
        <v>35.422825000000003</v>
      </c>
      <c r="BC232" s="40" t="s">
        <v>684</v>
      </c>
      <c r="BD232" s="56">
        <f t="shared" ca="1" si="16"/>
        <v>133.33551199999999</v>
      </c>
      <c r="BE232" s="40" t="s">
        <v>692</v>
      </c>
      <c r="BF232" s="40" t="str">
        <f t="shared" ca="1" si="17"/>
        <v>blueviolet</v>
      </c>
      <c r="BG232" s="40" t="s">
        <v>688</v>
      </c>
      <c r="BH232" s="40" t="str">
        <f t="shared" ca="1" si="18"/>
        <v>,{"type":"marker","latLng":{"lat":35.422825,"lng":133.335512},"color":"blueviolet"}</v>
      </c>
      <c r="BI232" s="40" t="s">
        <v>693</v>
      </c>
      <c r="BJ232" s="40" t="s">
        <v>694</v>
      </c>
      <c r="BK232" s="267" t="str">
        <f t="shared" ca="1" si="19"/>
        <v>,{"type":"polyline","latLngs":[{"lat":35.422825,"lng":133.335512},{"lat":35.42404,"lng":133.33353}],"color":"blueviolet"}</v>
      </c>
      <c r="BL232" s="40"/>
      <c r="BM232" s="40"/>
    </row>
    <row r="233" spans="3:65" ht="17.5">
      <c r="G233" s="261"/>
      <c r="H233" s="262" t="s">
        <v>672</v>
      </c>
      <c r="I233" s="93" t="str">
        <f ca="1">IFERROR(__xludf.DUMMYFUNCTION("""COMPUTED_VALUE"""),"Agent22")</f>
        <v>Agent22</v>
      </c>
      <c r="J233" s="93" t="str">
        <f ca="1">IFERROR(__xludf.DUMMYFUNCTION("""COMPUTED_VALUE"""),"P208")</f>
        <v>P208</v>
      </c>
      <c r="K233" s="93" t="str">
        <f ca="1">IFERROR(__xludf.DUMMYFUNCTION("""COMPUTED_VALUE"""),"P217")</f>
        <v>P217</v>
      </c>
      <c r="L233" s="242" t="s">
        <v>681</v>
      </c>
      <c r="M233" s="263" t="str">
        <f t="shared" ca="1" si="0"/>
        <v>blueviolet</v>
      </c>
      <c r="N233" s="264" t="str">
        <f ca="1">IFERROR(__xludf.DUMMYFUNCTION("FILTER(C:E,B:B=J233)"),"だれ")</f>
        <v>だれ</v>
      </c>
      <c r="O233" s="265">
        <f ca="1">IFERROR(__xludf.DUMMYFUNCTION("""COMPUTED_VALUE"""),35.423014)</f>
        <v>35.423014000000002</v>
      </c>
      <c r="P233" s="265">
        <f ca="1">IFERROR(__xludf.DUMMYFUNCTION("""COMPUTED_VALUE"""),133.335086)</f>
        <v>133.33508599999999</v>
      </c>
      <c r="Q233" s="264" t="str">
        <f ca="1">IFERROR(__xludf.DUMMYFUNCTION("FILTER(C:E,B:B=K233)"),"明治第一公園のパーゴラ休憩所")</f>
        <v>明治第一公園のパーゴラ休憩所</v>
      </c>
      <c r="R233" s="265">
        <f ca="1">IFERROR(__xludf.DUMMYFUNCTION("""COMPUTED_VALUE"""),35.42404)</f>
        <v>35.424039999999998</v>
      </c>
      <c r="S233" s="265">
        <f ca="1">IFERROR(__xludf.DUMMYFUNCTION("""COMPUTED_VALUE"""),133.33353)</f>
        <v>133.33353</v>
      </c>
      <c r="T233" s="264" t="str">
        <f ca="1">IFERROR(__xludf.DUMMYFUNCTION("FILTER(C:E,B:B=L233)")," ")</f>
        <v xml:space="preserve"> </v>
      </c>
      <c r="U233" s="40" t="str">
        <f ca="1">IFERROR(__xludf.DUMMYFUNCTION("""COMPUTED_VALUE""")," ")</f>
        <v xml:space="preserve"> </v>
      </c>
      <c r="V233" s="40" t="str">
        <f ca="1">IFERROR(__xludf.DUMMYFUNCTION("""COMPUTED_VALUE""")," ")</f>
        <v xml:space="preserve"> </v>
      </c>
      <c r="W233" s="40" t="str">
        <f t="shared" ca="1" si="21"/>
        <v>,</v>
      </c>
      <c r="X233" s="40" t="s">
        <v>682</v>
      </c>
      <c r="Y233" s="40" t="s">
        <v>683</v>
      </c>
      <c r="Z233" s="264">
        <f t="shared" ca="1" si="1"/>
        <v>35.423014000000002</v>
      </c>
      <c r="AA233" s="40" t="s">
        <v>684</v>
      </c>
      <c r="AB233" s="264">
        <f t="shared" ca="1" si="2"/>
        <v>133.33508599999999</v>
      </c>
      <c r="AC233" s="40" t="s">
        <v>685</v>
      </c>
      <c r="AD233" s="264">
        <f t="shared" ca="1" si="3"/>
        <v>35.424039999999998</v>
      </c>
      <c r="AE233" s="40" t="s">
        <v>684</v>
      </c>
      <c r="AF233" s="264">
        <f t="shared" ca="1" si="4"/>
        <v>133.33353</v>
      </c>
      <c r="AG233" s="40" t="s">
        <v>686</v>
      </c>
      <c r="AH233" s="264" t="str">
        <f t="shared" ca="1" si="5"/>
        <v xml:space="preserve"> </v>
      </c>
      <c r="AI233" s="40" t="s">
        <v>684</v>
      </c>
      <c r="AJ233" s="264" t="str">
        <f t="shared" ca="1" si="6"/>
        <v xml:space="preserve"> </v>
      </c>
      <c r="AK233" s="40" t="s">
        <v>687</v>
      </c>
      <c r="AL233" s="264" t="str">
        <f t="shared" ca="1" si="7"/>
        <v>blueviolet</v>
      </c>
      <c r="AM233" s="40" t="s">
        <v>688</v>
      </c>
      <c r="AN233" s="40" t="str">
        <f t="shared" ca="1" si="8"/>
        <v>,{"type":"polygon","latLngs":[ {"lat":35.423014,"lng":133.335086}, {"lat":35.42404,"lng":133.33353},{"lat": ,"lng": }], "color":"blueviolet"}</v>
      </c>
      <c r="AO233" s="266" t="s">
        <v>689</v>
      </c>
      <c r="AP233" s="56">
        <f t="shared" ca="1" si="9"/>
        <v>35.423014000000002</v>
      </c>
      <c r="AQ233" s="40" t="s">
        <v>684</v>
      </c>
      <c r="AR233" s="56">
        <f t="shared" ca="1" si="10"/>
        <v>133.33508599999999</v>
      </c>
      <c r="AS233" s="40" t="s">
        <v>686</v>
      </c>
      <c r="AT233" s="56">
        <f t="shared" ca="1" si="11"/>
        <v>35.424039999999998</v>
      </c>
      <c r="AU233" s="40" t="s">
        <v>684</v>
      </c>
      <c r="AV233" s="56">
        <f t="shared" ca="1" si="12"/>
        <v>133.33353</v>
      </c>
      <c r="AW233" s="40" t="s">
        <v>690</v>
      </c>
      <c r="AX233" s="40" t="str">
        <f t="shared" ca="1" si="13"/>
        <v>blueviolet</v>
      </c>
      <c r="AY233" s="40" t="s">
        <v>688</v>
      </c>
      <c r="AZ233" s="40" t="str">
        <f t="shared" ca="1" si="14"/>
        <v>,{"type":"polyline","latLngs":[{"lat":35.423014,"lng":133.335086},{"lat":35.42404,"lng":133.33353}],"color":"blueviolet"}</v>
      </c>
      <c r="BA233" s="40" t="s">
        <v>691</v>
      </c>
      <c r="BB233" s="56">
        <f t="shared" ca="1" si="15"/>
        <v>35.423014000000002</v>
      </c>
      <c r="BC233" s="40" t="s">
        <v>684</v>
      </c>
      <c r="BD233" s="56">
        <f t="shared" ca="1" si="16"/>
        <v>133.33508599999999</v>
      </c>
      <c r="BE233" s="40" t="s">
        <v>692</v>
      </c>
      <c r="BF233" s="40" t="str">
        <f t="shared" ca="1" si="17"/>
        <v>blueviolet</v>
      </c>
      <c r="BG233" s="40" t="s">
        <v>688</v>
      </c>
      <c r="BH233" s="40" t="str">
        <f t="shared" ca="1" si="18"/>
        <v>,{"type":"marker","latLng":{"lat":35.423014,"lng":133.335086},"color":"blueviolet"}</v>
      </c>
      <c r="BI233" s="40" t="s">
        <v>693</v>
      </c>
      <c r="BJ233" s="40" t="s">
        <v>694</v>
      </c>
      <c r="BK233" s="267" t="str">
        <f t="shared" ca="1" si="19"/>
        <v>,{"type":"polyline","latLngs":[{"lat":35.423014,"lng":133.335086},{"lat":35.42404,"lng":133.33353}],"color":"blueviolet"}</v>
      </c>
      <c r="BL233" s="40"/>
      <c r="BM233" s="40"/>
    </row>
    <row r="234" spans="3:65" ht="17.5">
      <c r="G234" s="261"/>
      <c r="H234" s="262" t="s">
        <v>672</v>
      </c>
      <c r="I234" s="93" t="str">
        <f ca="1">IFERROR(__xludf.DUMMYFUNCTION("""COMPUTED_VALUE"""),"Agent22")</f>
        <v>Agent22</v>
      </c>
      <c r="J234" s="93" t="str">
        <f ca="1">IFERROR(__xludf.DUMMYFUNCTION("""COMPUTED_VALUE"""),"P211")</f>
        <v>P211</v>
      </c>
      <c r="K234" s="93" t="str">
        <f ca="1">IFERROR(__xludf.DUMMYFUNCTION("""COMPUTED_VALUE"""),"P217")</f>
        <v>P217</v>
      </c>
      <c r="L234" s="242" t="s">
        <v>681</v>
      </c>
      <c r="M234" s="263" t="str">
        <f t="shared" ca="1" si="0"/>
        <v>blueviolet</v>
      </c>
      <c r="N234" s="264" t="str">
        <f ca="1">IFERROR(__xludf.DUMMYFUNCTION("FILTER(C:E,B:B=J234)"),"油そば 笑ちゃん")</f>
        <v>油そば 笑ちゃん</v>
      </c>
      <c r="O234" s="265">
        <f ca="1">IFERROR(__xludf.DUMMYFUNCTION("""COMPUTED_VALUE"""),35.423185)</f>
        <v>35.423184999999997</v>
      </c>
      <c r="P234" s="265">
        <f ca="1">IFERROR(__xludf.DUMMYFUNCTION("""COMPUTED_VALUE"""),133.33409)</f>
        <v>133.33409</v>
      </c>
      <c r="Q234" s="264" t="str">
        <f ca="1">IFERROR(__xludf.DUMMYFUNCTION("FILTER(C:E,B:B=K234)"),"明治第一公園のパーゴラ休憩所")</f>
        <v>明治第一公園のパーゴラ休憩所</v>
      </c>
      <c r="R234" s="265">
        <f ca="1">IFERROR(__xludf.DUMMYFUNCTION("""COMPUTED_VALUE"""),35.42404)</f>
        <v>35.424039999999998</v>
      </c>
      <c r="S234" s="265">
        <f ca="1">IFERROR(__xludf.DUMMYFUNCTION("""COMPUTED_VALUE"""),133.33353)</f>
        <v>133.33353</v>
      </c>
      <c r="T234" s="264" t="str">
        <f ca="1">IFERROR(__xludf.DUMMYFUNCTION("FILTER(C:E,B:B=L234)")," ")</f>
        <v xml:space="preserve"> </v>
      </c>
      <c r="U234" s="40" t="str">
        <f ca="1">IFERROR(__xludf.DUMMYFUNCTION("""COMPUTED_VALUE""")," ")</f>
        <v xml:space="preserve"> </v>
      </c>
      <c r="V234" s="40" t="str">
        <f ca="1">IFERROR(__xludf.DUMMYFUNCTION("""COMPUTED_VALUE""")," ")</f>
        <v xml:space="preserve"> </v>
      </c>
      <c r="W234" s="40" t="str">
        <f t="shared" ca="1" si="21"/>
        <v>,</v>
      </c>
      <c r="X234" s="40" t="s">
        <v>682</v>
      </c>
      <c r="Y234" s="40" t="s">
        <v>683</v>
      </c>
      <c r="Z234" s="264">
        <f t="shared" ca="1" si="1"/>
        <v>35.423184999999997</v>
      </c>
      <c r="AA234" s="40" t="s">
        <v>684</v>
      </c>
      <c r="AB234" s="264">
        <f t="shared" ca="1" si="2"/>
        <v>133.33409</v>
      </c>
      <c r="AC234" s="40" t="s">
        <v>685</v>
      </c>
      <c r="AD234" s="264">
        <f t="shared" ca="1" si="3"/>
        <v>35.424039999999998</v>
      </c>
      <c r="AE234" s="40" t="s">
        <v>684</v>
      </c>
      <c r="AF234" s="264">
        <f t="shared" ca="1" si="4"/>
        <v>133.33353</v>
      </c>
      <c r="AG234" s="40" t="s">
        <v>686</v>
      </c>
      <c r="AH234" s="264" t="str">
        <f t="shared" ca="1" si="5"/>
        <v xml:space="preserve"> </v>
      </c>
      <c r="AI234" s="40" t="s">
        <v>684</v>
      </c>
      <c r="AJ234" s="264" t="str">
        <f t="shared" ca="1" si="6"/>
        <v xml:space="preserve"> </v>
      </c>
      <c r="AK234" s="40" t="s">
        <v>687</v>
      </c>
      <c r="AL234" s="264" t="str">
        <f t="shared" ca="1" si="7"/>
        <v>blueviolet</v>
      </c>
      <c r="AM234" s="40" t="s">
        <v>688</v>
      </c>
      <c r="AN234" s="40" t="str">
        <f t="shared" ca="1" si="8"/>
        <v>,{"type":"polygon","latLngs":[ {"lat":35.423185,"lng":133.33409}, {"lat":35.42404,"lng":133.33353},{"lat": ,"lng": }], "color":"blueviolet"}</v>
      </c>
      <c r="AO234" s="266" t="s">
        <v>689</v>
      </c>
      <c r="AP234" s="56">
        <f t="shared" ca="1" si="9"/>
        <v>35.423184999999997</v>
      </c>
      <c r="AQ234" s="40" t="s">
        <v>684</v>
      </c>
      <c r="AR234" s="56">
        <f t="shared" ca="1" si="10"/>
        <v>133.33409</v>
      </c>
      <c r="AS234" s="40" t="s">
        <v>686</v>
      </c>
      <c r="AT234" s="56">
        <f t="shared" ca="1" si="11"/>
        <v>35.424039999999998</v>
      </c>
      <c r="AU234" s="40" t="s">
        <v>684</v>
      </c>
      <c r="AV234" s="56">
        <f t="shared" ca="1" si="12"/>
        <v>133.33353</v>
      </c>
      <c r="AW234" s="40" t="s">
        <v>690</v>
      </c>
      <c r="AX234" s="40" t="str">
        <f t="shared" ca="1" si="13"/>
        <v>blueviolet</v>
      </c>
      <c r="AY234" s="40" t="s">
        <v>688</v>
      </c>
      <c r="AZ234" s="40" t="str">
        <f t="shared" ca="1" si="14"/>
        <v>,{"type":"polyline","latLngs":[{"lat":35.423185,"lng":133.33409},{"lat":35.42404,"lng":133.33353}],"color":"blueviolet"}</v>
      </c>
      <c r="BA234" s="40" t="s">
        <v>691</v>
      </c>
      <c r="BB234" s="56">
        <f t="shared" ca="1" si="15"/>
        <v>35.423184999999997</v>
      </c>
      <c r="BC234" s="40" t="s">
        <v>684</v>
      </c>
      <c r="BD234" s="56">
        <f t="shared" ca="1" si="16"/>
        <v>133.33409</v>
      </c>
      <c r="BE234" s="40" t="s">
        <v>692</v>
      </c>
      <c r="BF234" s="40" t="str">
        <f t="shared" ca="1" si="17"/>
        <v>blueviolet</v>
      </c>
      <c r="BG234" s="40" t="s">
        <v>688</v>
      </c>
      <c r="BH234" s="40" t="str">
        <f t="shared" ca="1" si="18"/>
        <v>,{"type":"marker","latLng":{"lat":35.423185,"lng":133.33409},"color":"blueviolet"}</v>
      </c>
      <c r="BI234" s="40" t="s">
        <v>693</v>
      </c>
      <c r="BJ234" s="40" t="s">
        <v>694</v>
      </c>
      <c r="BK234" s="267" t="str">
        <f t="shared" ca="1" si="19"/>
        <v>,{"type":"polyline","latLngs":[{"lat":35.423185,"lng":133.33409},{"lat":35.42404,"lng":133.33353}],"color":"blueviolet"}</v>
      </c>
      <c r="BL234" s="40"/>
      <c r="BM234" s="40"/>
    </row>
    <row r="235" spans="3:65" ht="17.5">
      <c r="C235" s="279">
        <f>'2.ポータル'!B228</f>
        <v>0</v>
      </c>
      <c r="D235" s="279">
        <f>'2.ポータル'!C225</f>
        <v>0</v>
      </c>
      <c r="E235" s="279">
        <f>'2.ポータル'!D225</f>
        <v>0</v>
      </c>
      <c r="G235" s="261"/>
      <c r="H235" s="262" t="s">
        <v>672</v>
      </c>
      <c r="I235" s="93" t="str">
        <f ca="1">IFERROR(__xludf.DUMMYFUNCTION("""COMPUTED_VALUE"""),"Agent22")</f>
        <v>Agent22</v>
      </c>
      <c r="J235" s="93" t="str">
        <f ca="1">IFERROR(__xludf.DUMMYFUNCTION("""COMPUTED_VALUE"""),"P204")</f>
        <v>P204</v>
      </c>
      <c r="K235" s="93" t="str">
        <f ca="1">IFERROR(__xludf.DUMMYFUNCTION("""COMPUTED_VALUE"""),"P203")</f>
        <v>P203</v>
      </c>
      <c r="L235" s="242" t="s">
        <v>681</v>
      </c>
      <c r="M235" s="263" t="str">
        <f t="shared" ca="1" si="0"/>
        <v>blueviolet</v>
      </c>
      <c r="N235" s="264" t="str">
        <f ca="1">IFERROR(__xludf.DUMMYFUNCTION("FILTER(C:E,B:B=J235)"),"彫刻ロード「はる」")</f>
        <v>彫刻ロード「はる」</v>
      </c>
      <c r="O235" s="265">
        <f ca="1">IFERROR(__xludf.DUMMYFUNCTION("""COMPUTED_VALUE"""),35.422584)</f>
        <v>35.422584000000001</v>
      </c>
      <c r="P235" s="265">
        <f ca="1">IFERROR(__xludf.DUMMYFUNCTION("""COMPUTED_VALUE"""),133.333923)</f>
        <v>133.333923</v>
      </c>
      <c r="Q235" s="264" t="str">
        <f ca="1">IFERROR(__xludf.DUMMYFUNCTION("FILTER(C:E,B:B=K235)"),"JR米子駅南口")</f>
        <v>JR米子駅南口</v>
      </c>
      <c r="R235" s="265">
        <f ca="1">IFERROR(__xludf.DUMMYFUNCTION("""COMPUTED_VALUE"""),35.422583)</f>
        <v>35.422583000000003</v>
      </c>
      <c r="S235" s="265">
        <f ca="1">IFERROR(__xludf.DUMMYFUNCTION("""COMPUTED_VALUE"""),133.337411)</f>
        <v>133.337411</v>
      </c>
      <c r="T235" s="264" t="str">
        <f ca="1">IFERROR(__xludf.DUMMYFUNCTION("FILTER(C:E,B:B=L235)")," ")</f>
        <v xml:space="preserve"> </v>
      </c>
      <c r="U235" s="40" t="str">
        <f ca="1">IFERROR(__xludf.DUMMYFUNCTION("""COMPUTED_VALUE""")," ")</f>
        <v xml:space="preserve"> </v>
      </c>
      <c r="V235" s="40" t="str">
        <f ca="1">IFERROR(__xludf.DUMMYFUNCTION("""COMPUTED_VALUE""")," ")</f>
        <v xml:space="preserve"> </v>
      </c>
      <c r="W235" s="40" t="str">
        <f t="shared" ca="1" si="21"/>
        <v>,</v>
      </c>
      <c r="X235" s="40" t="s">
        <v>682</v>
      </c>
      <c r="Y235" s="40" t="s">
        <v>683</v>
      </c>
      <c r="Z235" s="264">
        <f t="shared" ca="1" si="1"/>
        <v>35.422584000000001</v>
      </c>
      <c r="AA235" s="40" t="s">
        <v>684</v>
      </c>
      <c r="AB235" s="264">
        <f t="shared" ca="1" si="2"/>
        <v>133.333923</v>
      </c>
      <c r="AC235" s="40" t="s">
        <v>685</v>
      </c>
      <c r="AD235" s="264">
        <f t="shared" ca="1" si="3"/>
        <v>35.422583000000003</v>
      </c>
      <c r="AE235" s="40" t="s">
        <v>684</v>
      </c>
      <c r="AF235" s="264">
        <f t="shared" ca="1" si="4"/>
        <v>133.337411</v>
      </c>
      <c r="AG235" s="40" t="s">
        <v>686</v>
      </c>
      <c r="AH235" s="264" t="str">
        <f t="shared" ca="1" si="5"/>
        <v xml:space="preserve"> </v>
      </c>
      <c r="AI235" s="40" t="s">
        <v>684</v>
      </c>
      <c r="AJ235" s="264" t="str">
        <f t="shared" ca="1" si="6"/>
        <v xml:space="preserve"> </v>
      </c>
      <c r="AK235" s="40" t="s">
        <v>687</v>
      </c>
      <c r="AL235" s="264" t="str">
        <f t="shared" ca="1" si="7"/>
        <v>blueviolet</v>
      </c>
      <c r="AM235" s="40" t="s">
        <v>688</v>
      </c>
      <c r="AN235" s="40" t="str">
        <f t="shared" ca="1" si="8"/>
        <v>,{"type":"polygon","latLngs":[ {"lat":35.422584,"lng":133.333923}, {"lat":35.422583,"lng":133.337411},{"lat": ,"lng": }], "color":"blueviolet"}</v>
      </c>
      <c r="AO235" s="266" t="s">
        <v>689</v>
      </c>
      <c r="AP235" s="56">
        <f t="shared" ca="1" si="9"/>
        <v>35.422584000000001</v>
      </c>
      <c r="AQ235" s="40" t="s">
        <v>684</v>
      </c>
      <c r="AR235" s="56">
        <f t="shared" ca="1" si="10"/>
        <v>133.333923</v>
      </c>
      <c r="AS235" s="40" t="s">
        <v>686</v>
      </c>
      <c r="AT235" s="56">
        <f t="shared" ca="1" si="11"/>
        <v>35.422583000000003</v>
      </c>
      <c r="AU235" s="40" t="s">
        <v>684</v>
      </c>
      <c r="AV235" s="56">
        <f t="shared" ca="1" si="12"/>
        <v>133.337411</v>
      </c>
      <c r="AW235" s="40" t="s">
        <v>690</v>
      </c>
      <c r="AX235" s="40" t="str">
        <f t="shared" ca="1" si="13"/>
        <v>blueviolet</v>
      </c>
      <c r="AY235" s="40" t="s">
        <v>688</v>
      </c>
      <c r="AZ235" s="40" t="str">
        <f t="shared" ca="1" si="14"/>
        <v>,{"type":"polyline","latLngs":[{"lat":35.422584,"lng":133.333923},{"lat":35.422583,"lng":133.337411}],"color":"blueviolet"}</v>
      </c>
      <c r="BA235" s="40" t="s">
        <v>691</v>
      </c>
      <c r="BB235" s="56">
        <f t="shared" ca="1" si="15"/>
        <v>35.422584000000001</v>
      </c>
      <c r="BC235" s="40" t="s">
        <v>684</v>
      </c>
      <c r="BD235" s="56">
        <f t="shared" ca="1" si="16"/>
        <v>133.333923</v>
      </c>
      <c r="BE235" s="40" t="s">
        <v>692</v>
      </c>
      <c r="BF235" s="40" t="str">
        <f t="shared" ca="1" si="17"/>
        <v>blueviolet</v>
      </c>
      <c r="BG235" s="40" t="s">
        <v>688</v>
      </c>
      <c r="BH235" s="40" t="str">
        <f t="shared" ca="1" si="18"/>
        <v>,{"type":"marker","latLng":{"lat":35.422584,"lng":133.333923},"color":"blueviolet"}</v>
      </c>
      <c r="BI235" s="40" t="s">
        <v>693</v>
      </c>
      <c r="BJ235" s="40" t="s">
        <v>694</v>
      </c>
      <c r="BK235" s="267" t="str">
        <f t="shared" ca="1" si="19"/>
        <v>,{"type":"polyline","latLngs":[{"lat":35.422584,"lng":133.333923},{"lat":35.422583,"lng":133.337411}],"color":"blueviolet"}</v>
      </c>
      <c r="BL235" s="40"/>
      <c r="BM235" s="40"/>
    </row>
    <row r="236" spans="3:65" ht="17.5">
      <c r="C236" s="279">
        <f>'2.ポータル'!B226</f>
        <v>0</v>
      </c>
      <c r="D236" s="279">
        <f>'2.ポータル'!C226</f>
        <v>0</v>
      </c>
      <c r="E236" s="279">
        <f>'2.ポータル'!D226</f>
        <v>0</v>
      </c>
      <c r="G236" s="261"/>
      <c r="H236" s="262" t="s">
        <v>672</v>
      </c>
      <c r="I236" s="93" t="str">
        <f ca="1">IFERROR(__xludf.DUMMYFUNCTION("""COMPUTED_VALUE"""),"Agent22")</f>
        <v>Agent22</v>
      </c>
      <c r="J236" s="93" t="str">
        <f ca="1">IFERROR(__xludf.DUMMYFUNCTION("""COMPUTED_VALUE"""),"P204")</f>
        <v>P204</v>
      </c>
      <c r="K236" s="93" t="str">
        <f ca="1">IFERROR(__xludf.DUMMYFUNCTION("""COMPUTED_VALUE"""),"P206")</f>
        <v>P206</v>
      </c>
      <c r="L236" s="242" t="s">
        <v>681</v>
      </c>
      <c r="M236" s="263" t="str">
        <f t="shared" ca="1" si="0"/>
        <v>blueviolet</v>
      </c>
      <c r="N236" s="264" t="str">
        <f ca="1">IFERROR(__xludf.DUMMYFUNCTION("FILTER(C:E,B:B=J236)"),"彫刻ロード「はる」")</f>
        <v>彫刻ロード「はる」</v>
      </c>
      <c r="O236" s="265">
        <f ca="1">IFERROR(__xludf.DUMMYFUNCTION("""COMPUTED_VALUE"""),35.422584)</f>
        <v>35.422584000000001</v>
      </c>
      <c r="P236" s="265">
        <f ca="1">IFERROR(__xludf.DUMMYFUNCTION("""COMPUTED_VALUE"""),133.333923)</f>
        <v>133.333923</v>
      </c>
      <c r="Q236" s="264" t="str">
        <f ca="1">IFERROR(__xludf.DUMMYFUNCTION("FILTER(C:E,B:B=K236)"),"米子駅バス乗り場 観光案内地図")</f>
        <v>米子駅バス乗り場 観光案内地図</v>
      </c>
      <c r="R236" s="265">
        <f ca="1">IFERROR(__xludf.DUMMYFUNCTION("""COMPUTED_VALUE"""),35.422825)</f>
        <v>35.422825000000003</v>
      </c>
      <c r="S236" s="265">
        <f ca="1">IFERROR(__xludf.DUMMYFUNCTION("""COMPUTED_VALUE"""),133.335512)</f>
        <v>133.33551199999999</v>
      </c>
      <c r="T236" s="264" t="str">
        <f ca="1">IFERROR(__xludf.DUMMYFUNCTION("FILTER(C:E,B:B=L236)")," ")</f>
        <v xml:space="preserve"> </v>
      </c>
      <c r="U236" s="40" t="str">
        <f ca="1">IFERROR(__xludf.DUMMYFUNCTION("""COMPUTED_VALUE""")," ")</f>
        <v xml:space="preserve"> </v>
      </c>
      <c r="V236" s="40" t="str">
        <f ca="1">IFERROR(__xludf.DUMMYFUNCTION("""COMPUTED_VALUE""")," ")</f>
        <v xml:space="preserve"> </v>
      </c>
      <c r="W236" s="40" t="str">
        <f t="shared" ca="1" si="21"/>
        <v>,</v>
      </c>
      <c r="X236" s="40" t="s">
        <v>682</v>
      </c>
      <c r="Y236" s="40" t="s">
        <v>683</v>
      </c>
      <c r="Z236" s="264">
        <f t="shared" ca="1" si="1"/>
        <v>35.422584000000001</v>
      </c>
      <c r="AA236" s="40" t="s">
        <v>684</v>
      </c>
      <c r="AB236" s="264">
        <f t="shared" ca="1" si="2"/>
        <v>133.333923</v>
      </c>
      <c r="AC236" s="40" t="s">
        <v>685</v>
      </c>
      <c r="AD236" s="264">
        <f t="shared" ca="1" si="3"/>
        <v>35.422825000000003</v>
      </c>
      <c r="AE236" s="40" t="s">
        <v>684</v>
      </c>
      <c r="AF236" s="264">
        <f t="shared" ca="1" si="4"/>
        <v>133.33551199999999</v>
      </c>
      <c r="AG236" s="40" t="s">
        <v>686</v>
      </c>
      <c r="AH236" s="264" t="str">
        <f t="shared" ca="1" si="5"/>
        <v xml:space="preserve"> </v>
      </c>
      <c r="AI236" s="40" t="s">
        <v>684</v>
      </c>
      <c r="AJ236" s="264" t="str">
        <f t="shared" ca="1" si="6"/>
        <v xml:space="preserve"> </v>
      </c>
      <c r="AK236" s="40" t="s">
        <v>687</v>
      </c>
      <c r="AL236" s="264" t="str">
        <f t="shared" ca="1" si="7"/>
        <v>blueviolet</v>
      </c>
      <c r="AM236" s="40" t="s">
        <v>688</v>
      </c>
      <c r="AN236" s="40" t="str">
        <f t="shared" ca="1" si="8"/>
        <v>,{"type":"polygon","latLngs":[ {"lat":35.422584,"lng":133.333923}, {"lat":35.422825,"lng":133.335512},{"lat": ,"lng": }], "color":"blueviolet"}</v>
      </c>
      <c r="AO236" s="266" t="s">
        <v>689</v>
      </c>
      <c r="AP236" s="56">
        <f t="shared" ca="1" si="9"/>
        <v>35.422584000000001</v>
      </c>
      <c r="AQ236" s="40" t="s">
        <v>684</v>
      </c>
      <c r="AR236" s="56">
        <f t="shared" ca="1" si="10"/>
        <v>133.333923</v>
      </c>
      <c r="AS236" s="40" t="s">
        <v>686</v>
      </c>
      <c r="AT236" s="56">
        <f t="shared" ca="1" si="11"/>
        <v>35.422825000000003</v>
      </c>
      <c r="AU236" s="40" t="s">
        <v>684</v>
      </c>
      <c r="AV236" s="56">
        <f t="shared" ca="1" si="12"/>
        <v>133.33551199999999</v>
      </c>
      <c r="AW236" s="40" t="s">
        <v>690</v>
      </c>
      <c r="AX236" s="40" t="str">
        <f t="shared" ca="1" si="13"/>
        <v>blueviolet</v>
      </c>
      <c r="AY236" s="40" t="s">
        <v>688</v>
      </c>
      <c r="AZ236" s="40" t="str">
        <f t="shared" ca="1" si="14"/>
        <v>,{"type":"polyline","latLngs":[{"lat":35.422584,"lng":133.333923},{"lat":35.422825,"lng":133.335512}],"color":"blueviolet"}</v>
      </c>
      <c r="BA236" s="40" t="s">
        <v>691</v>
      </c>
      <c r="BB236" s="56">
        <f t="shared" ca="1" si="15"/>
        <v>35.422584000000001</v>
      </c>
      <c r="BC236" s="40" t="s">
        <v>684</v>
      </c>
      <c r="BD236" s="56">
        <f t="shared" ca="1" si="16"/>
        <v>133.333923</v>
      </c>
      <c r="BE236" s="40" t="s">
        <v>692</v>
      </c>
      <c r="BF236" s="40" t="str">
        <f t="shared" ca="1" si="17"/>
        <v>blueviolet</v>
      </c>
      <c r="BG236" s="40" t="s">
        <v>688</v>
      </c>
      <c r="BH236" s="40" t="str">
        <f t="shared" ca="1" si="18"/>
        <v>,{"type":"marker","latLng":{"lat":35.422584,"lng":133.333923},"color":"blueviolet"}</v>
      </c>
      <c r="BI236" s="40" t="s">
        <v>693</v>
      </c>
      <c r="BJ236" s="40" t="s">
        <v>694</v>
      </c>
      <c r="BK236" s="267" t="str">
        <f t="shared" ca="1" si="19"/>
        <v>,{"type":"polyline","latLngs":[{"lat":35.422584,"lng":133.333923},{"lat":35.422825,"lng":133.335512}],"color":"blueviolet"}</v>
      </c>
      <c r="BL236" s="40"/>
      <c r="BM236" s="40"/>
    </row>
    <row r="237" spans="3:65" ht="17.5">
      <c r="C237" s="279">
        <f>'2.ポータル'!B227</f>
        <v>0</v>
      </c>
      <c r="D237" s="279">
        <f>'2.ポータル'!C227</f>
        <v>0</v>
      </c>
      <c r="E237" s="279">
        <f>'2.ポータル'!D227</f>
        <v>0</v>
      </c>
      <c r="G237" s="261"/>
      <c r="H237" s="262" t="s">
        <v>672</v>
      </c>
      <c r="I237" s="93" t="str">
        <f ca="1">IFERROR(__xludf.DUMMYFUNCTION("""COMPUTED_VALUE"""),"Agent22")</f>
        <v>Agent22</v>
      </c>
      <c r="J237" s="93" t="str">
        <f ca="1">IFERROR(__xludf.DUMMYFUNCTION("""COMPUTED_VALUE"""),"P204")</f>
        <v>P204</v>
      </c>
      <c r="K237" s="93" t="str">
        <f ca="1">IFERROR(__xludf.DUMMYFUNCTION("""COMPUTED_VALUE"""),"P201")</f>
        <v>P201</v>
      </c>
      <c r="L237" s="242" t="s">
        <v>681</v>
      </c>
      <c r="M237" s="263" t="str">
        <f t="shared" ca="1" si="0"/>
        <v>blueviolet</v>
      </c>
      <c r="N237" s="264" t="str">
        <f ca="1">IFERROR(__xludf.DUMMYFUNCTION("FILTER(C:E,B:B=J237)"),"彫刻ロード「はる」")</f>
        <v>彫刻ロード「はる」</v>
      </c>
      <c r="O237" s="265">
        <f ca="1">IFERROR(__xludf.DUMMYFUNCTION("""COMPUTED_VALUE"""),35.422584)</f>
        <v>35.422584000000001</v>
      </c>
      <c r="P237" s="265">
        <f ca="1">IFERROR(__xludf.DUMMYFUNCTION("""COMPUTED_VALUE"""),133.333923)</f>
        <v>133.333923</v>
      </c>
      <c r="Q237" s="264" t="str">
        <f ca="1">IFERROR(__xludf.DUMMYFUNCTION("FILTER(C:E,B:B=K237)"),"湊山体育館")</f>
        <v>湊山体育館</v>
      </c>
      <c r="R237" s="265">
        <f ca="1">IFERROR(__xludf.DUMMYFUNCTION("""COMPUTED_VALUE"""),35.41896)</f>
        <v>35.418959999999998</v>
      </c>
      <c r="S237" s="265">
        <f ca="1">IFERROR(__xludf.DUMMYFUNCTION("""COMPUTED_VALUE"""),133.332523)</f>
        <v>133.33252300000001</v>
      </c>
      <c r="T237" s="264" t="str">
        <f ca="1">IFERROR(__xludf.DUMMYFUNCTION("FILTER(C:E,B:B=L237)")," ")</f>
        <v xml:space="preserve"> </v>
      </c>
      <c r="U237" s="40" t="str">
        <f ca="1">IFERROR(__xludf.DUMMYFUNCTION("""COMPUTED_VALUE""")," ")</f>
        <v xml:space="preserve"> </v>
      </c>
      <c r="V237" s="40" t="str">
        <f ca="1">IFERROR(__xludf.DUMMYFUNCTION("""COMPUTED_VALUE""")," ")</f>
        <v xml:space="preserve"> </v>
      </c>
      <c r="W237" s="40" t="str">
        <f t="shared" ca="1" si="21"/>
        <v>,</v>
      </c>
      <c r="X237" s="40" t="s">
        <v>682</v>
      </c>
      <c r="Y237" s="40" t="s">
        <v>683</v>
      </c>
      <c r="Z237" s="264">
        <f t="shared" ca="1" si="1"/>
        <v>35.422584000000001</v>
      </c>
      <c r="AA237" s="40" t="s">
        <v>684</v>
      </c>
      <c r="AB237" s="264">
        <f t="shared" ca="1" si="2"/>
        <v>133.333923</v>
      </c>
      <c r="AC237" s="40" t="s">
        <v>685</v>
      </c>
      <c r="AD237" s="264">
        <f t="shared" ca="1" si="3"/>
        <v>35.418959999999998</v>
      </c>
      <c r="AE237" s="40" t="s">
        <v>684</v>
      </c>
      <c r="AF237" s="264">
        <f t="shared" ca="1" si="4"/>
        <v>133.33252300000001</v>
      </c>
      <c r="AG237" s="40" t="s">
        <v>686</v>
      </c>
      <c r="AH237" s="264" t="str">
        <f t="shared" ca="1" si="5"/>
        <v xml:space="preserve"> </v>
      </c>
      <c r="AI237" s="40" t="s">
        <v>684</v>
      </c>
      <c r="AJ237" s="264" t="str">
        <f t="shared" ca="1" si="6"/>
        <v xml:space="preserve"> </v>
      </c>
      <c r="AK237" s="40" t="s">
        <v>687</v>
      </c>
      <c r="AL237" s="264" t="str">
        <f t="shared" ca="1" si="7"/>
        <v>blueviolet</v>
      </c>
      <c r="AM237" s="40" t="s">
        <v>688</v>
      </c>
      <c r="AN237" s="40" t="str">
        <f t="shared" ca="1" si="8"/>
        <v>,{"type":"polygon","latLngs":[ {"lat":35.422584,"lng":133.333923}, {"lat":35.41896,"lng":133.332523},{"lat": ,"lng": }], "color":"blueviolet"}</v>
      </c>
      <c r="AO237" s="266" t="s">
        <v>689</v>
      </c>
      <c r="AP237" s="56">
        <f t="shared" ca="1" si="9"/>
        <v>35.422584000000001</v>
      </c>
      <c r="AQ237" s="40" t="s">
        <v>684</v>
      </c>
      <c r="AR237" s="56">
        <f t="shared" ca="1" si="10"/>
        <v>133.333923</v>
      </c>
      <c r="AS237" s="40" t="s">
        <v>686</v>
      </c>
      <c r="AT237" s="56">
        <f t="shared" ca="1" si="11"/>
        <v>35.418959999999998</v>
      </c>
      <c r="AU237" s="40" t="s">
        <v>684</v>
      </c>
      <c r="AV237" s="56">
        <f t="shared" ca="1" si="12"/>
        <v>133.33252300000001</v>
      </c>
      <c r="AW237" s="40" t="s">
        <v>690</v>
      </c>
      <c r="AX237" s="40" t="str">
        <f t="shared" ca="1" si="13"/>
        <v>blueviolet</v>
      </c>
      <c r="AY237" s="40" t="s">
        <v>688</v>
      </c>
      <c r="AZ237" s="40" t="str">
        <f t="shared" ca="1" si="14"/>
        <v>,{"type":"polyline","latLngs":[{"lat":35.422584,"lng":133.333923},{"lat":35.41896,"lng":133.332523}],"color":"blueviolet"}</v>
      </c>
      <c r="BA237" s="40" t="s">
        <v>691</v>
      </c>
      <c r="BB237" s="56">
        <f t="shared" ca="1" si="15"/>
        <v>35.422584000000001</v>
      </c>
      <c r="BC237" s="40" t="s">
        <v>684</v>
      </c>
      <c r="BD237" s="56">
        <f t="shared" ca="1" si="16"/>
        <v>133.333923</v>
      </c>
      <c r="BE237" s="40" t="s">
        <v>692</v>
      </c>
      <c r="BF237" s="40" t="str">
        <f t="shared" ca="1" si="17"/>
        <v>blueviolet</v>
      </c>
      <c r="BG237" s="40" t="s">
        <v>688</v>
      </c>
      <c r="BH237" s="40" t="str">
        <f t="shared" ca="1" si="18"/>
        <v>,{"type":"marker","latLng":{"lat":35.422584,"lng":133.333923},"color":"blueviolet"}</v>
      </c>
      <c r="BI237" s="40" t="s">
        <v>693</v>
      </c>
      <c r="BJ237" s="40" t="s">
        <v>694</v>
      </c>
      <c r="BK237" s="267" t="str">
        <f t="shared" ca="1" si="19"/>
        <v>,{"type":"polyline","latLngs":[{"lat":35.422584,"lng":133.333923},{"lat":35.41896,"lng":133.332523}],"color":"blueviolet"}</v>
      </c>
      <c r="BL237" s="40"/>
      <c r="BM237" s="40"/>
    </row>
    <row r="238" spans="3:65" ht="17.5">
      <c r="G238" s="261"/>
      <c r="H238" s="262" t="s">
        <v>672</v>
      </c>
      <c r="I238" s="93" t="str">
        <f ca="1">IFERROR(__xludf.DUMMYFUNCTION("""COMPUTED_VALUE"""),"Agent22")</f>
        <v>Agent22</v>
      </c>
      <c r="J238" s="93" t="str">
        <f ca="1">IFERROR(__xludf.DUMMYFUNCTION("""COMPUTED_VALUE"""),"P205")</f>
        <v>P205</v>
      </c>
      <c r="K238" s="93" t="str">
        <f ca="1">IFERROR(__xludf.DUMMYFUNCTION("""COMPUTED_VALUE"""),"P206")</f>
        <v>P206</v>
      </c>
      <c r="L238" s="242" t="s">
        <v>681</v>
      </c>
      <c r="M238" s="263" t="str">
        <f t="shared" ca="1" si="0"/>
        <v>blueviolet</v>
      </c>
      <c r="N238" s="264" t="str">
        <f ca="1">IFERROR(__xludf.DUMMYFUNCTION("FILTER(C:E,B:B=J238)"),"大地の刻")</f>
        <v>大地の刻</v>
      </c>
      <c r="O238" s="265">
        <f ca="1">IFERROR(__xludf.DUMMYFUNCTION("""COMPUTED_VALUE"""),35.422658)</f>
        <v>35.422657999999998</v>
      </c>
      <c r="P238" s="265">
        <f ca="1">IFERROR(__xludf.DUMMYFUNCTION("""COMPUTED_VALUE"""),133.333708)</f>
        <v>133.333708</v>
      </c>
      <c r="Q238" s="264" t="str">
        <f ca="1">IFERROR(__xludf.DUMMYFUNCTION("FILTER(C:E,B:B=K238)"),"米子駅バス乗り場 観光案内地図")</f>
        <v>米子駅バス乗り場 観光案内地図</v>
      </c>
      <c r="R238" s="265">
        <f ca="1">IFERROR(__xludf.DUMMYFUNCTION("""COMPUTED_VALUE"""),35.422825)</f>
        <v>35.422825000000003</v>
      </c>
      <c r="S238" s="265">
        <f ca="1">IFERROR(__xludf.DUMMYFUNCTION("""COMPUTED_VALUE"""),133.335512)</f>
        <v>133.33551199999999</v>
      </c>
      <c r="T238" s="264" t="str">
        <f ca="1">IFERROR(__xludf.DUMMYFUNCTION("FILTER(C:E,B:B=L238)")," ")</f>
        <v xml:space="preserve"> </v>
      </c>
      <c r="U238" s="40" t="str">
        <f ca="1">IFERROR(__xludf.DUMMYFUNCTION("""COMPUTED_VALUE""")," ")</f>
        <v xml:space="preserve"> </v>
      </c>
      <c r="V238" s="40" t="str">
        <f ca="1">IFERROR(__xludf.DUMMYFUNCTION("""COMPUTED_VALUE""")," ")</f>
        <v xml:space="preserve"> </v>
      </c>
      <c r="W238" s="40" t="str">
        <f t="shared" ca="1" si="21"/>
        <v>,</v>
      </c>
      <c r="X238" s="40" t="s">
        <v>682</v>
      </c>
      <c r="Y238" s="40" t="s">
        <v>683</v>
      </c>
      <c r="Z238" s="264">
        <f t="shared" ca="1" si="1"/>
        <v>35.422657999999998</v>
      </c>
      <c r="AA238" s="40" t="s">
        <v>684</v>
      </c>
      <c r="AB238" s="264">
        <f t="shared" ca="1" si="2"/>
        <v>133.333708</v>
      </c>
      <c r="AC238" s="40" t="s">
        <v>685</v>
      </c>
      <c r="AD238" s="264">
        <f t="shared" ca="1" si="3"/>
        <v>35.422825000000003</v>
      </c>
      <c r="AE238" s="40" t="s">
        <v>684</v>
      </c>
      <c r="AF238" s="264">
        <f t="shared" ca="1" si="4"/>
        <v>133.33551199999999</v>
      </c>
      <c r="AG238" s="40" t="s">
        <v>686</v>
      </c>
      <c r="AH238" s="264" t="str">
        <f t="shared" ca="1" si="5"/>
        <v xml:space="preserve"> </v>
      </c>
      <c r="AI238" s="40" t="s">
        <v>684</v>
      </c>
      <c r="AJ238" s="264" t="str">
        <f t="shared" ca="1" si="6"/>
        <v xml:space="preserve"> </v>
      </c>
      <c r="AK238" s="40" t="s">
        <v>687</v>
      </c>
      <c r="AL238" s="264" t="str">
        <f t="shared" ca="1" si="7"/>
        <v>blueviolet</v>
      </c>
      <c r="AM238" s="40" t="s">
        <v>688</v>
      </c>
      <c r="AN238" s="40" t="str">
        <f t="shared" ca="1" si="8"/>
        <v>,{"type":"polygon","latLngs":[ {"lat":35.422658,"lng":133.333708}, {"lat":35.422825,"lng":133.335512},{"lat": ,"lng": }], "color":"blueviolet"}</v>
      </c>
      <c r="AO238" s="266" t="s">
        <v>689</v>
      </c>
      <c r="AP238" s="56">
        <f t="shared" ca="1" si="9"/>
        <v>35.422657999999998</v>
      </c>
      <c r="AQ238" s="40" t="s">
        <v>684</v>
      </c>
      <c r="AR238" s="56">
        <f t="shared" ca="1" si="10"/>
        <v>133.333708</v>
      </c>
      <c r="AS238" s="40" t="s">
        <v>686</v>
      </c>
      <c r="AT238" s="56">
        <f t="shared" ca="1" si="11"/>
        <v>35.422825000000003</v>
      </c>
      <c r="AU238" s="40" t="s">
        <v>684</v>
      </c>
      <c r="AV238" s="56">
        <f t="shared" ca="1" si="12"/>
        <v>133.33551199999999</v>
      </c>
      <c r="AW238" s="40" t="s">
        <v>690</v>
      </c>
      <c r="AX238" s="40" t="str">
        <f t="shared" ca="1" si="13"/>
        <v>blueviolet</v>
      </c>
      <c r="AY238" s="40" t="s">
        <v>688</v>
      </c>
      <c r="AZ238" s="40" t="str">
        <f t="shared" ca="1" si="14"/>
        <v>,{"type":"polyline","latLngs":[{"lat":35.422658,"lng":133.333708},{"lat":35.422825,"lng":133.335512}],"color":"blueviolet"}</v>
      </c>
      <c r="BA238" s="40" t="s">
        <v>691</v>
      </c>
      <c r="BB238" s="56">
        <f t="shared" ca="1" si="15"/>
        <v>35.422657999999998</v>
      </c>
      <c r="BC238" s="40" t="s">
        <v>684</v>
      </c>
      <c r="BD238" s="56">
        <f t="shared" ca="1" si="16"/>
        <v>133.333708</v>
      </c>
      <c r="BE238" s="40" t="s">
        <v>692</v>
      </c>
      <c r="BF238" s="40" t="str">
        <f t="shared" ca="1" si="17"/>
        <v>blueviolet</v>
      </c>
      <c r="BG238" s="40" t="s">
        <v>688</v>
      </c>
      <c r="BH238" s="40" t="str">
        <f t="shared" ca="1" si="18"/>
        <v>,{"type":"marker","latLng":{"lat":35.422658,"lng":133.333708},"color":"blueviolet"}</v>
      </c>
      <c r="BI238" s="40" t="s">
        <v>693</v>
      </c>
      <c r="BJ238" s="40" t="s">
        <v>694</v>
      </c>
      <c r="BK238" s="267" t="str">
        <f t="shared" ca="1" si="19"/>
        <v>,{"type":"polyline","latLngs":[{"lat":35.422658,"lng":133.333708},{"lat":35.422825,"lng":133.335512}],"color":"blueviolet"}</v>
      </c>
      <c r="BL238" s="40"/>
      <c r="BM238" s="40"/>
    </row>
    <row r="239" spans="3:65" ht="17.5">
      <c r="G239" s="261"/>
      <c r="H239" s="262" t="s">
        <v>672</v>
      </c>
      <c r="I239" s="93" t="str">
        <f ca="1">IFERROR(__xludf.DUMMYFUNCTION("""COMPUTED_VALUE"""),"Agent22")</f>
        <v>Agent22</v>
      </c>
      <c r="J239" s="93" t="str">
        <f ca="1">IFERROR(__xludf.DUMMYFUNCTION("""COMPUTED_VALUE"""),"P214")</f>
        <v>P214</v>
      </c>
      <c r="K239" s="93" t="str">
        <f ca="1">IFERROR(__xludf.DUMMYFUNCTION("""COMPUTED_VALUE"""),"P217")</f>
        <v>P217</v>
      </c>
      <c r="L239" s="242" t="s">
        <v>681</v>
      </c>
      <c r="M239" s="263" t="str">
        <f t="shared" ca="1" si="0"/>
        <v>blueviolet</v>
      </c>
      <c r="N239" s="264" t="str">
        <f ca="1">IFERROR(__xludf.DUMMYFUNCTION("FILTER(C:E,B:B=J239)"),"Café ら・ぼーる")</f>
        <v>Café ら・ぼーる</v>
      </c>
      <c r="O239" s="265">
        <f ca="1">IFERROR(__xludf.DUMMYFUNCTION("""COMPUTED_VALUE"""),35.423439)</f>
        <v>35.423439000000002</v>
      </c>
      <c r="P239" s="265">
        <f ca="1">IFERROR(__xludf.DUMMYFUNCTION("""COMPUTED_VALUE"""),133.333081)</f>
        <v>133.33308099999999</v>
      </c>
      <c r="Q239" s="264" t="str">
        <f ca="1">IFERROR(__xludf.DUMMYFUNCTION("FILTER(C:E,B:B=K239)"),"明治第一公園のパーゴラ休憩所")</f>
        <v>明治第一公園のパーゴラ休憩所</v>
      </c>
      <c r="R239" s="265">
        <f ca="1">IFERROR(__xludf.DUMMYFUNCTION("""COMPUTED_VALUE"""),35.42404)</f>
        <v>35.424039999999998</v>
      </c>
      <c r="S239" s="265">
        <f ca="1">IFERROR(__xludf.DUMMYFUNCTION("""COMPUTED_VALUE"""),133.33353)</f>
        <v>133.33353</v>
      </c>
      <c r="T239" s="264" t="str">
        <f ca="1">IFERROR(__xludf.DUMMYFUNCTION("FILTER(C:E,B:B=L239)")," ")</f>
        <v xml:space="preserve"> </v>
      </c>
      <c r="U239" s="40" t="str">
        <f ca="1">IFERROR(__xludf.DUMMYFUNCTION("""COMPUTED_VALUE""")," ")</f>
        <v xml:space="preserve"> </v>
      </c>
      <c r="V239" s="40" t="str">
        <f ca="1">IFERROR(__xludf.DUMMYFUNCTION("""COMPUTED_VALUE""")," ")</f>
        <v xml:space="preserve"> </v>
      </c>
      <c r="W239" s="40" t="str">
        <f t="shared" ca="1" si="21"/>
        <v>,</v>
      </c>
      <c r="X239" s="40" t="s">
        <v>682</v>
      </c>
      <c r="Y239" s="40" t="s">
        <v>683</v>
      </c>
      <c r="Z239" s="264">
        <f t="shared" ca="1" si="1"/>
        <v>35.423439000000002</v>
      </c>
      <c r="AA239" s="40" t="s">
        <v>684</v>
      </c>
      <c r="AB239" s="264">
        <f t="shared" ca="1" si="2"/>
        <v>133.33308099999999</v>
      </c>
      <c r="AC239" s="40" t="s">
        <v>685</v>
      </c>
      <c r="AD239" s="264">
        <f t="shared" ca="1" si="3"/>
        <v>35.424039999999998</v>
      </c>
      <c r="AE239" s="40" t="s">
        <v>684</v>
      </c>
      <c r="AF239" s="264">
        <f t="shared" ca="1" si="4"/>
        <v>133.33353</v>
      </c>
      <c r="AG239" s="40" t="s">
        <v>686</v>
      </c>
      <c r="AH239" s="264" t="str">
        <f t="shared" ca="1" si="5"/>
        <v xml:space="preserve"> </v>
      </c>
      <c r="AI239" s="40" t="s">
        <v>684</v>
      </c>
      <c r="AJ239" s="264" t="str">
        <f t="shared" ca="1" si="6"/>
        <v xml:space="preserve"> </v>
      </c>
      <c r="AK239" s="40" t="s">
        <v>687</v>
      </c>
      <c r="AL239" s="264" t="str">
        <f t="shared" ca="1" si="7"/>
        <v>blueviolet</v>
      </c>
      <c r="AM239" s="40" t="s">
        <v>688</v>
      </c>
      <c r="AN239" s="40" t="str">
        <f t="shared" ca="1" si="8"/>
        <v>,{"type":"polygon","latLngs":[ {"lat":35.423439,"lng":133.333081}, {"lat":35.42404,"lng":133.33353},{"lat": ,"lng": }], "color":"blueviolet"}</v>
      </c>
      <c r="AO239" s="266" t="s">
        <v>689</v>
      </c>
      <c r="AP239" s="56">
        <f t="shared" ca="1" si="9"/>
        <v>35.423439000000002</v>
      </c>
      <c r="AQ239" s="40" t="s">
        <v>684</v>
      </c>
      <c r="AR239" s="56">
        <f t="shared" ca="1" si="10"/>
        <v>133.33308099999999</v>
      </c>
      <c r="AS239" s="40" t="s">
        <v>686</v>
      </c>
      <c r="AT239" s="56">
        <f t="shared" ca="1" si="11"/>
        <v>35.424039999999998</v>
      </c>
      <c r="AU239" s="40" t="s">
        <v>684</v>
      </c>
      <c r="AV239" s="56">
        <f t="shared" ca="1" si="12"/>
        <v>133.33353</v>
      </c>
      <c r="AW239" s="40" t="s">
        <v>690</v>
      </c>
      <c r="AX239" s="40" t="str">
        <f t="shared" ca="1" si="13"/>
        <v>blueviolet</v>
      </c>
      <c r="AY239" s="40" t="s">
        <v>688</v>
      </c>
      <c r="AZ239" s="40" t="str">
        <f t="shared" ca="1" si="14"/>
        <v>,{"type":"polyline","latLngs":[{"lat":35.423439,"lng":133.333081},{"lat":35.42404,"lng":133.33353}],"color":"blueviolet"}</v>
      </c>
      <c r="BA239" s="40" t="s">
        <v>691</v>
      </c>
      <c r="BB239" s="56">
        <f t="shared" ca="1" si="15"/>
        <v>35.423439000000002</v>
      </c>
      <c r="BC239" s="40" t="s">
        <v>684</v>
      </c>
      <c r="BD239" s="56">
        <f t="shared" ca="1" si="16"/>
        <v>133.33308099999999</v>
      </c>
      <c r="BE239" s="40" t="s">
        <v>692</v>
      </c>
      <c r="BF239" s="40" t="str">
        <f t="shared" ca="1" si="17"/>
        <v>blueviolet</v>
      </c>
      <c r="BG239" s="40" t="s">
        <v>688</v>
      </c>
      <c r="BH239" s="40" t="str">
        <f t="shared" ca="1" si="18"/>
        <v>,{"type":"marker","latLng":{"lat":35.423439,"lng":133.333081},"color":"blueviolet"}</v>
      </c>
      <c r="BI239" s="40" t="s">
        <v>693</v>
      </c>
      <c r="BJ239" s="40" t="s">
        <v>694</v>
      </c>
      <c r="BK239" s="267" t="str">
        <f t="shared" ca="1" si="19"/>
        <v>,{"type":"polyline","latLngs":[{"lat":35.423439,"lng":133.333081},{"lat":35.42404,"lng":133.33353}],"color":"blueviolet"}</v>
      </c>
      <c r="BL239" s="40"/>
      <c r="BM239" s="40"/>
    </row>
    <row r="240" spans="3:65" ht="17.5">
      <c r="G240" s="261"/>
      <c r="H240" s="262" t="s">
        <v>672</v>
      </c>
      <c r="I240" s="93" t="str">
        <f ca="1">IFERROR(__xludf.DUMMYFUNCTION("""COMPUTED_VALUE"""),"Agent22")</f>
        <v>Agent22</v>
      </c>
      <c r="J240" s="93" t="str">
        <f ca="1">IFERROR(__xludf.DUMMYFUNCTION("""COMPUTED_VALUE"""),"P207")</f>
        <v>P207</v>
      </c>
      <c r="K240" s="93" t="str">
        <f ca="1">IFERROR(__xludf.DUMMYFUNCTION("""COMPUTED_VALUE"""),"P217")</f>
        <v>P217</v>
      </c>
      <c r="L240" s="242" t="s">
        <v>681</v>
      </c>
      <c r="M240" s="263" t="str">
        <f t="shared" ca="1" si="0"/>
        <v>blueviolet</v>
      </c>
      <c r="N240" s="264" t="str">
        <f ca="1">IFERROR(__xludf.DUMMYFUNCTION("FILTER(C:E,B:B=J240)"),"Gravitation")</f>
        <v>Gravitation</v>
      </c>
      <c r="O240" s="265">
        <f ca="1">IFERROR(__xludf.DUMMYFUNCTION("""COMPUTED_VALUE"""),35.422867)</f>
        <v>35.422866999999997</v>
      </c>
      <c r="P240" s="265">
        <f ca="1">IFERROR(__xludf.DUMMYFUNCTION("""COMPUTED_VALUE"""),133.330184)</f>
        <v>133.330184</v>
      </c>
      <c r="Q240" s="264" t="str">
        <f ca="1">IFERROR(__xludf.DUMMYFUNCTION("FILTER(C:E,B:B=K240)"),"明治第一公園のパーゴラ休憩所")</f>
        <v>明治第一公園のパーゴラ休憩所</v>
      </c>
      <c r="R240" s="265">
        <f ca="1">IFERROR(__xludf.DUMMYFUNCTION("""COMPUTED_VALUE"""),35.42404)</f>
        <v>35.424039999999998</v>
      </c>
      <c r="S240" s="265">
        <f ca="1">IFERROR(__xludf.DUMMYFUNCTION("""COMPUTED_VALUE"""),133.33353)</f>
        <v>133.33353</v>
      </c>
      <c r="T240" s="264" t="str">
        <f ca="1">IFERROR(__xludf.DUMMYFUNCTION("FILTER(C:E,B:B=L240)")," ")</f>
        <v xml:space="preserve"> </v>
      </c>
      <c r="U240" s="40" t="str">
        <f ca="1">IFERROR(__xludf.DUMMYFUNCTION("""COMPUTED_VALUE""")," ")</f>
        <v xml:space="preserve"> </v>
      </c>
      <c r="V240" s="40" t="str">
        <f ca="1">IFERROR(__xludf.DUMMYFUNCTION("""COMPUTED_VALUE""")," ")</f>
        <v xml:space="preserve"> </v>
      </c>
      <c r="W240" s="40" t="str">
        <f t="shared" ca="1" si="21"/>
        <v>,</v>
      </c>
      <c r="X240" s="40" t="s">
        <v>682</v>
      </c>
      <c r="Y240" s="40" t="s">
        <v>683</v>
      </c>
      <c r="Z240" s="264">
        <f t="shared" ca="1" si="1"/>
        <v>35.422866999999997</v>
      </c>
      <c r="AA240" s="40" t="s">
        <v>684</v>
      </c>
      <c r="AB240" s="264">
        <f t="shared" ca="1" si="2"/>
        <v>133.330184</v>
      </c>
      <c r="AC240" s="40" t="s">
        <v>685</v>
      </c>
      <c r="AD240" s="264">
        <f t="shared" ca="1" si="3"/>
        <v>35.424039999999998</v>
      </c>
      <c r="AE240" s="40" t="s">
        <v>684</v>
      </c>
      <c r="AF240" s="264">
        <f t="shared" ca="1" si="4"/>
        <v>133.33353</v>
      </c>
      <c r="AG240" s="40" t="s">
        <v>686</v>
      </c>
      <c r="AH240" s="264" t="str">
        <f t="shared" ca="1" si="5"/>
        <v xml:space="preserve"> </v>
      </c>
      <c r="AI240" s="40" t="s">
        <v>684</v>
      </c>
      <c r="AJ240" s="264" t="str">
        <f t="shared" ca="1" si="6"/>
        <v xml:space="preserve"> </v>
      </c>
      <c r="AK240" s="40" t="s">
        <v>687</v>
      </c>
      <c r="AL240" s="264" t="str">
        <f t="shared" ca="1" si="7"/>
        <v>blueviolet</v>
      </c>
      <c r="AM240" s="40" t="s">
        <v>688</v>
      </c>
      <c r="AN240" s="40" t="str">
        <f t="shared" ca="1" si="8"/>
        <v>,{"type":"polygon","latLngs":[ {"lat":35.422867,"lng":133.330184}, {"lat":35.42404,"lng":133.33353},{"lat": ,"lng": }], "color":"blueviolet"}</v>
      </c>
      <c r="AO240" s="266" t="s">
        <v>689</v>
      </c>
      <c r="AP240" s="56">
        <f t="shared" ca="1" si="9"/>
        <v>35.422866999999997</v>
      </c>
      <c r="AQ240" s="40" t="s">
        <v>684</v>
      </c>
      <c r="AR240" s="56">
        <f t="shared" ca="1" si="10"/>
        <v>133.330184</v>
      </c>
      <c r="AS240" s="40" t="s">
        <v>686</v>
      </c>
      <c r="AT240" s="56">
        <f t="shared" ca="1" si="11"/>
        <v>35.424039999999998</v>
      </c>
      <c r="AU240" s="40" t="s">
        <v>684</v>
      </c>
      <c r="AV240" s="56">
        <f t="shared" ca="1" si="12"/>
        <v>133.33353</v>
      </c>
      <c r="AW240" s="40" t="s">
        <v>690</v>
      </c>
      <c r="AX240" s="40" t="str">
        <f t="shared" ca="1" si="13"/>
        <v>blueviolet</v>
      </c>
      <c r="AY240" s="40" t="s">
        <v>688</v>
      </c>
      <c r="AZ240" s="40" t="str">
        <f t="shared" ca="1" si="14"/>
        <v>,{"type":"polyline","latLngs":[{"lat":35.422867,"lng":133.330184},{"lat":35.42404,"lng":133.33353}],"color":"blueviolet"}</v>
      </c>
      <c r="BA240" s="40" t="s">
        <v>691</v>
      </c>
      <c r="BB240" s="56">
        <f t="shared" ca="1" si="15"/>
        <v>35.422866999999997</v>
      </c>
      <c r="BC240" s="40" t="s">
        <v>684</v>
      </c>
      <c r="BD240" s="56">
        <f t="shared" ca="1" si="16"/>
        <v>133.330184</v>
      </c>
      <c r="BE240" s="40" t="s">
        <v>692</v>
      </c>
      <c r="BF240" s="40" t="str">
        <f t="shared" ca="1" si="17"/>
        <v>blueviolet</v>
      </c>
      <c r="BG240" s="40" t="s">
        <v>688</v>
      </c>
      <c r="BH240" s="40" t="str">
        <f t="shared" ca="1" si="18"/>
        <v>,{"type":"marker","latLng":{"lat":35.422867,"lng":133.330184},"color":"blueviolet"}</v>
      </c>
      <c r="BI240" s="40" t="s">
        <v>693</v>
      </c>
      <c r="BJ240" s="40" t="s">
        <v>694</v>
      </c>
      <c r="BK240" s="267" t="str">
        <f t="shared" ca="1" si="19"/>
        <v>,{"type":"polyline","latLngs":[{"lat":35.422867,"lng":133.330184},{"lat":35.42404,"lng":133.33353}],"color":"blueviolet"}</v>
      </c>
      <c r="BL240" s="40"/>
      <c r="BM240" s="40"/>
    </row>
    <row r="241" spans="7:63" ht="17.5">
      <c r="G241" s="261"/>
      <c r="H241" s="262" t="s">
        <v>672</v>
      </c>
      <c r="I241" s="93" t="str">
        <f ca="1">IFERROR(__xludf.DUMMYFUNCTION("""COMPUTED_VALUE"""),"Agent22")</f>
        <v>Agent22</v>
      </c>
      <c r="J241" s="93" t="str">
        <f ca="1">IFERROR(__xludf.DUMMYFUNCTION("""COMPUTED_VALUE"""),"P207")</f>
        <v>P207</v>
      </c>
      <c r="K241" s="93" t="str">
        <f ca="1">IFERROR(__xludf.DUMMYFUNCTION("""COMPUTED_VALUE"""),"P214")</f>
        <v>P214</v>
      </c>
      <c r="L241" s="242" t="s">
        <v>681</v>
      </c>
      <c r="M241" s="263" t="str">
        <f t="shared" ca="1" si="0"/>
        <v>blueviolet</v>
      </c>
      <c r="N241" s="264" t="str">
        <f ca="1">IFERROR(__xludf.DUMMYFUNCTION("FILTER(C:E,B:B=J241)"),"Gravitation")</f>
        <v>Gravitation</v>
      </c>
      <c r="O241" s="265">
        <f ca="1">IFERROR(__xludf.DUMMYFUNCTION("""COMPUTED_VALUE"""),35.422867)</f>
        <v>35.422866999999997</v>
      </c>
      <c r="P241" s="265">
        <f ca="1">IFERROR(__xludf.DUMMYFUNCTION("""COMPUTED_VALUE"""),133.330184)</f>
        <v>133.330184</v>
      </c>
      <c r="Q241" s="264" t="str">
        <f ca="1">IFERROR(__xludf.DUMMYFUNCTION("FILTER(C:E,B:B=K241)"),"Café ら・ぼーる")</f>
        <v>Café ら・ぼーる</v>
      </c>
      <c r="R241" s="265">
        <f ca="1">IFERROR(__xludf.DUMMYFUNCTION("""COMPUTED_VALUE"""),35.423439)</f>
        <v>35.423439000000002</v>
      </c>
      <c r="S241" s="265">
        <f ca="1">IFERROR(__xludf.DUMMYFUNCTION("""COMPUTED_VALUE"""),133.333081)</f>
        <v>133.33308099999999</v>
      </c>
      <c r="T241" s="264" t="str">
        <f ca="1">IFERROR(__xludf.DUMMYFUNCTION("FILTER(C:E,B:B=L241)")," ")</f>
        <v xml:space="preserve"> </v>
      </c>
      <c r="U241" s="40" t="str">
        <f ca="1">IFERROR(__xludf.DUMMYFUNCTION("""COMPUTED_VALUE""")," ")</f>
        <v xml:space="preserve"> </v>
      </c>
      <c r="V241" s="40" t="str">
        <f ca="1">IFERROR(__xludf.DUMMYFUNCTION("""COMPUTED_VALUE""")," ")</f>
        <v xml:space="preserve"> </v>
      </c>
      <c r="W241" s="40" t="str">
        <f t="shared" ca="1" si="21"/>
        <v>,</v>
      </c>
      <c r="X241" s="40" t="s">
        <v>682</v>
      </c>
      <c r="Y241" s="40" t="s">
        <v>683</v>
      </c>
      <c r="Z241" s="264">
        <f t="shared" ca="1" si="1"/>
        <v>35.422866999999997</v>
      </c>
      <c r="AA241" s="40" t="s">
        <v>684</v>
      </c>
      <c r="AB241" s="264">
        <f t="shared" ca="1" si="2"/>
        <v>133.330184</v>
      </c>
      <c r="AC241" s="40" t="s">
        <v>685</v>
      </c>
      <c r="AD241" s="264">
        <f t="shared" ca="1" si="3"/>
        <v>35.423439000000002</v>
      </c>
      <c r="AE241" s="40" t="s">
        <v>684</v>
      </c>
      <c r="AF241" s="264">
        <f t="shared" ca="1" si="4"/>
        <v>133.33308099999999</v>
      </c>
      <c r="AG241" s="40" t="s">
        <v>686</v>
      </c>
      <c r="AH241" s="264" t="str">
        <f t="shared" ca="1" si="5"/>
        <v xml:space="preserve"> </v>
      </c>
      <c r="AI241" s="40" t="s">
        <v>684</v>
      </c>
      <c r="AJ241" s="264" t="str">
        <f t="shared" ca="1" si="6"/>
        <v xml:space="preserve"> </v>
      </c>
      <c r="AK241" s="40" t="s">
        <v>687</v>
      </c>
      <c r="AL241" s="264" t="str">
        <f t="shared" ca="1" si="7"/>
        <v>blueviolet</v>
      </c>
      <c r="AM241" s="40" t="s">
        <v>688</v>
      </c>
      <c r="AN241" s="40" t="str">
        <f t="shared" ca="1" si="8"/>
        <v>,{"type":"polygon","latLngs":[ {"lat":35.422867,"lng":133.330184}, {"lat":35.423439,"lng":133.333081},{"lat": ,"lng": }], "color":"blueviolet"}</v>
      </c>
      <c r="AO241" s="266" t="s">
        <v>689</v>
      </c>
      <c r="AP241" s="56">
        <f t="shared" ca="1" si="9"/>
        <v>35.422866999999997</v>
      </c>
      <c r="AQ241" s="40" t="s">
        <v>684</v>
      </c>
      <c r="AR241" s="56">
        <f t="shared" ca="1" si="10"/>
        <v>133.330184</v>
      </c>
      <c r="AS241" s="40" t="s">
        <v>686</v>
      </c>
      <c r="AT241" s="56">
        <f t="shared" ca="1" si="11"/>
        <v>35.423439000000002</v>
      </c>
      <c r="AU241" s="40" t="s">
        <v>684</v>
      </c>
      <c r="AV241" s="56">
        <f t="shared" ca="1" si="12"/>
        <v>133.33308099999999</v>
      </c>
      <c r="AW241" s="40" t="s">
        <v>690</v>
      </c>
      <c r="AX241" s="40" t="str">
        <f t="shared" ca="1" si="13"/>
        <v>blueviolet</v>
      </c>
      <c r="AY241" s="40" t="s">
        <v>688</v>
      </c>
      <c r="AZ241" s="40" t="str">
        <f t="shared" ca="1" si="14"/>
        <v>,{"type":"polyline","latLngs":[{"lat":35.422867,"lng":133.330184},{"lat":35.423439,"lng":133.333081}],"color":"blueviolet"}</v>
      </c>
      <c r="BA241" s="40" t="s">
        <v>691</v>
      </c>
      <c r="BB241" s="56">
        <f t="shared" ca="1" si="15"/>
        <v>35.422866999999997</v>
      </c>
      <c r="BC241" s="40" t="s">
        <v>684</v>
      </c>
      <c r="BD241" s="56">
        <f t="shared" ca="1" si="16"/>
        <v>133.330184</v>
      </c>
      <c r="BE241" s="40" t="s">
        <v>692</v>
      </c>
      <c r="BF241" s="40" t="str">
        <f t="shared" ca="1" si="17"/>
        <v>blueviolet</v>
      </c>
      <c r="BG241" s="40" t="s">
        <v>688</v>
      </c>
      <c r="BH241" s="40" t="str">
        <f t="shared" ca="1" si="18"/>
        <v>,{"type":"marker","latLng":{"lat":35.422867,"lng":133.330184},"color":"blueviolet"}</v>
      </c>
      <c r="BI241" s="40" t="s">
        <v>693</v>
      </c>
      <c r="BJ241" s="40" t="s">
        <v>694</v>
      </c>
      <c r="BK241" s="267" t="str">
        <f t="shared" ca="1" si="19"/>
        <v>,{"type":"polyline","latLngs":[{"lat":35.422867,"lng":133.330184},{"lat":35.423439,"lng":133.333081}],"color":"blueviolet"}</v>
      </c>
    </row>
    <row r="242" spans="7:63" ht="17.5">
      <c r="G242" s="261"/>
      <c r="H242" s="262" t="s">
        <v>672</v>
      </c>
      <c r="I242" s="93" t="str">
        <f ca="1">IFERROR(__xludf.DUMMYFUNCTION("""COMPUTED_VALUE"""),"Agent22")</f>
        <v>Agent22</v>
      </c>
      <c r="J242" s="93" t="str">
        <f ca="1">IFERROR(__xludf.DUMMYFUNCTION("""COMPUTED_VALUE"""),"P207")</f>
        <v>P207</v>
      </c>
      <c r="K242" s="93" t="str">
        <f ca="1">IFERROR(__xludf.DUMMYFUNCTION("""COMPUTED_VALUE"""),"P211")</f>
        <v>P211</v>
      </c>
      <c r="L242" s="242" t="s">
        <v>681</v>
      </c>
      <c r="M242" s="263" t="str">
        <f t="shared" ca="1" si="0"/>
        <v>blueviolet</v>
      </c>
      <c r="N242" s="264" t="str">
        <f ca="1">IFERROR(__xludf.DUMMYFUNCTION("FILTER(C:E,B:B=J242)"),"Gravitation")</f>
        <v>Gravitation</v>
      </c>
      <c r="O242" s="265">
        <f ca="1">IFERROR(__xludf.DUMMYFUNCTION("""COMPUTED_VALUE"""),35.422867)</f>
        <v>35.422866999999997</v>
      </c>
      <c r="P242" s="265">
        <f ca="1">IFERROR(__xludf.DUMMYFUNCTION("""COMPUTED_VALUE"""),133.330184)</f>
        <v>133.330184</v>
      </c>
      <c r="Q242" s="264" t="str">
        <f ca="1">IFERROR(__xludf.DUMMYFUNCTION("FILTER(C:E,B:B=K242)"),"油そば 笑ちゃん")</f>
        <v>油そば 笑ちゃん</v>
      </c>
      <c r="R242" s="265">
        <f ca="1">IFERROR(__xludf.DUMMYFUNCTION("""COMPUTED_VALUE"""),35.423185)</f>
        <v>35.423184999999997</v>
      </c>
      <c r="S242" s="265">
        <f ca="1">IFERROR(__xludf.DUMMYFUNCTION("""COMPUTED_VALUE"""),133.33409)</f>
        <v>133.33409</v>
      </c>
      <c r="T242" s="264" t="str">
        <f ca="1">IFERROR(__xludf.DUMMYFUNCTION("FILTER(C:E,B:B=L242)")," ")</f>
        <v xml:space="preserve"> </v>
      </c>
      <c r="U242" s="40" t="str">
        <f ca="1">IFERROR(__xludf.DUMMYFUNCTION("""COMPUTED_VALUE""")," ")</f>
        <v xml:space="preserve"> </v>
      </c>
      <c r="V242" s="40" t="str">
        <f ca="1">IFERROR(__xludf.DUMMYFUNCTION("""COMPUTED_VALUE""")," ")</f>
        <v xml:space="preserve"> </v>
      </c>
      <c r="W242" s="40" t="str">
        <f t="shared" ca="1" si="21"/>
        <v>,</v>
      </c>
      <c r="X242" s="40" t="s">
        <v>682</v>
      </c>
      <c r="Y242" s="40" t="s">
        <v>683</v>
      </c>
      <c r="Z242" s="264">
        <f t="shared" ca="1" si="1"/>
        <v>35.422866999999997</v>
      </c>
      <c r="AA242" s="40" t="s">
        <v>684</v>
      </c>
      <c r="AB242" s="264">
        <f t="shared" ca="1" si="2"/>
        <v>133.330184</v>
      </c>
      <c r="AC242" s="40" t="s">
        <v>685</v>
      </c>
      <c r="AD242" s="264">
        <f t="shared" ca="1" si="3"/>
        <v>35.423184999999997</v>
      </c>
      <c r="AE242" s="40" t="s">
        <v>684</v>
      </c>
      <c r="AF242" s="264">
        <f t="shared" ca="1" si="4"/>
        <v>133.33409</v>
      </c>
      <c r="AG242" s="40" t="s">
        <v>686</v>
      </c>
      <c r="AH242" s="264" t="str">
        <f t="shared" ca="1" si="5"/>
        <v xml:space="preserve"> </v>
      </c>
      <c r="AI242" s="40" t="s">
        <v>684</v>
      </c>
      <c r="AJ242" s="264" t="str">
        <f t="shared" ca="1" si="6"/>
        <v xml:space="preserve"> </v>
      </c>
      <c r="AK242" s="40" t="s">
        <v>687</v>
      </c>
      <c r="AL242" s="264" t="str">
        <f t="shared" ca="1" si="7"/>
        <v>blueviolet</v>
      </c>
      <c r="AM242" s="40" t="s">
        <v>688</v>
      </c>
      <c r="AN242" s="40" t="str">
        <f t="shared" ca="1" si="8"/>
        <v>,{"type":"polygon","latLngs":[ {"lat":35.422867,"lng":133.330184}, {"lat":35.423185,"lng":133.33409},{"lat": ,"lng": }], "color":"blueviolet"}</v>
      </c>
      <c r="AO242" s="266" t="s">
        <v>689</v>
      </c>
      <c r="AP242" s="56">
        <f t="shared" ca="1" si="9"/>
        <v>35.422866999999997</v>
      </c>
      <c r="AQ242" s="40" t="s">
        <v>684</v>
      </c>
      <c r="AR242" s="56">
        <f t="shared" ca="1" si="10"/>
        <v>133.330184</v>
      </c>
      <c r="AS242" s="40" t="s">
        <v>686</v>
      </c>
      <c r="AT242" s="56">
        <f t="shared" ca="1" si="11"/>
        <v>35.423184999999997</v>
      </c>
      <c r="AU242" s="40" t="s">
        <v>684</v>
      </c>
      <c r="AV242" s="56">
        <f t="shared" ca="1" si="12"/>
        <v>133.33409</v>
      </c>
      <c r="AW242" s="40" t="s">
        <v>690</v>
      </c>
      <c r="AX242" s="40" t="str">
        <f t="shared" ca="1" si="13"/>
        <v>blueviolet</v>
      </c>
      <c r="AY242" s="40" t="s">
        <v>688</v>
      </c>
      <c r="AZ242" s="40" t="str">
        <f t="shared" ca="1" si="14"/>
        <v>,{"type":"polyline","latLngs":[{"lat":35.422867,"lng":133.330184},{"lat":35.423185,"lng":133.33409}],"color":"blueviolet"}</v>
      </c>
      <c r="BA242" s="40" t="s">
        <v>691</v>
      </c>
      <c r="BB242" s="56">
        <f t="shared" ca="1" si="15"/>
        <v>35.422866999999997</v>
      </c>
      <c r="BC242" s="40" t="s">
        <v>684</v>
      </c>
      <c r="BD242" s="56">
        <f t="shared" ca="1" si="16"/>
        <v>133.330184</v>
      </c>
      <c r="BE242" s="40" t="s">
        <v>692</v>
      </c>
      <c r="BF242" s="40" t="str">
        <f t="shared" ca="1" si="17"/>
        <v>blueviolet</v>
      </c>
      <c r="BG242" s="40" t="s">
        <v>688</v>
      </c>
      <c r="BH242" s="40" t="str">
        <f t="shared" ca="1" si="18"/>
        <v>,{"type":"marker","latLng":{"lat":35.422867,"lng":133.330184},"color":"blueviolet"}</v>
      </c>
      <c r="BI242" s="40" t="s">
        <v>693</v>
      </c>
      <c r="BJ242" s="40" t="s">
        <v>694</v>
      </c>
      <c r="BK242" s="267" t="str">
        <f t="shared" ca="1" si="19"/>
        <v>,{"type":"polyline","latLngs":[{"lat":35.422867,"lng":133.330184},{"lat":35.423185,"lng":133.33409}],"color":"blueviolet"}</v>
      </c>
    </row>
    <row r="243" spans="7:63" ht="17.5">
      <c r="G243" s="261"/>
      <c r="H243" s="262" t="s">
        <v>672</v>
      </c>
      <c r="I243" s="93" t="str">
        <f ca="1">IFERROR(__xludf.DUMMYFUNCTION("""COMPUTED_VALUE"""),"Agent22")</f>
        <v>Agent22</v>
      </c>
      <c r="J243" s="93" t="str">
        <f ca="1">IFERROR(__xludf.DUMMYFUNCTION("""COMPUTED_VALUE"""),"P207")</f>
        <v>P207</v>
      </c>
      <c r="K243" s="93" t="str">
        <f ca="1">IFERROR(__xludf.DUMMYFUNCTION("""COMPUTED_VALUE"""),"P208")</f>
        <v>P208</v>
      </c>
      <c r="L243" s="242" t="s">
        <v>681</v>
      </c>
      <c r="M243" s="263" t="str">
        <f t="shared" ca="1" si="0"/>
        <v>blueviolet</v>
      </c>
      <c r="N243" s="264" t="str">
        <f ca="1">IFERROR(__xludf.DUMMYFUNCTION("FILTER(C:E,B:B=J243)"),"Gravitation")</f>
        <v>Gravitation</v>
      </c>
      <c r="O243" s="265">
        <f ca="1">IFERROR(__xludf.DUMMYFUNCTION("""COMPUTED_VALUE"""),35.422867)</f>
        <v>35.422866999999997</v>
      </c>
      <c r="P243" s="265">
        <f ca="1">IFERROR(__xludf.DUMMYFUNCTION("""COMPUTED_VALUE"""),133.330184)</f>
        <v>133.330184</v>
      </c>
      <c r="Q243" s="264" t="str">
        <f ca="1">IFERROR(__xludf.DUMMYFUNCTION("FILTER(C:E,B:B=K243)"),"だれ")</f>
        <v>だれ</v>
      </c>
      <c r="R243" s="265">
        <f ca="1">IFERROR(__xludf.DUMMYFUNCTION("""COMPUTED_VALUE"""),35.423014)</f>
        <v>35.423014000000002</v>
      </c>
      <c r="S243" s="265">
        <f ca="1">IFERROR(__xludf.DUMMYFUNCTION("""COMPUTED_VALUE"""),133.335086)</f>
        <v>133.33508599999999</v>
      </c>
      <c r="T243" s="264" t="str">
        <f ca="1">IFERROR(__xludf.DUMMYFUNCTION("FILTER(C:E,B:B=L243)")," ")</f>
        <v xml:space="preserve"> </v>
      </c>
      <c r="U243" s="40" t="str">
        <f ca="1">IFERROR(__xludf.DUMMYFUNCTION("""COMPUTED_VALUE""")," ")</f>
        <v xml:space="preserve"> </v>
      </c>
      <c r="V243" s="40" t="str">
        <f ca="1">IFERROR(__xludf.DUMMYFUNCTION("""COMPUTED_VALUE""")," ")</f>
        <v xml:space="preserve"> </v>
      </c>
      <c r="W243" s="40" t="str">
        <f t="shared" ca="1" si="21"/>
        <v>,</v>
      </c>
      <c r="X243" s="40" t="s">
        <v>682</v>
      </c>
      <c r="Y243" s="40" t="s">
        <v>683</v>
      </c>
      <c r="Z243" s="264">
        <f t="shared" ca="1" si="1"/>
        <v>35.422866999999997</v>
      </c>
      <c r="AA243" s="40" t="s">
        <v>684</v>
      </c>
      <c r="AB243" s="264">
        <f t="shared" ca="1" si="2"/>
        <v>133.330184</v>
      </c>
      <c r="AC243" s="40" t="s">
        <v>685</v>
      </c>
      <c r="AD243" s="264">
        <f t="shared" ca="1" si="3"/>
        <v>35.423014000000002</v>
      </c>
      <c r="AE243" s="40" t="s">
        <v>684</v>
      </c>
      <c r="AF243" s="264">
        <f t="shared" ca="1" si="4"/>
        <v>133.33508599999999</v>
      </c>
      <c r="AG243" s="40" t="s">
        <v>686</v>
      </c>
      <c r="AH243" s="264" t="str">
        <f t="shared" ca="1" si="5"/>
        <v xml:space="preserve"> </v>
      </c>
      <c r="AI243" s="40" t="s">
        <v>684</v>
      </c>
      <c r="AJ243" s="264" t="str">
        <f t="shared" ca="1" si="6"/>
        <v xml:space="preserve"> </v>
      </c>
      <c r="AK243" s="40" t="s">
        <v>687</v>
      </c>
      <c r="AL243" s="264" t="str">
        <f t="shared" ca="1" si="7"/>
        <v>blueviolet</v>
      </c>
      <c r="AM243" s="40" t="s">
        <v>688</v>
      </c>
      <c r="AN243" s="40" t="str">
        <f t="shared" ca="1" si="8"/>
        <v>,{"type":"polygon","latLngs":[ {"lat":35.422867,"lng":133.330184}, {"lat":35.423014,"lng":133.335086},{"lat": ,"lng": }], "color":"blueviolet"}</v>
      </c>
      <c r="AO243" s="266" t="s">
        <v>689</v>
      </c>
      <c r="AP243" s="56">
        <f t="shared" ca="1" si="9"/>
        <v>35.422866999999997</v>
      </c>
      <c r="AQ243" s="40" t="s">
        <v>684</v>
      </c>
      <c r="AR243" s="56">
        <f t="shared" ca="1" si="10"/>
        <v>133.330184</v>
      </c>
      <c r="AS243" s="40" t="s">
        <v>686</v>
      </c>
      <c r="AT243" s="56">
        <f t="shared" ca="1" si="11"/>
        <v>35.423014000000002</v>
      </c>
      <c r="AU243" s="40" t="s">
        <v>684</v>
      </c>
      <c r="AV243" s="56">
        <f t="shared" ca="1" si="12"/>
        <v>133.33508599999999</v>
      </c>
      <c r="AW243" s="40" t="s">
        <v>690</v>
      </c>
      <c r="AX243" s="40" t="str">
        <f t="shared" ca="1" si="13"/>
        <v>blueviolet</v>
      </c>
      <c r="AY243" s="40" t="s">
        <v>688</v>
      </c>
      <c r="AZ243" s="40" t="str">
        <f t="shared" ca="1" si="14"/>
        <v>,{"type":"polyline","latLngs":[{"lat":35.422867,"lng":133.330184},{"lat":35.423014,"lng":133.335086}],"color":"blueviolet"}</v>
      </c>
      <c r="BA243" s="40" t="s">
        <v>691</v>
      </c>
      <c r="BB243" s="56">
        <f t="shared" ca="1" si="15"/>
        <v>35.422866999999997</v>
      </c>
      <c r="BC243" s="40" t="s">
        <v>684</v>
      </c>
      <c r="BD243" s="56">
        <f t="shared" ca="1" si="16"/>
        <v>133.330184</v>
      </c>
      <c r="BE243" s="40" t="s">
        <v>692</v>
      </c>
      <c r="BF243" s="40" t="str">
        <f t="shared" ca="1" si="17"/>
        <v>blueviolet</v>
      </c>
      <c r="BG243" s="40" t="s">
        <v>688</v>
      </c>
      <c r="BH243" s="40" t="str">
        <f t="shared" ca="1" si="18"/>
        <v>,{"type":"marker","latLng":{"lat":35.422867,"lng":133.330184},"color":"blueviolet"}</v>
      </c>
      <c r="BI243" s="40" t="s">
        <v>693</v>
      </c>
      <c r="BJ243" s="40" t="s">
        <v>694</v>
      </c>
      <c r="BK243" s="267" t="str">
        <f t="shared" ca="1" si="19"/>
        <v>,{"type":"polyline","latLngs":[{"lat":35.422867,"lng":133.330184},{"lat":35.423014,"lng":133.335086}],"color":"blueviolet"}</v>
      </c>
    </row>
    <row r="244" spans="7:63" ht="17.5">
      <c r="G244" s="261"/>
      <c r="H244" s="262" t="s">
        <v>672</v>
      </c>
      <c r="I244" s="93" t="str">
        <f ca="1">IFERROR(__xludf.DUMMYFUNCTION("""COMPUTED_VALUE"""),"Agent22")</f>
        <v>Agent22</v>
      </c>
      <c r="J244" s="93" t="str">
        <f ca="1">IFERROR(__xludf.DUMMYFUNCTION("""COMPUTED_VALUE"""),"P207")</f>
        <v>P207</v>
      </c>
      <c r="K244" s="93" t="str">
        <f ca="1">IFERROR(__xludf.DUMMYFUNCTION("""COMPUTED_VALUE"""),"P206")</f>
        <v>P206</v>
      </c>
      <c r="L244" s="242" t="s">
        <v>681</v>
      </c>
      <c r="M244" s="263" t="str">
        <f t="shared" ca="1" si="0"/>
        <v>blueviolet</v>
      </c>
      <c r="N244" s="264" t="str">
        <f ca="1">IFERROR(__xludf.DUMMYFUNCTION("FILTER(C:E,B:B=J244)"),"Gravitation")</f>
        <v>Gravitation</v>
      </c>
      <c r="O244" s="265">
        <f ca="1">IFERROR(__xludf.DUMMYFUNCTION("""COMPUTED_VALUE"""),35.422867)</f>
        <v>35.422866999999997</v>
      </c>
      <c r="P244" s="265">
        <f ca="1">IFERROR(__xludf.DUMMYFUNCTION("""COMPUTED_VALUE"""),133.330184)</f>
        <v>133.330184</v>
      </c>
      <c r="Q244" s="264" t="str">
        <f ca="1">IFERROR(__xludf.DUMMYFUNCTION("FILTER(C:E,B:B=K244)"),"米子駅バス乗り場 観光案内地図")</f>
        <v>米子駅バス乗り場 観光案内地図</v>
      </c>
      <c r="R244" s="265">
        <f ca="1">IFERROR(__xludf.DUMMYFUNCTION("""COMPUTED_VALUE"""),35.422825)</f>
        <v>35.422825000000003</v>
      </c>
      <c r="S244" s="265">
        <f ca="1">IFERROR(__xludf.DUMMYFUNCTION("""COMPUTED_VALUE"""),133.335512)</f>
        <v>133.33551199999999</v>
      </c>
      <c r="T244" s="264" t="str">
        <f ca="1">IFERROR(__xludf.DUMMYFUNCTION("FILTER(C:E,B:B=L244)")," ")</f>
        <v xml:space="preserve"> </v>
      </c>
      <c r="U244" s="40" t="str">
        <f ca="1">IFERROR(__xludf.DUMMYFUNCTION("""COMPUTED_VALUE""")," ")</f>
        <v xml:space="preserve"> </v>
      </c>
      <c r="V244" s="40" t="str">
        <f ca="1">IFERROR(__xludf.DUMMYFUNCTION("""COMPUTED_VALUE""")," ")</f>
        <v xml:space="preserve"> </v>
      </c>
      <c r="W244" s="40" t="str">
        <f t="shared" ca="1" si="21"/>
        <v>,</v>
      </c>
      <c r="X244" s="40" t="s">
        <v>682</v>
      </c>
      <c r="Y244" s="40" t="s">
        <v>683</v>
      </c>
      <c r="Z244" s="264">
        <f t="shared" ca="1" si="1"/>
        <v>35.422866999999997</v>
      </c>
      <c r="AA244" s="40" t="s">
        <v>684</v>
      </c>
      <c r="AB244" s="264">
        <f t="shared" ca="1" si="2"/>
        <v>133.330184</v>
      </c>
      <c r="AC244" s="40" t="s">
        <v>685</v>
      </c>
      <c r="AD244" s="264">
        <f t="shared" ca="1" si="3"/>
        <v>35.422825000000003</v>
      </c>
      <c r="AE244" s="40" t="s">
        <v>684</v>
      </c>
      <c r="AF244" s="264">
        <f t="shared" ca="1" si="4"/>
        <v>133.33551199999999</v>
      </c>
      <c r="AG244" s="40" t="s">
        <v>686</v>
      </c>
      <c r="AH244" s="264" t="str">
        <f t="shared" ca="1" si="5"/>
        <v xml:space="preserve"> </v>
      </c>
      <c r="AI244" s="40" t="s">
        <v>684</v>
      </c>
      <c r="AJ244" s="264" t="str">
        <f t="shared" ca="1" si="6"/>
        <v xml:space="preserve"> </v>
      </c>
      <c r="AK244" s="40" t="s">
        <v>687</v>
      </c>
      <c r="AL244" s="264" t="str">
        <f t="shared" ca="1" si="7"/>
        <v>blueviolet</v>
      </c>
      <c r="AM244" s="40" t="s">
        <v>688</v>
      </c>
      <c r="AN244" s="40" t="str">
        <f t="shared" ca="1" si="8"/>
        <v>,{"type":"polygon","latLngs":[ {"lat":35.422867,"lng":133.330184}, {"lat":35.422825,"lng":133.335512},{"lat": ,"lng": }], "color":"blueviolet"}</v>
      </c>
      <c r="AO244" s="266" t="s">
        <v>689</v>
      </c>
      <c r="AP244" s="56">
        <f t="shared" ca="1" si="9"/>
        <v>35.422866999999997</v>
      </c>
      <c r="AQ244" s="40" t="s">
        <v>684</v>
      </c>
      <c r="AR244" s="56">
        <f t="shared" ca="1" si="10"/>
        <v>133.330184</v>
      </c>
      <c r="AS244" s="40" t="s">
        <v>686</v>
      </c>
      <c r="AT244" s="56">
        <f t="shared" ca="1" si="11"/>
        <v>35.422825000000003</v>
      </c>
      <c r="AU244" s="40" t="s">
        <v>684</v>
      </c>
      <c r="AV244" s="56">
        <f t="shared" ca="1" si="12"/>
        <v>133.33551199999999</v>
      </c>
      <c r="AW244" s="40" t="s">
        <v>690</v>
      </c>
      <c r="AX244" s="40" t="str">
        <f t="shared" ca="1" si="13"/>
        <v>blueviolet</v>
      </c>
      <c r="AY244" s="40" t="s">
        <v>688</v>
      </c>
      <c r="AZ244" s="40" t="str">
        <f t="shared" ca="1" si="14"/>
        <v>,{"type":"polyline","latLngs":[{"lat":35.422867,"lng":133.330184},{"lat":35.422825,"lng":133.335512}],"color":"blueviolet"}</v>
      </c>
      <c r="BA244" s="40" t="s">
        <v>691</v>
      </c>
      <c r="BB244" s="56">
        <f t="shared" ca="1" si="15"/>
        <v>35.422866999999997</v>
      </c>
      <c r="BC244" s="40" t="s">
        <v>684</v>
      </c>
      <c r="BD244" s="56">
        <f t="shared" ca="1" si="16"/>
        <v>133.330184</v>
      </c>
      <c r="BE244" s="40" t="s">
        <v>692</v>
      </c>
      <c r="BF244" s="40" t="str">
        <f t="shared" ca="1" si="17"/>
        <v>blueviolet</v>
      </c>
      <c r="BG244" s="40" t="s">
        <v>688</v>
      </c>
      <c r="BH244" s="40" t="str">
        <f t="shared" ca="1" si="18"/>
        <v>,{"type":"marker","latLng":{"lat":35.422867,"lng":133.330184},"color":"blueviolet"}</v>
      </c>
      <c r="BI244" s="40" t="s">
        <v>693</v>
      </c>
      <c r="BJ244" s="40" t="s">
        <v>694</v>
      </c>
      <c r="BK244" s="267" t="str">
        <f t="shared" ca="1" si="19"/>
        <v>,{"type":"polyline","latLngs":[{"lat":35.422867,"lng":133.330184},{"lat":35.422825,"lng":133.335512}],"color":"blueviolet"}</v>
      </c>
    </row>
    <row r="245" spans="7:63" ht="17.5">
      <c r="G245" s="261"/>
      <c r="H245" s="262" t="s">
        <v>672</v>
      </c>
      <c r="I245" s="93" t="str">
        <f ca="1">IFERROR(__xludf.DUMMYFUNCTION("""COMPUTED_VALUE"""),"Agent22")</f>
        <v>Agent22</v>
      </c>
      <c r="J245" s="93" t="str">
        <f ca="1">IFERROR(__xludf.DUMMYFUNCTION("""COMPUTED_VALUE"""),"P207")</f>
        <v>P207</v>
      </c>
      <c r="K245" s="93" t="str">
        <f ca="1">IFERROR(__xludf.DUMMYFUNCTION("""COMPUTED_VALUE"""),"P205")</f>
        <v>P205</v>
      </c>
      <c r="L245" s="242" t="s">
        <v>681</v>
      </c>
      <c r="M245" s="263" t="str">
        <f t="shared" ca="1" si="0"/>
        <v>blueviolet</v>
      </c>
      <c r="N245" s="264" t="str">
        <f ca="1">IFERROR(__xludf.DUMMYFUNCTION("FILTER(C:E,B:B=J245)"),"Gravitation")</f>
        <v>Gravitation</v>
      </c>
      <c r="O245" s="265">
        <f ca="1">IFERROR(__xludf.DUMMYFUNCTION("""COMPUTED_VALUE"""),35.422867)</f>
        <v>35.422866999999997</v>
      </c>
      <c r="P245" s="265">
        <f ca="1">IFERROR(__xludf.DUMMYFUNCTION("""COMPUTED_VALUE"""),133.330184)</f>
        <v>133.330184</v>
      </c>
      <c r="Q245" s="264" t="str">
        <f ca="1">IFERROR(__xludf.DUMMYFUNCTION("FILTER(C:E,B:B=K245)"),"大地の刻")</f>
        <v>大地の刻</v>
      </c>
      <c r="R245" s="265">
        <f ca="1">IFERROR(__xludf.DUMMYFUNCTION("""COMPUTED_VALUE"""),35.422658)</f>
        <v>35.422657999999998</v>
      </c>
      <c r="S245" s="265">
        <f ca="1">IFERROR(__xludf.DUMMYFUNCTION("""COMPUTED_VALUE"""),133.333708)</f>
        <v>133.333708</v>
      </c>
      <c r="T245" s="264" t="str">
        <f ca="1">IFERROR(__xludf.DUMMYFUNCTION("FILTER(C:E,B:B=L245)")," ")</f>
        <v xml:space="preserve"> </v>
      </c>
      <c r="U245" s="40" t="str">
        <f ca="1">IFERROR(__xludf.DUMMYFUNCTION("""COMPUTED_VALUE""")," ")</f>
        <v xml:space="preserve"> </v>
      </c>
      <c r="V245" s="40" t="str">
        <f ca="1">IFERROR(__xludf.DUMMYFUNCTION("""COMPUTED_VALUE""")," ")</f>
        <v xml:space="preserve"> </v>
      </c>
      <c r="W245" s="40" t="str">
        <f t="shared" ca="1" si="21"/>
        <v>,</v>
      </c>
      <c r="X245" s="40" t="s">
        <v>682</v>
      </c>
      <c r="Y245" s="40" t="s">
        <v>683</v>
      </c>
      <c r="Z245" s="264">
        <f t="shared" ca="1" si="1"/>
        <v>35.422866999999997</v>
      </c>
      <c r="AA245" s="40" t="s">
        <v>684</v>
      </c>
      <c r="AB245" s="264">
        <f t="shared" ca="1" si="2"/>
        <v>133.330184</v>
      </c>
      <c r="AC245" s="40" t="s">
        <v>685</v>
      </c>
      <c r="AD245" s="264">
        <f t="shared" ca="1" si="3"/>
        <v>35.422657999999998</v>
      </c>
      <c r="AE245" s="40" t="s">
        <v>684</v>
      </c>
      <c r="AF245" s="264">
        <f t="shared" ca="1" si="4"/>
        <v>133.333708</v>
      </c>
      <c r="AG245" s="40" t="s">
        <v>686</v>
      </c>
      <c r="AH245" s="264" t="str">
        <f t="shared" ca="1" si="5"/>
        <v xml:space="preserve"> </v>
      </c>
      <c r="AI245" s="40" t="s">
        <v>684</v>
      </c>
      <c r="AJ245" s="264" t="str">
        <f t="shared" ca="1" si="6"/>
        <v xml:space="preserve"> </v>
      </c>
      <c r="AK245" s="40" t="s">
        <v>687</v>
      </c>
      <c r="AL245" s="264" t="str">
        <f t="shared" ca="1" si="7"/>
        <v>blueviolet</v>
      </c>
      <c r="AM245" s="40" t="s">
        <v>688</v>
      </c>
      <c r="AN245" s="40" t="str">
        <f t="shared" ca="1" si="8"/>
        <v>,{"type":"polygon","latLngs":[ {"lat":35.422867,"lng":133.330184}, {"lat":35.422658,"lng":133.333708},{"lat": ,"lng": }], "color":"blueviolet"}</v>
      </c>
      <c r="AO245" s="266" t="s">
        <v>689</v>
      </c>
      <c r="AP245" s="56">
        <f t="shared" ca="1" si="9"/>
        <v>35.422866999999997</v>
      </c>
      <c r="AQ245" s="40" t="s">
        <v>684</v>
      </c>
      <c r="AR245" s="56">
        <f t="shared" ca="1" si="10"/>
        <v>133.330184</v>
      </c>
      <c r="AS245" s="40" t="s">
        <v>686</v>
      </c>
      <c r="AT245" s="56">
        <f t="shared" ca="1" si="11"/>
        <v>35.422657999999998</v>
      </c>
      <c r="AU245" s="40" t="s">
        <v>684</v>
      </c>
      <c r="AV245" s="56">
        <f t="shared" ca="1" si="12"/>
        <v>133.333708</v>
      </c>
      <c r="AW245" s="40" t="s">
        <v>690</v>
      </c>
      <c r="AX245" s="40" t="str">
        <f t="shared" ca="1" si="13"/>
        <v>blueviolet</v>
      </c>
      <c r="AY245" s="40" t="s">
        <v>688</v>
      </c>
      <c r="AZ245" s="40" t="str">
        <f t="shared" ca="1" si="14"/>
        <v>,{"type":"polyline","latLngs":[{"lat":35.422867,"lng":133.330184},{"lat":35.422658,"lng":133.333708}],"color":"blueviolet"}</v>
      </c>
      <c r="BA245" s="40" t="s">
        <v>691</v>
      </c>
      <c r="BB245" s="56">
        <f t="shared" ca="1" si="15"/>
        <v>35.422866999999997</v>
      </c>
      <c r="BC245" s="40" t="s">
        <v>684</v>
      </c>
      <c r="BD245" s="56">
        <f t="shared" ca="1" si="16"/>
        <v>133.330184</v>
      </c>
      <c r="BE245" s="40" t="s">
        <v>692</v>
      </c>
      <c r="BF245" s="40" t="str">
        <f t="shared" ca="1" si="17"/>
        <v>blueviolet</v>
      </c>
      <c r="BG245" s="40" t="s">
        <v>688</v>
      </c>
      <c r="BH245" s="40" t="str">
        <f t="shared" ca="1" si="18"/>
        <v>,{"type":"marker","latLng":{"lat":35.422867,"lng":133.330184},"color":"blueviolet"}</v>
      </c>
      <c r="BI245" s="40" t="s">
        <v>693</v>
      </c>
      <c r="BJ245" s="40" t="s">
        <v>694</v>
      </c>
      <c r="BK245" s="267" t="str">
        <f t="shared" ca="1" si="19"/>
        <v>,{"type":"polyline","latLngs":[{"lat":35.422867,"lng":133.330184},{"lat":35.422658,"lng":133.333708}],"color":"blueviolet"}</v>
      </c>
    </row>
    <row r="246" spans="7:63" ht="17.5">
      <c r="G246" s="261"/>
      <c r="H246" s="262" t="s">
        <v>672</v>
      </c>
      <c r="I246" s="93" t="str">
        <f ca="1">IFERROR(__xludf.DUMMYFUNCTION("""COMPUTED_VALUE"""),"Agent22")</f>
        <v>Agent22</v>
      </c>
      <c r="J246" s="93" t="str">
        <f ca="1">IFERROR(__xludf.DUMMYFUNCTION("""COMPUTED_VALUE"""),"P207")</f>
        <v>P207</v>
      </c>
      <c r="K246" s="93" t="str">
        <f ca="1">IFERROR(__xludf.DUMMYFUNCTION("""COMPUTED_VALUE"""),"P204")</f>
        <v>P204</v>
      </c>
      <c r="L246" s="242" t="s">
        <v>681</v>
      </c>
      <c r="M246" s="263" t="str">
        <f t="shared" ca="1" si="0"/>
        <v>blueviolet</v>
      </c>
      <c r="N246" s="264" t="str">
        <f ca="1">IFERROR(__xludf.DUMMYFUNCTION("FILTER(C:E,B:B=J246)"),"Gravitation")</f>
        <v>Gravitation</v>
      </c>
      <c r="O246" s="265">
        <f ca="1">IFERROR(__xludf.DUMMYFUNCTION("""COMPUTED_VALUE"""),35.422867)</f>
        <v>35.422866999999997</v>
      </c>
      <c r="P246" s="265">
        <f ca="1">IFERROR(__xludf.DUMMYFUNCTION("""COMPUTED_VALUE"""),133.330184)</f>
        <v>133.330184</v>
      </c>
      <c r="Q246" s="264" t="str">
        <f ca="1">IFERROR(__xludf.DUMMYFUNCTION("FILTER(C:E,B:B=K246)"),"彫刻ロード「はる」")</f>
        <v>彫刻ロード「はる」</v>
      </c>
      <c r="R246" s="265">
        <f ca="1">IFERROR(__xludf.DUMMYFUNCTION("""COMPUTED_VALUE"""),35.422584)</f>
        <v>35.422584000000001</v>
      </c>
      <c r="S246" s="265">
        <f ca="1">IFERROR(__xludf.DUMMYFUNCTION("""COMPUTED_VALUE"""),133.333923)</f>
        <v>133.333923</v>
      </c>
      <c r="T246" s="264" t="str">
        <f ca="1">IFERROR(__xludf.DUMMYFUNCTION("FILTER(C:E,B:B=L246)")," ")</f>
        <v xml:space="preserve"> </v>
      </c>
      <c r="U246" s="40" t="str">
        <f ca="1">IFERROR(__xludf.DUMMYFUNCTION("""COMPUTED_VALUE""")," ")</f>
        <v xml:space="preserve"> </v>
      </c>
      <c r="V246" s="40" t="str">
        <f ca="1">IFERROR(__xludf.DUMMYFUNCTION("""COMPUTED_VALUE""")," ")</f>
        <v xml:space="preserve"> </v>
      </c>
      <c r="W246" s="40" t="str">
        <f t="shared" ca="1" si="21"/>
        <v>,</v>
      </c>
      <c r="X246" s="40" t="s">
        <v>682</v>
      </c>
      <c r="Y246" s="40" t="s">
        <v>683</v>
      </c>
      <c r="Z246" s="264">
        <f t="shared" ca="1" si="1"/>
        <v>35.422866999999997</v>
      </c>
      <c r="AA246" s="40" t="s">
        <v>684</v>
      </c>
      <c r="AB246" s="264">
        <f t="shared" ca="1" si="2"/>
        <v>133.330184</v>
      </c>
      <c r="AC246" s="40" t="s">
        <v>685</v>
      </c>
      <c r="AD246" s="264">
        <f t="shared" ca="1" si="3"/>
        <v>35.422584000000001</v>
      </c>
      <c r="AE246" s="40" t="s">
        <v>684</v>
      </c>
      <c r="AF246" s="264">
        <f t="shared" ca="1" si="4"/>
        <v>133.333923</v>
      </c>
      <c r="AG246" s="40" t="s">
        <v>686</v>
      </c>
      <c r="AH246" s="264" t="str">
        <f t="shared" ca="1" si="5"/>
        <v xml:space="preserve"> </v>
      </c>
      <c r="AI246" s="40" t="s">
        <v>684</v>
      </c>
      <c r="AJ246" s="264" t="str">
        <f t="shared" ca="1" si="6"/>
        <v xml:space="preserve"> </v>
      </c>
      <c r="AK246" s="40" t="s">
        <v>687</v>
      </c>
      <c r="AL246" s="264" t="str">
        <f t="shared" ca="1" si="7"/>
        <v>blueviolet</v>
      </c>
      <c r="AM246" s="40" t="s">
        <v>688</v>
      </c>
      <c r="AN246" s="40" t="str">
        <f t="shared" ca="1" si="8"/>
        <v>,{"type":"polygon","latLngs":[ {"lat":35.422867,"lng":133.330184}, {"lat":35.422584,"lng":133.333923},{"lat": ,"lng": }], "color":"blueviolet"}</v>
      </c>
      <c r="AO246" s="266" t="s">
        <v>689</v>
      </c>
      <c r="AP246" s="56">
        <f t="shared" ca="1" si="9"/>
        <v>35.422866999999997</v>
      </c>
      <c r="AQ246" s="40" t="s">
        <v>684</v>
      </c>
      <c r="AR246" s="56">
        <f t="shared" ca="1" si="10"/>
        <v>133.330184</v>
      </c>
      <c r="AS246" s="40" t="s">
        <v>686</v>
      </c>
      <c r="AT246" s="56">
        <f t="shared" ca="1" si="11"/>
        <v>35.422584000000001</v>
      </c>
      <c r="AU246" s="40" t="s">
        <v>684</v>
      </c>
      <c r="AV246" s="56">
        <f t="shared" ca="1" si="12"/>
        <v>133.333923</v>
      </c>
      <c r="AW246" s="40" t="s">
        <v>690</v>
      </c>
      <c r="AX246" s="40" t="str">
        <f t="shared" ca="1" si="13"/>
        <v>blueviolet</v>
      </c>
      <c r="AY246" s="40" t="s">
        <v>688</v>
      </c>
      <c r="AZ246" s="40" t="str">
        <f t="shared" ca="1" si="14"/>
        <v>,{"type":"polyline","latLngs":[{"lat":35.422867,"lng":133.330184},{"lat":35.422584,"lng":133.333923}],"color":"blueviolet"}</v>
      </c>
      <c r="BA246" s="40" t="s">
        <v>691</v>
      </c>
      <c r="BB246" s="56">
        <f t="shared" ca="1" si="15"/>
        <v>35.422866999999997</v>
      </c>
      <c r="BC246" s="40" t="s">
        <v>684</v>
      </c>
      <c r="BD246" s="56">
        <f t="shared" ca="1" si="16"/>
        <v>133.330184</v>
      </c>
      <c r="BE246" s="40" t="s">
        <v>692</v>
      </c>
      <c r="BF246" s="40" t="str">
        <f t="shared" ca="1" si="17"/>
        <v>blueviolet</v>
      </c>
      <c r="BG246" s="40" t="s">
        <v>688</v>
      </c>
      <c r="BH246" s="40" t="str">
        <f t="shared" ca="1" si="18"/>
        <v>,{"type":"marker","latLng":{"lat":35.422867,"lng":133.330184},"color":"blueviolet"}</v>
      </c>
      <c r="BI246" s="40" t="s">
        <v>693</v>
      </c>
      <c r="BJ246" s="40" t="s">
        <v>694</v>
      </c>
      <c r="BK246" s="267" t="str">
        <f t="shared" ca="1" si="19"/>
        <v>,{"type":"polyline","latLngs":[{"lat":35.422867,"lng":133.330184},{"lat":35.422584,"lng":133.333923}],"color":"blueviolet"}</v>
      </c>
    </row>
    <row r="247" spans="7:63" ht="17.5">
      <c r="G247" s="261"/>
      <c r="H247" s="262" t="s">
        <v>672</v>
      </c>
      <c r="I247" s="93" t="str">
        <f ca="1">IFERROR(__xludf.DUMMYFUNCTION("""COMPUTED_VALUE"""),"Agent22")</f>
        <v>Agent22</v>
      </c>
      <c r="J247" s="93" t="str">
        <f ca="1">IFERROR(__xludf.DUMMYFUNCTION("""COMPUTED_VALUE"""),"P207")</f>
        <v>P207</v>
      </c>
      <c r="K247" s="93" t="str">
        <f ca="1">IFERROR(__xludf.DUMMYFUNCTION("""COMPUTED_VALUE"""),"P210")</f>
        <v>P210</v>
      </c>
      <c r="L247" s="242" t="s">
        <v>681</v>
      </c>
      <c r="M247" s="263" t="str">
        <f t="shared" ca="1" si="0"/>
        <v>blueviolet</v>
      </c>
      <c r="N247" s="264" t="str">
        <f ca="1">IFERROR(__xludf.DUMMYFUNCTION("FILTER(C:E,B:B=J247)"),"Gravitation")</f>
        <v>Gravitation</v>
      </c>
      <c r="O247" s="265">
        <f ca="1">IFERROR(__xludf.DUMMYFUNCTION("""COMPUTED_VALUE"""),35.422867)</f>
        <v>35.422866999999997</v>
      </c>
      <c r="P247" s="265">
        <f ca="1">IFERROR(__xludf.DUMMYFUNCTION("""COMPUTED_VALUE"""),133.330184)</f>
        <v>133.330184</v>
      </c>
      <c r="Q247" s="264" t="str">
        <f ca="1">IFERROR(__xludf.DUMMYFUNCTION("FILTER(C:E,B:B=K247)"),"祇園地蔵")</f>
        <v>祇園地蔵</v>
      </c>
      <c r="R247" s="265">
        <f ca="1">IFERROR(__xludf.DUMMYFUNCTION("""COMPUTED_VALUE"""),35.423166)</f>
        <v>35.423166000000002</v>
      </c>
      <c r="S247" s="265">
        <f ca="1">IFERROR(__xludf.DUMMYFUNCTION("""COMPUTED_VALUE"""),133.327908)</f>
        <v>133.32790800000001</v>
      </c>
      <c r="T247" s="264" t="str">
        <f ca="1">IFERROR(__xludf.DUMMYFUNCTION("FILTER(C:E,B:B=L247)")," ")</f>
        <v xml:space="preserve"> </v>
      </c>
      <c r="U247" s="40" t="str">
        <f ca="1">IFERROR(__xludf.DUMMYFUNCTION("""COMPUTED_VALUE""")," ")</f>
        <v xml:space="preserve"> </v>
      </c>
      <c r="V247" s="40" t="str">
        <f ca="1">IFERROR(__xludf.DUMMYFUNCTION("""COMPUTED_VALUE""")," ")</f>
        <v xml:space="preserve"> </v>
      </c>
      <c r="W247" s="40" t="str">
        <f t="shared" ca="1" si="21"/>
        <v>,</v>
      </c>
      <c r="X247" s="40" t="s">
        <v>682</v>
      </c>
      <c r="Y247" s="40" t="s">
        <v>683</v>
      </c>
      <c r="Z247" s="264">
        <f t="shared" ca="1" si="1"/>
        <v>35.422866999999997</v>
      </c>
      <c r="AA247" s="40" t="s">
        <v>684</v>
      </c>
      <c r="AB247" s="264">
        <f t="shared" ca="1" si="2"/>
        <v>133.330184</v>
      </c>
      <c r="AC247" s="40" t="s">
        <v>685</v>
      </c>
      <c r="AD247" s="264">
        <f t="shared" ca="1" si="3"/>
        <v>35.423166000000002</v>
      </c>
      <c r="AE247" s="40" t="s">
        <v>684</v>
      </c>
      <c r="AF247" s="264">
        <f t="shared" ca="1" si="4"/>
        <v>133.32790800000001</v>
      </c>
      <c r="AG247" s="40" t="s">
        <v>686</v>
      </c>
      <c r="AH247" s="264" t="str">
        <f t="shared" ca="1" si="5"/>
        <v xml:space="preserve"> </v>
      </c>
      <c r="AI247" s="40" t="s">
        <v>684</v>
      </c>
      <c r="AJ247" s="264" t="str">
        <f t="shared" ca="1" si="6"/>
        <v xml:space="preserve"> </v>
      </c>
      <c r="AK247" s="40" t="s">
        <v>687</v>
      </c>
      <c r="AL247" s="264" t="str">
        <f t="shared" ca="1" si="7"/>
        <v>blueviolet</v>
      </c>
      <c r="AM247" s="40" t="s">
        <v>688</v>
      </c>
      <c r="AN247" s="40" t="str">
        <f t="shared" ca="1" si="8"/>
        <v>,{"type":"polygon","latLngs":[ {"lat":35.422867,"lng":133.330184}, {"lat":35.423166,"lng":133.327908},{"lat": ,"lng": }], "color":"blueviolet"}</v>
      </c>
      <c r="AO247" s="266" t="s">
        <v>689</v>
      </c>
      <c r="AP247" s="56">
        <f t="shared" ca="1" si="9"/>
        <v>35.422866999999997</v>
      </c>
      <c r="AQ247" s="40" t="s">
        <v>684</v>
      </c>
      <c r="AR247" s="56">
        <f t="shared" ca="1" si="10"/>
        <v>133.330184</v>
      </c>
      <c r="AS247" s="40" t="s">
        <v>686</v>
      </c>
      <c r="AT247" s="56">
        <f t="shared" ca="1" si="11"/>
        <v>35.423166000000002</v>
      </c>
      <c r="AU247" s="40" t="s">
        <v>684</v>
      </c>
      <c r="AV247" s="56">
        <f t="shared" ca="1" si="12"/>
        <v>133.32790800000001</v>
      </c>
      <c r="AW247" s="40" t="s">
        <v>690</v>
      </c>
      <c r="AX247" s="40" t="str">
        <f t="shared" ca="1" si="13"/>
        <v>blueviolet</v>
      </c>
      <c r="AY247" s="40" t="s">
        <v>688</v>
      </c>
      <c r="AZ247" s="40" t="str">
        <f t="shared" ca="1" si="14"/>
        <v>,{"type":"polyline","latLngs":[{"lat":35.422867,"lng":133.330184},{"lat":35.423166,"lng":133.327908}],"color":"blueviolet"}</v>
      </c>
      <c r="BA247" s="40" t="s">
        <v>691</v>
      </c>
      <c r="BB247" s="56">
        <f t="shared" ca="1" si="15"/>
        <v>35.422866999999997</v>
      </c>
      <c r="BC247" s="40" t="s">
        <v>684</v>
      </c>
      <c r="BD247" s="56">
        <f t="shared" ca="1" si="16"/>
        <v>133.330184</v>
      </c>
      <c r="BE247" s="40" t="s">
        <v>692</v>
      </c>
      <c r="BF247" s="40" t="str">
        <f t="shared" ca="1" si="17"/>
        <v>blueviolet</v>
      </c>
      <c r="BG247" s="40" t="s">
        <v>688</v>
      </c>
      <c r="BH247" s="40" t="str">
        <f t="shared" ca="1" si="18"/>
        <v>,{"type":"marker","latLng":{"lat":35.422867,"lng":133.330184},"color":"blueviolet"}</v>
      </c>
      <c r="BI247" s="40" t="s">
        <v>693</v>
      </c>
      <c r="BJ247" s="40" t="s">
        <v>694</v>
      </c>
      <c r="BK247" s="267" t="str">
        <f t="shared" ca="1" si="19"/>
        <v>,{"type":"polyline","latLngs":[{"lat":35.422867,"lng":133.330184},{"lat":35.423166,"lng":133.327908}],"color":"blueviolet"}</v>
      </c>
    </row>
    <row r="248" spans="7:63" ht="17.5">
      <c r="G248" s="261"/>
      <c r="H248" s="262" t="s">
        <v>672</v>
      </c>
      <c r="I248" s="93" t="str">
        <f ca="1">IFERROR(__xludf.DUMMYFUNCTION("""COMPUTED_VALUE"""),"Agent22")</f>
        <v>Agent22</v>
      </c>
      <c r="J248" s="93" t="str">
        <f ca="1">IFERROR(__xludf.DUMMYFUNCTION("""COMPUTED_VALUE"""),"P207")</f>
        <v>P207</v>
      </c>
      <c r="K248" s="93" t="str">
        <f ca="1">IFERROR(__xludf.DUMMYFUNCTION("""COMPUTED_VALUE"""),"P201")</f>
        <v>P201</v>
      </c>
      <c r="L248" s="242" t="s">
        <v>681</v>
      </c>
      <c r="M248" s="263" t="str">
        <f t="shared" ca="1" si="0"/>
        <v>blueviolet</v>
      </c>
      <c r="N248" s="264" t="str">
        <f ca="1">IFERROR(__xludf.DUMMYFUNCTION("FILTER(C:E,B:B=J248)"),"Gravitation")</f>
        <v>Gravitation</v>
      </c>
      <c r="O248" s="265">
        <f ca="1">IFERROR(__xludf.DUMMYFUNCTION("""COMPUTED_VALUE"""),35.422867)</f>
        <v>35.422866999999997</v>
      </c>
      <c r="P248" s="265">
        <f ca="1">IFERROR(__xludf.DUMMYFUNCTION("""COMPUTED_VALUE"""),133.330184)</f>
        <v>133.330184</v>
      </c>
      <c r="Q248" s="264" t="str">
        <f ca="1">IFERROR(__xludf.DUMMYFUNCTION("FILTER(C:E,B:B=K248)"),"湊山体育館")</f>
        <v>湊山体育館</v>
      </c>
      <c r="R248" s="265">
        <f ca="1">IFERROR(__xludf.DUMMYFUNCTION("""COMPUTED_VALUE"""),35.41896)</f>
        <v>35.418959999999998</v>
      </c>
      <c r="S248" s="265">
        <f ca="1">IFERROR(__xludf.DUMMYFUNCTION("""COMPUTED_VALUE"""),133.332523)</f>
        <v>133.33252300000001</v>
      </c>
      <c r="T248" s="264" t="str">
        <f ca="1">IFERROR(__xludf.DUMMYFUNCTION("FILTER(C:E,B:B=L248)")," ")</f>
        <v xml:space="preserve"> </v>
      </c>
      <c r="U248" s="40" t="str">
        <f ca="1">IFERROR(__xludf.DUMMYFUNCTION("""COMPUTED_VALUE""")," ")</f>
        <v xml:space="preserve"> </v>
      </c>
      <c r="V248" s="40" t="str">
        <f ca="1">IFERROR(__xludf.DUMMYFUNCTION("""COMPUTED_VALUE""")," ")</f>
        <v xml:space="preserve"> </v>
      </c>
      <c r="W248" s="40" t="str">
        <f t="shared" ca="1" si="21"/>
        <v>,</v>
      </c>
      <c r="X248" s="40" t="s">
        <v>682</v>
      </c>
      <c r="Y248" s="40" t="s">
        <v>683</v>
      </c>
      <c r="Z248" s="264">
        <f t="shared" ca="1" si="1"/>
        <v>35.422866999999997</v>
      </c>
      <c r="AA248" s="40" t="s">
        <v>684</v>
      </c>
      <c r="AB248" s="264">
        <f t="shared" ca="1" si="2"/>
        <v>133.330184</v>
      </c>
      <c r="AC248" s="40" t="s">
        <v>685</v>
      </c>
      <c r="AD248" s="264">
        <f t="shared" ca="1" si="3"/>
        <v>35.418959999999998</v>
      </c>
      <c r="AE248" s="40" t="s">
        <v>684</v>
      </c>
      <c r="AF248" s="264">
        <f t="shared" ca="1" si="4"/>
        <v>133.33252300000001</v>
      </c>
      <c r="AG248" s="40" t="s">
        <v>686</v>
      </c>
      <c r="AH248" s="264" t="str">
        <f t="shared" ca="1" si="5"/>
        <v xml:space="preserve"> </v>
      </c>
      <c r="AI248" s="40" t="s">
        <v>684</v>
      </c>
      <c r="AJ248" s="264" t="str">
        <f t="shared" ca="1" si="6"/>
        <v xml:space="preserve"> </v>
      </c>
      <c r="AK248" s="40" t="s">
        <v>687</v>
      </c>
      <c r="AL248" s="264" t="str">
        <f t="shared" ca="1" si="7"/>
        <v>blueviolet</v>
      </c>
      <c r="AM248" s="40" t="s">
        <v>688</v>
      </c>
      <c r="AN248" s="40" t="str">
        <f t="shared" ca="1" si="8"/>
        <v>,{"type":"polygon","latLngs":[ {"lat":35.422867,"lng":133.330184}, {"lat":35.41896,"lng":133.332523},{"lat": ,"lng": }], "color":"blueviolet"}</v>
      </c>
      <c r="AO248" s="266" t="s">
        <v>689</v>
      </c>
      <c r="AP248" s="56">
        <f t="shared" ca="1" si="9"/>
        <v>35.422866999999997</v>
      </c>
      <c r="AQ248" s="40" t="s">
        <v>684</v>
      </c>
      <c r="AR248" s="56">
        <f t="shared" ca="1" si="10"/>
        <v>133.330184</v>
      </c>
      <c r="AS248" s="40" t="s">
        <v>686</v>
      </c>
      <c r="AT248" s="56">
        <f t="shared" ca="1" si="11"/>
        <v>35.418959999999998</v>
      </c>
      <c r="AU248" s="40" t="s">
        <v>684</v>
      </c>
      <c r="AV248" s="56">
        <f t="shared" ca="1" si="12"/>
        <v>133.33252300000001</v>
      </c>
      <c r="AW248" s="40" t="s">
        <v>690</v>
      </c>
      <c r="AX248" s="40" t="str">
        <f t="shared" ca="1" si="13"/>
        <v>blueviolet</v>
      </c>
      <c r="AY248" s="40" t="s">
        <v>688</v>
      </c>
      <c r="AZ248" s="40" t="str">
        <f t="shared" ca="1" si="14"/>
        <v>,{"type":"polyline","latLngs":[{"lat":35.422867,"lng":133.330184},{"lat":35.41896,"lng":133.332523}],"color":"blueviolet"}</v>
      </c>
      <c r="BA248" s="40" t="s">
        <v>691</v>
      </c>
      <c r="BB248" s="56">
        <f t="shared" ca="1" si="15"/>
        <v>35.422866999999997</v>
      </c>
      <c r="BC248" s="40" t="s">
        <v>684</v>
      </c>
      <c r="BD248" s="56">
        <f t="shared" ca="1" si="16"/>
        <v>133.330184</v>
      </c>
      <c r="BE248" s="40" t="s">
        <v>692</v>
      </c>
      <c r="BF248" s="40" t="str">
        <f t="shared" ca="1" si="17"/>
        <v>blueviolet</v>
      </c>
      <c r="BG248" s="40" t="s">
        <v>688</v>
      </c>
      <c r="BH248" s="40" t="str">
        <f t="shared" ca="1" si="18"/>
        <v>,{"type":"marker","latLng":{"lat":35.422867,"lng":133.330184},"color":"blueviolet"}</v>
      </c>
      <c r="BI248" s="40" t="s">
        <v>693</v>
      </c>
      <c r="BJ248" s="40" t="s">
        <v>694</v>
      </c>
      <c r="BK248" s="267" t="str">
        <f t="shared" ca="1" si="19"/>
        <v>,{"type":"polyline","latLngs":[{"lat":35.422867,"lng":133.330184},{"lat":35.41896,"lng":133.332523}],"color":"blueviolet"}</v>
      </c>
    </row>
    <row r="249" spans="7:63" ht="17.5">
      <c r="G249" s="261"/>
      <c r="H249" s="262" t="s">
        <v>672</v>
      </c>
      <c r="I249" s="93" t="str">
        <f ca="1">IFERROR(__xludf.DUMMYFUNCTION("""COMPUTED_VALUE"""),"Agent22")</f>
        <v>Agent22</v>
      </c>
      <c r="J249" s="93" t="str">
        <f ca="1">IFERROR(__xludf.DUMMYFUNCTION("""COMPUTED_VALUE"""),"P209")</f>
        <v>P209</v>
      </c>
      <c r="K249" s="93" t="str">
        <f ca="1">IFERROR(__xludf.DUMMYFUNCTION("""COMPUTED_VALUE"""),"P207")</f>
        <v>P207</v>
      </c>
      <c r="L249" s="242" t="s">
        <v>681</v>
      </c>
      <c r="M249" s="263" t="str">
        <f t="shared" ca="1" si="0"/>
        <v>blueviolet</v>
      </c>
      <c r="N249" s="264" t="str">
        <f ca="1">IFERROR(__xludf.DUMMYFUNCTION("FILTER(C:E,B:B=J249)"),"地殻-cocoon3-")</f>
        <v>地殻-cocoon3-</v>
      </c>
      <c r="O249" s="265">
        <f ca="1">IFERROR(__xludf.DUMMYFUNCTION("""COMPUTED_VALUE"""),35.423136)</f>
        <v>35.423136</v>
      </c>
      <c r="P249" s="265">
        <f ca="1">IFERROR(__xludf.DUMMYFUNCTION("""COMPUTED_VALUE"""),133.329783)</f>
        <v>133.32978299999999</v>
      </c>
      <c r="Q249" s="264" t="str">
        <f ca="1">IFERROR(__xludf.DUMMYFUNCTION("FILTER(C:E,B:B=K249)"),"Gravitation")</f>
        <v>Gravitation</v>
      </c>
      <c r="R249" s="265">
        <f ca="1">IFERROR(__xludf.DUMMYFUNCTION("""COMPUTED_VALUE"""),35.422867)</f>
        <v>35.422866999999997</v>
      </c>
      <c r="S249" s="265">
        <f ca="1">IFERROR(__xludf.DUMMYFUNCTION("""COMPUTED_VALUE"""),133.330184)</f>
        <v>133.330184</v>
      </c>
      <c r="T249" s="264" t="str">
        <f ca="1">IFERROR(__xludf.DUMMYFUNCTION("FILTER(C:E,B:B=L249)")," ")</f>
        <v xml:space="preserve"> </v>
      </c>
      <c r="U249" s="40" t="str">
        <f ca="1">IFERROR(__xludf.DUMMYFUNCTION("""COMPUTED_VALUE""")," ")</f>
        <v xml:space="preserve"> </v>
      </c>
      <c r="V249" s="40" t="str">
        <f ca="1">IFERROR(__xludf.DUMMYFUNCTION("""COMPUTED_VALUE""")," ")</f>
        <v xml:space="preserve"> </v>
      </c>
      <c r="W249" s="40" t="str">
        <f t="shared" ca="1" si="21"/>
        <v>,</v>
      </c>
      <c r="X249" s="40" t="s">
        <v>682</v>
      </c>
      <c r="Y249" s="40" t="s">
        <v>683</v>
      </c>
      <c r="Z249" s="264">
        <f t="shared" ca="1" si="1"/>
        <v>35.423136</v>
      </c>
      <c r="AA249" s="40" t="s">
        <v>684</v>
      </c>
      <c r="AB249" s="264">
        <f t="shared" ca="1" si="2"/>
        <v>133.32978299999999</v>
      </c>
      <c r="AC249" s="40" t="s">
        <v>685</v>
      </c>
      <c r="AD249" s="264">
        <f t="shared" ca="1" si="3"/>
        <v>35.422866999999997</v>
      </c>
      <c r="AE249" s="40" t="s">
        <v>684</v>
      </c>
      <c r="AF249" s="264">
        <f t="shared" ca="1" si="4"/>
        <v>133.330184</v>
      </c>
      <c r="AG249" s="40" t="s">
        <v>686</v>
      </c>
      <c r="AH249" s="264" t="str">
        <f t="shared" ca="1" si="5"/>
        <v xml:space="preserve"> </v>
      </c>
      <c r="AI249" s="40" t="s">
        <v>684</v>
      </c>
      <c r="AJ249" s="264" t="str">
        <f t="shared" ca="1" si="6"/>
        <v xml:space="preserve"> </v>
      </c>
      <c r="AK249" s="40" t="s">
        <v>687</v>
      </c>
      <c r="AL249" s="264" t="str">
        <f t="shared" ca="1" si="7"/>
        <v>blueviolet</v>
      </c>
      <c r="AM249" s="40" t="s">
        <v>688</v>
      </c>
      <c r="AN249" s="40" t="str">
        <f t="shared" ca="1" si="8"/>
        <v>,{"type":"polygon","latLngs":[ {"lat":35.423136,"lng":133.329783}, {"lat":35.422867,"lng":133.330184},{"lat": ,"lng": }], "color":"blueviolet"}</v>
      </c>
      <c r="AO249" s="266" t="s">
        <v>689</v>
      </c>
      <c r="AP249" s="56">
        <f t="shared" ca="1" si="9"/>
        <v>35.423136</v>
      </c>
      <c r="AQ249" s="40" t="s">
        <v>684</v>
      </c>
      <c r="AR249" s="56">
        <f t="shared" ca="1" si="10"/>
        <v>133.32978299999999</v>
      </c>
      <c r="AS249" s="40" t="s">
        <v>686</v>
      </c>
      <c r="AT249" s="56">
        <f t="shared" ca="1" si="11"/>
        <v>35.422866999999997</v>
      </c>
      <c r="AU249" s="40" t="s">
        <v>684</v>
      </c>
      <c r="AV249" s="56">
        <f t="shared" ca="1" si="12"/>
        <v>133.330184</v>
      </c>
      <c r="AW249" s="40" t="s">
        <v>690</v>
      </c>
      <c r="AX249" s="40" t="str">
        <f t="shared" ca="1" si="13"/>
        <v>blueviolet</v>
      </c>
      <c r="AY249" s="40" t="s">
        <v>688</v>
      </c>
      <c r="AZ249" s="40" t="str">
        <f t="shared" ca="1" si="14"/>
        <v>,{"type":"polyline","latLngs":[{"lat":35.423136,"lng":133.329783},{"lat":35.422867,"lng":133.330184}],"color":"blueviolet"}</v>
      </c>
      <c r="BA249" s="40" t="s">
        <v>691</v>
      </c>
      <c r="BB249" s="56">
        <f t="shared" ca="1" si="15"/>
        <v>35.423136</v>
      </c>
      <c r="BC249" s="40" t="s">
        <v>684</v>
      </c>
      <c r="BD249" s="56">
        <f t="shared" ca="1" si="16"/>
        <v>133.32978299999999</v>
      </c>
      <c r="BE249" s="40" t="s">
        <v>692</v>
      </c>
      <c r="BF249" s="40" t="str">
        <f t="shared" ca="1" si="17"/>
        <v>blueviolet</v>
      </c>
      <c r="BG249" s="40" t="s">
        <v>688</v>
      </c>
      <c r="BH249" s="40" t="str">
        <f t="shared" ca="1" si="18"/>
        <v>,{"type":"marker","latLng":{"lat":35.423136,"lng":133.329783},"color":"blueviolet"}</v>
      </c>
      <c r="BI249" s="40" t="s">
        <v>693</v>
      </c>
      <c r="BJ249" s="40" t="s">
        <v>694</v>
      </c>
      <c r="BK249" s="267" t="str">
        <f t="shared" ca="1" si="19"/>
        <v>,{"type":"polyline","latLngs":[{"lat":35.423136,"lng":133.329783},{"lat":35.422867,"lng":133.330184}],"color":"blueviolet"}</v>
      </c>
    </row>
    <row r="250" spans="7:63" ht="17.5">
      <c r="G250" s="261"/>
      <c r="H250" s="262" t="s">
        <v>672</v>
      </c>
      <c r="I250" s="93" t="str">
        <f ca="1">IFERROR(__xludf.DUMMYFUNCTION("""COMPUTED_VALUE"""),"Agent22")</f>
        <v>Agent22</v>
      </c>
      <c r="J250" s="93" t="str">
        <f ca="1">IFERROR(__xludf.DUMMYFUNCTION("""COMPUTED_VALUE"""),"P209")</f>
        <v>P209</v>
      </c>
      <c r="K250" s="93" t="str">
        <f ca="1">IFERROR(__xludf.DUMMYFUNCTION("""COMPUTED_VALUE"""),"P217")</f>
        <v>P217</v>
      </c>
      <c r="L250" s="242" t="s">
        <v>681</v>
      </c>
      <c r="M250" s="263" t="str">
        <f t="shared" ca="1" si="0"/>
        <v>blueviolet</v>
      </c>
      <c r="N250" s="264" t="str">
        <f ca="1">IFERROR(__xludf.DUMMYFUNCTION("FILTER(C:E,B:B=J250)"),"地殻-cocoon3-")</f>
        <v>地殻-cocoon3-</v>
      </c>
      <c r="O250" s="265">
        <f ca="1">IFERROR(__xludf.DUMMYFUNCTION("""COMPUTED_VALUE"""),35.423136)</f>
        <v>35.423136</v>
      </c>
      <c r="P250" s="265">
        <f ca="1">IFERROR(__xludf.DUMMYFUNCTION("""COMPUTED_VALUE"""),133.329783)</f>
        <v>133.32978299999999</v>
      </c>
      <c r="Q250" s="264" t="str">
        <f ca="1">IFERROR(__xludf.DUMMYFUNCTION("FILTER(C:E,B:B=K250)"),"明治第一公園のパーゴラ休憩所")</f>
        <v>明治第一公園のパーゴラ休憩所</v>
      </c>
      <c r="R250" s="265">
        <f ca="1">IFERROR(__xludf.DUMMYFUNCTION("""COMPUTED_VALUE"""),35.42404)</f>
        <v>35.424039999999998</v>
      </c>
      <c r="S250" s="265">
        <f ca="1">IFERROR(__xludf.DUMMYFUNCTION("""COMPUTED_VALUE"""),133.33353)</f>
        <v>133.33353</v>
      </c>
      <c r="T250" s="264" t="str">
        <f ca="1">IFERROR(__xludf.DUMMYFUNCTION("FILTER(C:E,B:B=L250)")," ")</f>
        <v xml:space="preserve"> </v>
      </c>
      <c r="U250" s="40" t="str">
        <f ca="1">IFERROR(__xludf.DUMMYFUNCTION("""COMPUTED_VALUE""")," ")</f>
        <v xml:space="preserve"> </v>
      </c>
      <c r="V250" s="40" t="str">
        <f ca="1">IFERROR(__xludf.DUMMYFUNCTION("""COMPUTED_VALUE""")," ")</f>
        <v xml:space="preserve"> </v>
      </c>
      <c r="W250" s="40" t="str">
        <f t="shared" ca="1" si="21"/>
        <v>,</v>
      </c>
      <c r="X250" s="40" t="s">
        <v>682</v>
      </c>
      <c r="Y250" s="40" t="s">
        <v>683</v>
      </c>
      <c r="Z250" s="264">
        <f t="shared" ca="1" si="1"/>
        <v>35.423136</v>
      </c>
      <c r="AA250" s="40" t="s">
        <v>684</v>
      </c>
      <c r="AB250" s="264">
        <f t="shared" ca="1" si="2"/>
        <v>133.32978299999999</v>
      </c>
      <c r="AC250" s="40" t="s">
        <v>685</v>
      </c>
      <c r="AD250" s="264">
        <f t="shared" ca="1" si="3"/>
        <v>35.424039999999998</v>
      </c>
      <c r="AE250" s="40" t="s">
        <v>684</v>
      </c>
      <c r="AF250" s="264">
        <f t="shared" ca="1" si="4"/>
        <v>133.33353</v>
      </c>
      <c r="AG250" s="40" t="s">
        <v>686</v>
      </c>
      <c r="AH250" s="264" t="str">
        <f t="shared" ca="1" si="5"/>
        <v xml:space="preserve"> </v>
      </c>
      <c r="AI250" s="40" t="s">
        <v>684</v>
      </c>
      <c r="AJ250" s="264" t="str">
        <f t="shared" ca="1" si="6"/>
        <v xml:space="preserve"> </v>
      </c>
      <c r="AK250" s="40" t="s">
        <v>687</v>
      </c>
      <c r="AL250" s="264" t="str">
        <f t="shared" ca="1" si="7"/>
        <v>blueviolet</v>
      </c>
      <c r="AM250" s="40" t="s">
        <v>688</v>
      </c>
      <c r="AN250" s="40" t="str">
        <f t="shared" ca="1" si="8"/>
        <v>,{"type":"polygon","latLngs":[ {"lat":35.423136,"lng":133.329783}, {"lat":35.42404,"lng":133.33353},{"lat": ,"lng": }], "color":"blueviolet"}</v>
      </c>
      <c r="AO250" s="266" t="s">
        <v>689</v>
      </c>
      <c r="AP250" s="56">
        <f t="shared" ca="1" si="9"/>
        <v>35.423136</v>
      </c>
      <c r="AQ250" s="40" t="s">
        <v>684</v>
      </c>
      <c r="AR250" s="56">
        <f t="shared" ca="1" si="10"/>
        <v>133.32978299999999</v>
      </c>
      <c r="AS250" s="40" t="s">
        <v>686</v>
      </c>
      <c r="AT250" s="56">
        <f t="shared" ca="1" si="11"/>
        <v>35.424039999999998</v>
      </c>
      <c r="AU250" s="40" t="s">
        <v>684</v>
      </c>
      <c r="AV250" s="56">
        <f t="shared" ca="1" si="12"/>
        <v>133.33353</v>
      </c>
      <c r="AW250" s="40" t="s">
        <v>690</v>
      </c>
      <c r="AX250" s="40" t="str">
        <f t="shared" ca="1" si="13"/>
        <v>blueviolet</v>
      </c>
      <c r="AY250" s="40" t="s">
        <v>688</v>
      </c>
      <c r="AZ250" s="40" t="str">
        <f t="shared" ca="1" si="14"/>
        <v>,{"type":"polyline","latLngs":[{"lat":35.423136,"lng":133.329783},{"lat":35.42404,"lng":133.33353}],"color":"blueviolet"}</v>
      </c>
      <c r="BA250" s="40" t="s">
        <v>691</v>
      </c>
      <c r="BB250" s="56">
        <f t="shared" ca="1" si="15"/>
        <v>35.423136</v>
      </c>
      <c r="BC250" s="40" t="s">
        <v>684</v>
      </c>
      <c r="BD250" s="56">
        <f t="shared" ca="1" si="16"/>
        <v>133.32978299999999</v>
      </c>
      <c r="BE250" s="40" t="s">
        <v>692</v>
      </c>
      <c r="BF250" s="40" t="str">
        <f t="shared" ca="1" si="17"/>
        <v>blueviolet</v>
      </c>
      <c r="BG250" s="40" t="s">
        <v>688</v>
      </c>
      <c r="BH250" s="40" t="str">
        <f t="shared" ca="1" si="18"/>
        <v>,{"type":"marker","latLng":{"lat":35.423136,"lng":133.329783},"color":"blueviolet"}</v>
      </c>
      <c r="BI250" s="40" t="s">
        <v>693</v>
      </c>
      <c r="BJ250" s="40" t="s">
        <v>694</v>
      </c>
      <c r="BK250" s="267" t="str">
        <f t="shared" ca="1" si="19"/>
        <v>,{"type":"polyline","latLngs":[{"lat":35.423136,"lng":133.329783},{"lat":35.42404,"lng":133.33353}],"color":"blueviolet"}</v>
      </c>
    </row>
    <row r="251" spans="7:63" ht="17.5">
      <c r="G251" s="261"/>
      <c r="H251" s="262" t="s">
        <v>672</v>
      </c>
      <c r="I251" s="93" t="str">
        <f ca="1">IFERROR(__xludf.DUMMYFUNCTION("""COMPUTED_VALUE"""),"Agent22")</f>
        <v>Agent22</v>
      </c>
      <c r="J251" s="93" t="str">
        <f ca="1">IFERROR(__xludf.DUMMYFUNCTION("""COMPUTED_VALUE"""),"P213")</f>
        <v>P213</v>
      </c>
      <c r="K251" s="93" t="str">
        <f ca="1">IFERROR(__xludf.DUMMYFUNCTION("""COMPUTED_VALUE"""),"P207")</f>
        <v>P207</v>
      </c>
      <c r="L251" s="242" t="s">
        <v>681</v>
      </c>
      <c r="M251" s="263" t="str">
        <f t="shared" ca="1" si="0"/>
        <v>blueviolet</v>
      </c>
      <c r="N251" s="264" t="str">
        <f ca="1">IFERROR(__xludf.DUMMYFUNCTION("FILTER(C:E,B:B=J251)"),"白鳥")</f>
        <v>白鳥</v>
      </c>
      <c r="O251" s="265">
        <f ca="1">IFERROR(__xludf.DUMMYFUNCTION("""COMPUTED_VALUE"""),35.423286)</f>
        <v>35.423285999999997</v>
      </c>
      <c r="P251" s="265">
        <f ca="1">IFERROR(__xludf.DUMMYFUNCTION("""COMPUTED_VALUE"""),133.329341)</f>
        <v>133.329341</v>
      </c>
      <c r="Q251" s="264" t="str">
        <f ca="1">IFERROR(__xludf.DUMMYFUNCTION("FILTER(C:E,B:B=K251)"),"Gravitation")</f>
        <v>Gravitation</v>
      </c>
      <c r="R251" s="265">
        <f ca="1">IFERROR(__xludf.DUMMYFUNCTION("""COMPUTED_VALUE"""),35.422867)</f>
        <v>35.422866999999997</v>
      </c>
      <c r="S251" s="265">
        <f ca="1">IFERROR(__xludf.DUMMYFUNCTION("""COMPUTED_VALUE"""),133.330184)</f>
        <v>133.330184</v>
      </c>
      <c r="T251" s="264" t="str">
        <f ca="1">IFERROR(__xludf.DUMMYFUNCTION("FILTER(C:E,B:B=L251)")," ")</f>
        <v xml:space="preserve"> </v>
      </c>
      <c r="U251" s="40" t="str">
        <f ca="1">IFERROR(__xludf.DUMMYFUNCTION("""COMPUTED_VALUE""")," ")</f>
        <v xml:space="preserve"> </v>
      </c>
      <c r="V251" s="40" t="str">
        <f ca="1">IFERROR(__xludf.DUMMYFUNCTION("""COMPUTED_VALUE""")," ")</f>
        <v xml:space="preserve"> </v>
      </c>
      <c r="W251" s="40" t="str">
        <f t="shared" ca="1" si="21"/>
        <v>,</v>
      </c>
      <c r="X251" s="40" t="s">
        <v>682</v>
      </c>
      <c r="Y251" s="40" t="s">
        <v>683</v>
      </c>
      <c r="Z251" s="264">
        <f t="shared" ca="1" si="1"/>
        <v>35.423285999999997</v>
      </c>
      <c r="AA251" s="40" t="s">
        <v>684</v>
      </c>
      <c r="AB251" s="264">
        <f t="shared" ca="1" si="2"/>
        <v>133.329341</v>
      </c>
      <c r="AC251" s="40" t="s">
        <v>685</v>
      </c>
      <c r="AD251" s="264">
        <f t="shared" ca="1" si="3"/>
        <v>35.422866999999997</v>
      </c>
      <c r="AE251" s="40" t="s">
        <v>684</v>
      </c>
      <c r="AF251" s="264">
        <f t="shared" ca="1" si="4"/>
        <v>133.330184</v>
      </c>
      <c r="AG251" s="40" t="s">
        <v>686</v>
      </c>
      <c r="AH251" s="264" t="str">
        <f t="shared" ca="1" si="5"/>
        <v xml:space="preserve"> </v>
      </c>
      <c r="AI251" s="40" t="s">
        <v>684</v>
      </c>
      <c r="AJ251" s="264" t="str">
        <f t="shared" ca="1" si="6"/>
        <v xml:space="preserve"> </v>
      </c>
      <c r="AK251" s="40" t="s">
        <v>687</v>
      </c>
      <c r="AL251" s="264" t="str">
        <f t="shared" ca="1" si="7"/>
        <v>blueviolet</v>
      </c>
      <c r="AM251" s="40" t="s">
        <v>688</v>
      </c>
      <c r="AN251" s="40" t="str">
        <f t="shared" ca="1" si="8"/>
        <v>,{"type":"polygon","latLngs":[ {"lat":35.423286,"lng":133.329341}, {"lat":35.422867,"lng":133.330184},{"lat": ,"lng": }], "color":"blueviolet"}</v>
      </c>
      <c r="AO251" s="266" t="s">
        <v>689</v>
      </c>
      <c r="AP251" s="56">
        <f t="shared" ca="1" si="9"/>
        <v>35.423285999999997</v>
      </c>
      <c r="AQ251" s="40" t="s">
        <v>684</v>
      </c>
      <c r="AR251" s="56">
        <f t="shared" ca="1" si="10"/>
        <v>133.329341</v>
      </c>
      <c r="AS251" s="40" t="s">
        <v>686</v>
      </c>
      <c r="AT251" s="56">
        <f t="shared" ca="1" si="11"/>
        <v>35.422866999999997</v>
      </c>
      <c r="AU251" s="40" t="s">
        <v>684</v>
      </c>
      <c r="AV251" s="56">
        <f t="shared" ca="1" si="12"/>
        <v>133.330184</v>
      </c>
      <c r="AW251" s="40" t="s">
        <v>690</v>
      </c>
      <c r="AX251" s="40" t="str">
        <f t="shared" ca="1" si="13"/>
        <v>blueviolet</v>
      </c>
      <c r="AY251" s="40" t="s">
        <v>688</v>
      </c>
      <c r="AZ251" s="40" t="str">
        <f t="shared" ca="1" si="14"/>
        <v>,{"type":"polyline","latLngs":[{"lat":35.423286,"lng":133.329341},{"lat":35.422867,"lng":133.330184}],"color":"blueviolet"}</v>
      </c>
      <c r="BA251" s="40" t="s">
        <v>691</v>
      </c>
      <c r="BB251" s="56">
        <f t="shared" ca="1" si="15"/>
        <v>35.423285999999997</v>
      </c>
      <c r="BC251" s="40" t="s">
        <v>684</v>
      </c>
      <c r="BD251" s="56">
        <f t="shared" ca="1" si="16"/>
        <v>133.329341</v>
      </c>
      <c r="BE251" s="40" t="s">
        <v>692</v>
      </c>
      <c r="BF251" s="40" t="str">
        <f t="shared" ca="1" si="17"/>
        <v>blueviolet</v>
      </c>
      <c r="BG251" s="40" t="s">
        <v>688</v>
      </c>
      <c r="BH251" s="40" t="str">
        <f t="shared" ca="1" si="18"/>
        <v>,{"type":"marker","latLng":{"lat":35.423286,"lng":133.329341},"color":"blueviolet"}</v>
      </c>
      <c r="BI251" s="40" t="s">
        <v>693</v>
      </c>
      <c r="BJ251" s="40" t="s">
        <v>694</v>
      </c>
      <c r="BK251" s="267" t="str">
        <f t="shared" ca="1" si="19"/>
        <v>,{"type":"polyline","latLngs":[{"lat":35.423286,"lng":133.329341},{"lat":35.422867,"lng":133.330184}],"color":"blueviolet"}</v>
      </c>
    </row>
    <row r="252" spans="7:63" ht="17.5">
      <c r="G252" s="261"/>
      <c r="H252" s="262" t="s">
        <v>672</v>
      </c>
      <c r="I252" s="93" t="str">
        <f ca="1">IFERROR(__xludf.DUMMYFUNCTION("""COMPUTED_VALUE"""),"Agent22")</f>
        <v>Agent22</v>
      </c>
      <c r="J252" s="93" t="str">
        <f ca="1">IFERROR(__xludf.DUMMYFUNCTION("""COMPUTED_VALUE"""),"P213")</f>
        <v>P213</v>
      </c>
      <c r="K252" s="93" t="str">
        <f ca="1">IFERROR(__xludf.DUMMYFUNCTION("""COMPUTED_VALUE"""),"P217")</f>
        <v>P217</v>
      </c>
      <c r="L252" s="242" t="s">
        <v>681</v>
      </c>
      <c r="M252" s="263" t="str">
        <f t="shared" ca="1" si="0"/>
        <v>blueviolet</v>
      </c>
      <c r="N252" s="264" t="str">
        <f ca="1">IFERROR(__xludf.DUMMYFUNCTION("FILTER(C:E,B:B=J252)"),"白鳥")</f>
        <v>白鳥</v>
      </c>
      <c r="O252" s="265">
        <f ca="1">IFERROR(__xludf.DUMMYFUNCTION("""COMPUTED_VALUE"""),35.423286)</f>
        <v>35.423285999999997</v>
      </c>
      <c r="P252" s="265">
        <f ca="1">IFERROR(__xludf.DUMMYFUNCTION("""COMPUTED_VALUE"""),133.329341)</f>
        <v>133.329341</v>
      </c>
      <c r="Q252" s="264" t="str">
        <f ca="1">IFERROR(__xludf.DUMMYFUNCTION("FILTER(C:E,B:B=K252)"),"明治第一公園のパーゴラ休憩所")</f>
        <v>明治第一公園のパーゴラ休憩所</v>
      </c>
      <c r="R252" s="265">
        <f ca="1">IFERROR(__xludf.DUMMYFUNCTION("""COMPUTED_VALUE"""),35.42404)</f>
        <v>35.424039999999998</v>
      </c>
      <c r="S252" s="265">
        <f ca="1">IFERROR(__xludf.DUMMYFUNCTION("""COMPUTED_VALUE"""),133.33353)</f>
        <v>133.33353</v>
      </c>
      <c r="T252" s="264" t="str">
        <f ca="1">IFERROR(__xludf.DUMMYFUNCTION("FILTER(C:E,B:B=L252)")," ")</f>
        <v xml:space="preserve"> </v>
      </c>
      <c r="U252" s="40" t="str">
        <f ca="1">IFERROR(__xludf.DUMMYFUNCTION("""COMPUTED_VALUE""")," ")</f>
        <v xml:space="preserve"> </v>
      </c>
      <c r="V252" s="40" t="str">
        <f ca="1">IFERROR(__xludf.DUMMYFUNCTION("""COMPUTED_VALUE""")," ")</f>
        <v xml:space="preserve"> </v>
      </c>
      <c r="W252" s="40" t="str">
        <f t="shared" ca="1" si="21"/>
        <v>,</v>
      </c>
      <c r="X252" s="40" t="s">
        <v>682</v>
      </c>
      <c r="Y252" s="40" t="s">
        <v>683</v>
      </c>
      <c r="Z252" s="264">
        <f t="shared" ca="1" si="1"/>
        <v>35.423285999999997</v>
      </c>
      <c r="AA252" s="40" t="s">
        <v>684</v>
      </c>
      <c r="AB252" s="264">
        <f t="shared" ca="1" si="2"/>
        <v>133.329341</v>
      </c>
      <c r="AC252" s="40" t="s">
        <v>685</v>
      </c>
      <c r="AD252" s="264">
        <f t="shared" ca="1" si="3"/>
        <v>35.424039999999998</v>
      </c>
      <c r="AE252" s="40" t="s">
        <v>684</v>
      </c>
      <c r="AF252" s="264">
        <f t="shared" ca="1" si="4"/>
        <v>133.33353</v>
      </c>
      <c r="AG252" s="40" t="s">
        <v>686</v>
      </c>
      <c r="AH252" s="264" t="str">
        <f t="shared" ca="1" si="5"/>
        <v xml:space="preserve"> </v>
      </c>
      <c r="AI252" s="40" t="s">
        <v>684</v>
      </c>
      <c r="AJ252" s="264" t="str">
        <f t="shared" ca="1" si="6"/>
        <v xml:space="preserve"> </v>
      </c>
      <c r="AK252" s="40" t="s">
        <v>687</v>
      </c>
      <c r="AL252" s="264" t="str">
        <f t="shared" ca="1" si="7"/>
        <v>blueviolet</v>
      </c>
      <c r="AM252" s="40" t="s">
        <v>688</v>
      </c>
      <c r="AN252" s="40" t="str">
        <f t="shared" ca="1" si="8"/>
        <v>,{"type":"polygon","latLngs":[ {"lat":35.423286,"lng":133.329341}, {"lat":35.42404,"lng":133.33353},{"lat": ,"lng": }], "color":"blueviolet"}</v>
      </c>
      <c r="AO252" s="266" t="s">
        <v>689</v>
      </c>
      <c r="AP252" s="56">
        <f t="shared" ca="1" si="9"/>
        <v>35.423285999999997</v>
      </c>
      <c r="AQ252" s="40" t="s">
        <v>684</v>
      </c>
      <c r="AR252" s="56">
        <f t="shared" ca="1" si="10"/>
        <v>133.329341</v>
      </c>
      <c r="AS252" s="40" t="s">
        <v>686</v>
      </c>
      <c r="AT252" s="56">
        <f t="shared" ca="1" si="11"/>
        <v>35.424039999999998</v>
      </c>
      <c r="AU252" s="40" t="s">
        <v>684</v>
      </c>
      <c r="AV252" s="56">
        <f t="shared" ca="1" si="12"/>
        <v>133.33353</v>
      </c>
      <c r="AW252" s="40" t="s">
        <v>690</v>
      </c>
      <c r="AX252" s="40" t="str">
        <f t="shared" ca="1" si="13"/>
        <v>blueviolet</v>
      </c>
      <c r="AY252" s="40" t="s">
        <v>688</v>
      </c>
      <c r="AZ252" s="40" t="str">
        <f t="shared" ca="1" si="14"/>
        <v>,{"type":"polyline","latLngs":[{"lat":35.423286,"lng":133.329341},{"lat":35.42404,"lng":133.33353}],"color":"blueviolet"}</v>
      </c>
      <c r="BA252" s="40" t="s">
        <v>691</v>
      </c>
      <c r="BB252" s="56">
        <f t="shared" ca="1" si="15"/>
        <v>35.423285999999997</v>
      </c>
      <c r="BC252" s="40" t="s">
        <v>684</v>
      </c>
      <c r="BD252" s="56">
        <f t="shared" ca="1" si="16"/>
        <v>133.329341</v>
      </c>
      <c r="BE252" s="40" t="s">
        <v>692</v>
      </c>
      <c r="BF252" s="40" t="str">
        <f t="shared" ca="1" si="17"/>
        <v>blueviolet</v>
      </c>
      <c r="BG252" s="40" t="s">
        <v>688</v>
      </c>
      <c r="BH252" s="40" t="str">
        <f t="shared" ca="1" si="18"/>
        <v>,{"type":"marker","latLng":{"lat":35.423286,"lng":133.329341},"color":"blueviolet"}</v>
      </c>
      <c r="BI252" s="40" t="s">
        <v>693</v>
      </c>
      <c r="BJ252" s="40" t="s">
        <v>694</v>
      </c>
      <c r="BK252" s="267" t="str">
        <f t="shared" ca="1" si="19"/>
        <v>,{"type":"polyline","latLngs":[{"lat":35.423286,"lng":133.329341},{"lat":35.42404,"lng":133.33353}],"color":"blueviolet"}</v>
      </c>
    </row>
    <row r="253" spans="7:63" ht="17.5">
      <c r="G253" s="261"/>
      <c r="H253" s="262" t="s">
        <v>672</v>
      </c>
      <c r="I253" s="93" t="str">
        <f ca="1">IFERROR(__xludf.DUMMYFUNCTION("""COMPUTED_VALUE"""),"Agent22")</f>
        <v>Agent22</v>
      </c>
      <c r="J253" s="93" t="str">
        <f ca="1">IFERROR(__xludf.DUMMYFUNCTION("""COMPUTED_VALUE"""),"P215")</f>
        <v>P215</v>
      </c>
      <c r="K253" s="93" t="str">
        <f ca="1">IFERROR(__xludf.DUMMYFUNCTION("""COMPUTED_VALUE"""),"P219")</f>
        <v>P219</v>
      </c>
      <c r="L253" s="242" t="s">
        <v>681</v>
      </c>
      <c r="M253" s="263" t="str">
        <f t="shared" ca="1" si="0"/>
        <v>blueviolet</v>
      </c>
      <c r="N253" s="264" t="str">
        <f ca="1">IFERROR(__xludf.DUMMYFUNCTION("FILTER(C:E,B:B=J253)"),"彫刻ロード「再生」")</f>
        <v>彫刻ロード「再生」</v>
      </c>
      <c r="O253" s="265">
        <f ca="1">IFERROR(__xludf.DUMMYFUNCTION("""COMPUTED_VALUE"""),35.423592)</f>
        <v>35.423591999999999</v>
      </c>
      <c r="P253" s="265">
        <f ca="1">IFERROR(__xludf.DUMMYFUNCTION("""COMPUTED_VALUE"""),133.328052)</f>
        <v>133.32805200000001</v>
      </c>
      <c r="Q253" s="264" t="str">
        <f ca="1">IFERROR(__xludf.DUMMYFUNCTION("FILTER(C:E,B:B=K253)"),"塩町地蔵")</f>
        <v>塩町地蔵</v>
      </c>
      <c r="R253" s="265">
        <f ca="1">IFERROR(__xludf.DUMMYFUNCTION("""COMPUTED_VALUE"""),35.424164)</f>
        <v>35.424163999999998</v>
      </c>
      <c r="S253" s="265">
        <f ca="1">IFERROR(__xludf.DUMMYFUNCTION("""COMPUTED_VALUE"""),133.331871)</f>
        <v>133.33187100000001</v>
      </c>
      <c r="T253" s="264" t="str">
        <f ca="1">IFERROR(__xludf.DUMMYFUNCTION("FILTER(C:E,B:B=L253)")," ")</f>
        <v xml:space="preserve"> </v>
      </c>
      <c r="U253" s="40" t="str">
        <f ca="1">IFERROR(__xludf.DUMMYFUNCTION("""COMPUTED_VALUE""")," ")</f>
        <v xml:space="preserve"> </v>
      </c>
      <c r="V253" s="40" t="str">
        <f ca="1">IFERROR(__xludf.DUMMYFUNCTION("""COMPUTED_VALUE""")," ")</f>
        <v xml:space="preserve"> </v>
      </c>
      <c r="W253" s="40" t="str">
        <f t="shared" ca="1" si="21"/>
        <v>,</v>
      </c>
      <c r="X253" s="40" t="s">
        <v>682</v>
      </c>
      <c r="Y253" s="40" t="s">
        <v>683</v>
      </c>
      <c r="Z253" s="264">
        <f t="shared" ca="1" si="1"/>
        <v>35.423591999999999</v>
      </c>
      <c r="AA253" s="40" t="s">
        <v>684</v>
      </c>
      <c r="AB253" s="264">
        <f t="shared" ca="1" si="2"/>
        <v>133.32805200000001</v>
      </c>
      <c r="AC253" s="40" t="s">
        <v>685</v>
      </c>
      <c r="AD253" s="264">
        <f t="shared" ca="1" si="3"/>
        <v>35.424163999999998</v>
      </c>
      <c r="AE253" s="40" t="s">
        <v>684</v>
      </c>
      <c r="AF253" s="264">
        <f t="shared" ca="1" si="4"/>
        <v>133.33187100000001</v>
      </c>
      <c r="AG253" s="40" t="s">
        <v>686</v>
      </c>
      <c r="AH253" s="264" t="str">
        <f t="shared" ca="1" si="5"/>
        <v xml:space="preserve"> </v>
      </c>
      <c r="AI253" s="40" t="s">
        <v>684</v>
      </c>
      <c r="AJ253" s="264" t="str">
        <f t="shared" ca="1" si="6"/>
        <v xml:space="preserve"> </v>
      </c>
      <c r="AK253" s="40" t="s">
        <v>687</v>
      </c>
      <c r="AL253" s="264" t="str">
        <f t="shared" ca="1" si="7"/>
        <v>blueviolet</v>
      </c>
      <c r="AM253" s="40" t="s">
        <v>688</v>
      </c>
      <c r="AN253" s="40" t="str">
        <f t="shared" ca="1" si="8"/>
        <v>,{"type":"polygon","latLngs":[ {"lat":35.423592,"lng":133.328052}, {"lat":35.424164,"lng":133.331871},{"lat": ,"lng": }], "color":"blueviolet"}</v>
      </c>
      <c r="AO253" s="266" t="s">
        <v>689</v>
      </c>
      <c r="AP253" s="56">
        <f t="shared" ca="1" si="9"/>
        <v>35.423591999999999</v>
      </c>
      <c r="AQ253" s="40" t="s">
        <v>684</v>
      </c>
      <c r="AR253" s="56">
        <f t="shared" ca="1" si="10"/>
        <v>133.32805200000001</v>
      </c>
      <c r="AS253" s="40" t="s">
        <v>686</v>
      </c>
      <c r="AT253" s="56">
        <f t="shared" ca="1" si="11"/>
        <v>35.424163999999998</v>
      </c>
      <c r="AU253" s="40" t="s">
        <v>684</v>
      </c>
      <c r="AV253" s="56">
        <f t="shared" ca="1" si="12"/>
        <v>133.33187100000001</v>
      </c>
      <c r="AW253" s="40" t="s">
        <v>690</v>
      </c>
      <c r="AX253" s="40" t="str">
        <f t="shared" ca="1" si="13"/>
        <v>blueviolet</v>
      </c>
      <c r="AY253" s="40" t="s">
        <v>688</v>
      </c>
      <c r="AZ253" s="40" t="str">
        <f t="shared" ca="1" si="14"/>
        <v>,{"type":"polyline","latLngs":[{"lat":35.423592,"lng":133.328052},{"lat":35.424164,"lng":133.331871}],"color":"blueviolet"}</v>
      </c>
      <c r="BA253" s="40" t="s">
        <v>691</v>
      </c>
      <c r="BB253" s="56">
        <f t="shared" ca="1" si="15"/>
        <v>35.423591999999999</v>
      </c>
      <c r="BC253" s="40" t="s">
        <v>684</v>
      </c>
      <c r="BD253" s="56">
        <f t="shared" ca="1" si="16"/>
        <v>133.32805200000001</v>
      </c>
      <c r="BE253" s="40" t="s">
        <v>692</v>
      </c>
      <c r="BF253" s="40" t="str">
        <f t="shared" ca="1" si="17"/>
        <v>blueviolet</v>
      </c>
      <c r="BG253" s="40" t="s">
        <v>688</v>
      </c>
      <c r="BH253" s="40" t="str">
        <f t="shared" ca="1" si="18"/>
        <v>,{"type":"marker","latLng":{"lat":35.423592,"lng":133.328052},"color":"blueviolet"}</v>
      </c>
      <c r="BI253" s="40" t="s">
        <v>693</v>
      </c>
      <c r="BJ253" s="40" t="s">
        <v>694</v>
      </c>
      <c r="BK253" s="267" t="str">
        <f t="shared" ca="1" si="19"/>
        <v>,{"type":"polyline","latLngs":[{"lat":35.423592,"lng":133.328052},{"lat":35.424164,"lng":133.331871}],"color":"blueviolet"}</v>
      </c>
    </row>
    <row r="254" spans="7:63" ht="17.5">
      <c r="G254" s="261"/>
      <c r="H254" s="262" t="s">
        <v>672</v>
      </c>
      <c r="I254" s="93" t="str">
        <f ca="1">IFERROR(__xludf.DUMMYFUNCTION("""COMPUTED_VALUE"""),"Agent22")</f>
        <v>Agent22</v>
      </c>
      <c r="J254" s="93" t="str">
        <f ca="1">IFERROR(__xludf.DUMMYFUNCTION("""COMPUTED_VALUE"""),"P212")</f>
        <v>P212</v>
      </c>
      <c r="K254" s="93" t="str">
        <f ca="1">IFERROR(__xludf.DUMMYFUNCTION("""COMPUTED_VALUE"""),"P217")</f>
        <v>P217</v>
      </c>
      <c r="L254" s="242" t="s">
        <v>681</v>
      </c>
      <c r="M254" s="263" t="str">
        <f t="shared" ca="1" si="0"/>
        <v>blueviolet</v>
      </c>
      <c r="N254" s="264" t="str">
        <f ca="1">IFERROR(__xludf.DUMMYFUNCTION("FILTER(C:E,B:B=J254)"),"彫刻ロード「光」")</f>
        <v>彫刻ロード「光」</v>
      </c>
      <c r="O254" s="265">
        <f ca="1">IFERROR(__xludf.DUMMYFUNCTION("""COMPUTED_VALUE"""),35.423258)</f>
        <v>35.423257999999997</v>
      </c>
      <c r="P254" s="265">
        <f ca="1">IFERROR(__xludf.DUMMYFUNCTION("""COMPUTED_VALUE"""),133.326555)</f>
        <v>133.32655500000001</v>
      </c>
      <c r="Q254" s="264" t="str">
        <f ca="1">IFERROR(__xludf.DUMMYFUNCTION("FILTER(C:E,B:B=K254)"),"明治第一公園のパーゴラ休憩所")</f>
        <v>明治第一公園のパーゴラ休憩所</v>
      </c>
      <c r="R254" s="265">
        <f ca="1">IFERROR(__xludf.DUMMYFUNCTION("""COMPUTED_VALUE"""),35.42404)</f>
        <v>35.424039999999998</v>
      </c>
      <c r="S254" s="265">
        <f ca="1">IFERROR(__xludf.DUMMYFUNCTION("""COMPUTED_VALUE"""),133.33353)</f>
        <v>133.33353</v>
      </c>
      <c r="T254" s="264" t="str">
        <f ca="1">IFERROR(__xludf.DUMMYFUNCTION("FILTER(C:E,B:B=L254)")," ")</f>
        <v xml:space="preserve"> </v>
      </c>
      <c r="U254" s="40" t="str">
        <f ca="1">IFERROR(__xludf.DUMMYFUNCTION("""COMPUTED_VALUE""")," ")</f>
        <v xml:space="preserve"> </v>
      </c>
      <c r="V254" s="40" t="str">
        <f ca="1">IFERROR(__xludf.DUMMYFUNCTION("""COMPUTED_VALUE""")," ")</f>
        <v xml:space="preserve"> </v>
      </c>
      <c r="W254" s="40" t="str">
        <f t="shared" ca="1" si="21"/>
        <v>,</v>
      </c>
      <c r="X254" s="40" t="s">
        <v>682</v>
      </c>
      <c r="Y254" s="40" t="s">
        <v>683</v>
      </c>
      <c r="Z254" s="264">
        <f t="shared" ca="1" si="1"/>
        <v>35.423257999999997</v>
      </c>
      <c r="AA254" s="40" t="s">
        <v>684</v>
      </c>
      <c r="AB254" s="264">
        <f t="shared" ca="1" si="2"/>
        <v>133.32655500000001</v>
      </c>
      <c r="AC254" s="40" t="s">
        <v>685</v>
      </c>
      <c r="AD254" s="264">
        <f t="shared" ca="1" si="3"/>
        <v>35.424039999999998</v>
      </c>
      <c r="AE254" s="40" t="s">
        <v>684</v>
      </c>
      <c r="AF254" s="264">
        <f t="shared" ca="1" si="4"/>
        <v>133.33353</v>
      </c>
      <c r="AG254" s="40" t="s">
        <v>686</v>
      </c>
      <c r="AH254" s="264" t="str">
        <f t="shared" ca="1" si="5"/>
        <v xml:space="preserve"> </v>
      </c>
      <c r="AI254" s="40" t="s">
        <v>684</v>
      </c>
      <c r="AJ254" s="264" t="str">
        <f t="shared" ca="1" si="6"/>
        <v xml:space="preserve"> </v>
      </c>
      <c r="AK254" s="40" t="s">
        <v>687</v>
      </c>
      <c r="AL254" s="264" t="str">
        <f t="shared" ca="1" si="7"/>
        <v>blueviolet</v>
      </c>
      <c r="AM254" s="40" t="s">
        <v>688</v>
      </c>
      <c r="AN254" s="40" t="str">
        <f t="shared" ca="1" si="8"/>
        <v>,{"type":"polygon","latLngs":[ {"lat":35.423258,"lng":133.326555}, {"lat":35.42404,"lng":133.33353},{"lat": ,"lng": }], "color":"blueviolet"}</v>
      </c>
      <c r="AO254" s="266" t="s">
        <v>689</v>
      </c>
      <c r="AP254" s="56">
        <f t="shared" ca="1" si="9"/>
        <v>35.423257999999997</v>
      </c>
      <c r="AQ254" s="40" t="s">
        <v>684</v>
      </c>
      <c r="AR254" s="56">
        <f t="shared" ca="1" si="10"/>
        <v>133.32655500000001</v>
      </c>
      <c r="AS254" s="40" t="s">
        <v>686</v>
      </c>
      <c r="AT254" s="56">
        <f t="shared" ca="1" si="11"/>
        <v>35.424039999999998</v>
      </c>
      <c r="AU254" s="40" t="s">
        <v>684</v>
      </c>
      <c r="AV254" s="56">
        <f t="shared" ca="1" si="12"/>
        <v>133.33353</v>
      </c>
      <c r="AW254" s="40" t="s">
        <v>690</v>
      </c>
      <c r="AX254" s="40" t="str">
        <f t="shared" ca="1" si="13"/>
        <v>blueviolet</v>
      </c>
      <c r="AY254" s="40" t="s">
        <v>688</v>
      </c>
      <c r="AZ254" s="40" t="str">
        <f t="shared" ca="1" si="14"/>
        <v>,{"type":"polyline","latLngs":[{"lat":35.423258,"lng":133.326555},{"lat":35.42404,"lng":133.33353}],"color":"blueviolet"}</v>
      </c>
      <c r="BA254" s="40" t="s">
        <v>691</v>
      </c>
      <c r="BB254" s="56">
        <f t="shared" ca="1" si="15"/>
        <v>35.423257999999997</v>
      </c>
      <c r="BC254" s="40" t="s">
        <v>684</v>
      </c>
      <c r="BD254" s="56">
        <f t="shared" ca="1" si="16"/>
        <v>133.32655500000001</v>
      </c>
      <c r="BE254" s="40" t="s">
        <v>692</v>
      </c>
      <c r="BF254" s="40" t="str">
        <f t="shared" ca="1" si="17"/>
        <v>blueviolet</v>
      </c>
      <c r="BG254" s="40" t="s">
        <v>688</v>
      </c>
      <c r="BH254" s="40" t="str">
        <f t="shared" ca="1" si="18"/>
        <v>,{"type":"marker","latLng":{"lat":35.423258,"lng":133.326555},"color":"blueviolet"}</v>
      </c>
      <c r="BI254" s="40" t="s">
        <v>693</v>
      </c>
      <c r="BJ254" s="40" t="s">
        <v>694</v>
      </c>
      <c r="BK254" s="267" t="str">
        <f t="shared" ca="1" si="19"/>
        <v>,{"type":"polyline","latLngs":[{"lat":35.423258,"lng":133.326555},{"lat":35.42404,"lng":133.33353}],"color":"blueviolet"}</v>
      </c>
    </row>
    <row r="255" spans="7:63" ht="17.5">
      <c r="G255" s="261"/>
      <c r="H255" s="262" t="s">
        <v>672</v>
      </c>
      <c r="I255" s="93" t="str">
        <f ca="1">IFERROR(__xludf.DUMMYFUNCTION("""COMPUTED_VALUE"""),"Agent22")</f>
        <v>Agent22</v>
      </c>
      <c r="J255" s="93" t="str">
        <f ca="1">IFERROR(__xludf.DUMMYFUNCTION("""COMPUTED_VALUE"""),"P212")</f>
        <v>P212</v>
      </c>
      <c r="K255" s="93" t="str">
        <f ca="1">IFERROR(__xludf.DUMMYFUNCTION("""COMPUTED_VALUE"""),"P218")</f>
        <v>P218</v>
      </c>
      <c r="L255" s="242" t="s">
        <v>681</v>
      </c>
      <c r="M255" s="263" t="str">
        <f t="shared" ca="1" si="0"/>
        <v>blueviolet</v>
      </c>
      <c r="N255" s="264" t="str">
        <f ca="1">IFERROR(__xludf.DUMMYFUNCTION("FILTER(C:E,B:B=J255)"),"彫刻ロード「光」")</f>
        <v>彫刻ロード「光」</v>
      </c>
      <c r="O255" s="265">
        <f ca="1">IFERROR(__xludf.DUMMYFUNCTION("""COMPUTED_VALUE"""),35.423258)</f>
        <v>35.423257999999997</v>
      </c>
      <c r="P255" s="265">
        <f ca="1">IFERROR(__xludf.DUMMYFUNCTION("""COMPUTED_VALUE"""),133.326555)</f>
        <v>133.32655500000001</v>
      </c>
      <c r="Q255" s="264" t="str">
        <f ca="1">IFERROR(__xludf.DUMMYFUNCTION("FILTER(C:E,B:B=K255)"),"ローダンのラーメン 米子駅前店")</f>
        <v>ローダンのラーメン 米子駅前店</v>
      </c>
      <c r="R255" s="265">
        <f ca="1">IFERROR(__xludf.DUMMYFUNCTION("""COMPUTED_VALUE"""),35.424068)</f>
        <v>35.424067999999998</v>
      </c>
      <c r="S255" s="265">
        <f ca="1">IFERROR(__xludf.DUMMYFUNCTION("""COMPUTED_VALUE"""),133.332378)</f>
        <v>133.33237800000001</v>
      </c>
      <c r="T255" s="264" t="str">
        <f ca="1">IFERROR(__xludf.DUMMYFUNCTION("FILTER(C:E,B:B=L255)")," ")</f>
        <v xml:space="preserve"> </v>
      </c>
      <c r="U255" s="40" t="str">
        <f ca="1">IFERROR(__xludf.DUMMYFUNCTION("""COMPUTED_VALUE""")," ")</f>
        <v xml:space="preserve"> </v>
      </c>
      <c r="V255" s="40" t="str">
        <f ca="1">IFERROR(__xludf.DUMMYFUNCTION("""COMPUTED_VALUE""")," ")</f>
        <v xml:space="preserve"> </v>
      </c>
      <c r="W255" s="40" t="str">
        <f t="shared" ca="1" si="21"/>
        <v>,</v>
      </c>
      <c r="X255" s="40" t="s">
        <v>682</v>
      </c>
      <c r="Y255" s="40" t="s">
        <v>683</v>
      </c>
      <c r="Z255" s="264">
        <f t="shared" ca="1" si="1"/>
        <v>35.423257999999997</v>
      </c>
      <c r="AA255" s="40" t="s">
        <v>684</v>
      </c>
      <c r="AB255" s="264">
        <f t="shared" ca="1" si="2"/>
        <v>133.32655500000001</v>
      </c>
      <c r="AC255" s="40" t="s">
        <v>685</v>
      </c>
      <c r="AD255" s="264">
        <f t="shared" ca="1" si="3"/>
        <v>35.424067999999998</v>
      </c>
      <c r="AE255" s="40" t="s">
        <v>684</v>
      </c>
      <c r="AF255" s="264">
        <f t="shared" ca="1" si="4"/>
        <v>133.33237800000001</v>
      </c>
      <c r="AG255" s="40" t="s">
        <v>686</v>
      </c>
      <c r="AH255" s="264" t="str">
        <f t="shared" ca="1" si="5"/>
        <v xml:space="preserve"> </v>
      </c>
      <c r="AI255" s="40" t="s">
        <v>684</v>
      </c>
      <c r="AJ255" s="264" t="str">
        <f t="shared" ca="1" si="6"/>
        <v xml:space="preserve"> </v>
      </c>
      <c r="AK255" s="40" t="s">
        <v>687</v>
      </c>
      <c r="AL255" s="264" t="str">
        <f t="shared" ca="1" si="7"/>
        <v>blueviolet</v>
      </c>
      <c r="AM255" s="40" t="s">
        <v>688</v>
      </c>
      <c r="AN255" s="40" t="str">
        <f t="shared" ca="1" si="8"/>
        <v>,{"type":"polygon","latLngs":[ {"lat":35.423258,"lng":133.326555}, {"lat":35.424068,"lng":133.332378},{"lat": ,"lng": }], "color":"blueviolet"}</v>
      </c>
      <c r="AO255" s="266" t="s">
        <v>689</v>
      </c>
      <c r="AP255" s="56">
        <f t="shared" ca="1" si="9"/>
        <v>35.423257999999997</v>
      </c>
      <c r="AQ255" s="40" t="s">
        <v>684</v>
      </c>
      <c r="AR255" s="56">
        <f t="shared" ca="1" si="10"/>
        <v>133.32655500000001</v>
      </c>
      <c r="AS255" s="40" t="s">
        <v>686</v>
      </c>
      <c r="AT255" s="56">
        <f t="shared" ca="1" si="11"/>
        <v>35.424067999999998</v>
      </c>
      <c r="AU255" s="40" t="s">
        <v>684</v>
      </c>
      <c r="AV255" s="56">
        <f t="shared" ca="1" si="12"/>
        <v>133.33237800000001</v>
      </c>
      <c r="AW255" s="40" t="s">
        <v>690</v>
      </c>
      <c r="AX255" s="40" t="str">
        <f t="shared" ca="1" si="13"/>
        <v>blueviolet</v>
      </c>
      <c r="AY255" s="40" t="s">
        <v>688</v>
      </c>
      <c r="AZ255" s="40" t="str">
        <f t="shared" ca="1" si="14"/>
        <v>,{"type":"polyline","latLngs":[{"lat":35.423258,"lng":133.326555},{"lat":35.424068,"lng":133.332378}],"color":"blueviolet"}</v>
      </c>
      <c r="BA255" s="40" t="s">
        <v>691</v>
      </c>
      <c r="BB255" s="56">
        <f t="shared" ca="1" si="15"/>
        <v>35.423257999999997</v>
      </c>
      <c r="BC255" s="40" t="s">
        <v>684</v>
      </c>
      <c r="BD255" s="56">
        <f t="shared" ca="1" si="16"/>
        <v>133.32655500000001</v>
      </c>
      <c r="BE255" s="40" t="s">
        <v>692</v>
      </c>
      <c r="BF255" s="40" t="str">
        <f t="shared" ca="1" si="17"/>
        <v>blueviolet</v>
      </c>
      <c r="BG255" s="40" t="s">
        <v>688</v>
      </c>
      <c r="BH255" s="40" t="str">
        <f t="shared" ca="1" si="18"/>
        <v>,{"type":"marker","latLng":{"lat":35.423258,"lng":133.326555},"color":"blueviolet"}</v>
      </c>
      <c r="BI255" s="40" t="s">
        <v>693</v>
      </c>
      <c r="BJ255" s="40" t="s">
        <v>694</v>
      </c>
      <c r="BK255" s="267" t="str">
        <f t="shared" ca="1" si="19"/>
        <v>,{"type":"polyline","latLngs":[{"lat":35.423258,"lng":133.326555},{"lat":35.424068,"lng":133.332378}],"color":"blueviolet"}</v>
      </c>
    </row>
    <row r="256" spans="7:63" ht="17.5">
      <c r="G256" s="261"/>
      <c r="H256" s="262" t="s">
        <v>672</v>
      </c>
      <c r="I256" s="93" t="str">
        <f ca="1">IFERROR(__xludf.DUMMYFUNCTION("""COMPUTED_VALUE"""),"Agent22")</f>
        <v>Agent22</v>
      </c>
      <c r="J256" s="93" t="str">
        <f ca="1">IFERROR(__xludf.DUMMYFUNCTION("""COMPUTED_VALUE"""),"P212")</f>
        <v>P212</v>
      </c>
      <c r="K256" s="93" t="str">
        <f ca="1">IFERROR(__xludf.DUMMYFUNCTION("""COMPUTED_VALUE"""),"P215")</f>
        <v>P215</v>
      </c>
      <c r="L256" s="242" t="s">
        <v>681</v>
      </c>
      <c r="M256" s="263" t="str">
        <f t="shared" ca="1" si="0"/>
        <v>blueviolet</v>
      </c>
      <c r="N256" s="264" t="str">
        <f ca="1">IFERROR(__xludf.DUMMYFUNCTION("FILTER(C:E,B:B=J256)"),"彫刻ロード「光」")</f>
        <v>彫刻ロード「光」</v>
      </c>
      <c r="O256" s="265">
        <f ca="1">IFERROR(__xludf.DUMMYFUNCTION("""COMPUTED_VALUE"""),35.423258)</f>
        <v>35.423257999999997</v>
      </c>
      <c r="P256" s="265">
        <f ca="1">IFERROR(__xludf.DUMMYFUNCTION("""COMPUTED_VALUE"""),133.326555)</f>
        <v>133.32655500000001</v>
      </c>
      <c r="Q256" s="264" t="str">
        <f ca="1">IFERROR(__xludf.DUMMYFUNCTION("FILTER(C:E,B:B=K256)"),"彫刻ロード「再生」")</f>
        <v>彫刻ロード「再生」</v>
      </c>
      <c r="R256" s="265">
        <f ca="1">IFERROR(__xludf.DUMMYFUNCTION("""COMPUTED_VALUE"""),35.423592)</f>
        <v>35.423591999999999</v>
      </c>
      <c r="S256" s="265">
        <f ca="1">IFERROR(__xludf.DUMMYFUNCTION("""COMPUTED_VALUE"""),133.328052)</f>
        <v>133.32805200000001</v>
      </c>
      <c r="T256" s="264" t="str">
        <f ca="1">IFERROR(__xludf.DUMMYFUNCTION("FILTER(C:E,B:B=L256)")," ")</f>
        <v xml:space="preserve"> </v>
      </c>
      <c r="U256" s="40" t="str">
        <f ca="1">IFERROR(__xludf.DUMMYFUNCTION("""COMPUTED_VALUE""")," ")</f>
        <v xml:space="preserve"> </v>
      </c>
      <c r="V256" s="40" t="str">
        <f ca="1">IFERROR(__xludf.DUMMYFUNCTION("""COMPUTED_VALUE""")," ")</f>
        <v xml:space="preserve"> </v>
      </c>
      <c r="W256" s="40" t="str">
        <f t="shared" ca="1" si="21"/>
        <v>,</v>
      </c>
      <c r="X256" s="40" t="s">
        <v>682</v>
      </c>
      <c r="Y256" s="40" t="s">
        <v>683</v>
      </c>
      <c r="Z256" s="264">
        <f t="shared" ca="1" si="1"/>
        <v>35.423257999999997</v>
      </c>
      <c r="AA256" s="40" t="s">
        <v>684</v>
      </c>
      <c r="AB256" s="264">
        <f t="shared" ca="1" si="2"/>
        <v>133.32655500000001</v>
      </c>
      <c r="AC256" s="40" t="s">
        <v>685</v>
      </c>
      <c r="AD256" s="264">
        <f t="shared" ca="1" si="3"/>
        <v>35.423591999999999</v>
      </c>
      <c r="AE256" s="40" t="s">
        <v>684</v>
      </c>
      <c r="AF256" s="264">
        <f t="shared" ca="1" si="4"/>
        <v>133.32805200000001</v>
      </c>
      <c r="AG256" s="40" t="s">
        <v>686</v>
      </c>
      <c r="AH256" s="264" t="str">
        <f t="shared" ca="1" si="5"/>
        <v xml:space="preserve"> </v>
      </c>
      <c r="AI256" s="40" t="s">
        <v>684</v>
      </c>
      <c r="AJ256" s="264" t="str">
        <f t="shared" ca="1" si="6"/>
        <v xml:space="preserve"> </v>
      </c>
      <c r="AK256" s="40" t="s">
        <v>687</v>
      </c>
      <c r="AL256" s="264" t="str">
        <f t="shared" ca="1" si="7"/>
        <v>blueviolet</v>
      </c>
      <c r="AM256" s="40" t="s">
        <v>688</v>
      </c>
      <c r="AN256" s="40" t="str">
        <f t="shared" ca="1" si="8"/>
        <v>,{"type":"polygon","latLngs":[ {"lat":35.423258,"lng":133.326555}, {"lat":35.423592,"lng":133.328052},{"lat": ,"lng": }], "color":"blueviolet"}</v>
      </c>
      <c r="AO256" s="266" t="s">
        <v>689</v>
      </c>
      <c r="AP256" s="56">
        <f t="shared" ca="1" si="9"/>
        <v>35.423257999999997</v>
      </c>
      <c r="AQ256" s="40" t="s">
        <v>684</v>
      </c>
      <c r="AR256" s="56">
        <f t="shared" ca="1" si="10"/>
        <v>133.32655500000001</v>
      </c>
      <c r="AS256" s="40" t="s">
        <v>686</v>
      </c>
      <c r="AT256" s="56">
        <f t="shared" ca="1" si="11"/>
        <v>35.423591999999999</v>
      </c>
      <c r="AU256" s="40" t="s">
        <v>684</v>
      </c>
      <c r="AV256" s="56">
        <f t="shared" ca="1" si="12"/>
        <v>133.32805200000001</v>
      </c>
      <c r="AW256" s="40" t="s">
        <v>690</v>
      </c>
      <c r="AX256" s="40" t="str">
        <f t="shared" ca="1" si="13"/>
        <v>blueviolet</v>
      </c>
      <c r="AY256" s="40" t="s">
        <v>688</v>
      </c>
      <c r="AZ256" s="40" t="str">
        <f t="shared" ca="1" si="14"/>
        <v>,{"type":"polyline","latLngs":[{"lat":35.423258,"lng":133.326555},{"lat":35.423592,"lng":133.328052}],"color":"blueviolet"}</v>
      </c>
      <c r="BA256" s="40" t="s">
        <v>691</v>
      </c>
      <c r="BB256" s="56">
        <f t="shared" ca="1" si="15"/>
        <v>35.423257999999997</v>
      </c>
      <c r="BC256" s="40" t="s">
        <v>684</v>
      </c>
      <c r="BD256" s="56">
        <f t="shared" ca="1" si="16"/>
        <v>133.32655500000001</v>
      </c>
      <c r="BE256" s="40" t="s">
        <v>692</v>
      </c>
      <c r="BF256" s="40" t="str">
        <f t="shared" ca="1" si="17"/>
        <v>blueviolet</v>
      </c>
      <c r="BG256" s="40" t="s">
        <v>688</v>
      </c>
      <c r="BH256" s="40" t="str">
        <f t="shared" ca="1" si="18"/>
        <v>,{"type":"marker","latLng":{"lat":35.423258,"lng":133.326555},"color":"blueviolet"}</v>
      </c>
      <c r="BI256" s="40" t="s">
        <v>693</v>
      </c>
      <c r="BJ256" s="40" t="s">
        <v>694</v>
      </c>
      <c r="BK256" s="267" t="str">
        <f t="shared" ca="1" si="19"/>
        <v>,{"type":"polyline","latLngs":[{"lat":35.423258,"lng":133.326555},{"lat":35.423592,"lng":133.328052}],"color":"blueviolet"}</v>
      </c>
    </row>
    <row r="257" spans="7:63" ht="17.5">
      <c r="G257" s="261"/>
      <c r="H257" s="262" t="s">
        <v>672</v>
      </c>
      <c r="I257" s="93" t="str">
        <f ca="1">IFERROR(__xludf.DUMMYFUNCTION("""COMPUTED_VALUE"""),"Agent22")</f>
        <v>Agent22</v>
      </c>
      <c r="J257" s="93" t="str">
        <f ca="1">IFERROR(__xludf.DUMMYFUNCTION("""COMPUTED_VALUE"""),"P212")</f>
        <v>P212</v>
      </c>
      <c r="K257" s="93" t="str">
        <f ca="1">IFERROR(__xludf.DUMMYFUNCTION("""COMPUTED_VALUE"""),"P219")</f>
        <v>P219</v>
      </c>
      <c r="L257" s="242" t="s">
        <v>681</v>
      </c>
      <c r="M257" s="263" t="str">
        <f t="shared" ca="1" si="0"/>
        <v>blueviolet</v>
      </c>
      <c r="N257" s="264" t="str">
        <f ca="1">IFERROR(__xludf.DUMMYFUNCTION("FILTER(C:E,B:B=J257)"),"彫刻ロード「光」")</f>
        <v>彫刻ロード「光」</v>
      </c>
      <c r="O257" s="265">
        <f ca="1">IFERROR(__xludf.DUMMYFUNCTION("""COMPUTED_VALUE"""),35.423258)</f>
        <v>35.423257999999997</v>
      </c>
      <c r="P257" s="265">
        <f ca="1">IFERROR(__xludf.DUMMYFUNCTION("""COMPUTED_VALUE"""),133.326555)</f>
        <v>133.32655500000001</v>
      </c>
      <c r="Q257" s="264" t="str">
        <f ca="1">IFERROR(__xludf.DUMMYFUNCTION("FILTER(C:E,B:B=K257)"),"塩町地蔵")</f>
        <v>塩町地蔵</v>
      </c>
      <c r="R257" s="265">
        <f ca="1">IFERROR(__xludf.DUMMYFUNCTION("""COMPUTED_VALUE"""),35.424164)</f>
        <v>35.424163999999998</v>
      </c>
      <c r="S257" s="265">
        <f ca="1">IFERROR(__xludf.DUMMYFUNCTION("""COMPUTED_VALUE"""),133.331871)</f>
        <v>133.33187100000001</v>
      </c>
      <c r="T257" s="264" t="str">
        <f ca="1">IFERROR(__xludf.DUMMYFUNCTION("FILTER(C:E,B:B=L257)")," ")</f>
        <v xml:space="preserve"> </v>
      </c>
      <c r="U257" s="40" t="str">
        <f ca="1">IFERROR(__xludf.DUMMYFUNCTION("""COMPUTED_VALUE""")," ")</f>
        <v xml:space="preserve"> </v>
      </c>
      <c r="V257" s="40" t="str">
        <f ca="1">IFERROR(__xludf.DUMMYFUNCTION("""COMPUTED_VALUE""")," ")</f>
        <v xml:space="preserve"> </v>
      </c>
      <c r="W257" s="40" t="str">
        <f t="shared" ca="1" si="21"/>
        <v>,</v>
      </c>
      <c r="X257" s="40" t="s">
        <v>682</v>
      </c>
      <c r="Y257" s="40" t="s">
        <v>683</v>
      </c>
      <c r="Z257" s="264">
        <f t="shared" ca="1" si="1"/>
        <v>35.423257999999997</v>
      </c>
      <c r="AA257" s="40" t="s">
        <v>684</v>
      </c>
      <c r="AB257" s="264">
        <f t="shared" ca="1" si="2"/>
        <v>133.32655500000001</v>
      </c>
      <c r="AC257" s="40" t="s">
        <v>685</v>
      </c>
      <c r="AD257" s="264">
        <f t="shared" ca="1" si="3"/>
        <v>35.424163999999998</v>
      </c>
      <c r="AE257" s="40" t="s">
        <v>684</v>
      </c>
      <c r="AF257" s="264">
        <f t="shared" ca="1" si="4"/>
        <v>133.33187100000001</v>
      </c>
      <c r="AG257" s="40" t="s">
        <v>686</v>
      </c>
      <c r="AH257" s="264" t="str">
        <f t="shared" ca="1" si="5"/>
        <v xml:space="preserve"> </v>
      </c>
      <c r="AI257" s="40" t="s">
        <v>684</v>
      </c>
      <c r="AJ257" s="264" t="str">
        <f t="shared" ca="1" si="6"/>
        <v xml:space="preserve"> </v>
      </c>
      <c r="AK257" s="40" t="s">
        <v>687</v>
      </c>
      <c r="AL257" s="264" t="str">
        <f t="shared" ca="1" si="7"/>
        <v>blueviolet</v>
      </c>
      <c r="AM257" s="40" t="s">
        <v>688</v>
      </c>
      <c r="AN257" s="40" t="str">
        <f t="shared" ca="1" si="8"/>
        <v>,{"type":"polygon","latLngs":[ {"lat":35.423258,"lng":133.326555}, {"lat":35.424164,"lng":133.331871},{"lat": ,"lng": }], "color":"blueviolet"}</v>
      </c>
      <c r="AO257" s="266" t="s">
        <v>689</v>
      </c>
      <c r="AP257" s="56">
        <f t="shared" ca="1" si="9"/>
        <v>35.423257999999997</v>
      </c>
      <c r="AQ257" s="40" t="s">
        <v>684</v>
      </c>
      <c r="AR257" s="56">
        <f t="shared" ca="1" si="10"/>
        <v>133.32655500000001</v>
      </c>
      <c r="AS257" s="40" t="s">
        <v>686</v>
      </c>
      <c r="AT257" s="56">
        <f t="shared" ca="1" si="11"/>
        <v>35.424163999999998</v>
      </c>
      <c r="AU257" s="40" t="s">
        <v>684</v>
      </c>
      <c r="AV257" s="56">
        <f t="shared" ca="1" si="12"/>
        <v>133.33187100000001</v>
      </c>
      <c r="AW257" s="40" t="s">
        <v>690</v>
      </c>
      <c r="AX257" s="40" t="str">
        <f t="shared" ca="1" si="13"/>
        <v>blueviolet</v>
      </c>
      <c r="AY257" s="40" t="s">
        <v>688</v>
      </c>
      <c r="AZ257" s="40" t="str">
        <f t="shared" ca="1" si="14"/>
        <v>,{"type":"polyline","latLngs":[{"lat":35.423258,"lng":133.326555},{"lat":35.424164,"lng":133.331871}],"color":"blueviolet"}</v>
      </c>
      <c r="BA257" s="40" t="s">
        <v>691</v>
      </c>
      <c r="BB257" s="56">
        <f t="shared" ca="1" si="15"/>
        <v>35.423257999999997</v>
      </c>
      <c r="BC257" s="40" t="s">
        <v>684</v>
      </c>
      <c r="BD257" s="56">
        <f t="shared" ca="1" si="16"/>
        <v>133.32655500000001</v>
      </c>
      <c r="BE257" s="40" t="s">
        <v>692</v>
      </c>
      <c r="BF257" s="40" t="str">
        <f t="shared" ca="1" si="17"/>
        <v>blueviolet</v>
      </c>
      <c r="BG257" s="40" t="s">
        <v>688</v>
      </c>
      <c r="BH257" s="40" t="str">
        <f t="shared" ca="1" si="18"/>
        <v>,{"type":"marker","latLng":{"lat":35.423258,"lng":133.326555},"color":"blueviolet"}</v>
      </c>
      <c r="BI257" s="40" t="s">
        <v>693</v>
      </c>
      <c r="BJ257" s="40" t="s">
        <v>694</v>
      </c>
      <c r="BK257" s="267" t="str">
        <f t="shared" ca="1" si="19"/>
        <v>,{"type":"polyline","latLngs":[{"lat":35.423258,"lng":133.326555},{"lat":35.424164,"lng":133.331871}],"color":"blueviolet"}</v>
      </c>
    </row>
    <row r="258" spans="7:63" ht="17.5">
      <c r="G258" s="261"/>
      <c r="H258" s="262" t="s">
        <v>672</v>
      </c>
      <c r="I258" s="93" t="str">
        <f ca="1">IFERROR(__xludf.DUMMYFUNCTION("""COMPUTED_VALUE"""),"Agent22")</f>
        <v>Agent22</v>
      </c>
      <c r="J258" s="93" t="str">
        <f ca="1">IFERROR(__xludf.DUMMYFUNCTION("""COMPUTED_VALUE"""),"P212")</f>
        <v>P212</v>
      </c>
      <c r="K258" s="93" t="str">
        <f ca="1">IFERROR(__xludf.DUMMYFUNCTION("""COMPUTED_VALUE"""),"P223")</f>
        <v>P223</v>
      </c>
      <c r="L258" s="242" t="s">
        <v>681</v>
      </c>
      <c r="M258" s="263" t="str">
        <f t="shared" ca="1" si="0"/>
        <v>blueviolet</v>
      </c>
      <c r="N258" s="264" t="str">
        <f ca="1">IFERROR(__xludf.DUMMYFUNCTION("FILTER(C:E,B:B=J258)"),"彫刻ロード「光」")</f>
        <v>彫刻ロード「光」</v>
      </c>
      <c r="O258" s="265">
        <f ca="1">IFERROR(__xludf.DUMMYFUNCTION("""COMPUTED_VALUE"""),35.423258)</f>
        <v>35.423257999999997</v>
      </c>
      <c r="P258" s="265">
        <f ca="1">IFERROR(__xludf.DUMMYFUNCTION("""COMPUTED_VALUE"""),133.326555)</f>
        <v>133.32655500000001</v>
      </c>
      <c r="Q258" s="264" t="str">
        <f ca="1">IFERROR(__xludf.DUMMYFUNCTION("FILTER(C:E,B:B=K258)"),"焼肉韓国料理 大力家族亭")</f>
        <v>焼肉韓国料理 大力家族亭</v>
      </c>
      <c r="R258" s="265">
        <f ca="1">IFERROR(__xludf.DUMMYFUNCTION("""COMPUTED_VALUE"""),35.42498)</f>
        <v>35.424979999999998</v>
      </c>
      <c r="S258" s="265">
        <f ca="1">IFERROR(__xludf.DUMMYFUNCTION("""COMPUTED_VALUE"""),133.330266)</f>
        <v>133.33026599999999</v>
      </c>
      <c r="T258" s="264" t="str">
        <f ca="1">IFERROR(__xludf.DUMMYFUNCTION("FILTER(C:E,B:B=L258)")," ")</f>
        <v xml:space="preserve"> </v>
      </c>
      <c r="U258" s="40" t="str">
        <f ca="1">IFERROR(__xludf.DUMMYFUNCTION("""COMPUTED_VALUE""")," ")</f>
        <v xml:space="preserve"> </v>
      </c>
      <c r="V258" s="40" t="str">
        <f ca="1">IFERROR(__xludf.DUMMYFUNCTION("""COMPUTED_VALUE""")," ")</f>
        <v xml:space="preserve"> </v>
      </c>
      <c r="W258" s="40" t="str">
        <f t="shared" ca="1" si="21"/>
        <v>,</v>
      </c>
      <c r="X258" s="40" t="s">
        <v>682</v>
      </c>
      <c r="Y258" s="40" t="s">
        <v>683</v>
      </c>
      <c r="Z258" s="264">
        <f t="shared" ca="1" si="1"/>
        <v>35.423257999999997</v>
      </c>
      <c r="AA258" s="40" t="s">
        <v>684</v>
      </c>
      <c r="AB258" s="264">
        <f t="shared" ca="1" si="2"/>
        <v>133.32655500000001</v>
      </c>
      <c r="AC258" s="40" t="s">
        <v>685</v>
      </c>
      <c r="AD258" s="264">
        <f t="shared" ca="1" si="3"/>
        <v>35.424979999999998</v>
      </c>
      <c r="AE258" s="40" t="s">
        <v>684</v>
      </c>
      <c r="AF258" s="264">
        <f t="shared" ca="1" si="4"/>
        <v>133.33026599999999</v>
      </c>
      <c r="AG258" s="40" t="s">
        <v>686</v>
      </c>
      <c r="AH258" s="264" t="str">
        <f t="shared" ca="1" si="5"/>
        <v xml:space="preserve"> </v>
      </c>
      <c r="AI258" s="40" t="s">
        <v>684</v>
      </c>
      <c r="AJ258" s="264" t="str">
        <f t="shared" ca="1" si="6"/>
        <v xml:space="preserve"> </v>
      </c>
      <c r="AK258" s="40" t="s">
        <v>687</v>
      </c>
      <c r="AL258" s="264" t="str">
        <f t="shared" ca="1" si="7"/>
        <v>blueviolet</v>
      </c>
      <c r="AM258" s="40" t="s">
        <v>688</v>
      </c>
      <c r="AN258" s="40" t="str">
        <f t="shared" ca="1" si="8"/>
        <v>,{"type":"polygon","latLngs":[ {"lat":35.423258,"lng":133.326555}, {"lat":35.42498,"lng":133.330266},{"lat": ,"lng": }], "color":"blueviolet"}</v>
      </c>
      <c r="AO258" s="266" t="s">
        <v>689</v>
      </c>
      <c r="AP258" s="56">
        <f t="shared" ca="1" si="9"/>
        <v>35.423257999999997</v>
      </c>
      <c r="AQ258" s="40" t="s">
        <v>684</v>
      </c>
      <c r="AR258" s="56">
        <f t="shared" ca="1" si="10"/>
        <v>133.32655500000001</v>
      </c>
      <c r="AS258" s="40" t="s">
        <v>686</v>
      </c>
      <c r="AT258" s="56">
        <f t="shared" ca="1" si="11"/>
        <v>35.424979999999998</v>
      </c>
      <c r="AU258" s="40" t="s">
        <v>684</v>
      </c>
      <c r="AV258" s="56">
        <f t="shared" ca="1" si="12"/>
        <v>133.33026599999999</v>
      </c>
      <c r="AW258" s="40" t="s">
        <v>690</v>
      </c>
      <c r="AX258" s="40" t="str">
        <f t="shared" ca="1" si="13"/>
        <v>blueviolet</v>
      </c>
      <c r="AY258" s="40" t="s">
        <v>688</v>
      </c>
      <c r="AZ258" s="40" t="str">
        <f t="shared" ca="1" si="14"/>
        <v>,{"type":"polyline","latLngs":[{"lat":35.423258,"lng":133.326555},{"lat":35.42498,"lng":133.330266}],"color":"blueviolet"}</v>
      </c>
      <c r="BA258" s="40" t="s">
        <v>691</v>
      </c>
      <c r="BB258" s="56">
        <f t="shared" ca="1" si="15"/>
        <v>35.423257999999997</v>
      </c>
      <c r="BC258" s="40" t="s">
        <v>684</v>
      </c>
      <c r="BD258" s="56">
        <f t="shared" ca="1" si="16"/>
        <v>133.32655500000001</v>
      </c>
      <c r="BE258" s="40" t="s">
        <v>692</v>
      </c>
      <c r="BF258" s="40" t="str">
        <f t="shared" ca="1" si="17"/>
        <v>blueviolet</v>
      </c>
      <c r="BG258" s="40" t="s">
        <v>688</v>
      </c>
      <c r="BH258" s="40" t="str">
        <f t="shared" ca="1" si="18"/>
        <v>,{"type":"marker","latLng":{"lat":35.423258,"lng":133.326555},"color":"blueviolet"}</v>
      </c>
      <c r="BI258" s="40" t="s">
        <v>693</v>
      </c>
      <c r="BJ258" s="40" t="s">
        <v>694</v>
      </c>
      <c r="BK258" s="267" t="str">
        <f t="shared" ca="1" si="19"/>
        <v>,{"type":"polyline","latLngs":[{"lat":35.423258,"lng":133.326555},{"lat":35.42498,"lng":133.330266}],"color":"blueviolet"}</v>
      </c>
    </row>
    <row r="259" spans="7:63" ht="17.5">
      <c r="G259" s="261"/>
      <c r="H259" s="262" t="s">
        <v>672</v>
      </c>
      <c r="I259" s="93" t="str">
        <f ca="1">IFERROR(__xludf.DUMMYFUNCTION("""COMPUTED_VALUE"""),"Agent22")</f>
        <v>Agent22</v>
      </c>
      <c r="J259" s="93" t="str">
        <f ca="1">IFERROR(__xludf.DUMMYFUNCTION("""COMPUTED_VALUE"""),"P212")</f>
        <v>P212</v>
      </c>
      <c r="K259" s="93" t="str">
        <f ca="1">IFERROR(__xludf.DUMMYFUNCTION("""COMPUTED_VALUE"""),"P201")</f>
        <v>P201</v>
      </c>
      <c r="L259" s="242" t="s">
        <v>681</v>
      </c>
      <c r="M259" s="263" t="str">
        <f t="shared" ca="1" si="0"/>
        <v>blueviolet</v>
      </c>
      <c r="N259" s="264" t="str">
        <f ca="1">IFERROR(__xludf.DUMMYFUNCTION("FILTER(C:E,B:B=J259)"),"彫刻ロード「光」")</f>
        <v>彫刻ロード「光」</v>
      </c>
      <c r="O259" s="265">
        <f ca="1">IFERROR(__xludf.DUMMYFUNCTION("""COMPUTED_VALUE"""),35.423258)</f>
        <v>35.423257999999997</v>
      </c>
      <c r="P259" s="265">
        <f ca="1">IFERROR(__xludf.DUMMYFUNCTION("""COMPUTED_VALUE"""),133.326555)</f>
        <v>133.32655500000001</v>
      </c>
      <c r="Q259" s="264" t="str">
        <f ca="1">IFERROR(__xludf.DUMMYFUNCTION("FILTER(C:E,B:B=K259)"),"湊山体育館")</f>
        <v>湊山体育館</v>
      </c>
      <c r="R259" s="265">
        <f ca="1">IFERROR(__xludf.DUMMYFUNCTION("""COMPUTED_VALUE"""),35.41896)</f>
        <v>35.418959999999998</v>
      </c>
      <c r="S259" s="265">
        <f ca="1">IFERROR(__xludf.DUMMYFUNCTION("""COMPUTED_VALUE"""),133.332523)</f>
        <v>133.33252300000001</v>
      </c>
      <c r="T259" s="264" t="str">
        <f ca="1">IFERROR(__xludf.DUMMYFUNCTION("FILTER(C:E,B:B=L259)")," ")</f>
        <v xml:space="preserve"> </v>
      </c>
      <c r="U259" s="40" t="str">
        <f ca="1">IFERROR(__xludf.DUMMYFUNCTION("""COMPUTED_VALUE""")," ")</f>
        <v xml:space="preserve"> </v>
      </c>
      <c r="V259" s="40" t="str">
        <f ca="1">IFERROR(__xludf.DUMMYFUNCTION("""COMPUTED_VALUE""")," ")</f>
        <v xml:space="preserve"> </v>
      </c>
      <c r="W259" s="40" t="str">
        <f t="shared" ca="1" si="21"/>
        <v>,</v>
      </c>
      <c r="X259" s="40" t="s">
        <v>682</v>
      </c>
      <c r="Y259" s="40" t="s">
        <v>683</v>
      </c>
      <c r="Z259" s="264">
        <f t="shared" ca="1" si="1"/>
        <v>35.423257999999997</v>
      </c>
      <c r="AA259" s="40" t="s">
        <v>684</v>
      </c>
      <c r="AB259" s="264">
        <f t="shared" ca="1" si="2"/>
        <v>133.32655500000001</v>
      </c>
      <c r="AC259" s="40" t="s">
        <v>685</v>
      </c>
      <c r="AD259" s="264">
        <f t="shared" ca="1" si="3"/>
        <v>35.418959999999998</v>
      </c>
      <c r="AE259" s="40" t="s">
        <v>684</v>
      </c>
      <c r="AF259" s="264">
        <f t="shared" ca="1" si="4"/>
        <v>133.33252300000001</v>
      </c>
      <c r="AG259" s="40" t="s">
        <v>686</v>
      </c>
      <c r="AH259" s="264" t="str">
        <f t="shared" ca="1" si="5"/>
        <v xml:space="preserve"> </v>
      </c>
      <c r="AI259" s="40" t="s">
        <v>684</v>
      </c>
      <c r="AJ259" s="264" t="str">
        <f t="shared" ca="1" si="6"/>
        <v xml:space="preserve"> </v>
      </c>
      <c r="AK259" s="40" t="s">
        <v>687</v>
      </c>
      <c r="AL259" s="264" t="str">
        <f t="shared" ca="1" si="7"/>
        <v>blueviolet</v>
      </c>
      <c r="AM259" s="40" t="s">
        <v>688</v>
      </c>
      <c r="AN259" s="40" t="str">
        <f t="shared" ca="1" si="8"/>
        <v>,{"type":"polygon","latLngs":[ {"lat":35.423258,"lng":133.326555}, {"lat":35.41896,"lng":133.332523},{"lat": ,"lng": }], "color":"blueviolet"}</v>
      </c>
      <c r="AO259" s="266" t="s">
        <v>689</v>
      </c>
      <c r="AP259" s="56">
        <f t="shared" ca="1" si="9"/>
        <v>35.423257999999997</v>
      </c>
      <c r="AQ259" s="40" t="s">
        <v>684</v>
      </c>
      <c r="AR259" s="56">
        <f t="shared" ca="1" si="10"/>
        <v>133.32655500000001</v>
      </c>
      <c r="AS259" s="40" t="s">
        <v>686</v>
      </c>
      <c r="AT259" s="56">
        <f t="shared" ca="1" si="11"/>
        <v>35.418959999999998</v>
      </c>
      <c r="AU259" s="40" t="s">
        <v>684</v>
      </c>
      <c r="AV259" s="56">
        <f t="shared" ca="1" si="12"/>
        <v>133.33252300000001</v>
      </c>
      <c r="AW259" s="40" t="s">
        <v>690</v>
      </c>
      <c r="AX259" s="40" t="str">
        <f t="shared" ca="1" si="13"/>
        <v>blueviolet</v>
      </c>
      <c r="AY259" s="40" t="s">
        <v>688</v>
      </c>
      <c r="AZ259" s="40" t="str">
        <f t="shared" ca="1" si="14"/>
        <v>,{"type":"polyline","latLngs":[{"lat":35.423258,"lng":133.326555},{"lat":35.41896,"lng":133.332523}],"color":"blueviolet"}</v>
      </c>
      <c r="BA259" s="40" t="s">
        <v>691</v>
      </c>
      <c r="BB259" s="56">
        <f t="shared" ca="1" si="15"/>
        <v>35.423257999999997</v>
      </c>
      <c r="BC259" s="40" t="s">
        <v>684</v>
      </c>
      <c r="BD259" s="56">
        <f t="shared" ca="1" si="16"/>
        <v>133.32655500000001</v>
      </c>
      <c r="BE259" s="40" t="s">
        <v>692</v>
      </c>
      <c r="BF259" s="40" t="str">
        <f t="shared" ca="1" si="17"/>
        <v>blueviolet</v>
      </c>
      <c r="BG259" s="40" t="s">
        <v>688</v>
      </c>
      <c r="BH259" s="40" t="str">
        <f t="shared" ca="1" si="18"/>
        <v>,{"type":"marker","latLng":{"lat":35.423258,"lng":133.326555},"color":"blueviolet"}</v>
      </c>
      <c r="BI259" s="40" t="s">
        <v>693</v>
      </c>
      <c r="BJ259" s="40" t="s">
        <v>694</v>
      </c>
      <c r="BK259" s="267" t="str">
        <f t="shared" ca="1" si="19"/>
        <v>,{"type":"polyline","latLngs":[{"lat":35.423258,"lng":133.326555},{"lat":35.41896,"lng":133.332523}],"color":"blueviolet"}</v>
      </c>
    </row>
    <row r="260" spans="7:63" ht="17.5">
      <c r="G260" s="261"/>
      <c r="H260" s="262" t="s">
        <v>672</v>
      </c>
      <c r="I260" s="93" t="str">
        <f ca="1">IFERROR(__xludf.DUMMYFUNCTION("""COMPUTED_VALUE"""),"Agent22")</f>
        <v>Agent22</v>
      </c>
      <c r="J260" s="93" t="str">
        <f ca="1">IFERROR(__xludf.DUMMYFUNCTION("""COMPUTED_VALUE"""),"P212")</f>
        <v>P212</v>
      </c>
      <c r="K260" s="93" t="str">
        <f ca="1">IFERROR(__xludf.DUMMYFUNCTION("""COMPUTED_VALUE"""),"P202")</f>
        <v>P202</v>
      </c>
      <c r="L260" s="242" t="s">
        <v>681</v>
      </c>
      <c r="M260" s="263" t="str">
        <f t="shared" ca="1" si="0"/>
        <v>blueviolet</v>
      </c>
      <c r="N260" s="264" t="str">
        <f ca="1">IFERROR(__xludf.DUMMYFUNCTION("FILTER(C:E,B:B=J260)"),"彫刻ロード「光」")</f>
        <v>彫刻ロード「光」</v>
      </c>
      <c r="O260" s="265">
        <f ca="1">IFERROR(__xludf.DUMMYFUNCTION("""COMPUTED_VALUE"""),35.423258)</f>
        <v>35.423257999999997</v>
      </c>
      <c r="P260" s="265">
        <f ca="1">IFERROR(__xludf.DUMMYFUNCTION("""COMPUTED_VALUE"""),133.326555)</f>
        <v>133.32655500000001</v>
      </c>
      <c r="Q260" s="264" t="str">
        <f ca="1">IFERROR(__xludf.DUMMYFUNCTION("FILTER(C:E,B:B=K260)"),"総泉時 本堂")</f>
        <v>総泉時 本堂</v>
      </c>
      <c r="R260" s="265">
        <f ca="1">IFERROR(__xludf.DUMMYFUNCTION("""COMPUTED_VALUE"""),35.419396)</f>
        <v>35.419395999999999</v>
      </c>
      <c r="S260" s="265">
        <f ca="1">IFERROR(__xludf.DUMMYFUNCTION("""COMPUTED_VALUE"""),133.328658)</f>
        <v>133.32865799999999</v>
      </c>
      <c r="T260" s="264" t="str">
        <f ca="1">IFERROR(__xludf.DUMMYFUNCTION("FILTER(C:E,B:B=L260)")," ")</f>
        <v xml:space="preserve"> </v>
      </c>
      <c r="U260" s="40" t="str">
        <f ca="1">IFERROR(__xludf.DUMMYFUNCTION("""COMPUTED_VALUE""")," ")</f>
        <v xml:space="preserve"> </v>
      </c>
      <c r="V260" s="40" t="str">
        <f ca="1">IFERROR(__xludf.DUMMYFUNCTION("""COMPUTED_VALUE""")," ")</f>
        <v xml:space="preserve"> </v>
      </c>
      <c r="W260" s="40" t="str">
        <f t="shared" ca="1" si="21"/>
        <v>,</v>
      </c>
      <c r="X260" s="40" t="s">
        <v>682</v>
      </c>
      <c r="Y260" s="40" t="s">
        <v>683</v>
      </c>
      <c r="Z260" s="264">
        <f t="shared" ca="1" si="1"/>
        <v>35.423257999999997</v>
      </c>
      <c r="AA260" s="40" t="s">
        <v>684</v>
      </c>
      <c r="AB260" s="264">
        <f t="shared" ca="1" si="2"/>
        <v>133.32655500000001</v>
      </c>
      <c r="AC260" s="40" t="s">
        <v>685</v>
      </c>
      <c r="AD260" s="264">
        <f t="shared" ca="1" si="3"/>
        <v>35.419395999999999</v>
      </c>
      <c r="AE260" s="40" t="s">
        <v>684</v>
      </c>
      <c r="AF260" s="264">
        <f t="shared" ca="1" si="4"/>
        <v>133.32865799999999</v>
      </c>
      <c r="AG260" s="40" t="s">
        <v>686</v>
      </c>
      <c r="AH260" s="264" t="str">
        <f t="shared" ca="1" si="5"/>
        <v xml:space="preserve"> </v>
      </c>
      <c r="AI260" s="40" t="s">
        <v>684</v>
      </c>
      <c r="AJ260" s="264" t="str">
        <f t="shared" ca="1" si="6"/>
        <v xml:space="preserve"> </v>
      </c>
      <c r="AK260" s="40" t="s">
        <v>687</v>
      </c>
      <c r="AL260" s="264" t="str">
        <f t="shared" ca="1" si="7"/>
        <v>blueviolet</v>
      </c>
      <c r="AM260" s="40" t="s">
        <v>688</v>
      </c>
      <c r="AN260" s="40" t="str">
        <f t="shared" ca="1" si="8"/>
        <v>,{"type":"polygon","latLngs":[ {"lat":35.423258,"lng":133.326555}, {"lat":35.419396,"lng":133.328658},{"lat": ,"lng": }], "color":"blueviolet"}</v>
      </c>
      <c r="AO260" s="266" t="s">
        <v>689</v>
      </c>
      <c r="AP260" s="56">
        <f t="shared" ca="1" si="9"/>
        <v>35.423257999999997</v>
      </c>
      <c r="AQ260" s="40" t="s">
        <v>684</v>
      </c>
      <c r="AR260" s="56">
        <f t="shared" ca="1" si="10"/>
        <v>133.32655500000001</v>
      </c>
      <c r="AS260" s="40" t="s">
        <v>686</v>
      </c>
      <c r="AT260" s="56">
        <f t="shared" ca="1" si="11"/>
        <v>35.419395999999999</v>
      </c>
      <c r="AU260" s="40" t="s">
        <v>684</v>
      </c>
      <c r="AV260" s="56">
        <f t="shared" ca="1" si="12"/>
        <v>133.32865799999999</v>
      </c>
      <c r="AW260" s="40" t="s">
        <v>690</v>
      </c>
      <c r="AX260" s="40" t="str">
        <f t="shared" ca="1" si="13"/>
        <v>blueviolet</v>
      </c>
      <c r="AY260" s="40" t="s">
        <v>688</v>
      </c>
      <c r="AZ260" s="40" t="str">
        <f t="shared" ca="1" si="14"/>
        <v>,{"type":"polyline","latLngs":[{"lat":35.423258,"lng":133.326555},{"lat":35.419396,"lng":133.328658}],"color":"blueviolet"}</v>
      </c>
      <c r="BA260" s="40" t="s">
        <v>691</v>
      </c>
      <c r="BB260" s="56">
        <f t="shared" ca="1" si="15"/>
        <v>35.423257999999997</v>
      </c>
      <c r="BC260" s="40" t="s">
        <v>684</v>
      </c>
      <c r="BD260" s="56">
        <f t="shared" ca="1" si="16"/>
        <v>133.32655500000001</v>
      </c>
      <c r="BE260" s="40" t="s">
        <v>692</v>
      </c>
      <c r="BF260" s="40" t="str">
        <f t="shared" ca="1" si="17"/>
        <v>blueviolet</v>
      </c>
      <c r="BG260" s="40" t="s">
        <v>688</v>
      </c>
      <c r="BH260" s="40" t="str">
        <f t="shared" ca="1" si="18"/>
        <v>,{"type":"marker","latLng":{"lat":35.423258,"lng":133.326555},"color":"blueviolet"}</v>
      </c>
      <c r="BI260" s="40" t="s">
        <v>693</v>
      </c>
      <c r="BJ260" s="40" t="s">
        <v>694</v>
      </c>
      <c r="BK260" s="267" t="str">
        <f t="shared" ca="1" si="19"/>
        <v>,{"type":"polyline","latLngs":[{"lat":35.423258,"lng":133.326555},{"lat":35.419396,"lng":133.328658}],"color":"blueviolet"}</v>
      </c>
    </row>
    <row r="261" spans="7:63" ht="17.5">
      <c r="G261" s="261"/>
      <c r="H261" s="262" t="s">
        <v>672</v>
      </c>
      <c r="I261" s="93" t="str">
        <f ca="1">IFERROR(__xludf.DUMMYFUNCTION("""COMPUTED_VALUE"""),"Agent22")</f>
        <v>Agent22</v>
      </c>
      <c r="J261" s="93" t="str">
        <f ca="1">IFERROR(__xludf.DUMMYFUNCTION("""COMPUTED_VALUE"""),"P212")</f>
        <v>P212</v>
      </c>
      <c r="K261" s="93" t="str">
        <f ca="1">IFERROR(__xludf.DUMMYFUNCTION("""COMPUTED_VALUE"""),"P207")</f>
        <v>P207</v>
      </c>
      <c r="L261" s="242" t="s">
        <v>681</v>
      </c>
      <c r="M261" s="263" t="str">
        <f t="shared" ca="1" si="0"/>
        <v>blueviolet</v>
      </c>
      <c r="N261" s="264" t="str">
        <f ca="1">IFERROR(__xludf.DUMMYFUNCTION("FILTER(C:E,B:B=J261)"),"彫刻ロード「光」")</f>
        <v>彫刻ロード「光」</v>
      </c>
      <c r="O261" s="265">
        <f ca="1">IFERROR(__xludf.DUMMYFUNCTION("""COMPUTED_VALUE"""),35.423258)</f>
        <v>35.423257999999997</v>
      </c>
      <c r="P261" s="265">
        <f ca="1">IFERROR(__xludf.DUMMYFUNCTION("""COMPUTED_VALUE"""),133.326555)</f>
        <v>133.32655500000001</v>
      </c>
      <c r="Q261" s="264" t="str">
        <f ca="1">IFERROR(__xludf.DUMMYFUNCTION("FILTER(C:E,B:B=K261)"),"Gravitation")</f>
        <v>Gravitation</v>
      </c>
      <c r="R261" s="265">
        <f ca="1">IFERROR(__xludf.DUMMYFUNCTION("""COMPUTED_VALUE"""),35.422867)</f>
        <v>35.422866999999997</v>
      </c>
      <c r="S261" s="265">
        <f ca="1">IFERROR(__xludf.DUMMYFUNCTION("""COMPUTED_VALUE"""),133.330184)</f>
        <v>133.330184</v>
      </c>
      <c r="T261" s="264" t="str">
        <f ca="1">IFERROR(__xludf.DUMMYFUNCTION("FILTER(C:E,B:B=L261)")," ")</f>
        <v xml:space="preserve"> </v>
      </c>
      <c r="U261" s="40" t="str">
        <f ca="1">IFERROR(__xludf.DUMMYFUNCTION("""COMPUTED_VALUE""")," ")</f>
        <v xml:space="preserve"> </v>
      </c>
      <c r="V261" s="40" t="str">
        <f ca="1">IFERROR(__xludf.DUMMYFUNCTION("""COMPUTED_VALUE""")," ")</f>
        <v xml:space="preserve"> </v>
      </c>
      <c r="W261" s="40" t="str">
        <f t="shared" ca="1" si="21"/>
        <v>,</v>
      </c>
      <c r="X261" s="40" t="s">
        <v>682</v>
      </c>
      <c r="Y261" s="40" t="s">
        <v>683</v>
      </c>
      <c r="Z261" s="264">
        <f t="shared" ca="1" si="1"/>
        <v>35.423257999999997</v>
      </c>
      <c r="AA261" s="40" t="s">
        <v>684</v>
      </c>
      <c r="AB261" s="264">
        <f t="shared" ca="1" si="2"/>
        <v>133.32655500000001</v>
      </c>
      <c r="AC261" s="40" t="s">
        <v>685</v>
      </c>
      <c r="AD261" s="264">
        <f t="shared" ca="1" si="3"/>
        <v>35.422866999999997</v>
      </c>
      <c r="AE261" s="40" t="s">
        <v>684</v>
      </c>
      <c r="AF261" s="264">
        <f t="shared" ca="1" si="4"/>
        <v>133.330184</v>
      </c>
      <c r="AG261" s="40" t="s">
        <v>686</v>
      </c>
      <c r="AH261" s="264" t="str">
        <f t="shared" ca="1" si="5"/>
        <v xml:space="preserve"> </v>
      </c>
      <c r="AI261" s="40" t="s">
        <v>684</v>
      </c>
      <c r="AJ261" s="264" t="str">
        <f t="shared" ca="1" si="6"/>
        <v xml:space="preserve"> </v>
      </c>
      <c r="AK261" s="40" t="s">
        <v>687</v>
      </c>
      <c r="AL261" s="264" t="str">
        <f t="shared" ca="1" si="7"/>
        <v>blueviolet</v>
      </c>
      <c r="AM261" s="40" t="s">
        <v>688</v>
      </c>
      <c r="AN261" s="40" t="str">
        <f t="shared" ca="1" si="8"/>
        <v>,{"type":"polygon","latLngs":[ {"lat":35.423258,"lng":133.326555}, {"lat":35.422867,"lng":133.330184},{"lat": ,"lng": }], "color":"blueviolet"}</v>
      </c>
      <c r="AO261" s="266" t="s">
        <v>689</v>
      </c>
      <c r="AP261" s="56">
        <f t="shared" ca="1" si="9"/>
        <v>35.423257999999997</v>
      </c>
      <c r="AQ261" s="40" t="s">
        <v>684</v>
      </c>
      <c r="AR261" s="56">
        <f t="shared" ca="1" si="10"/>
        <v>133.32655500000001</v>
      </c>
      <c r="AS261" s="40" t="s">
        <v>686</v>
      </c>
      <c r="AT261" s="56">
        <f t="shared" ca="1" si="11"/>
        <v>35.422866999999997</v>
      </c>
      <c r="AU261" s="40" t="s">
        <v>684</v>
      </c>
      <c r="AV261" s="56">
        <f t="shared" ca="1" si="12"/>
        <v>133.330184</v>
      </c>
      <c r="AW261" s="40" t="s">
        <v>690</v>
      </c>
      <c r="AX261" s="40" t="str">
        <f t="shared" ca="1" si="13"/>
        <v>blueviolet</v>
      </c>
      <c r="AY261" s="40" t="s">
        <v>688</v>
      </c>
      <c r="AZ261" s="40" t="str">
        <f t="shared" ca="1" si="14"/>
        <v>,{"type":"polyline","latLngs":[{"lat":35.423258,"lng":133.326555},{"lat":35.422867,"lng":133.330184}],"color":"blueviolet"}</v>
      </c>
      <c r="BA261" s="40" t="s">
        <v>691</v>
      </c>
      <c r="BB261" s="56">
        <f t="shared" ca="1" si="15"/>
        <v>35.423257999999997</v>
      </c>
      <c r="BC261" s="40" t="s">
        <v>684</v>
      </c>
      <c r="BD261" s="56">
        <f t="shared" ca="1" si="16"/>
        <v>133.32655500000001</v>
      </c>
      <c r="BE261" s="40" t="s">
        <v>692</v>
      </c>
      <c r="BF261" s="40" t="str">
        <f t="shared" ca="1" si="17"/>
        <v>blueviolet</v>
      </c>
      <c r="BG261" s="40" t="s">
        <v>688</v>
      </c>
      <c r="BH261" s="40" t="str">
        <f t="shared" ca="1" si="18"/>
        <v>,{"type":"marker","latLng":{"lat":35.423258,"lng":133.326555},"color":"blueviolet"}</v>
      </c>
      <c r="BI261" s="40" t="s">
        <v>693</v>
      </c>
      <c r="BJ261" s="40" t="s">
        <v>694</v>
      </c>
      <c r="BK261" s="267" t="str">
        <f t="shared" ca="1" si="19"/>
        <v>,{"type":"polyline","latLngs":[{"lat":35.423258,"lng":133.326555},{"lat":35.422867,"lng":133.330184}],"color":"blueviolet"}</v>
      </c>
    </row>
    <row r="262" spans="7:63" ht="17.5">
      <c r="G262" s="261"/>
      <c r="H262" s="262" t="s">
        <v>672</v>
      </c>
      <c r="I262" s="93" t="str">
        <f ca="1">IFERROR(__xludf.DUMMYFUNCTION("""COMPUTED_VALUE"""),"Agent23")</f>
        <v>Agent23</v>
      </c>
      <c r="J262" s="93" t="str">
        <f ca="1">IFERROR(__xludf.DUMMYFUNCTION("""COMPUTED_VALUE"""),"P220")</f>
        <v>P220</v>
      </c>
      <c r="K262" s="93" t="str">
        <f ca="1">IFERROR(__xludf.DUMMYFUNCTION("""COMPUTED_VALUE"""),"P206")</f>
        <v>P206</v>
      </c>
      <c r="L262" s="242" t="s">
        <v>681</v>
      </c>
      <c r="M262" s="263" t="str">
        <f t="shared" ref="M262:M355" ca="1" si="22">VLOOKUP(I262,BN:BO,2,FALSE)</f>
        <v>blue</v>
      </c>
      <c r="N262" s="264" t="str">
        <f ca="1">IFERROR(__xludf.DUMMYFUNCTION("FILTER(C:E,B:B=J262)"),"焼肉ホルモン だんだん")</f>
        <v>焼肉ホルモン だんだん</v>
      </c>
      <c r="O262" s="265">
        <f ca="1">IFERROR(__xludf.DUMMYFUNCTION("""COMPUTED_VALUE"""),35.424242)</f>
        <v>35.424242</v>
      </c>
      <c r="P262" s="265">
        <f ca="1">IFERROR(__xludf.DUMMYFUNCTION("""COMPUTED_VALUE"""),133.334677)</f>
        <v>133.334677</v>
      </c>
      <c r="Q262" s="264" t="str">
        <f ca="1">IFERROR(__xludf.DUMMYFUNCTION("FILTER(C:E,B:B=K262)"),"米子駅バス乗り場 観光案内地図")</f>
        <v>米子駅バス乗り場 観光案内地図</v>
      </c>
      <c r="R262" s="265">
        <f ca="1">IFERROR(__xludf.DUMMYFUNCTION("""COMPUTED_VALUE"""),35.422825)</f>
        <v>35.422825000000003</v>
      </c>
      <c r="S262" s="265">
        <f ca="1">IFERROR(__xludf.DUMMYFUNCTION("""COMPUTED_VALUE"""),133.335512)</f>
        <v>133.33551199999999</v>
      </c>
      <c r="T262" s="264" t="str">
        <f ca="1">IFERROR(__xludf.DUMMYFUNCTION("FILTER(C:E,B:B=L262)")," ")</f>
        <v xml:space="preserve"> </v>
      </c>
      <c r="U262" s="40" t="str">
        <f ca="1">IFERROR(__xludf.DUMMYFUNCTION("""COMPUTED_VALUE""")," ")</f>
        <v xml:space="preserve"> </v>
      </c>
      <c r="V262" s="40" t="str">
        <f ca="1">IFERROR(__xludf.DUMMYFUNCTION("""COMPUTED_VALUE""")," ")</f>
        <v xml:space="preserve"> </v>
      </c>
      <c r="W262" s="40" t="str">
        <f t="shared" ca="1" si="21"/>
        <v>,</v>
      </c>
      <c r="X262" s="40" t="s">
        <v>682</v>
      </c>
      <c r="Y262" s="40" t="s">
        <v>683</v>
      </c>
      <c r="Z262" s="264">
        <f t="shared" ref="Z262:Z355" ca="1" si="23">O262</f>
        <v>35.424242</v>
      </c>
      <c r="AA262" s="40" t="s">
        <v>684</v>
      </c>
      <c r="AB262" s="264">
        <f t="shared" ref="AB262:AB355" ca="1" si="24">P262</f>
        <v>133.334677</v>
      </c>
      <c r="AC262" s="40" t="s">
        <v>685</v>
      </c>
      <c r="AD262" s="264">
        <f t="shared" ref="AD262:AD355" ca="1" si="25">R262</f>
        <v>35.422825000000003</v>
      </c>
      <c r="AE262" s="40" t="s">
        <v>684</v>
      </c>
      <c r="AF262" s="264">
        <f t="shared" ref="AF262:AF355" ca="1" si="26">S262</f>
        <v>133.33551199999999</v>
      </c>
      <c r="AG262" s="40" t="s">
        <v>686</v>
      </c>
      <c r="AH262" s="264" t="str">
        <f t="shared" ref="AH262:AH355" ca="1" si="27">U262</f>
        <v xml:space="preserve"> </v>
      </c>
      <c r="AI262" s="40" t="s">
        <v>684</v>
      </c>
      <c r="AJ262" s="264" t="str">
        <f t="shared" ref="AJ262:AJ355" ca="1" si="28">V262</f>
        <v xml:space="preserve"> </v>
      </c>
      <c r="AK262" s="40" t="s">
        <v>687</v>
      </c>
      <c r="AL262" s="264" t="str">
        <f t="shared" ref="AL262:AL355" ca="1" si="29">M262</f>
        <v>blue</v>
      </c>
      <c r="AM262" s="40" t="s">
        <v>688</v>
      </c>
      <c r="AN262" s="40" t="str">
        <f t="shared" ref="AN262:AN355" ca="1" si="30">W262&amp;X262&amp;Y262&amp;Z262&amp;AA262&amp;AB262&amp;AC262&amp;AD262&amp;AE262&amp;AF262&amp;AG262&amp;AH262&amp;AI262&amp;AJ262&amp;AK262&amp;AL262&amp;AM262</f>
        <v>,{"type":"polygon","latLngs":[ {"lat":35.424242,"lng":133.334677}, {"lat":35.422825,"lng":133.335512},{"lat": ,"lng": }], "color":"blue"}</v>
      </c>
      <c r="AO262" s="266" t="s">
        <v>689</v>
      </c>
      <c r="AP262" s="56">
        <f t="shared" ref="AP262:AP355" ca="1" si="31">O262</f>
        <v>35.424242</v>
      </c>
      <c r="AQ262" s="40" t="s">
        <v>684</v>
      </c>
      <c r="AR262" s="56">
        <f t="shared" ref="AR262:AR355" ca="1" si="32">P262</f>
        <v>133.334677</v>
      </c>
      <c r="AS262" s="40" t="s">
        <v>686</v>
      </c>
      <c r="AT262" s="56">
        <f t="shared" ref="AT262:AT355" ca="1" si="33">R262</f>
        <v>35.422825000000003</v>
      </c>
      <c r="AU262" s="40" t="s">
        <v>684</v>
      </c>
      <c r="AV262" s="56">
        <f t="shared" ref="AV262:AV355" ca="1" si="34">S262</f>
        <v>133.33551199999999</v>
      </c>
      <c r="AW262" s="40" t="s">
        <v>690</v>
      </c>
      <c r="AX262" s="40" t="str">
        <f t="shared" ref="AX262:AX355" ca="1" si="35">M262</f>
        <v>blue</v>
      </c>
      <c r="AY262" s="40" t="s">
        <v>688</v>
      </c>
      <c r="AZ262" s="40" t="str">
        <f t="shared" ref="AZ262:AZ355" ca="1" si="36">W262&amp;AO262&amp;AP262&amp;AQ262&amp;AR262&amp;AS262&amp;AT262&amp;AU262&amp;AV262&amp;AW262&amp;AX262&amp;AY262</f>
        <v>,{"type":"polyline","latLngs":[{"lat":35.424242,"lng":133.334677},{"lat":35.422825,"lng":133.335512}],"color":"blue"}</v>
      </c>
      <c r="BA262" s="40" t="s">
        <v>691</v>
      </c>
      <c r="BB262" s="56">
        <f t="shared" ref="BB262:BB355" ca="1" si="37">O262</f>
        <v>35.424242</v>
      </c>
      <c r="BC262" s="40" t="s">
        <v>684</v>
      </c>
      <c r="BD262" s="56">
        <f t="shared" ref="BD262:BD355" ca="1" si="38">P262</f>
        <v>133.334677</v>
      </c>
      <c r="BE262" s="40" t="s">
        <v>692</v>
      </c>
      <c r="BF262" s="40" t="str">
        <f t="shared" ref="BF262:BF355" ca="1" si="39">M262</f>
        <v>blue</v>
      </c>
      <c r="BG262" s="40" t="s">
        <v>688</v>
      </c>
      <c r="BH262" s="40" t="str">
        <f t="shared" ref="BH262:BH355" ca="1" si="40">W262&amp;BA262&amp;BB262&amp;BC262&amp;BD262&amp;BE262&amp;BF262&amp;BG262</f>
        <v>,{"type":"marker","latLng":{"lat":35.424242,"lng":133.334677},"color":"blue"}</v>
      </c>
      <c r="BI262" s="40" t="s">
        <v>693</v>
      </c>
      <c r="BJ262" s="40" t="s">
        <v>694</v>
      </c>
      <c r="BK262" s="267" t="str">
        <f t="shared" ref="BK262:BK355" ca="1" si="41">IF(H262="CF",AN262,IF(H262="Link",AZ262,IF(H262="Marker",BH262,IF(H262="Begin",BI262,IF(H262="End",BJ262,"")))))</f>
        <v>,{"type":"polyline","latLngs":[{"lat":35.424242,"lng":133.334677},{"lat":35.422825,"lng":133.335512}],"color":"blue"}</v>
      </c>
    </row>
    <row r="263" spans="7:63" ht="17.5">
      <c r="G263" s="261"/>
      <c r="H263" s="262" t="s">
        <v>672</v>
      </c>
      <c r="I263" s="93" t="str">
        <f ca="1">IFERROR(__xludf.DUMMYFUNCTION("""COMPUTED_VALUE"""),"Agent23")</f>
        <v>Agent23</v>
      </c>
      <c r="J263" s="93" t="str">
        <f ca="1">IFERROR(__xludf.DUMMYFUNCTION("""COMPUTED_VALUE"""),"P220")</f>
        <v>P220</v>
      </c>
      <c r="K263" s="93" t="str">
        <f ca="1">IFERROR(__xludf.DUMMYFUNCTION("""COMPUTED_VALUE"""),"P217")</f>
        <v>P217</v>
      </c>
      <c r="L263" s="242" t="s">
        <v>681</v>
      </c>
      <c r="M263" s="263" t="str">
        <f t="shared" ca="1" si="22"/>
        <v>blue</v>
      </c>
      <c r="N263" s="264" t="str">
        <f ca="1">IFERROR(__xludf.DUMMYFUNCTION("FILTER(C:E,B:B=J263)"),"焼肉ホルモン だんだん")</f>
        <v>焼肉ホルモン だんだん</v>
      </c>
      <c r="O263" s="265">
        <f ca="1">IFERROR(__xludf.DUMMYFUNCTION("""COMPUTED_VALUE"""),35.424242)</f>
        <v>35.424242</v>
      </c>
      <c r="P263" s="265">
        <f ca="1">IFERROR(__xludf.DUMMYFUNCTION("""COMPUTED_VALUE"""),133.334677)</f>
        <v>133.334677</v>
      </c>
      <c r="Q263" s="264" t="str">
        <f ca="1">IFERROR(__xludf.DUMMYFUNCTION("FILTER(C:E,B:B=K263)"),"明治第一公園のパーゴラ休憩所")</f>
        <v>明治第一公園のパーゴラ休憩所</v>
      </c>
      <c r="R263" s="265">
        <f ca="1">IFERROR(__xludf.DUMMYFUNCTION("""COMPUTED_VALUE"""),35.42404)</f>
        <v>35.424039999999998</v>
      </c>
      <c r="S263" s="265">
        <f ca="1">IFERROR(__xludf.DUMMYFUNCTION("""COMPUTED_VALUE"""),133.33353)</f>
        <v>133.33353</v>
      </c>
      <c r="T263" s="264" t="str">
        <f ca="1">IFERROR(__xludf.DUMMYFUNCTION("FILTER(C:E,B:B=L263)")," ")</f>
        <v xml:space="preserve"> </v>
      </c>
      <c r="U263" s="40" t="str">
        <f ca="1">IFERROR(__xludf.DUMMYFUNCTION("""COMPUTED_VALUE""")," ")</f>
        <v xml:space="preserve"> </v>
      </c>
      <c r="V263" s="40" t="str">
        <f ca="1">IFERROR(__xludf.DUMMYFUNCTION("""COMPUTED_VALUE""")," ")</f>
        <v xml:space="preserve"> </v>
      </c>
      <c r="W263" s="40" t="str">
        <f t="shared" ca="1" si="21"/>
        <v>,</v>
      </c>
      <c r="X263" s="40" t="s">
        <v>682</v>
      </c>
      <c r="Y263" s="40" t="s">
        <v>683</v>
      </c>
      <c r="Z263" s="264">
        <f t="shared" ca="1" si="23"/>
        <v>35.424242</v>
      </c>
      <c r="AA263" s="40" t="s">
        <v>684</v>
      </c>
      <c r="AB263" s="264">
        <f t="shared" ca="1" si="24"/>
        <v>133.334677</v>
      </c>
      <c r="AC263" s="40" t="s">
        <v>685</v>
      </c>
      <c r="AD263" s="264">
        <f t="shared" ca="1" si="25"/>
        <v>35.424039999999998</v>
      </c>
      <c r="AE263" s="40" t="s">
        <v>684</v>
      </c>
      <c r="AF263" s="264">
        <f t="shared" ca="1" si="26"/>
        <v>133.33353</v>
      </c>
      <c r="AG263" s="40" t="s">
        <v>686</v>
      </c>
      <c r="AH263" s="264" t="str">
        <f t="shared" ca="1" si="27"/>
        <v xml:space="preserve"> </v>
      </c>
      <c r="AI263" s="40" t="s">
        <v>684</v>
      </c>
      <c r="AJ263" s="264" t="str">
        <f t="shared" ca="1" si="28"/>
        <v xml:space="preserve"> </v>
      </c>
      <c r="AK263" s="40" t="s">
        <v>687</v>
      </c>
      <c r="AL263" s="264" t="str">
        <f t="shared" ca="1" si="29"/>
        <v>blue</v>
      </c>
      <c r="AM263" s="40" t="s">
        <v>688</v>
      </c>
      <c r="AN263" s="40" t="str">
        <f t="shared" ca="1" si="30"/>
        <v>,{"type":"polygon","latLngs":[ {"lat":35.424242,"lng":133.334677}, {"lat":35.42404,"lng":133.33353},{"lat": ,"lng": }], "color":"blue"}</v>
      </c>
      <c r="AO263" s="266" t="s">
        <v>689</v>
      </c>
      <c r="AP263" s="56">
        <f t="shared" ca="1" si="31"/>
        <v>35.424242</v>
      </c>
      <c r="AQ263" s="40" t="s">
        <v>684</v>
      </c>
      <c r="AR263" s="56">
        <f t="shared" ca="1" si="32"/>
        <v>133.334677</v>
      </c>
      <c r="AS263" s="40" t="s">
        <v>686</v>
      </c>
      <c r="AT263" s="56">
        <f t="shared" ca="1" si="33"/>
        <v>35.424039999999998</v>
      </c>
      <c r="AU263" s="40" t="s">
        <v>684</v>
      </c>
      <c r="AV263" s="56">
        <f t="shared" ca="1" si="34"/>
        <v>133.33353</v>
      </c>
      <c r="AW263" s="40" t="s">
        <v>690</v>
      </c>
      <c r="AX263" s="40" t="str">
        <f t="shared" ca="1" si="35"/>
        <v>blue</v>
      </c>
      <c r="AY263" s="40" t="s">
        <v>688</v>
      </c>
      <c r="AZ263" s="40" t="str">
        <f t="shared" ca="1" si="36"/>
        <v>,{"type":"polyline","latLngs":[{"lat":35.424242,"lng":133.334677},{"lat":35.42404,"lng":133.33353}],"color":"blue"}</v>
      </c>
      <c r="BA263" s="40" t="s">
        <v>691</v>
      </c>
      <c r="BB263" s="56">
        <f t="shared" ca="1" si="37"/>
        <v>35.424242</v>
      </c>
      <c r="BC263" s="40" t="s">
        <v>684</v>
      </c>
      <c r="BD263" s="56">
        <f t="shared" ca="1" si="38"/>
        <v>133.334677</v>
      </c>
      <c r="BE263" s="40" t="s">
        <v>692</v>
      </c>
      <c r="BF263" s="40" t="str">
        <f t="shared" ca="1" si="39"/>
        <v>blue</v>
      </c>
      <c r="BG263" s="40" t="s">
        <v>688</v>
      </c>
      <c r="BH263" s="40" t="str">
        <f t="shared" ca="1" si="40"/>
        <v>,{"type":"marker","latLng":{"lat":35.424242,"lng":133.334677},"color":"blue"}</v>
      </c>
      <c r="BI263" s="40" t="s">
        <v>693</v>
      </c>
      <c r="BJ263" s="40" t="s">
        <v>694</v>
      </c>
      <c r="BK263" s="267" t="str">
        <f t="shared" ca="1" si="41"/>
        <v>,{"type":"polyline","latLngs":[{"lat":35.424242,"lng":133.334677},{"lat":35.42404,"lng":133.33353}],"color":"blue"}</v>
      </c>
    </row>
    <row r="264" spans="7:63" ht="17.5">
      <c r="G264" s="261"/>
      <c r="H264" s="262" t="s">
        <v>672</v>
      </c>
      <c r="I264" s="93" t="str">
        <f ca="1">IFERROR(__xludf.DUMMYFUNCTION("""COMPUTED_VALUE"""),"Agent23")</f>
        <v>Agent23</v>
      </c>
      <c r="J264" s="93" t="str">
        <f ca="1">IFERROR(__xludf.DUMMYFUNCTION("""COMPUTED_VALUE"""),"P220")</f>
        <v>P220</v>
      </c>
      <c r="K264" s="93" t="str">
        <f ca="1">IFERROR(__xludf.DUMMYFUNCTION("""COMPUTED_VALUE"""),"P203")</f>
        <v>P203</v>
      </c>
      <c r="L264" s="242" t="s">
        <v>681</v>
      </c>
      <c r="M264" s="263" t="str">
        <f t="shared" ca="1" si="22"/>
        <v>blue</v>
      </c>
      <c r="N264" s="264" t="str">
        <f ca="1">IFERROR(__xludf.DUMMYFUNCTION("FILTER(C:E,B:B=J264)"),"焼肉ホルモン だんだん")</f>
        <v>焼肉ホルモン だんだん</v>
      </c>
      <c r="O264" s="265">
        <f ca="1">IFERROR(__xludf.DUMMYFUNCTION("""COMPUTED_VALUE"""),35.424242)</f>
        <v>35.424242</v>
      </c>
      <c r="P264" s="265">
        <f ca="1">IFERROR(__xludf.DUMMYFUNCTION("""COMPUTED_VALUE"""),133.334677)</f>
        <v>133.334677</v>
      </c>
      <c r="Q264" s="264" t="str">
        <f ca="1">IFERROR(__xludf.DUMMYFUNCTION("FILTER(C:E,B:B=K264)"),"JR米子駅南口")</f>
        <v>JR米子駅南口</v>
      </c>
      <c r="R264" s="265">
        <f ca="1">IFERROR(__xludf.DUMMYFUNCTION("""COMPUTED_VALUE"""),35.422583)</f>
        <v>35.422583000000003</v>
      </c>
      <c r="S264" s="265">
        <f ca="1">IFERROR(__xludf.DUMMYFUNCTION("""COMPUTED_VALUE"""),133.337411)</f>
        <v>133.337411</v>
      </c>
      <c r="T264" s="264" t="str">
        <f ca="1">IFERROR(__xludf.DUMMYFUNCTION("FILTER(C:E,B:B=L264)")," ")</f>
        <v xml:space="preserve"> </v>
      </c>
      <c r="U264" s="40" t="str">
        <f ca="1">IFERROR(__xludf.DUMMYFUNCTION("""COMPUTED_VALUE""")," ")</f>
        <v xml:space="preserve"> </v>
      </c>
      <c r="V264" s="40" t="str">
        <f ca="1">IFERROR(__xludf.DUMMYFUNCTION("""COMPUTED_VALUE""")," ")</f>
        <v xml:space="preserve"> </v>
      </c>
      <c r="W264" s="40" t="str">
        <f t="shared" ca="1" si="21"/>
        <v>,</v>
      </c>
      <c r="X264" s="40" t="s">
        <v>682</v>
      </c>
      <c r="Y264" s="40" t="s">
        <v>683</v>
      </c>
      <c r="Z264" s="264">
        <f t="shared" ca="1" si="23"/>
        <v>35.424242</v>
      </c>
      <c r="AA264" s="40" t="s">
        <v>684</v>
      </c>
      <c r="AB264" s="264">
        <f t="shared" ca="1" si="24"/>
        <v>133.334677</v>
      </c>
      <c r="AC264" s="40" t="s">
        <v>685</v>
      </c>
      <c r="AD264" s="264">
        <f t="shared" ca="1" si="25"/>
        <v>35.422583000000003</v>
      </c>
      <c r="AE264" s="40" t="s">
        <v>684</v>
      </c>
      <c r="AF264" s="264">
        <f t="shared" ca="1" si="26"/>
        <v>133.337411</v>
      </c>
      <c r="AG264" s="40" t="s">
        <v>686</v>
      </c>
      <c r="AH264" s="264" t="str">
        <f t="shared" ca="1" si="27"/>
        <v xml:space="preserve"> </v>
      </c>
      <c r="AI264" s="40" t="s">
        <v>684</v>
      </c>
      <c r="AJ264" s="264" t="str">
        <f t="shared" ca="1" si="28"/>
        <v xml:space="preserve"> </v>
      </c>
      <c r="AK264" s="40" t="s">
        <v>687</v>
      </c>
      <c r="AL264" s="264" t="str">
        <f t="shared" ca="1" si="29"/>
        <v>blue</v>
      </c>
      <c r="AM264" s="40" t="s">
        <v>688</v>
      </c>
      <c r="AN264" s="40" t="str">
        <f t="shared" ca="1" si="30"/>
        <v>,{"type":"polygon","latLngs":[ {"lat":35.424242,"lng":133.334677}, {"lat":35.422583,"lng":133.337411},{"lat": ,"lng": }], "color":"blue"}</v>
      </c>
      <c r="AO264" s="266" t="s">
        <v>689</v>
      </c>
      <c r="AP264" s="56">
        <f t="shared" ca="1" si="31"/>
        <v>35.424242</v>
      </c>
      <c r="AQ264" s="40" t="s">
        <v>684</v>
      </c>
      <c r="AR264" s="56">
        <f t="shared" ca="1" si="32"/>
        <v>133.334677</v>
      </c>
      <c r="AS264" s="40" t="s">
        <v>686</v>
      </c>
      <c r="AT264" s="56">
        <f t="shared" ca="1" si="33"/>
        <v>35.422583000000003</v>
      </c>
      <c r="AU264" s="40" t="s">
        <v>684</v>
      </c>
      <c r="AV264" s="56">
        <f t="shared" ca="1" si="34"/>
        <v>133.337411</v>
      </c>
      <c r="AW264" s="40" t="s">
        <v>690</v>
      </c>
      <c r="AX264" s="40" t="str">
        <f t="shared" ca="1" si="35"/>
        <v>blue</v>
      </c>
      <c r="AY264" s="40" t="s">
        <v>688</v>
      </c>
      <c r="AZ264" s="40" t="str">
        <f t="shared" ca="1" si="36"/>
        <v>,{"type":"polyline","latLngs":[{"lat":35.424242,"lng":133.334677},{"lat":35.422583,"lng":133.337411}],"color":"blue"}</v>
      </c>
      <c r="BA264" s="40" t="s">
        <v>691</v>
      </c>
      <c r="BB264" s="56">
        <f t="shared" ca="1" si="37"/>
        <v>35.424242</v>
      </c>
      <c r="BC264" s="40" t="s">
        <v>684</v>
      </c>
      <c r="BD264" s="56">
        <f t="shared" ca="1" si="38"/>
        <v>133.334677</v>
      </c>
      <c r="BE264" s="40" t="s">
        <v>692</v>
      </c>
      <c r="BF264" s="40" t="str">
        <f t="shared" ca="1" si="39"/>
        <v>blue</v>
      </c>
      <c r="BG264" s="40" t="s">
        <v>688</v>
      </c>
      <c r="BH264" s="40" t="str">
        <f t="shared" ca="1" si="40"/>
        <v>,{"type":"marker","latLng":{"lat":35.424242,"lng":133.334677},"color":"blue"}</v>
      </c>
      <c r="BI264" s="40" t="s">
        <v>693</v>
      </c>
      <c r="BJ264" s="40" t="s">
        <v>694</v>
      </c>
      <c r="BK264" s="267" t="str">
        <f t="shared" ca="1" si="41"/>
        <v>,{"type":"polyline","latLngs":[{"lat":35.424242,"lng":133.334677},{"lat":35.422583,"lng":133.337411}],"color":"blue"}</v>
      </c>
    </row>
    <row r="265" spans="7:63" ht="17.5">
      <c r="G265" s="261"/>
      <c r="H265" s="262" t="s">
        <v>672</v>
      </c>
      <c r="I265" s="93" t="str">
        <f ca="1">IFERROR(__xludf.DUMMYFUNCTION("""COMPUTED_VALUE"""),"Agent23")</f>
        <v>Agent23</v>
      </c>
      <c r="J265" s="93" t="str">
        <f ca="1">IFERROR(__xludf.DUMMYFUNCTION("""COMPUTED_VALUE"""),"P218")</f>
        <v>P218</v>
      </c>
      <c r="K265" s="93" t="str">
        <f ca="1">IFERROR(__xludf.DUMMYFUNCTION("""COMPUTED_VALUE"""),"P217")</f>
        <v>P217</v>
      </c>
      <c r="L265" s="242" t="s">
        <v>681</v>
      </c>
      <c r="M265" s="263" t="str">
        <f t="shared" ca="1" si="22"/>
        <v>blue</v>
      </c>
      <c r="N265" s="264" t="str">
        <f ca="1">IFERROR(__xludf.DUMMYFUNCTION("FILTER(C:E,B:B=J265)"),"ローダンのラーメン 米子駅前店")</f>
        <v>ローダンのラーメン 米子駅前店</v>
      </c>
      <c r="O265" s="265">
        <f ca="1">IFERROR(__xludf.DUMMYFUNCTION("""COMPUTED_VALUE"""),35.424068)</f>
        <v>35.424067999999998</v>
      </c>
      <c r="P265" s="265">
        <f ca="1">IFERROR(__xludf.DUMMYFUNCTION("""COMPUTED_VALUE"""),133.332378)</f>
        <v>133.33237800000001</v>
      </c>
      <c r="Q265" s="264" t="str">
        <f ca="1">IFERROR(__xludf.DUMMYFUNCTION("FILTER(C:E,B:B=K265)"),"明治第一公園のパーゴラ休憩所")</f>
        <v>明治第一公園のパーゴラ休憩所</v>
      </c>
      <c r="R265" s="265">
        <f ca="1">IFERROR(__xludf.DUMMYFUNCTION("""COMPUTED_VALUE"""),35.42404)</f>
        <v>35.424039999999998</v>
      </c>
      <c r="S265" s="265">
        <f ca="1">IFERROR(__xludf.DUMMYFUNCTION("""COMPUTED_VALUE"""),133.33353)</f>
        <v>133.33353</v>
      </c>
      <c r="T265" s="264" t="str">
        <f ca="1">IFERROR(__xludf.DUMMYFUNCTION("FILTER(C:E,B:B=L265)")," ")</f>
        <v xml:space="preserve"> </v>
      </c>
      <c r="U265" s="40" t="str">
        <f ca="1">IFERROR(__xludf.DUMMYFUNCTION("""COMPUTED_VALUE""")," ")</f>
        <v xml:space="preserve"> </v>
      </c>
      <c r="V265" s="40" t="str">
        <f ca="1">IFERROR(__xludf.DUMMYFUNCTION("""COMPUTED_VALUE""")," ")</f>
        <v xml:space="preserve"> </v>
      </c>
      <c r="W265" s="40" t="str">
        <f t="shared" ca="1" si="21"/>
        <v>,</v>
      </c>
      <c r="X265" s="40" t="s">
        <v>682</v>
      </c>
      <c r="Y265" s="40" t="s">
        <v>683</v>
      </c>
      <c r="Z265" s="264">
        <f t="shared" ca="1" si="23"/>
        <v>35.424067999999998</v>
      </c>
      <c r="AA265" s="40" t="s">
        <v>684</v>
      </c>
      <c r="AB265" s="264">
        <f t="shared" ca="1" si="24"/>
        <v>133.33237800000001</v>
      </c>
      <c r="AC265" s="40" t="s">
        <v>685</v>
      </c>
      <c r="AD265" s="264">
        <f t="shared" ca="1" si="25"/>
        <v>35.424039999999998</v>
      </c>
      <c r="AE265" s="40" t="s">
        <v>684</v>
      </c>
      <c r="AF265" s="264">
        <f t="shared" ca="1" si="26"/>
        <v>133.33353</v>
      </c>
      <c r="AG265" s="40" t="s">
        <v>686</v>
      </c>
      <c r="AH265" s="264" t="str">
        <f t="shared" ca="1" si="27"/>
        <v xml:space="preserve"> </v>
      </c>
      <c r="AI265" s="40" t="s">
        <v>684</v>
      </c>
      <c r="AJ265" s="264" t="str">
        <f t="shared" ca="1" si="28"/>
        <v xml:space="preserve"> </v>
      </c>
      <c r="AK265" s="40" t="s">
        <v>687</v>
      </c>
      <c r="AL265" s="264" t="str">
        <f t="shared" ca="1" si="29"/>
        <v>blue</v>
      </c>
      <c r="AM265" s="40" t="s">
        <v>688</v>
      </c>
      <c r="AN265" s="40" t="str">
        <f t="shared" ca="1" si="30"/>
        <v>,{"type":"polygon","latLngs":[ {"lat":35.424068,"lng":133.332378}, {"lat":35.42404,"lng":133.33353},{"lat": ,"lng": }], "color":"blue"}</v>
      </c>
      <c r="AO265" s="266" t="s">
        <v>689</v>
      </c>
      <c r="AP265" s="56">
        <f t="shared" ca="1" si="31"/>
        <v>35.424067999999998</v>
      </c>
      <c r="AQ265" s="40" t="s">
        <v>684</v>
      </c>
      <c r="AR265" s="56">
        <f t="shared" ca="1" si="32"/>
        <v>133.33237800000001</v>
      </c>
      <c r="AS265" s="40" t="s">
        <v>686</v>
      </c>
      <c r="AT265" s="56">
        <f t="shared" ca="1" si="33"/>
        <v>35.424039999999998</v>
      </c>
      <c r="AU265" s="40" t="s">
        <v>684</v>
      </c>
      <c r="AV265" s="56">
        <f t="shared" ca="1" si="34"/>
        <v>133.33353</v>
      </c>
      <c r="AW265" s="40" t="s">
        <v>690</v>
      </c>
      <c r="AX265" s="40" t="str">
        <f t="shared" ca="1" si="35"/>
        <v>blue</v>
      </c>
      <c r="AY265" s="40" t="s">
        <v>688</v>
      </c>
      <c r="AZ265" s="40" t="str">
        <f t="shared" ca="1" si="36"/>
        <v>,{"type":"polyline","latLngs":[{"lat":35.424068,"lng":133.332378},{"lat":35.42404,"lng":133.33353}],"color":"blue"}</v>
      </c>
      <c r="BA265" s="40" t="s">
        <v>691</v>
      </c>
      <c r="BB265" s="56">
        <f t="shared" ca="1" si="37"/>
        <v>35.424067999999998</v>
      </c>
      <c r="BC265" s="40" t="s">
        <v>684</v>
      </c>
      <c r="BD265" s="56">
        <f t="shared" ca="1" si="38"/>
        <v>133.33237800000001</v>
      </c>
      <c r="BE265" s="40" t="s">
        <v>692</v>
      </c>
      <c r="BF265" s="40" t="str">
        <f t="shared" ca="1" si="39"/>
        <v>blue</v>
      </c>
      <c r="BG265" s="40" t="s">
        <v>688</v>
      </c>
      <c r="BH265" s="40" t="str">
        <f t="shared" ca="1" si="40"/>
        <v>,{"type":"marker","latLng":{"lat":35.424068,"lng":133.332378},"color":"blue"}</v>
      </c>
      <c r="BI265" s="40" t="s">
        <v>693</v>
      </c>
      <c r="BJ265" s="40" t="s">
        <v>694</v>
      </c>
      <c r="BK265" s="267" t="str">
        <f t="shared" ca="1" si="41"/>
        <v>,{"type":"polyline","latLngs":[{"lat":35.424068,"lng":133.332378},{"lat":35.42404,"lng":133.33353}],"color":"blue"}</v>
      </c>
    </row>
    <row r="266" spans="7:63" ht="17.5">
      <c r="G266" s="261"/>
      <c r="H266" s="262" t="s">
        <v>672</v>
      </c>
      <c r="I266" s="93" t="str">
        <f ca="1">IFERROR(__xludf.DUMMYFUNCTION("""COMPUTED_VALUE"""),"Agent23")</f>
        <v>Agent23</v>
      </c>
      <c r="J266" s="93" t="str">
        <f ca="1">IFERROR(__xludf.DUMMYFUNCTION("""COMPUTED_VALUE"""),"P219")</f>
        <v>P219</v>
      </c>
      <c r="K266" s="93" t="str">
        <f ca="1">IFERROR(__xludf.DUMMYFUNCTION("""COMPUTED_VALUE"""),"P217")</f>
        <v>P217</v>
      </c>
      <c r="L266" s="242" t="s">
        <v>681</v>
      </c>
      <c r="M266" s="263" t="str">
        <f t="shared" ca="1" si="22"/>
        <v>blue</v>
      </c>
      <c r="N266" s="264" t="str">
        <f ca="1">IFERROR(__xludf.DUMMYFUNCTION("FILTER(C:E,B:B=J266)"),"塩町地蔵")</f>
        <v>塩町地蔵</v>
      </c>
      <c r="O266" s="265">
        <f ca="1">IFERROR(__xludf.DUMMYFUNCTION("""COMPUTED_VALUE"""),35.424164)</f>
        <v>35.424163999999998</v>
      </c>
      <c r="P266" s="265">
        <f ca="1">IFERROR(__xludf.DUMMYFUNCTION("""COMPUTED_VALUE"""),133.331871)</f>
        <v>133.33187100000001</v>
      </c>
      <c r="Q266" s="264" t="str">
        <f ca="1">IFERROR(__xludf.DUMMYFUNCTION("FILTER(C:E,B:B=K266)"),"明治第一公園のパーゴラ休憩所")</f>
        <v>明治第一公園のパーゴラ休憩所</v>
      </c>
      <c r="R266" s="265">
        <f ca="1">IFERROR(__xludf.DUMMYFUNCTION("""COMPUTED_VALUE"""),35.42404)</f>
        <v>35.424039999999998</v>
      </c>
      <c r="S266" s="265">
        <f ca="1">IFERROR(__xludf.DUMMYFUNCTION("""COMPUTED_VALUE"""),133.33353)</f>
        <v>133.33353</v>
      </c>
      <c r="T266" s="264" t="str">
        <f ca="1">IFERROR(__xludf.DUMMYFUNCTION("FILTER(C:E,B:B=L266)")," ")</f>
        <v xml:space="preserve"> </v>
      </c>
      <c r="U266" s="40" t="str">
        <f ca="1">IFERROR(__xludf.DUMMYFUNCTION("""COMPUTED_VALUE""")," ")</f>
        <v xml:space="preserve"> </v>
      </c>
      <c r="V266" s="40" t="str">
        <f ca="1">IFERROR(__xludf.DUMMYFUNCTION("""COMPUTED_VALUE""")," ")</f>
        <v xml:space="preserve"> </v>
      </c>
      <c r="W266" s="40" t="str">
        <f t="shared" ref="W266:W355" ca="1" si="42">IF(OFFSET(H266,-1,0)="Begin","",IF(H266="Begin","",","))</f>
        <v>,</v>
      </c>
      <c r="X266" s="40" t="s">
        <v>682</v>
      </c>
      <c r="Y266" s="40" t="s">
        <v>683</v>
      </c>
      <c r="Z266" s="264">
        <f t="shared" ca="1" si="23"/>
        <v>35.424163999999998</v>
      </c>
      <c r="AA266" s="40" t="s">
        <v>684</v>
      </c>
      <c r="AB266" s="264">
        <f t="shared" ca="1" si="24"/>
        <v>133.33187100000001</v>
      </c>
      <c r="AC266" s="40" t="s">
        <v>685</v>
      </c>
      <c r="AD266" s="264">
        <f t="shared" ca="1" si="25"/>
        <v>35.424039999999998</v>
      </c>
      <c r="AE266" s="40" t="s">
        <v>684</v>
      </c>
      <c r="AF266" s="264">
        <f t="shared" ca="1" si="26"/>
        <v>133.33353</v>
      </c>
      <c r="AG266" s="40" t="s">
        <v>686</v>
      </c>
      <c r="AH266" s="264" t="str">
        <f t="shared" ca="1" si="27"/>
        <v xml:space="preserve"> </v>
      </c>
      <c r="AI266" s="40" t="s">
        <v>684</v>
      </c>
      <c r="AJ266" s="264" t="str">
        <f t="shared" ca="1" si="28"/>
        <v xml:space="preserve"> </v>
      </c>
      <c r="AK266" s="40" t="s">
        <v>687</v>
      </c>
      <c r="AL266" s="264" t="str">
        <f t="shared" ca="1" si="29"/>
        <v>blue</v>
      </c>
      <c r="AM266" s="40" t="s">
        <v>688</v>
      </c>
      <c r="AN266" s="40" t="str">
        <f t="shared" ca="1" si="30"/>
        <v>,{"type":"polygon","latLngs":[ {"lat":35.424164,"lng":133.331871}, {"lat":35.42404,"lng":133.33353},{"lat": ,"lng": }], "color":"blue"}</v>
      </c>
      <c r="AO266" s="266" t="s">
        <v>689</v>
      </c>
      <c r="AP266" s="56">
        <f t="shared" ca="1" si="31"/>
        <v>35.424163999999998</v>
      </c>
      <c r="AQ266" s="40" t="s">
        <v>684</v>
      </c>
      <c r="AR266" s="56">
        <f t="shared" ca="1" si="32"/>
        <v>133.33187100000001</v>
      </c>
      <c r="AS266" s="40" t="s">
        <v>686</v>
      </c>
      <c r="AT266" s="56">
        <f t="shared" ca="1" si="33"/>
        <v>35.424039999999998</v>
      </c>
      <c r="AU266" s="40" t="s">
        <v>684</v>
      </c>
      <c r="AV266" s="56">
        <f t="shared" ca="1" si="34"/>
        <v>133.33353</v>
      </c>
      <c r="AW266" s="40" t="s">
        <v>690</v>
      </c>
      <c r="AX266" s="40" t="str">
        <f t="shared" ca="1" si="35"/>
        <v>blue</v>
      </c>
      <c r="AY266" s="40" t="s">
        <v>688</v>
      </c>
      <c r="AZ266" s="40" t="str">
        <f t="shared" ca="1" si="36"/>
        <v>,{"type":"polyline","latLngs":[{"lat":35.424164,"lng":133.331871},{"lat":35.42404,"lng":133.33353}],"color":"blue"}</v>
      </c>
      <c r="BA266" s="40" t="s">
        <v>691</v>
      </c>
      <c r="BB266" s="56">
        <f t="shared" ca="1" si="37"/>
        <v>35.424163999999998</v>
      </c>
      <c r="BC266" s="40" t="s">
        <v>684</v>
      </c>
      <c r="BD266" s="56">
        <f t="shared" ca="1" si="38"/>
        <v>133.33187100000001</v>
      </c>
      <c r="BE266" s="40" t="s">
        <v>692</v>
      </c>
      <c r="BF266" s="40" t="str">
        <f t="shared" ca="1" si="39"/>
        <v>blue</v>
      </c>
      <c r="BG266" s="40" t="s">
        <v>688</v>
      </c>
      <c r="BH266" s="40" t="str">
        <f t="shared" ca="1" si="40"/>
        <v>,{"type":"marker","latLng":{"lat":35.424164,"lng":133.331871},"color":"blue"}</v>
      </c>
      <c r="BI266" s="40" t="s">
        <v>693</v>
      </c>
      <c r="BJ266" s="40" t="s">
        <v>694</v>
      </c>
      <c r="BK266" s="267" t="str">
        <f t="shared" ca="1" si="41"/>
        <v>,{"type":"polyline","latLngs":[{"lat":35.424164,"lng":133.331871},{"lat":35.42404,"lng":133.33353}],"color":"blue"}</v>
      </c>
    </row>
    <row r="267" spans="7:63" ht="17.5">
      <c r="G267" s="261"/>
      <c r="H267" s="262" t="s">
        <v>672</v>
      </c>
      <c r="I267" s="93" t="str">
        <f ca="1">IFERROR(__xludf.DUMMYFUNCTION("""COMPUTED_VALUE"""),"Agent23")</f>
        <v>Agent23</v>
      </c>
      <c r="J267" s="93" t="str">
        <f ca="1">IFERROR(__xludf.DUMMYFUNCTION("""COMPUTED_VALUE"""),"P221")</f>
        <v>P221</v>
      </c>
      <c r="K267" s="93" t="str">
        <f ca="1">IFERROR(__xludf.DUMMYFUNCTION("""COMPUTED_VALUE"""),"P219")</f>
        <v>P219</v>
      </c>
      <c r="L267" s="242" t="s">
        <v>681</v>
      </c>
      <c r="M267" s="263" t="str">
        <f t="shared" ca="1" si="22"/>
        <v>blue</v>
      </c>
      <c r="N267" s="264" t="str">
        <f ca="1">IFERROR(__xludf.DUMMYFUNCTION("FILTER(C:E,B:B=J267)"),"お食事小料理すえ")</f>
        <v>お食事小料理すえ</v>
      </c>
      <c r="O267" s="265">
        <f ca="1">IFERROR(__xludf.DUMMYFUNCTION("""COMPUTED_VALUE"""),35.424733)</f>
        <v>35.424733000000003</v>
      </c>
      <c r="P267" s="265">
        <f ca="1">IFERROR(__xludf.DUMMYFUNCTION("""COMPUTED_VALUE"""),133.331703)</f>
        <v>133.331703</v>
      </c>
      <c r="Q267" s="264" t="str">
        <f ca="1">IFERROR(__xludf.DUMMYFUNCTION("FILTER(C:E,B:B=K267)"),"塩町地蔵")</f>
        <v>塩町地蔵</v>
      </c>
      <c r="R267" s="265">
        <f ca="1">IFERROR(__xludf.DUMMYFUNCTION("""COMPUTED_VALUE"""),35.424164)</f>
        <v>35.424163999999998</v>
      </c>
      <c r="S267" s="265">
        <f ca="1">IFERROR(__xludf.DUMMYFUNCTION("""COMPUTED_VALUE"""),133.331871)</f>
        <v>133.33187100000001</v>
      </c>
      <c r="T267" s="264" t="str">
        <f ca="1">IFERROR(__xludf.DUMMYFUNCTION("FILTER(C:E,B:B=L267)")," ")</f>
        <v xml:space="preserve"> </v>
      </c>
      <c r="U267" s="40" t="str">
        <f ca="1">IFERROR(__xludf.DUMMYFUNCTION("""COMPUTED_VALUE""")," ")</f>
        <v xml:space="preserve"> </v>
      </c>
      <c r="V267" s="40" t="str">
        <f ca="1">IFERROR(__xludf.DUMMYFUNCTION("""COMPUTED_VALUE""")," ")</f>
        <v xml:space="preserve"> </v>
      </c>
      <c r="W267" s="40" t="str">
        <f t="shared" ca="1" si="42"/>
        <v>,</v>
      </c>
      <c r="X267" s="40" t="s">
        <v>682</v>
      </c>
      <c r="Y267" s="40" t="s">
        <v>683</v>
      </c>
      <c r="Z267" s="264">
        <f t="shared" ca="1" si="23"/>
        <v>35.424733000000003</v>
      </c>
      <c r="AA267" s="40" t="s">
        <v>684</v>
      </c>
      <c r="AB267" s="264">
        <f t="shared" ca="1" si="24"/>
        <v>133.331703</v>
      </c>
      <c r="AC267" s="40" t="s">
        <v>685</v>
      </c>
      <c r="AD267" s="264">
        <f t="shared" ca="1" si="25"/>
        <v>35.424163999999998</v>
      </c>
      <c r="AE267" s="40" t="s">
        <v>684</v>
      </c>
      <c r="AF267" s="264">
        <f t="shared" ca="1" si="26"/>
        <v>133.33187100000001</v>
      </c>
      <c r="AG267" s="40" t="s">
        <v>686</v>
      </c>
      <c r="AH267" s="264" t="str">
        <f t="shared" ca="1" si="27"/>
        <v xml:space="preserve"> </v>
      </c>
      <c r="AI267" s="40" t="s">
        <v>684</v>
      </c>
      <c r="AJ267" s="264" t="str">
        <f t="shared" ca="1" si="28"/>
        <v xml:space="preserve"> </v>
      </c>
      <c r="AK267" s="40" t="s">
        <v>687</v>
      </c>
      <c r="AL267" s="264" t="str">
        <f t="shared" ca="1" si="29"/>
        <v>blue</v>
      </c>
      <c r="AM267" s="40" t="s">
        <v>688</v>
      </c>
      <c r="AN267" s="40" t="str">
        <f t="shared" ca="1" si="30"/>
        <v>,{"type":"polygon","latLngs":[ {"lat":35.424733,"lng":133.331703}, {"lat":35.424164,"lng":133.331871},{"lat": ,"lng": }], "color":"blue"}</v>
      </c>
      <c r="AO267" s="266" t="s">
        <v>689</v>
      </c>
      <c r="AP267" s="56">
        <f t="shared" ca="1" si="31"/>
        <v>35.424733000000003</v>
      </c>
      <c r="AQ267" s="40" t="s">
        <v>684</v>
      </c>
      <c r="AR267" s="56">
        <f t="shared" ca="1" si="32"/>
        <v>133.331703</v>
      </c>
      <c r="AS267" s="40" t="s">
        <v>686</v>
      </c>
      <c r="AT267" s="56">
        <f t="shared" ca="1" si="33"/>
        <v>35.424163999999998</v>
      </c>
      <c r="AU267" s="40" t="s">
        <v>684</v>
      </c>
      <c r="AV267" s="56">
        <f t="shared" ca="1" si="34"/>
        <v>133.33187100000001</v>
      </c>
      <c r="AW267" s="40" t="s">
        <v>690</v>
      </c>
      <c r="AX267" s="40" t="str">
        <f t="shared" ca="1" si="35"/>
        <v>blue</v>
      </c>
      <c r="AY267" s="40" t="s">
        <v>688</v>
      </c>
      <c r="AZ267" s="40" t="str">
        <f t="shared" ca="1" si="36"/>
        <v>,{"type":"polyline","latLngs":[{"lat":35.424733,"lng":133.331703},{"lat":35.424164,"lng":133.331871}],"color":"blue"}</v>
      </c>
      <c r="BA267" s="40" t="s">
        <v>691</v>
      </c>
      <c r="BB267" s="56">
        <f t="shared" ca="1" si="37"/>
        <v>35.424733000000003</v>
      </c>
      <c r="BC267" s="40" t="s">
        <v>684</v>
      </c>
      <c r="BD267" s="56">
        <f t="shared" ca="1" si="38"/>
        <v>133.331703</v>
      </c>
      <c r="BE267" s="40" t="s">
        <v>692</v>
      </c>
      <c r="BF267" s="40" t="str">
        <f t="shared" ca="1" si="39"/>
        <v>blue</v>
      </c>
      <c r="BG267" s="40" t="s">
        <v>688</v>
      </c>
      <c r="BH267" s="40" t="str">
        <f t="shared" ca="1" si="40"/>
        <v>,{"type":"marker","latLng":{"lat":35.424733,"lng":133.331703},"color":"blue"}</v>
      </c>
      <c r="BI267" s="40" t="s">
        <v>693</v>
      </c>
      <c r="BJ267" s="40" t="s">
        <v>694</v>
      </c>
      <c r="BK267" s="267" t="str">
        <f t="shared" ca="1" si="41"/>
        <v>,{"type":"polyline","latLngs":[{"lat":35.424733,"lng":133.331703},{"lat":35.424164,"lng":133.331871}],"color":"blue"}</v>
      </c>
    </row>
    <row r="268" spans="7:63" ht="17.5">
      <c r="G268" s="261"/>
      <c r="H268" s="262" t="s">
        <v>672</v>
      </c>
      <c r="I268" s="93" t="str">
        <f ca="1">IFERROR(__xludf.DUMMYFUNCTION("""COMPUTED_VALUE"""),"Agent23")</f>
        <v>Agent23</v>
      </c>
      <c r="J268" s="93" t="str">
        <f ca="1">IFERROR(__xludf.DUMMYFUNCTION("""COMPUTED_VALUE"""),"P221")</f>
        <v>P221</v>
      </c>
      <c r="K268" s="93" t="str">
        <f ca="1">IFERROR(__xludf.DUMMYFUNCTION("""COMPUTED_VALUE"""),"P217")</f>
        <v>P217</v>
      </c>
      <c r="L268" s="242" t="s">
        <v>681</v>
      </c>
      <c r="M268" s="263" t="str">
        <f t="shared" ca="1" si="22"/>
        <v>blue</v>
      </c>
      <c r="N268" s="264" t="str">
        <f ca="1">IFERROR(__xludf.DUMMYFUNCTION("FILTER(C:E,B:B=J268)"),"お食事小料理すえ")</f>
        <v>お食事小料理すえ</v>
      </c>
      <c r="O268" s="265">
        <f ca="1">IFERROR(__xludf.DUMMYFUNCTION("""COMPUTED_VALUE"""),35.424733)</f>
        <v>35.424733000000003</v>
      </c>
      <c r="P268" s="265">
        <f ca="1">IFERROR(__xludf.DUMMYFUNCTION("""COMPUTED_VALUE"""),133.331703)</f>
        <v>133.331703</v>
      </c>
      <c r="Q268" s="264" t="str">
        <f ca="1">IFERROR(__xludf.DUMMYFUNCTION("FILTER(C:E,B:B=K268)"),"明治第一公園のパーゴラ休憩所")</f>
        <v>明治第一公園のパーゴラ休憩所</v>
      </c>
      <c r="R268" s="265">
        <f ca="1">IFERROR(__xludf.DUMMYFUNCTION("""COMPUTED_VALUE"""),35.42404)</f>
        <v>35.424039999999998</v>
      </c>
      <c r="S268" s="265">
        <f ca="1">IFERROR(__xludf.DUMMYFUNCTION("""COMPUTED_VALUE"""),133.33353)</f>
        <v>133.33353</v>
      </c>
      <c r="T268" s="264" t="str">
        <f ca="1">IFERROR(__xludf.DUMMYFUNCTION("FILTER(C:E,B:B=L268)")," ")</f>
        <v xml:space="preserve"> </v>
      </c>
      <c r="U268" s="40" t="str">
        <f ca="1">IFERROR(__xludf.DUMMYFUNCTION("""COMPUTED_VALUE""")," ")</f>
        <v xml:space="preserve"> </v>
      </c>
      <c r="V268" s="40" t="str">
        <f ca="1">IFERROR(__xludf.DUMMYFUNCTION("""COMPUTED_VALUE""")," ")</f>
        <v xml:space="preserve"> </v>
      </c>
      <c r="W268" s="40" t="str">
        <f t="shared" ca="1" si="42"/>
        <v>,</v>
      </c>
      <c r="X268" s="40" t="s">
        <v>682</v>
      </c>
      <c r="Y268" s="40" t="s">
        <v>683</v>
      </c>
      <c r="Z268" s="264">
        <f t="shared" ca="1" si="23"/>
        <v>35.424733000000003</v>
      </c>
      <c r="AA268" s="40" t="s">
        <v>684</v>
      </c>
      <c r="AB268" s="264">
        <f t="shared" ca="1" si="24"/>
        <v>133.331703</v>
      </c>
      <c r="AC268" s="40" t="s">
        <v>685</v>
      </c>
      <c r="AD268" s="264">
        <f t="shared" ca="1" si="25"/>
        <v>35.424039999999998</v>
      </c>
      <c r="AE268" s="40" t="s">
        <v>684</v>
      </c>
      <c r="AF268" s="264">
        <f t="shared" ca="1" si="26"/>
        <v>133.33353</v>
      </c>
      <c r="AG268" s="40" t="s">
        <v>686</v>
      </c>
      <c r="AH268" s="264" t="str">
        <f t="shared" ca="1" si="27"/>
        <v xml:space="preserve"> </v>
      </c>
      <c r="AI268" s="40" t="s">
        <v>684</v>
      </c>
      <c r="AJ268" s="264" t="str">
        <f t="shared" ca="1" si="28"/>
        <v xml:space="preserve"> </v>
      </c>
      <c r="AK268" s="40" t="s">
        <v>687</v>
      </c>
      <c r="AL268" s="264" t="str">
        <f t="shared" ca="1" si="29"/>
        <v>blue</v>
      </c>
      <c r="AM268" s="40" t="s">
        <v>688</v>
      </c>
      <c r="AN268" s="40" t="str">
        <f t="shared" ca="1" si="30"/>
        <v>,{"type":"polygon","latLngs":[ {"lat":35.424733,"lng":133.331703}, {"lat":35.42404,"lng":133.33353},{"lat": ,"lng": }], "color":"blue"}</v>
      </c>
      <c r="AO268" s="266" t="s">
        <v>689</v>
      </c>
      <c r="AP268" s="56">
        <f t="shared" ca="1" si="31"/>
        <v>35.424733000000003</v>
      </c>
      <c r="AQ268" s="40" t="s">
        <v>684</v>
      </c>
      <c r="AR268" s="56">
        <f t="shared" ca="1" si="32"/>
        <v>133.331703</v>
      </c>
      <c r="AS268" s="40" t="s">
        <v>686</v>
      </c>
      <c r="AT268" s="56">
        <f t="shared" ca="1" si="33"/>
        <v>35.424039999999998</v>
      </c>
      <c r="AU268" s="40" t="s">
        <v>684</v>
      </c>
      <c r="AV268" s="56">
        <f t="shared" ca="1" si="34"/>
        <v>133.33353</v>
      </c>
      <c r="AW268" s="40" t="s">
        <v>690</v>
      </c>
      <c r="AX268" s="40" t="str">
        <f t="shared" ca="1" si="35"/>
        <v>blue</v>
      </c>
      <c r="AY268" s="40" t="s">
        <v>688</v>
      </c>
      <c r="AZ268" s="40" t="str">
        <f t="shared" ca="1" si="36"/>
        <v>,{"type":"polyline","latLngs":[{"lat":35.424733,"lng":133.331703},{"lat":35.42404,"lng":133.33353}],"color":"blue"}</v>
      </c>
      <c r="BA268" s="40" t="s">
        <v>691</v>
      </c>
      <c r="BB268" s="56">
        <f t="shared" ca="1" si="37"/>
        <v>35.424733000000003</v>
      </c>
      <c r="BC268" s="40" t="s">
        <v>684</v>
      </c>
      <c r="BD268" s="56">
        <f t="shared" ca="1" si="38"/>
        <v>133.331703</v>
      </c>
      <c r="BE268" s="40" t="s">
        <v>692</v>
      </c>
      <c r="BF268" s="40" t="str">
        <f t="shared" ca="1" si="39"/>
        <v>blue</v>
      </c>
      <c r="BG268" s="40" t="s">
        <v>688</v>
      </c>
      <c r="BH268" s="40" t="str">
        <f t="shared" ca="1" si="40"/>
        <v>,{"type":"marker","latLng":{"lat":35.424733,"lng":133.331703},"color":"blue"}</v>
      </c>
      <c r="BI268" s="40" t="s">
        <v>693</v>
      </c>
      <c r="BJ268" s="40" t="s">
        <v>694</v>
      </c>
      <c r="BK268" s="267" t="str">
        <f t="shared" ca="1" si="41"/>
        <v>,{"type":"polyline","latLngs":[{"lat":35.424733,"lng":133.331703},{"lat":35.42404,"lng":133.33353}],"color":"blue"}</v>
      </c>
    </row>
    <row r="269" spans="7:63" ht="17.5">
      <c r="G269" s="261"/>
      <c r="H269" s="262" t="s">
        <v>672</v>
      </c>
      <c r="I269" s="93" t="str">
        <f ca="1">IFERROR(__xludf.DUMMYFUNCTION("""COMPUTED_VALUE"""),"Agent23")</f>
        <v>Agent23</v>
      </c>
      <c r="J269" s="93" t="str">
        <f ca="1">IFERROR(__xludf.DUMMYFUNCTION("""COMPUTED_VALUE"""),"P221")</f>
        <v>P221</v>
      </c>
      <c r="K269" s="93" t="str">
        <f ca="1">IFERROR(__xludf.DUMMYFUNCTION("""COMPUTED_VALUE"""),"P220")</f>
        <v>P220</v>
      </c>
      <c r="L269" s="242" t="s">
        <v>681</v>
      </c>
      <c r="M269" s="263" t="str">
        <f t="shared" ca="1" si="22"/>
        <v>blue</v>
      </c>
      <c r="N269" s="264" t="str">
        <f ca="1">IFERROR(__xludf.DUMMYFUNCTION("FILTER(C:E,B:B=J269)"),"お食事小料理すえ")</f>
        <v>お食事小料理すえ</v>
      </c>
      <c r="O269" s="265">
        <f ca="1">IFERROR(__xludf.DUMMYFUNCTION("""COMPUTED_VALUE"""),35.424733)</f>
        <v>35.424733000000003</v>
      </c>
      <c r="P269" s="265">
        <f ca="1">IFERROR(__xludf.DUMMYFUNCTION("""COMPUTED_VALUE"""),133.331703)</f>
        <v>133.331703</v>
      </c>
      <c r="Q269" s="264" t="str">
        <f ca="1">IFERROR(__xludf.DUMMYFUNCTION("FILTER(C:E,B:B=K269)"),"焼肉ホルモン だんだん")</f>
        <v>焼肉ホルモン だんだん</v>
      </c>
      <c r="R269" s="265">
        <f ca="1">IFERROR(__xludf.DUMMYFUNCTION("""COMPUTED_VALUE"""),35.424242)</f>
        <v>35.424242</v>
      </c>
      <c r="S269" s="265">
        <f ca="1">IFERROR(__xludf.DUMMYFUNCTION("""COMPUTED_VALUE"""),133.334677)</f>
        <v>133.334677</v>
      </c>
      <c r="T269" s="264" t="str">
        <f ca="1">IFERROR(__xludf.DUMMYFUNCTION("FILTER(C:E,B:B=L269)")," ")</f>
        <v xml:space="preserve"> </v>
      </c>
      <c r="U269" s="40" t="str">
        <f ca="1">IFERROR(__xludf.DUMMYFUNCTION("""COMPUTED_VALUE""")," ")</f>
        <v xml:space="preserve"> </v>
      </c>
      <c r="V269" s="40" t="str">
        <f ca="1">IFERROR(__xludf.DUMMYFUNCTION("""COMPUTED_VALUE""")," ")</f>
        <v xml:space="preserve"> </v>
      </c>
      <c r="W269" s="40" t="str">
        <f t="shared" ca="1" si="42"/>
        <v>,</v>
      </c>
      <c r="X269" s="40" t="s">
        <v>682</v>
      </c>
      <c r="Y269" s="40" t="s">
        <v>683</v>
      </c>
      <c r="Z269" s="264">
        <f t="shared" ca="1" si="23"/>
        <v>35.424733000000003</v>
      </c>
      <c r="AA269" s="40" t="s">
        <v>684</v>
      </c>
      <c r="AB269" s="264">
        <f t="shared" ca="1" si="24"/>
        <v>133.331703</v>
      </c>
      <c r="AC269" s="40" t="s">
        <v>685</v>
      </c>
      <c r="AD269" s="264">
        <f t="shared" ca="1" si="25"/>
        <v>35.424242</v>
      </c>
      <c r="AE269" s="40" t="s">
        <v>684</v>
      </c>
      <c r="AF269" s="264">
        <f t="shared" ca="1" si="26"/>
        <v>133.334677</v>
      </c>
      <c r="AG269" s="40" t="s">
        <v>686</v>
      </c>
      <c r="AH269" s="264" t="str">
        <f t="shared" ca="1" si="27"/>
        <v xml:space="preserve"> </v>
      </c>
      <c r="AI269" s="40" t="s">
        <v>684</v>
      </c>
      <c r="AJ269" s="264" t="str">
        <f t="shared" ca="1" si="28"/>
        <v xml:space="preserve"> </v>
      </c>
      <c r="AK269" s="40" t="s">
        <v>687</v>
      </c>
      <c r="AL269" s="264" t="str">
        <f t="shared" ca="1" si="29"/>
        <v>blue</v>
      </c>
      <c r="AM269" s="40" t="s">
        <v>688</v>
      </c>
      <c r="AN269" s="40" t="str">
        <f t="shared" ca="1" si="30"/>
        <v>,{"type":"polygon","latLngs":[ {"lat":35.424733,"lng":133.331703}, {"lat":35.424242,"lng":133.334677},{"lat": ,"lng": }], "color":"blue"}</v>
      </c>
      <c r="AO269" s="266" t="s">
        <v>689</v>
      </c>
      <c r="AP269" s="56">
        <f t="shared" ca="1" si="31"/>
        <v>35.424733000000003</v>
      </c>
      <c r="AQ269" s="40" t="s">
        <v>684</v>
      </c>
      <c r="AR269" s="56">
        <f t="shared" ca="1" si="32"/>
        <v>133.331703</v>
      </c>
      <c r="AS269" s="40" t="s">
        <v>686</v>
      </c>
      <c r="AT269" s="56">
        <f t="shared" ca="1" si="33"/>
        <v>35.424242</v>
      </c>
      <c r="AU269" s="40" t="s">
        <v>684</v>
      </c>
      <c r="AV269" s="56">
        <f t="shared" ca="1" si="34"/>
        <v>133.334677</v>
      </c>
      <c r="AW269" s="40" t="s">
        <v>690</v>
      </c>
      <c r="AX269" s="40" t="str">
        <f t="shared" ca="1" si="35"/>
        <v>blue</v>
      </c>
      <c r="AY269" s="40" t="s">
        <v>688</v>
      </c>
      <c r="AZ269" s="40" t="str">
        <f t="shared" ca="1" si="36"/>
        <v>,{"type":"polyline","latLngs":[{"lat":35.424733,"lng":133.331703},{"lat":35.424242,"lng":133.334677}],"color":"blue"}</v>
      </c>
      <c r="BA269" s="40" t="s">
        <v>691</v>
      </c>
      <c r="BB269" s="56">
        <f t="shared" ca="1" si="37"/>
        <v>35.424733000000003</v>
      </c>
      <c r="BC269" s="40" t="s">
        <v>684</v>
      </c>
      <c r="BD269" s="56">
        <f t="shared" ca="1" si="38"/>
        <v>133.331703</v>
      </c>
      <c r="BE269" s="40" t="s">
        <v>692</v>
      </c>
      <c r="BF269" s="40" t="str">
        <f t="shared" ca="1" si="39"/>
        <v>blue</v>
      </c>
      <c r="BG269" s="40" t="s">
        <v>688</v>
      </c>
      <c r="BH269" s="40" t="str">
        <f t="shared" ca="1" si="40"/>
        <v>,{"type":"marker","latLng":{"lat":35.424733,"lng":133.331703},"color":"blue"}</v>
      </c>
      <c r="BI269" s="40" t="s">
        <v>693</v>
      </c>
      <c r="BJ269" s="40" t="s">
        <v>694</v>
      </c>
      <c r="BK269" s="267" t="str">
        <f t="shared" ca="1" si="41"/>
        <v>,{"type":"polyline","latLngs":[{"lat":35.424733,"lng":133.331703},{"lat":35.424242,"lng":133.334677}],"color":"blue"}</v>
      </c>
    </row>
    <row r="270" spans="7:63" ht="17.5">
      <c r="G270" s="261"/>
      <c r="H270" s="262" t="s">
        <v>672</v>
      </c>
      <c r="I270" s="93" t="str">
        <f ca="1">IFERROR(__xludf.DUMMYFUNCTION("""COMPUTED_VALUE"""),"Agent23")</f>
        <v>Agent23</v>
      </c>
      <c r="J270" s="93" t="str">
        <f ca="1">IFERROR(__xludf.DUMMYFUNCTION("""COMPUTED_VALUE"""),"P223")</f>
        <v>P223</v>
      </c>
      <c r="K270" s="93" t="str">
        <f ca="1">IFERROR(__xludf.DUMMYFUNCTION("""COMPUTED_VALUE"""),"P221")</f>
        <v>P221</v>
      </c>
      <c r="L270" s="242" t="s">
        <v>681</v>
      </c>
      <c r="M270" s="263" t="str">
        <f t="shared" ca="1" si="22"/>
        <v>blue</v>
      </c>
      <c r="N270" s="264" t="str">
        <f ca="1">IFERROR(__xludf.DUMMYFUNCTION("FILTER(C:E,B:B=J270)"),"焼肉韓国料理 大力家族亭")</f>
        <v>焼肉韓国料理 大力家族亭</v>
      </c>
      <c r="O270" s="265">
        <f ca="1">IFERROR(__xludf.DUMMYFUNCTION("""COMPUTED_VALUE"""),35.42498)</f>
        <v>35.424979999999998</v>
      </c>
      <c r="P270" s="265">
        <f ca="1">IFERROR(__xludf.DUMMYFUNCTION("""COMPUTED_VALUE"""),133.330266)</f>
        <v>133.33026599999999</v>
      </c>
      <c r="Q270" s="264" t="str">
        <f ca="1">IFERROR(__xludf.DUMMYFUNCTION("FILTER(C:E,B:B=K270)"),"お食事小料理すえ")</f>
        <v>お食事小料理すえ</v>
      </c>
      <c r="R270" s="265">
        <f ca="1">IFERROR(__xludf.DUMMYFUNCTION("""COMPUTED_VALUE"""),35.424733)</f>
        <v>35.424733000000003</v>
      </c>
      <c r="S270" s="265">
        <f ca="1">IFERROR(__xludf.DUMMYFUNCTION("""COMPUTED_VALUE"""),133.331703)</f>
        <v>133.331703</v>
      </c>
      <c r="T270" s="264" t="str">
        <f ca="1">IFERROR(__xludf.DUMMYFUNCTION("FILTER(C:E,B:B=L270)")," ")</f>
        <v xml:space="preserve"> </v>
      </c>
      <c r="U270" s="40" t="str">
        <f ca="1">IFERROR(__xludf.DUMMYFUNCTION("""COMPUTED_VALUE""")," ")</f>
        <v xml:space="preserve"> </v>
      </c>
      <c r="V270" s="40" t="str">
        <f ca="1">IFERROR(__xludf.DUMMYFUNCTION("""COMPUTED_VALUE""")," ")</f>
        <v xml:space="preserve"> </v>
      </c>
      <c r="W270" s="40" t="str">
        <f t="shared" ca="1" si="42"/>
        <v>,</v>
      </c>
      <c r="X270" s="40" t="s">
        <v>682</v>
      </c>
      <c r="Y270" s="40" t="s">
        <v>683</v>
      </c>
      <c r="Z270" s="264">
        <f t="shared" ca="1" si="23"/>
        <v>35.424979999999998</v>
      </c>
      <c r="AA270" s="40" t="s">
        <v>684</v>
      </c>
      <c r="AB270" s="264">
        <f t="shared" ca="1" si="24"/>
        <v>133.33026599999999</v>
      </c>
      <c r="AC270" s="40" t="s">
        <v>685</v>
      </c>
      <c r="AD270" s="264">
        <f t="shared" ca="1" si="25"/>
        <v>35.424733000000003</v>
      </c>
      <c r="AE270" s="40" t="s">
        <v>684</v>
      </c>
      <c r="AF270" s="264">
        <f t="shared" ca="1" si="26"/>
        <v>133.331703</v>
      </c>
      <c r="AG270" s="40" t="s">
        <v>686</v>
      </c>
      <c r="AH270" s="264" t="str">
        <f t="shared" ca="1" si="27"/>
        <v xml:space="preserve"> </v>
      </c>
      <c r="AI270" s="40" t="s">
        <v>684</v>
      </c>
      <c r="AJ270" s="264" t="str">
        <f t="shared" ca="1" si="28"/>
        <v xml:space="preserve"> </v>
      </c>
      <c r="AK270" s="40" t="s">
        <v>687</v>
      </c>
      <c r="AL270" s="264" t="str">
        <f t="shared" ca="1" si="29"/>
        <v>blue</v>
      </c>
      <c r="AM270" s="40" t="s">
        <v>688</v>
      </c>
      <c r="AN270" s="40" t="str">
        <f t="shared" ca="1" si="30"/>
        <v>,{"type":"polygon","latLngs":[ {"lat":35.42498,"lng":133.330266}, {"lat":35.424733,"lng":133.331703},{"lat": ,"lng": }], "color":"blue"}</v>
      </c>
      <c r="AO270" s="266" t="s">
        <v>689</v>
      </c>
      <c r="AP270" s="56">
        <f t="shared" ca="1" si="31"/>
        <v>35.424979999999998</v>
      </c>
      <c r="AQ270" s="40" t="s">
        <v>684</v>
      </c>
      <c r="AR270" s="56">
        <f t="shared" ca="1" si="32"/>
        <v>133.33026599999999</v>
      </c>
      <c r="AS270" s="40" t="s">
        <v>686</v>
      </c>
      <c r="AT270" s="56">
        <f t="shared" ca="1" si="33"/>
        <v>35.424733000000003</v>
      </c>
      <c r="AU270" s="40" t="s">
        <v>684</v>
      </c>
      <c r="AV270" s="56">
        <f t="shared" ca="1" si="34"/>
        <v>133.331703</v>
      </c>
      <c r="AW270" s="40" t="s">
        <v>690</v>
      </c>
      <c r="AX270" s="40" t="str">
        <f t="shared" ca="1" si="35"/>
        <v>blue</v>
      </c>
      <c r="AY270" s="40" t="s">
        <v>688</v>
      </c>
      <c r="AZ270" s="40" t="str">
        <f t="shared" ca="1" si="36"/>
        <v>,{"type":"polyline","latLngs":[{"lat":35.42498,"lng":133.330266},{"lat":35.424733,"lng":133.331703}],"color":"blue"}</v>
      </c>
      <c r="BA270" s="40" t="s">
        <v>691</v>
      </c>
      <c r="BB270" s="56">
        <f t="shared" ca="1" si="37"/>
        <v>35.424979999999998</v>
      </c>
      <c r="BC270" s="40" t="s">
        <v>684</v>
      </c>
      <c r="BD270" s="56">
        <f t="shared" ca="1" si="38"/>
        <v>133.33026599999999</v>
      </c>
      <c r="BE270" s="40" t="s">
        <v>692</v>
      </c>
      <c r="BF270" s="40" t="str">
        <f t="shared" ca="1" si="39"/>
        <v>blue</v>
      </c>
      <c r="BG270" s="40" t="s">
        <v>688</v>
      </c>
      <c r="BH270" s="40" t="str">
        <f t="shared" ca="1" si="40"/>
        <v>,{"type":"marker","latLng":{"lat":35.42498,"lng":133.330266},"color":"blue"}</v>
      </c>
      <c r="BI270" s="40" t="s">
        <v>693</v>
      </c>
      <c r="BJ270" s="40" t="s">
        <v>694</v>
      </c>
      <c r="BK270" s="267" t="str">
        <f t="shared" ca="1" si="41"/>
        <v>,{"type":"polyline","latLngs":[{"lat":35.42498,"lng":133.330266},{"lat":35.424733,"lng":133.331703}],"color":"blue"}</v>
      </c>
    </row>
    <row r="271" spans="7:63" ht="17.5">
      <c r="G271" s="261"/>
      <c r="H271" s="262" t="s">
        <v>672</v>
      </c>
      <c r="I271" s="93" t="str">
        <f ca="1">IFERROR(__xludf.DUMMYFUNCTION("""COMPUTED_VALUE"""),"Agent23")</f>
        <v>Agent23</v>
      </c>
      <c r="J271" s="93" t="str">
        <f ca="1">IFERROR(__xludf.DUMMYFUNCTION("""COMPUTED_VALUE"""),"P223")</f>
        <v>P223</v>
      </c>
      <c r="K271" s="93" t="str">
        <f ca="1">IFERROR(__xludf.DUMMYFUNCTION("""COMPUTED_VALUE"""),"P219")</f>
        <v>P219</v>
      </c>
      <c r="L271" s="242" t="s">
        <v>681</v>
      </c>
      <c r="M271" s="263" t="str">
        <f t="shared" ca="1" si="22"/>
        <v>blue</v>
      </c>
      <c r="N271" s="264" t="str">
        <f ca="1">IFERROR(__xludf.DUMMYFUNCTION("FILTER(C:E,B:B=J271)"),"焼肉韓国料理 大力家族亭")</f>
        <v>焼肉韓国料理 大力家族亭</v>
      </c>
      <c r="O271" s="265">
        <f ca="1">IFERROR(__xludf.DUMMYFUNCTION("""COMPUTED_VALUE"""),35.42498)</f>
        <v>35.424979999999998</v>
      </c>
      <c r="P271" s="265">
        <f ca="1">IFERROR(__xludf.DUMMYFUNCTION("""COMPUTED_VALUE"""),133.330266)</f>
        <v>133.33026599999999</v>
      </c>
      <c r="Q271" s="264" t="str">
        <f ca="1">IFERROR(__xludf.DUMMYFUNCTION("FILTER(C:E,B:B=K271)"),"塩町地蔵")</f>
        <v>塩町地蔵</v>
      </c>
      <c r="R271" s="265">
        <f ca="1">IFERROR(__xludf.DUMMYFUNCTION("""COMPUTED_VALUE"""),35.424164)</f>
        <v>35.424163999999998</v>
      </c>
      <c r="S271" s="265">
        <f ca="1">IFERROR(__xludf.DUMMYFUNCTION("""COMPUTED_VALUE"""),133.331871)</f>
        <v>133.33187100000001</v>
      </c>
      <c r="T271" s="264" t="str">
        <f ca="1">IFERROR(__xludf.DUMMYFUNCTION("FILTER(C:E,B:B=L271)")," ")</f>
        <v xml:space="preserve"> </v>
      </c>
      <c r="U271" s="40" t="str">
        <f ca="1">IFERROR(__xludf.DUMMYFUNCTION("""COMPUTED_VALUE""")," ")</f>
        <v xml:space="preserve"> </v>
      </c>
      <c r="V271" s="40" t="str">
        <f ca="1">IFERROR(__xludf.DUMMYFUNCTION("""COMPUTED_VALUE""")," ")</f>
        <v xml:space="preserve"> </v>
      </c>
      <c r="W271" s="40" t="str">
        <f t="shared" ca="1" si="42"/>
        <v>,</v>
      </c>
      <c r="X271" s="40" t="s">
        <v>682</v>
      </c>
      <c r="Y271" s="40" t="s">
        <v>683</v>
      </c>
      <c r="Z271" s="264">
        <f t="shared" ca="1" si="23"/>
        <v>35.424979999999998</v>
      </c>
      <c r="AA271" s="40" t="s">
        <v>684</v>
      </c>
      <c r="AB271" s="264">
        <f t="shared" ca="1" si="24"/>
        <v>133.33026599999999</v>
      </c>
      <c r="AC271" s="40" t="s">
        <v>685</v>
      </c>
      <c r="AD271" s="264">
        <f t="shared" ca="1" si="25"/>
        <v>35.424163999999998</v>
      </c>
      <c r="AE271" s="40" t="s">
        <v>684</v>
      </c>
      <c r="AF271" s="264">
        <f t="shared" ca="1" si="26"/>
        <v>133.33187100000001</v>
      </c>
      <c r="AG271" s="40" t="s">
        <v>686</v>
      </c>
      <c r="AH271" s="264" t="str">
        <f t="shared" ca="1" si="27"/>
        <v xml:space="preserve"> </v>
      </c>
      <c r="AI271" s="40" t="s">
        <v>684</v>
      </c>
      <c r="AJ271" s="264" t="str">
        <f t="shared" ca="1" si="28"/>
        <v xml:space="preserve"> </v>
      </c>
      <c r="AK271" s="40" t="s">
        <v>687</v>
      </c>
      <c r="AL271" s="264" t="str">
        <f t="shared" ca="1" si="29"/>
        <v>blue</v>
      </c>
      <c r="AM271" s="40" t="s">
        <v>688</v>
      </c>
      <c r="AN271" s="40" t="str">
        <f t="shared" ca="1" si="30"/>
        <v>,{"type":"polygon","latLngs":[ {"lat":35.42498,"lng":133.330266}, {"lat":35.424164,"lng":133.331871},{"lat": ,"lng": }], "color":"blue"}</v>
      </c>
      <c r="AO271" s="266" t="s">
        <v>689</v>
      </c>
      <c r="AP271" s="56">
        <f t="shared" ca="1" si="31"/>
        <v>35.424979999999998</v>
      </c>
      <c r="AQ271" s="40" t="s">
        <v>684</v>
      </c>
      <c r="AR271" s="56">
        <f t="shared" ca="1" si="32"/>
        <v>133.33026599999999</v>
      </c>
      <c r="AS271" s="40" t="s">
        <v>686</v>
      </c>
      <c r="AT271" s="56">
        <f t="shared" ca="1" si="33"/>
        <v>35.424163999999998</v>
      </c>
      <c r="AU271" s="40" t="s">
        <v>684</v>
      </c>
      <c r="AV271" s="56">
        <f t="shared" ca="1" si="34"/>
        <v>133.33187100000001</v>
      </c>
      <c r="AW271" s="40" t="s">
        <v>690</v>
      </c>
      <c r="AX271" s="40" t="str">
        <f t="shared" ca="1" si="35"/>
        <v>blue</v>
      </c>
      <c r="AY271" s="40" t="s">
        <v>688</v>
      </c>
      <c r="AZ271" s="40" t="str">
        <f t="shared" ca="1" si="36"/>
        <v>,{"type":"polyline","latLngs":[{"lat":35.42498,"lng":133.330266},{"lat":35.424164,"lng":133.331871}],"color":"blue"}</v>
      </c>
      <c r="BA271" s="40" t="s">
        <v>691</v>
      </c>
      <c r="BB271" s="56">
        <f t="shared" ca="1" si="37"/>
        <v>35.424979999999998</v>
      </c>
      <c r="BC271" s="40" t="s">
        <v>684</v>
      </c>
      <c r="BD271" s="56">
        <f t="shared" ca="1" si="38"/>
        <v>133.33026599999999</v>
      </c>
      <c r="BE271" s="40" t="s">
        <v>692</v>
      </c>
      <c r="BF271" s="40" t="str">
        <f t="shared" ca="1" si="39"/>
        <v>blue</v>
      </c>
      <c r="BG271" s="40" t="s">
        <v>688</v>
      </c>
      <c r="BH271" s="40" t="str">
        <f t="shared" ca="1" si="40"/>
        <v>,{"type":"marker","latLng":{"lat":35.42498,"lng":133.330266},"color":"blue"}</v>
      </c>
      <c r="BI271" s="40" t="s">
        <v>693</v>
      </c>
      <c r="BJ271" s="40" t="s">
        <v>694</v>
      </c>
      <c r="BK271" s="267" t="str">
        <f t="shared" ca="1" si="41"/>
        <v>,{"type":"polyline","latLngs":[{"lat":35.42498,"lng":133.330266},{"lat":35.424164,"lng":133.331871}],"color":"blue"}</v>
      </c>
    </row>
    <row r="272" spans="7:63" ht="17.5">
      <c r="G272" s="261"/>
      <c r="H272" s="262" t="s">
        <v>672</v>
      </c>
      <c r="I272" s="93" t="str">
        <f ca="1">IFERROR(__xludf.DUMMYFUNCTION("""COMPUTED_VALUE"""),"Agent31")</f>
        <v>Agent31</v>
      </c>
      <c r="J272" s="93" t="str">
        <f ca="1">IFERROR(__xludf.DUMMYFUNCTION("""COMPUTED_VALUE"""),"P305")</f>
        <v>P305</v>
      </c>
      <c r="K272" s="93" t="str">
        <f ca="1">IFERROR(__xludf.DUMMYFUNCTION("""COMPUTED_VALUE"""),"P304")</f>
        <v>P304</v>
      </c>
      <c r="L272" s="242" t="s">
        <v>681</v>
      </c>
      <c r="M272" s="263" t="str">
        <f t="shared" ca="1" si="22"/>
        <v>navy</v>
      </c>
      <c r="N272" s="264" t="str">
        <f ca="1">IFERROR(__xludf.DUMMYFUNCTION("FILTER(C:E,B:B=J272)"),"イルカ")</f>
        <v>イルカ</v>
      </c>
      <c r="O272" s="265">
        <f ca="1">IFERROR(__xludf.DUMMYFUNCTION("""COMPUTED_VALUE"""),35.429056)</f>
        <v>35.429056000000003</v>
      </c>
      <c r="P272" s="265">
        <f ca="1">IFERROR(__xludf.DUMMYFUNCTION("""COMPUTED_VALUE"""),133.34528)</f>
        <v>133.34528</v>
      </c>
      <c r="Q272" s="264" t="str">
        <f ca="1">IFERROR(__xludf.DUMMYFUNCTION("FILTER(C:E,B:B=K272)"),"犬の像")</f>
        <v>犬の像</v>
      </c>
      <c r="R272" s="265">
        <f ca="1">IFERROR(__xludf.DUMMYFUNCTION("""COMPUTED_VALUE"""),35.42879)</f>
        <v>35.428789999999999</v>
      </c>
      <c r="S272" s="265">
        <f ca="1">IFERROR(__xludf.DUMMYFUNCTION("""COMPUTED_VALUE"""),133.345732)</f>
        <v>133.345732</v>
      </c>
      <c r="T272" s="264" t="str">
        <f ca="1">IFERROR(__xludf.DUMMYFUNCTION("FILTER(C:E,B:B=L272)")," ")</f>
        <v xml:space="preserve"> </v>
      </c>
      <c r="U272" s="40" t="str">
        <f ca="1">IFERROR(__xludf.DUMMYFUNCTION("""COMPUTED_VALUE""")," ")</f>
        <v xml:space="preserve"> </v>
      </c>
      <c r="V272" s="40" t="str">
        <f ca="1">IFERROR(__xludf.DUMMYFUNCTION("""COMPUTED_VALUE""")," ")</f>
        <v xml:space="preserve"> </v>
      </c>
      <c r="W272" s="40" t="str">
        <f t="shared" ca="1" si="42"/>
        <v>,</v>
      </c>
      <c r="X272" s="40" t="s">
        <v>682</v>
      </c>
      <c r="Y272" s="40" t="s">
        <v>683</v>
      </c>
      <c r="Z272" s="264">
        <f t="shared" ca="1" si="23"/>
        <v>35.429056000000003</v>
      </c>
      <c r="AA272" s="40" t="s">
        <v>684</v>
      </c>
      <c r="AB272" s="264">
        <f t="shared" ca="1" si="24"/>
        <v>133.34528</v>
      </c>
      <c r="AC272" s="40" t="s">
        <v>685</v>
      </c>
      <c r="AD272" s="264">
        <f t="shared" ca="1" si="25"/>
        <v>35.428789999999999</v>
      </c>
      <c r="AE272" s="40" t="s">
        <v>684</v>
      </c>
      <c r="AF272" s="264">
        <f t="shared" ca="1" si="26"/>
        <v>133.345732</v>
      </c>
      <c r="AG272" s="40" t="s">
        <v>686</v>
      </c>
      <c r="AH272" s="264" t="str">
        <f t="shared" ca="1" si="27"/>
        <v xml:space="preserve"> </v>
      </c>
      <c r="AI272" s="40" t="s">
        <v>684</v>
      </c>
      <c r="AJ272" s="264" t="str">
        <f t="shared" ca="1" si="28"/>
        <v xml:space="preserve"> </v>
      </c>
      <c r="AK272" s="40" t="s">
        <v>687</v>
      </c>
      <c r="AL272" s="264" t="str">
        <f t="shared" ca="1" si="29"/>
        <v>navy</v>
      </c>
      <c r="AM272" s="40" t="s">
        <v>688</v>
      </c>
      <c r="AN272" s="40" t="str">
        <f t="shared" ca="1" si="30"/>
        <v>,{"type":"polygon","latLngs":[ {"lat":35.429056,"lng":133.34528}, {"lat":35.42879,"lng":133.345732},{"lat": ,"lng": }], "color":"navy"}</v>
      </c>
      <c r="AO272" s="266" t="s">
        <v>689</v>
      </c>
      <c r="AP272" s="56">
        <f t="shared" ca="1" si="31"/>
        <v>35.429056000000003</v>
      </c>
      <c r="AQ272" s="40" t="s">
        <v>684</v>
      </c>
      <c r="AR272" s="56">
        <f t="shared" ca="1" si="32"/>
        <v>133.34528</v>
      </c>
      <c r="AS272" s="40" t="s">
        <v>686</v>
      </c>
      <c r="AT272" s="56">
        <f t="shared" ca="1" si="33"/>
        <v>35.428789999999999</v>
      </c>
      <c r="AU272" s="40" t="s">
        <v>684</v>
      </c>
      <c r="AV272" s="56">
        <f t="shared" ca="1" si="34"/>
        <v>133.345732</v>
      </c>
      <c r="AW272" s="40" t="s">
        <v>690</v>
      </c>
      <c r="AX272" s="40" t="str">
        <f t="shared" ca="1" si="35"/>
        <v>navy</v>
      </c>
      <c r="AY272" s="40" t="s">
        <v>688</v>
      </c>
      <c r="AZ272" s="40" t="str">
        <f t="shared" ca="1" si="36"/>
        <v>,{"type":"polyline","latLngs":[{"lat":35.429056,"lng":133.34528},{"lat":35.42879,"lng":133.345732}],"color":"navy"}</v>
      </c>
      <c r="BA272" s="40" t="s">
        <v>691</v>
      </c>
      <c r="BB272" s="56">
        <f t="shared" ca="1" si="37"/>
        <v>35.429056000000003</v>
      </c>
      <c r="BC272" s="40" t="s">
        <v>684</v>
      </c>
      <c r="BD272" s="56">
        <f t="shared" ca="1" si="38"/>
        <v>133.34528</v>
      </c>
      <c r="BE272" s="40" t="s">
        <v>692</v>
      </c>
      <c r="BF272" s="40" t="str">
        <f t="shared" ca="1" si="39"/>
        <v>navy</v>
      </c>
      <c r="BG272" s="40" t="s">
        <v>688</v>
      </c>
      <c r="BH272" s="40" t="str">
        <f t="shared" ca="1" si="40"/>
        <v>,{"type":"marker","latLng":{"lat":35.429056,"lng":133.34528},"color":"navy"}</v>
      </c>
      <c r="BI272" s="40" t="s">
        <v>693</v>
      </c>
      <c r="BJ272" s="40" t="s">
        <v>694</v>
      </c>
      <c r="BK272" s="267" t="str">
        <f t="shared" ca="1" si="41"/>
        <v>,{"type":"polyline","latLngs":[{"lat":35.429056,"lng":133.34528},{"lat":35.42879,"lng":133.345732}],"color":"navy"}</v>
      </c>
    </row>
    <row r="273" spans="7:63" ht="17.5">
      <c r="G273" s="261"/>
      <c r="H273" s="262" t="s">
        <v>672</v>
      </c>
      <c r="I273" s="93" t="str">
        <f ca="1">IFERROR(__xludf.DUMMYFUNCTION("""COMPUTED_VALUE"""),"Agent31")</f>
        <v>Agent31</v>
      </c>
      <c r="J273" s="93" t="str">
        <f ca="1">IFERROR(__xludf.DUMMYFUNCTION("""COMPUTED_VALUE"""),"P308")</f>
        <v>P308</v>
      </c>
      <c r="K273" s="93" t="str">
        <f ca="1">IFERROR(__xludf.DUMMYFUNCTION("""COMPUTED_VALUE"""),"P314")</f>
        <v>P314</v>
      </c>
      <c r="L273" s="242" t="s">
        <v>681</v>
      </c>
      <c r="M273" s="263" t="str">
        <f t="shared" ca="1" si="22"/>
        <v>navy</v>
      </c>
      <c r="N273" s="264" t="str">
        <f ca="1">IFERROR(__xludf.DUMMYFUNCTION("FILTER(C:E,B:B=J273)"),"どらドラパーク米子案内図")</f>
        <v>どらドラパーク米子案内図</v>
      </c>
      <c r="O273" s="265">
        <f ca="1">IFERROR(__xludf.DUMMYFUNCTION("""COMPUTED_VALUE"""),35.429874)</f>
        <v>35.429873999999998</v>
      </c>
      <c r="P273" s="265">
        <f ca="1">IFERROR(__xludf.DUMMYFUNCTION("""COMPUTED_VALUE"""),133.345931)</f>
        <v>133.34593100000001</v>
      </c>
      <c r="Q273" s="264" t="str">
        <f ca="1">IFERROR(__xludf.DUMMYFUNCTION("FILTER(C:E,B:B=K273)"),"勝田東会館")</f>
        <v>勝田東会館</v>
      </c>
      <c r="R273" s="265">
        <f ca="1">IFERROR(__xludf.DUMMYFUNCTION("""COMPUTED_VALUE"""),35.431971)</f>
        <v>35.431970999999997</v>
      </c>
      <c r="S273" s="265">
        <f ca="1">IFERROR(__xludf.DUMMYFUNCTION("""COMPUTED_VALUE"""),133.347676)</f>
        <v>133.34767600000001</v>
      </c>
      <c r="T273" s="264" t="str">
        <f ca="1">IFERROR(__xludf.DUMMYFUNCTION("FILTER(C:E,B:B=L273)")," ")</f>
        <v xml:space="preserve"> </v>
      </c>
      <c r="U273" s="40" t="str">
        <f ca="1">IFERROR(__xludf.DUMMYFUNCTION("""COMPUTED_VALUE""")," ")</f>
        <v xml:space="preserve"> </v>
      </c>
      <c r="V273" s="40" t="str">
        <f ca="1">IFERROR(__xludf.DUMMYFUNCTION("""COMPUTED_VALUE""")," ")</f>
        <v xml:space="preserve"> </v>
      </c>
      <c r="W273" s="40" t="str">
        <f t="shared" ca="1" si="42"/>
        <v>,</v>
      </c>
      <c r="X273" s="40" t="s">
        <v>682</v>
      </c>
      <c r="Y273" s="40" t="s">
        <v>683</v>
      </c>
      <c r="Z273" s="264">
        <f t="shared" ca="1" si="23"/>
        <v>35.429873999999998</v>
      </c>
      <c r="AA273" s="40" t="s">
        <v>684</v>
      </c>
      <c r="AB273" s="264">
        <f t="shared" ca="1" si="24"/>
        <v>133.34593100000001</v>
      </c>
      <c r="AC273" s="40" t="s">
        <v>685</v>
      </c>
      <c r="AD273" s="264">
        <f t="shared" ca="1" si="25"/>
        <v>35.431970999999997</v>
      </c>
      <c r="AE273" s="40" t="s">
        <v>684</v>
      </c>
      <c r="AF273" s="264">
        <f t="shared" ca="1" si="26"/>
        <v>133.34767600000001</v>
      </c>
      <c r="AG273" s="40" t="s">
        <v>686</v>
      </c>
      <c r="AH273" s="264" t="str">
        <f t="shared" ca="1" si="27"/>
        <v xml:space="preserve"> </v>
      </c>
      <c r="AI273" s="40" t="s">
        <v>684</v>
      </c>
      <c r="AJ273" s="264" t="str">
        <f t="shared" ca="1" si="28"/>
        <v xml:space="preserve"> </v>
      </c>
      <c r="AK273" s="40" t="s">
        <v>687</v>
      </c>
      <c r="AL273" s="264" t="str">
        <f t="shared" ca="1" si="29"/>
        <v>navy</v>
      </c>
      <c r="AM273" s="40" t="s">
        <v>688</v>
      </c>
      <c r="AN273" s="40" t="str">
        <f t="shared" ca="1" si="30"/>
        <v>,{"type":"polygon","latLngs":[ {"lat":35.429874,"lng":133.345931}, {"lat":35.431971,"lng":133.347676},{"lat": ,"lng": }], "color":"navy"}</v>
      </c>
      <c r="AO273" s="266" t="s">
        <v>689</v>
      </c>
      <c r="AP273" s="56">
        <f t="shared" ca="1" si="31"/>
        <v>35.429873999999998</v>
      </c>
      <c r="AQ273" s="40" t="s">
        <v>684</v>
      </c>
      <c r="AR273" s="56">
        <f t="shared" ca="1" si="32"/>
        <v>133.34593100000001</v>
      </c>
      <c r="AS273" s="40" t="s">
        <v>686</v>
      </c>
      <c r="AT273" s="56">
        <f t="shared" ca="1" si="33"/>
        <v>35.431970999999997</v>
      </c>
      <c r="AU273" s="40" t="s">
        <v>684</v>
      </c>
      <c r="AV273" s="56">
        <f t="shared" ca="1" si="34"/>
        <v>133.34767600000001</v>
      </c>
      <c r="AW273" s="40" t="s">
        <v>690</v>
      </c>
      <c r="AX273" s="40" t="str">
        <f t="shared" ca="1" si="35"/>
        <v>navy</v>
      </c>
      <c r="AY273" s="40" t="s">
        <v>688</v>
      </c>
      <c r="AZ273" s="40" t="str">
        <f t="shared" ca="1" si="36"/>
        <v>,{"type":"polyline","latLngs":[{"lat":35.429874,"lng":133.345931},{"lat":35.431971,"lng":133.347676}],"color":"navy"}</v>
      </c>
      <c r="BA273" s="40" t="s">
        <v>691</v>
      </c>
      <c r="BB273" s="56">
        <f t="shared" ca="1" si="37"/>
        <v>35.429873999999998</v>
      </c>
      <c r="BC273" s="40" t="s">
        <v>684</v>
      </c>
      <c r="BD273" s="56">
        <f t="shared" ca="1" si="38"/>
        <v>133.34593100000001</v>
      </c>
      <c r="BE273" s="40" t="s">
        <v>692</v>
      </c>
      <c r="BF273" s="40" t="str">
        <f t="shared" ca="1" si="39"/>
        <v>navy</v>
      </c>
      <c r="BG273" s="40" t="s">
        <v>688</v>
      </c>
      <c r="BH273" s="40" t="str">
        <f t="shared" ca="1" si="40"/>
        <v>,{"type":"marker","latLng":{"lat":35.429874,"lng":133.345931},"color":"navy"}</v>
      </c>
      <c r="BI273" s="40" t="s">
        <v>693</v>
      </c>
      <c r="BJ273" s="40" t="s">
        <v>694</v>
      </c>
      <c r="BK273" s="267" t="str">
        <f t="shared" ca="1" si="41"/>
        <v>,{"type":"polyline","latLngs":[{"lat":35.429874,"lng":133.345931},{"lat":35.431971,"lng":133.347676}],"color":"navy"}</v>
      </c>
    </row>
    <row r="274" spans="7:63" ht="17.5">
      <c r="G274" s="261"/>
      <c r="H274" s="262" t="s">
        <v>672</v>
      </c>
      <c r="I274" s="93" t="str">
        <f ca="1">IFERROR(__xludf.DUMMYFUNCTION("""COMPUTED_VALUE"""),"Agent31")</f>
        <v>Agent31</v>
      </c>
      <c r="J274" s="93" t="str">
        <f ca="1">IFERROR(__xludf.DUMMYFUNCTION("""COMPUTED_VALUE"""),"P310")</f>
        <v>P310</v>
      </c>
      <c r="K274" s="93" t="str">
        <f ca="1">IFERROR(__xludf.DUMMYFUNCTION("""COMPUTED_VALUE"""),"P308")</f>
        <v>P308</v>
      </c>
      <c r="L274" s="242" t="s">
        <v>681</v>
      </c>
      <c r="M274" s="263" t="str">
        <f t="shared" ca="1" si="22"/>
        <v>navy</v>
      </c>
      <c r="N274" s="264" t="str">
        <f ca="1">IFERROR(__xludf.DUMMYFUNCTION("FILTER(C:E,B:B=J274)"),"風")</f>
        <v>風</v>
      </c>
      <c r="O274" s="265">
        <f ca="1">IFERROR(__xludf.DUMMYFUNCTION("""COMPUTED_VALUE"""),35.430419)</f>
        <v>35.430419000000001</v>
      </c>
      <c r="P274" s="265">
        <f ca="1">IFERROR(__xludf.DUMMYFUNCTION("""COMPUTED_VALUE"""),133.346779)</f>
        <v>133.346779</v>
      </c>
      <c r="Q274" s="264" t="str">
        <f ca="1">IFERROR(__xludf.DUMMYFUNCTION("FILTER(C:E,B:B=K274)"),"どらドラパーク米子案内図")</f>
        <v>どらドラパーク米子案内図</v>
      </c>
      <c r="R274" s="265">
        <f ca="1">IFERROR(__xludf.DUMMYFUNCTION("""COMPUTED_VALUE"""),35.429874)</f>
        <v>35.429873999999998</v>
      </c>
      <c r="S274" s="265">
        <f ca="1">IFERROR(__xludf.DUMMYFUNCTION("""COMPUTED_VALUE"""),133.345931)</f>
        <v>133.34593100000001</v>
      </c>
      <c r="T274" s="264" t="str">
        <f ca="1">IFERROR(__xludf.DUMMYFUNCTION("FILTER(C:E,B:B=L274)")," ")</f>
        <v xml:space="preserve"> </v>
      </c>
      <c r="U274" s="40" t="str">
        <f ca="1">IFERROR(__xludf.DUMMYFUNCTION("""COMPUTED_VALUE""")," ")</f>
        <v xml:space="preserve"> </v>
      </c>
      <c r="V274" s="40" t="str">
        <f ca="1">IFERROR(__xludf.DUMMYFUNCTION("""COMPUTED_VALUE""")," ")</f>
        <v xml:space="preserve"> </v>
      </c>
      <c r="W274" s="40" t="str">
        <f t="shared" ca="1" si="42"/>
        <v>,</v>
      </c>
      <c r="X274" s="40" t="s">
        <v>682</v>
      </c>
      <c r="Y274" s="40" t="s">
        <v>683</v>
      </c>
      <c r="Z274" s="264">
        <f t="shared" ca="1" si="23"/>
        <v>35.430419000000001</v>
      </c>
      <c r="AA274" s="40" t="s">
        <v>684</v>
      </c>
      <c r="AB274" s="264">
        <f t="shared" ca="1" si="24"/>
        <v>133.346779</v>
      </c>
      <c r="AC274" s="40" t="s">
        <v>685</v>
      </c>
      <c r="AD274" s="264">
        <f t="shared" ca="1" si="25"/>
        <v>35.429873999999998</v>
      </c>
      <c r="AE274" s="40" t="s">
        <v>684</v>
      </c>
      <c r="AF274" s="264">
        <f t="shared" ca="1" si="26"/>
        <v>133.34593100000001</v>
      </c>
      <c r="AG274" s="40" t="s">
        <v>686</v>
      </c>
      <c r="AH274" s="264" t="str">
        <f t="shared" ca="1" si="27"/>
        <v xml:space="preserve"> </v>
      </c>
      <c r="AI274" s="40" t="s">
        <v>684</v>
      </c>
      <c r="AJ274" s="264" t="str">
        <f t="shared" ca="1" si="28"/>
        <v xml:space="preserve"> </v>
      </c>
      <c r="AK274" s="40" t="s">
        <v>687</v>
      </c>
      <c r="AL274" s="264" t="str">
        <f t="shared" ca="1" si="29"/>
        <v>navy</v>
      </c>
      <c r="AM274" s="40" t="s">
        <v>688</v>
      </c>
      <c r="AN274" s="40" t="str">
        <f t="shared" ca="1" si="30"/>
        <v>,{"type":"polygon","latLngs":[ {"lat":35.430419,"lng":133.346779}, {"lat":35.429874,"lng":133.345931},{"lat": ,"lng": }], "color":"navy"}</v>
      </c>
      <c r="AO274" s="266" t="s">
        <v>689</v>
      </c>
      <c r="AP274" s="56">
        <f t="shared" ca="1" si="31"/>
        <v>35.430419000000001</v>
      </c>
      <c r="AQ274" s="40" t="s">
        <v>684</v>
      </c>
      <c r="AR274" s="56">
        <f t="shared" ca="1" si="32"/>
        <v>133.346779</v>
      </c>
      <c r="AS274" s="40" t="s">
        <v>686</v>
      </c>
      <c r="AT274" s="56">
        <f t="shared" ca="1" si="33"/>
        <v>35.429873999999998</v>
      </c>
      <c r="AU274" s="40" t="s">
        <v>684</v>
      </c>
      <c r="AV274" s="56">
        <f t="shared" ca="1" si="34"/>
        <v>133.34593100000001</v>
      </c>
      <c r="AW274" s="40" t="s">
        <v>690</v>
      </c>
      <c r="AX274" s="40" t="str">
        <f t="shared" ca="1" si="35"/>
        <v>navy</v>
      </c>
      <c r="AY274" s="40" t="s">
        <v>688</v>
      </c>
      <c r="AZ274" s="40" t="str">
        <f t="shared" ca="1" si="36"/>
        <v>,{"type":"polyline","latLngs":[{"lat":35.430419,"lng":133.346779},{"lat":35.429874,"lng":133.345931}],"color":"navy"}</v>
      </c>
      <c r="BA274" s="40" t="s">
        <v>691</v>
      </c>
      <c r="BB274" s="56">
        <f t="shared" ca="1" si="37"/>
        <v>35.430419000000001</v>
      </c>
      <c r="BC274" s="40" t="s">
        <v>684</v>
      </c>
      <c r="BD274" s="56">
        <f t="shared" ca="1" si="38"/>
        <v>133.346779</v>
      </c>
      <c r="BE274" s="40" t="s">
        <v>692</v>
      </c>
      <c r="BF274" s="40" t="str">
        <f t="shared" ca="1" si="39"/>
        <v>navy</v>
      </c>
      <c r="BG274" s="40" t="s">
        <v>688</v>
      </c>
      <c r="BH274" s="40" t="str">
        <f t="shared" ca="1" si="40"/>
        <v>,{"type":"marker","latLng":{"lat":35.430419,"lng":133.346779},"color":"navy"}</v>
      </c>
      <c r="BI274" s="40" t="s">
        <v>693</v>
      </c>
      <c r="BJ274" s="40" t="s">
        <v>694</v>
      </c>
      <c r="BK274" s="267" t="str">
        <f t="shared" ca="1" si="41"/>
        <v>,{"type":"polyline","latLngs":[{"lat":35.430419,"lng":133.346779},{"lat":35.429874,"lng":133.345931}],"color":"navy"}</v>
      </c>
    </row>
    <row r="275" spans="7:63" ht="17.5">
      <c r="G275" s="261"/>
      <c r="H275" s="262" t="s">
        <v>672</v>
      </c>
      <c r="I275" s="93" t="str">
        <f ca="1">IFERROR(__xludf.DUMMYFUNCTION("""COMPUTED_VALUE"""),"Agent31")</f>
        <v>Agent31</v>
      </c>
      <c r="J275" s="93" t="str">
        <f ca="1">IFERROR(__xludf.DUMMYFUNCTION("""COMPUTED_VALUE"""),"P310")</f>
        <v>P310</v>
      </c>
      <c r="K275" s="93" t="str">
        <f ca="1">IFERROR(__xludf.DUMMYFUNCTION("""COMPUTED_VALUE"""),"P314")</f>
        <v>P314</v>
      </c>
      <c r="L275" s="242" t="s">
        <v>681</v>
      </c>
      <c r="M275" s="263" t="str">
        <f t="shared" ca="1" si="22"/>
        <v>navy</v>
      </c>
      <c r="N275" s="264" t="str">
        <f ca="1">IFERROR(__xludf.DUMMYFUNCTION("FILTER(C:E,B:B=J275)"),"風")</f>
        <v>風</v>
      </c>
      <c r="O275" s="265">
        <f ca="1">IFERROR(__xludf.DUMMYFUNCTION("""COMPUTED_VALUE"""),35.430419)</f>
        <v>35.430419000000001</v>
      </c>
      <c r="P275" s="265">
        <f ca="1">IFERROR(__xludf.DUMMYFUNCTION("""COMPUTED_VALUE"""),133.346779)</f>
        <v>133.346779</v>
      </c>
      <c r="Q275" s="264" t="str">
        <f ca="1">IFERROR(__xludf.DUMMYFUNCTION("FILTER(C:E,B:B=K275)"),"勝田東会館")</f>
        <v>勝田東会館</v>
      </c>
      <c r="R275" s="265">
        <f ca="1">IFERROR(__xludf.DUMMYFUNCTION("""COMPUTED_VALUE"""),35.431971)</f>
        <v>35.431970999999997</v>
      </c>
      <c r="S275" s="265">
        <f ca="1">IFERROR(__xludf.DUMMYFUNCTION("""COMPUTED_VALUE"""),133.347676)</f>
        <v>133.34767600000001</v>
      </c>
      <c r="T275" s="264" t="str">
        <f ca="1">IFERROR(__xludf.DUMMYFUNCTION("FILTER(C:E,B:B=L275)")," ")</f>
        <v xml:space="preserve"> </v>
      </c>
      <c r="U275" s="40" t="str">
        <f ca="1">IFERROR(__xludf.DUMMYFUNCTION("""COMPUTED_VALUE""")," ")</f>
        <v xml:space="preserve"> </v>
      </c>
      <c r="V275" s="40" t="str">
        <f ca="1">IFERROR(__xludf.DUMMYFUNCTION("""COMPUTED_VALUE""")," ")</f>
        <v xml:space="preserve"> </v>
      </c>
      <c r="W275" s="40" t="str">
        <f t="shared" ca="1" si="42"/>
        <v>,</v>
      </c>
      <c r="X275" s="40" t="s">
        <v>682</v>
      </c>
      <c r="Y275" s="40" t="s">
        <v>683</v>
      </c>
      <c r="Z275" s="264">
        <f t="shared" ca="1" si="23"/>
        <v>35.430419000000001</v>
      </c>
      <c r="AA275" s="40" t="s">
        <v>684</v>
      </c>
      <c r="AB275" s="264">
        <f t="shared" ca="1" si="24"/>
        <v>133.346779</v>
      </c>
      <c r="AC275" s="40" t="s">
        <v>685</v>
      </c>
      <c r="AD275" s="264">
        <f t="shared" ca="1" si="25"/>
        <v>35.431970999999997</v>
      </c>
      <c r="AE275" s="40" t="s">
        <v>684</v>
      </c>
      <c r="AF275" s="264">
        <f t="shared" ca="1" si="26"/>
        <v>133.34767600000001</v>
      </c>
      <c r="AG275" s="40" t="s">
        <v>686</v>
      </c>
      <c r="AH275" s="264" t="str">
        <f t="shared" ca="1" si="27"/>
        <v xml:space="preserve"> </v>
      </c>
      <c r="AI275" s="40" t="s">
        <v>684</v>
      </c>
      <c r="AJ275" s="264" t="str">
        <f t="shared" ca="1" si="28"/>
        <v xml:space="preserve"> </v>
      </c>
      <c r="AK275" s="40" t="s">
        <v>687</v>
      </c>
      <c r="AL275" s="264" t="str">
        <f t="shared" ca="1" si="29"/>
        <v>navy</v>
      </c>
      <c r="AM275" s="40" t="s">
        <v>688</v>
      </c>
      <c r="AN275" s="40" t="str">
        <f t="shared" ca="1" si="30"/>
        <v>,{"type":"polygon","latLngs":[ {"lat":35.430419,"lng":133.346779}, {"lat":35.431971,"lng":133.347676},{"lat": ,"lng": }], "color":"navy"}</v>
      </c>
      <c r="AO275" s="266" t="s">
        <v>689</v>
      </c>
      <c r="AP275" s="56">
        <f t="shared" ca="1" si="31"/>
        <v>35.430419000000001</v>
      </c>
      <c r="AQ275" s="40" t="s">
        <v>684</v>
      </c>
      <c r="AR275" s="56">
        <f t="shared" ca="1" si="32"/>
        <v>133.346779</v>
      </c>
      <c r="AS275" s="40" t="s">
        <v>686</v>
      </c>
      <c r="AT275" s="56">
        <f t="shared" ca="1" si="33"/>
        <v>35.431970999999997</v>
      </c>
      <c r="AU275" s="40" t="s">
        <v>684</v>
      </c>
      <c r="AV275" s="56">
        <f t="shared" ca="1" si="34"/>
        <v>133.34767600000001</v>
      </c>
      <c r="AW275" s="40" t="s">
        <v>690</v>
      </c>
      <c r="AX275" s="40" t="str">
        <f t="shared" ca="1" si="35"/>
        <v>navy</v>
      </c>
      <c r="AY275" s="40" t="s">
        <v>688</v>
      </c>
      <c r="AZ275" s="40" t="str">
        <f t="shared" ca="1" si="36"/>
        <v>,{"type":"polyline","latLngs":[{"lat":35.430419,"lng":133.346779},{"lat":35.431971,"lng":133.347676}],"color":"navy"}</v>
      </c>
      <c r="BA275" s="40" t="s">
        <v>691</v>
      </c>
      <c r="BB275" s="56">
        <f t="shared" ca="1" si="37"/>
        <v>35.430419000000001</v>
      </c>
      <c r="BC275" s="40" t="s">
        <v>684</v>
      </c>
      <c r="BD275" s="56">
        <f t="shared" ca="1" si="38"/>
        <v>133.346779</v>
      </c>
      <c r="BE275" s="40" t="s">
        <v>692</v>
      </c>
      <c r="BF275" s="40" t="str">
        <f t="shared" ca="1" si="39"/>
        <v>navy</v>
      </c>
      <c r="BG275" s="40" t="s">
        <v>688</v>
      </c>
      <c r="BH275" s="40" t="str">
        <f t="shared" ca="1" si="40"/>
        <v>,{"type":"marker","latLng":{"lat":35.430419,"lng":133.346779},"color":"navy"}</v>
      </c>
      <c r="BI275" s="40" t="s">
        <v>693</v>
      </c>
      <c r="BJ275" s="40" t="s">
        <v>694</v>
      </c>
      <c r="BK275" s="267" t="str">
        <f t="shared" ca="1" si="41"/>
        <v>,{"type":"polyline","latLngs":[{"lat":35.430419,"lng":133.346779},{"lat":35.431971,"lng":133.347676}],"color":"navy"}</v>
      </c>
    </row>
    <row r="276" spans="7:63" ht="17.5">
      <c r="G276" s="261"/>
      <c r="H276" s="262" t="s">
        <v>672</v>
      </c>
      <c r="I276" s="93" t="str">
        <f ca="1">IFERROR(__xludf.DUMMYFUNCTION("""COMPUTED_VALUE"""),"Agent31")</f>
        <v>Agent31</v>
      </c>
      <c r="J276" s="93" t="str">
        <f ca="1">IFERROR(__xludf.DUMMYFUNCTION("""COMPUTED_VALUE"""),"P311")</f>
        <v>P311</v>
      </c>
      <c r="K276" s="93" t="str">
        <f ca="1">IFERROR(__xludf.DUMMYFUNCTION("""COMPUTED_VALUE"""),"P310")</f>
        <v>P310</v>
      </c>
      <c r="L276" s="242" t="s">
        <v>681</v>
      </c>
      <c r="M276" s="263" t="str">
        <f t="shared" ca="1" si="22"/>
        <v>navy</v>
      </c>
      <c r="N276" s="264" t="str">
        <f ca="1">IFERROR(__xludf.DUMMYFUNCTION("FILTER(C:E,B:B=J276)"),"彫刻作品「つまみぐい」")</f>
        <v>彫刻作品「つまみぐい」</v>
      </c>
      <c r="O276" s="265">
        <f ca="1">IFERROR(__xludf.DUMMYFUNCTION("""COMPUTED_VALUE"""),35.430804)</f>
        <v>35.430804000000002</v>
      </c>
      <c r="P276" s="265">
        <f ca="1">IFERROR(__xludf.DUMMYFUNCTION("""COMPUTED_VALUE"""),133.34822)</f>
        <v>133.34822</v>
      </c>
      <c r="Q276" s="264" t="str">
        <f ca="1">IFERROR(__xludf.DUMMYFUNCTION("FILTER(C:E,B:B=K276)"),"風")</f>
        <v>風</v>
      </c>
      <c r="R276" s="265">
        <f ca="1">IFERROR(__xludf.DUMMYFUNCTION("""COMPUTED_VALUE"""),35.430419)</f>
        <v>35.430419000000001</v>
      </c>
      <c r="S276" s="265">
        <f ca="1">IFERROR(__xludf.DUMMYFUNCTION("""COMPUTED_VALUE"""),133.346779)</f>
        <v>133.346779</v>
      </c>
      <c r="T276" s="264" t="str">
        <f ca="1">IFERROR(__xludf.DUMMYFUNCTION("FILTER(C:E,B:B=L276)")," ")</f>
        <v xml:space="preserve"> </v>
      </c>
      <c r="U276" s="40" t="str">
        <f ca="1">IFERROR(__xludf.DUMMYFUNCTION("""COMPUTED_VALUE""")," ")</f>
        <v xml:space="preserve"> </v>
      </c>
      <c r="V276" s="40" t="str">
        <f ca="1">IFERROR(__xludf.DUMMYFUNCTION("""COMPUTED_VALUE""")," ")</f>
        <v xml:space="preserve"> </v>
      </c>
      <c r="W276" s="40" t="str">
        <f t="shared" ca="1" si="42"/>
        <v>,</v>
      </c>
      <c r="X276" s="40" t="s">
        <v>682</v>
      </c>
      <c r="Y276" s="40" t="s">
        <v>683</v>
      </c>
      <c r="Z276" s="264">
        <f t="shared" ca="1" si="23"/>
        <v>35.430804000000002</v>
      </c>
      <c r="AA276" s="40" t="s">
        <v>684</v>
      </c>
      <c r="AB276" s="264">
        <f t="shared" ca="1" si="24"/>
        <v>133.34822</v>
      </c>
      <c r="AC276" s="40" t="s">
        <v>685</v>
      </c>
      <c r="AD276" s="264">
        <f t="shared" ca="1" si="25"/>
        <v>35.430419000000001</v>
      </c>
      <c r="AE276" s="40" t="s">
        <v>684</v>
      </c>
      <c r="AF276" s="264">
        <f t="shared" ca="1" si="26"/>
        <v>133.346779</v>
      </c>
      <c r="AG276" s="40" t="s">
        <v>686</v>
      </c>
      <c r="AH276" s="264" t="str">
        <f t="shared" ca="1" si="27"/>
        <v xml:space="preserve"> </v>
      </c>
      <c r="AI276" s="40" t="s">
        <v>684</v>
      </c>
      <c r="AJ276" s="264" t="str">
        <f t="shared" ca="1" si="28"/>
        <v xml:space="preserve"> </v>
      </c>
      <c r="AK276" s="40" t="s">
        <v>687</v>
      </c>
      <c r="AL276" s="264" t="str">
        <f t="shared" ca="1" si="29"/>
        <v>navy</v>
      </c>
      <c r="AM276" s="40" t="s">
        <v>688</v>
      </c>
      <c r="AN276" s="40" t="str">
        <f t="shared" ca="1" si="30"/>
        <v>,{"type":"polygon","latLngs":[ {"lat":35.430804,"lng":133.34822}, {"lat":35.430419,"lng":133.346779},{"lat": ,"lng": }], "color":"navy"}</v>
      </c>
      <c r="AO276" s="266" t="s">
        <v>689</v>
      </c>
      <c r="AP276" s="56">
        <f t="shared" ca="1" si="31"/>
        <v>35.430804000000002</v>
      </c>
      <c r="AQ276" s="40" t="s">
        <v>684</v>
      </c>
      <c r="AR276" s="56">
        <f t="shared" ca="1" si="32"/>
        <v>133.34822</v>
      </c>
      <c r="AS276" s="40" t="s">
        <v>686</v>
      </c>
      <c r="AT276" s="56">
        <f t="shared" ca="1" si="33"/>
        <v>35.430419000000001</v>
      </c>
      <c r="AU276" s="40" t="s">
        <v>684</v>
      </c>
      <c r="AV276" s="56">
        <f t="shared" ca="1" si="34"/>
        <v>133.346779</v>
      </c>
      <c r="AW276" s="40" t="s">
        <v>690</v>
      </c>
      <c r="AX276" s="40" t="str">
        <f t="shared" ca="1" si="35"/>
        <v>navy</v>
      </c>
      <c r="AY276" s="40" t="s">
        <v>688</v>
      </c>
      <c r="AZ276" s="40" t="str">
        <f t="shared" ca="1" si="36"/>
        <v>,{"type":"polyline","latLngs":[{"lat":35.430804,"lng":133.34822},{"lat":35.430419,"lng":133.346779}],"color":"navy"}</v>
      </c>
      <c r="BA276" s="40" t="s">
        <v>691</v>
      </c>
      <c r="BB276" s="56">
        <f t="shared" ca="1" si="37"/>
        <v>35.430804000000002</v>
      </c>
      <c r="BC276" s="40" t="s">
        <v>684</v>
      </c>
      <c r="BD276" s="56">
        <f t="shared" ca="1" si="38"/>
        <v>133.34822</v>
      </c>
      <c r="BE276" s="40" t="s">
        <v>692</v>
      </c>
      <c r="BF276" s="40" t="str">
        <f t="shared" ca="1" si="39"/>
        <v>navy</v>
      </c>
      <c r="BG276" s="40" t="s">
        <v>688</v>
      </c>
      <c r="BH276" s="40" t="str">
        <f t="shared" ca="1" si="40"/>
        <v>,{"type":"marker","latLng":{"lat":35.430804,"lng":133.34822},"color":"navy"}</v>
      </c>
      <c r="BI276" s="40" t="s">
        <v>693</v>
      </c>
      <c r="BJ276" s="40" t="s">
        <v>694</v>
      </c>
      <c r="BK276" s="267" t="str">
        <f t="shared" ca="1" si="41"/>
        <v>,{"type":"polyline","latLngs":[{"lat":35.430804,"lng":133.34822},{"lat":35.430419,"lng":133.346779}],"color":"navy"}</v>
      </c>
    </row>
    <row r="277" spans="7:63" ht="17.5">
      <c r="G277" s="261"/>
      <c r="H277" s="262" t="s">
        <v>672</v>
      </c>
      <c r="I277" s="93" t="str">
        <f ca="1">IFERROR(__xludf.DUMMYFUNCTION("""COMPUTED_VALUE"""),"Agent31")</f>
        <v>Agent31</v>
      </c>
      <c r="J277" s="93" t="str">
        <f ca="1">IFERROR(__xludf.DUMMYFUNCTION("""COMPUTED_VALUE"""),"P307")</f>
        <v>P307</v>
      </c>
      <c r="K277" s="93" t="str">
        <f ca="1">IFERROR(__xludf.DUMMYFUNCTION("""COMPUTED_VALUE"""),"P308")</f>
        <v>P308</v>
      </c>
      <c r="L277" s="242" t="s">
        <v>681</v>
      </c>
      <c r="M277" s="263" t="str">
        <f t="shared" ca="1" si="22"/>
        <v>navy</v>
      </c>
      <c r="N277" s="264" t="str">
        <f ca="1">IFERROR(__xludf.DUMMYFUNCTION("FILTER(C:E,B:B=J277)"),"NPB 未来の侍プロジェクト")</f>
        <v>NPB 未来の侍プロジェクト</v>
      </c>
      <c r="O277" s="265">
        <f ca="1">IFERROR(__xludf.DUMMYFUNCTION("""COMPUTED_VALUE"""),35.429607)</f>
        <v>35.429606999999997</v>
      </c>
      <c r="P277" s="265">
        <f ca="1">IFERROR(__xludf.DUMMYFUNCTION("""COMPUTED_VALUE"""),133.348251)</f>
        <v>133.348251</v>
      </c>
      <c r="Q277" s="264" t="str">
        <f ca="1">IFERROR(__xludf.DUMMYFUNCTION("FILTER(C:E,B:B=K277)"),"どらドラパーク米子案内図")</f>
        <v>どらドラパーク米子案内図</v>
      </c>
      <c r="R277" s="265">
        <f ca="1">IFERROR(__xludf.DUMMYFUNCTION("""COMPUTED_VALUE"""),35.429874)</f>
        <v>35.429873999999998</v>
      </c>
      <c r="S277" s="265">
        <f ca="1">IFERROR(__xludf.DUMMYFUNCTION("""COMPUTED_VALUE"""),133.345931)</f>
        <v>133.34593100000001</v>
      </c>
      <c r="T277" s="264" t="str">
        <f ca="1">IFERROR(__xludf.DUMMYFUNCTION("FILTER(C:E,B:B=L277)")," ")</f>
        <v xml:space="preserve"> </v>
      </c>
      <c r="U277" s="40" t="str">
        <f ca="1">IFERROR(__xludf.DUMMYFUNCTION("""COMPUTED_VALUE""")," ")</f>
        <v xml:space="preserve"> </v>
      </c>
      <c r="V277" s="40" t="str">
        <f ca="1">IFERROR(__xludf.DUMMYFUNCTION("""COMPUTED_VALUE""")," ")</f>
        <v xml:space="preserve"> </v>
      </c>
      <c r="W277" s="40" t="str">
        <f t="shared" ca="1" si="42"/>
        <v>,</v>
      </c>
      <c r="X277" s="40" t="s">
        <v>682</v>
      </c>
      <c r="Y277" s="40" t="s">
        <v>683</v>
      </c>
      <c r="Z277" s="264">
        <f t="shared" ca="1" si="23"/>
        <v>35.429606999999997</v>
      </c>
      <c r="AA277" s="40" t="s">
        <v>684</v>
      </c>
      <c r="AB277" s="264">
        <f t="shared" ca="1" si="24"/>
        <v>133.348251</v>
      </c>
      <c r="AC277" s="40" t="s">
        <v>685</v>
      </c>
      <c r="AD277" s="264">
        <f t="shared" ca="1" si="25"/>
        <v>35.429873999999998</v>
      </c>
      <c r="AE277" s="40" t="s">
        <v>684</v>
      </c>
      <c r="AF277" s="264">
        <f t="shared" ca="1" si="26"/>
        <v>133.34593100000001</v>
      </c>
      <c r="AG277" s="40" t="s">
        <v>686</v>
      </c>
      <c r="AH277" s="264" t="str">
        <f t="shared" ca="1" si="27"/>
        <v xml:space="preserve"> </v>
      </c>
      <c r="AI277" s="40" t="s">
        <v>684</v>
      </c>
      <c r="AJ277" s="264" t="str">
        <f t="shared" ca="1" si="28"/>
        <v xml:space="preserve"> </v>
      </c>
      <c r="AK277" s="40" t="s">
        <v>687</v>
      </c>
      <c r="AL277" s="264" t="str">
        <f t="shared" ca="1" si="29"/>
        <v>navy</v>
      </c>
      <c r="AM277" s="40" t="s">
        <v>688</v>
      </c>
      <c r="AN277" s="40" t="str">
        <f t="shared" ca="1" si="30"/>
        <v>,{"type":"polygon","latLngs":[ {"lat":35.429607,"lng":133.348251}, {"lat":35.429874,"lng":133.345931},{"lat": ,"lng": }], "color":"navy"}</v>
      </c>
      <c r="AO277" s="266" t="s">
        <v>689</v>
      </c>
      <c r="AP277" s="56">
        <f t="shared" ca="1" si="31"/>
        <v>35.429606999999997</v>
      </c>
      <c r="AQ277" s="40" t="s">
        <v>684</v>
      </c>
      <c r="AR277" s="56">
        <f t="shared" ca="1" si="32"/>
        <v>133.348251</v>
      </c>
      <c r="AS277" s="40" t="s">
        <v>686</v>
      </c>
      <c r="AT277" s="56">
        <f t="shared" ca="1" si="33"/>
        <v>35.429873999999998</v>
      </c>
      <c r="AU277" s="40" t="s">
        <v>684</v>
      </c>
      <c r="AV277" s="56">
        <f t="shared" ca="1" si="34"/>
        <v>133.34593100000001</v>
      </c>
      <c r="AW277" s="40" t="s">
        <v>690</v>
      </c>
      <c r="AX277" s="40" t="str">
        <f t="shared" ca="1" si="35"/>
        <v>navy</v>
      </c>
      <c r="AY277" s="40" t="s">
        <v>688</v>
      </c>
      <c r="AZ277" s="40" t="str">
        <f t="shared" ca="1" si="36"/>
        <v>,{"type":"polyline","latLngs":[{"lat":35.429607,"lng":133.348251},{"lat":35.429874,"lng":133.345931}],"color":"navy"}</v>
      </c>
      <c r="BA277" s="40" t="s">
        <v>691</v>
      </c>
      <c r="BB277" s="56">
        <f t="shared" ca="1" si="37"/>
        <v>35.429606999999997</v>
      </c>
      <c r="BC277" s="40" t="s">
        <v>684</v>
      </c>
      <c r="BD277" s="56">
        <f t="shared" ca="1" si="38"/>
        <v>133.348251</v>
      </c>
      <c r="BE277" s="40" t="s">
        <v>692</v>
      </c>
      <c r="BF277" s="40" t="str">
        <f t="shared" ca="1" si="39"/>
        <v>navy</v>
      </c>
      <c r="BG277" s="40" t="s">
        <v>688</v>
      </c>
      <c r="BH277" s="40" t="str">
        <f t="shared" ca="1" si="40"/>
        <v>,{"type":"marker","latLng":{"lat":35.429607,"lng":133.348251},"color":"navy"}</v>
      </c>
      <c r="BI277" s="40" t="s">
        <v>693</v>
      </c>
      <c r="BJ277" s="40" t="s">
        <v>694</v>
      </c>
      <c r="BK277" s="267" t="str">
        <f t="shared" ca="1" si="41"/>
        <v>,{"type":"polyline","latLngs":[{"lat":35.429607,"lng":133.348251},{"lat":35.429874,"lng":133.345931}],"color":"navy"}</v>
      </c>
    </row>
    <row r="278" spans="7:63" ht="17.5">
      <c r="G278" s="261"/>
      <c r="H278" s="262" t="s">
        <v>672</v>
      </c>
      <c r="I278" s="93" t="str">
        <f ca="1">IFERROR(__xludf.DUMMYFUNCTION("""COMPUTED_VALUE"""),"Agent31")</f>
        <v>Agent31</v>
      </c>
      <c r="J278" s="93" t="str">
        <f ca="1">IFERROR(__xludf.DUMMYFUNCTION("""COMPUTED_VALUE"""),"P307")</f>
        <v>P307</v>
      </c>
      <c r="K278" s="93" t="str">
        <f ca="1">IFERROR(__xludf.DUMMYFUNCTION("""COMPUTED_VALUE"""),"P310")</f>
        <v>P310</v>
      </c>
      <c r="L278" s="242" t="s">
        <v>681</v>
      </c>
      <c r="M278" s="263" t="str">
        <f t="shared" ca="1" si="22"/>
        <v>navy</v>
      </c>
      <c r="N278" s="264" t="str">
        <f ca="1">IFERROR(__xludf.DUMMYFUNCTION("FILTER(C:E,B:B=J278)"),"NPB 未来の侍プロジェクト")</f>
        <v>NPB 未来の侍プロジェクト</v>
      </c>
      <c r="O278" s="265">
        <f ca="1">IFERROR(__xludf.DUMMYFUNCTION("""COMPUTED_VALUE"""),35.429607)</f>
        <v>35.429606999999997</v>
      </c>
      <c r="P278" s="265">
        <f ca="1">IFERROR(__xludf.DUMMYFUNCTION("""COMPUTED_VALUE"""),133.348251)</f>
        <v>133.348251</v>
      </c>
      <c r="Q278" s="264" t="str">
        <f ca="1">IFERROR(__xludf.DUMMYFUNCTION("FILTER(C:E,B:B=K278)"),"風")</f>
        <v>風</v>
      </c>
      <c r="R278" s="265">
        <f ca="1">IFERROR(__xludf.DUMMYFUNCTION("""COMPUTED_VALUE"""),35.430419)</f>
        <v>35.430419000000001</v>
      </c>
      <c r="S278" s="265">
        <f ca="1">IFERROR(__xludf.DUMMYFUNCTION("""COMPUTED_VALUE"""),133.346779)</f>
        <v>133.346779</v>
      </c>
      <c r="T278" s="264" t="str">
        <f ca="1">IFERROR(__xludf.DUMMYFUNCTION("FILTER(C:E,B:B=L278)")," ")</f>
        <v xml:space="preserve"> </v>
      </c>
      <c r="U278" s="40" t="str">
        <f ca="1">IFERROR(__xludf.DUMMYFUNCTION("""COMPUTED_VALUE""")," ")</f>
        <v xml:space="preserve"> </v>
      </c>
      <c r="V278" s="40" t="str">
        <f ca="1">IFERROR(__xludf.DUMMYFUNCTION("""COMPUTED_VALUE""")," ")</f>
        <v xml:space="preserve"> </v>
      </c>
      <c r="W278" s="40" t="str">
        <f t="shared" ca="1" si="42"/>
        <v>,</v>
      </c>
      <c r="X278" s="40" t="s">
        <v>682</v>
      </c>
      <c r="Y278" s="40" t="s">
        <v>683</v>
      </c>
      <c r="Z278" s="264">
        <f t="shared" ca="1" si="23"/>
        <v>35.429606999999997</v>
      </c>
      <c r="AA278" s="40" t="s">
        <v>684</v>
      </c>
      <c r="AB278" s="264">
        <f t="shared" ca="1" si="24"/>
        <v>133.348251</v>
      </c>
      <c r="AC278" s="40" t="s">
        <v>685</v>
      </c>
      <c r="AD278" s="264">
        <f t="shared" ca="1" si="25"/>
        <v>35.430419000000001</v>
      </c>
      <c r="AE278" s="40" t="s">
        <v>684</v>
      </c>
      <c r="AF278" s="264">
        <f t="shared" ca="1" si="26"/>
        <v>133.346779</v>
      </c>
      <c r="AG278" s="40" t="s">
        <v>686</v>
      </c>
      <c r="AH278" s="264" t="str">
        <f t="shared" ca="1" si="27"/>
        <v xml:space="preserve"> </v>
      </c>
      <c r="AI278" s="40" t="s">
        <v>684</v>
      </c>
      <c r="AJ278" s="264" t="str">
        <f t="shared" ca="1" si="28"/>
        <v xml:space="preserve"> </v>
      </c>
      <c r="AK278" s="40" t="s">
        <v>687</v>
      </c>
      <c r="AL278" s="264" t="str">
        <f t="shared" ca="1" si="29"/>
        <v>navy</v>
      </c>
      <c r="AM278" s="40" t="s">
        <v>688</v>
      </c>
      <c r="AN278" s="40" t="str">
        <f t="shared" ca="1" si="30"/>
        <v>,{"type":"polygon","latLngs":[ {"lat":35.429607,"lng":133.348251}, {"lat":35.430419,"lng":133.346779},{"lat": ,"lng": }], "color":"navy"}</v>
      </c>
      <c r="AO278" s="266" t="s">
        <v>689</v>
      </c>
      <c r="AP278" s="56">
        <f t="shared" ca="1" si="31"/>
        <v>35.429606999999997</v>
      </c>
      <c r="AQ278" s="40" t="s">
        <v>684</v>
      </c>
      <c r="AR278" s="56">
        <f t="shared" ca="1" si="32"/>
        <v>133.348251</v>
      </c>
      <c r="AS278" s="40" t="s">
        <v>686</v>
      </c>
      <c r="AT278" s="56">
        <f t="shared" ca="1" si="33"/>
        <v>35.430419000000001</v>
      </c>
      <c r="AU278" s="40" t="s">
        <v>684</v>
      </c>
      <c r="AV278" s="56">
        <f t="shared" ca="1" si="34"/>
        <v>133.346779</v>
      </c>
      <c r="AW278" s="40" t="s">
        <v>690</v>
      </c>
      <c r="AX278" s="40" t="str">
        <f t="shared" ca="1" si="35"/>
        <v>navy</v>
      </c>
      <c r="AY278" s="40" t="s">
        <v>688</v>
      </c>
      <c r="AZ278" s="40" t="str">
        <f t="shared" ca="1" si="36"/>
        <v>,{"type":"polyline","latLngs":[{"lat":35.429607,"lng":133.348251},{"lat":35.430419,"lng":133.346779}],"color":"navy"}</v>
      </c>
      <c r="BA278" s="40" t="s">
        <v>691</v>
      </c>
      <c r="BB278" s="56">
        <f t="shared" ca="1" si="37"/>
        <v>35.429606999999997</v>
      </c>
      <c r="BC278" s="40" t="s">
        <v>684</v>
      </c>
      <c r="BD278" s="56">
        <f t="shared" ca="1" si="38"/>
        <v>133.348251</v>
      </c>
      <c r="BE278" s="40" t="s">
        <v>692</v>
      </c>
      <c r="BF278" s="40" t="str">
        <f t="shared" ca="1" si="39"/>
        <v>navy</v>
      </c>
      <c r="BG278" s="40" t="s">
        <v>688</v>
      </c>
      <c r="BH278" s="40" t="str">
        <f t="shared" ca="1" si="40"/>
        <v>,{"type":"marker","latLng":{"lat":35.429607,"lng":133.348251},"color":"navy"}</v>
      </c>
      <c r="BI278" s="40" t="s">
        <v>693</v>
      </c>
      <c r="BJ278" s="40" t="s">
        <v>694</v>
      </c>
      <c r="BK278" s="267" t="str">
        <f t="shared" ca="1" si="41"/>
        <v>,{"type":"polyline","latLngs":[{"lat":35.429607,"lng":133.348251},{"lat":35.430419,"lng":133.346779}],"color":"navy"}</v>
      </c>
    </row>
    <row r="279" spans="7:63" ht="17.5">
      <c r="G279" s="261"/>
      <c r="H279" s="262" t="s">
        <v>672</v>
      </c>
      <c r="I279" s="93" t="str">
        <f ca="1">IFERROR(__xludf.DUMMYFUNCTION("""COMPUTED_VALUE"""),"Agent31")</f>
        <v>Agent31</v>
      </c>
      <c r="J279" s="93" t="str">
        <f ca="1">IFERROR(__xludf.DUMMYFUNCTION("""COMPUTED_VALUE"""),"P307")</f>
        <v>P307</v>
      </c>
      <c r="K279" s="93" t="str">
        <f ca="1">IFERROR(__xludf.DUMMYFUNCTION("""COMPUTED_VALUE"""),"P311")</f>
        <v>P311</v>
      </c>
      <c r="L279" s="242" t="s">
        <v>681</v>
      </c>
      <c r="M279" s="263" t="str">
        <f t="shared" ca="1" si="22"/>
        <v>navy</v>
      </c>
      <c r="N279" s="264" t="str">
        <f ca="1">IFERROR(__xludf.DUMMYFUNCTION("FILTER(C:E,B:B=J279)"),"NPB 未来の侍プロジェクト")</f>
        <v>NPB 未来の侍プロジェクト</v>
      </c>
      <c r="O279" s="265">
        <f ca="1">IFERROR(__xludf.DUMMYFUNCTION("""COMPUTED_VALUE"""),35.429607)</f>
        <v>35.429606999999997</v>
      </c>
      <c r="P279" s="265">
        <f ca="1">IFERROR(__xludf.DUMMYFUNCTION("""COMPUTED_VALUE"""),133.348251)</f>
        <v>133.348251</v>
      </c>
      <c r="Q279" s="264" t="str">
        <f ca="1">IFERROR(__xludf.DUMMYFUNCTION("FILTER(C:E,B:B=K279)"),"彫刻作品「つまみぐい」")</f>
        <v>彫刻作品「つまみぐい」</v>
      </c>
      <c r="R279" s="265">
        <f ca="1">IFERROR(__xludf.DUMMYFUNCTION("""COMPUTED_VALUE"""),35.430804)</f>
        <v>35.430804000000002</v>
      </c>
      <c r="S279" s="265">
        <f ca="1">IFERROR(__xludf.DUMMYFUNCTION("""COMPUTED_VALUE"""),133.34822)</f>
        <v>133.34822</v>
      </c>
      <c r="T279" s="264" t="str">
        <f ca="1">IFERROR(__xludf.DUMMYFUNCTION("FILTER(C:E,B:B=L279)")," ")</f>
        <v xml:space="preserve"> </v>
      </c>
      <c r="U279" s="40" t="str">
        <f ca="1">IFERROR(__xludf.DUMMYFUNCTION("""COMPUTED_VALUE""")," ")</f>
        <v xml:space="preserve"> </v>
      </c>
      <c r="V279" s="40" t="str">
        <f ca="1">IFERROR(__xludf.DUMMYFUNCTION("""COMPUTED_VALUE""")," ")</f>
        <v xml:space="preserve"> </v>
      </c>
      <c r="W279" s="40" t="str">
        <f t="shared" ca="1" si="42"/>
        <v>,</v>
      </c>
      <c r="X279" s="40" t="s">
        <v>682</v>
      </c>
      <c r="Y279" s="40" t="s">
        <v>683</v>
      </c>
      <c r="Z279" s="264">
        <f t="shared" ca="1" si="23"/>
        <v>35.429606999999997</v>
      </c>
      <c r="AA279" s="40" t="s">
        <v>684</v>
      </c>
      <c r="AB279" s="264">
        <f t="shared" ca="1" si="24"/>
        <v>133.348251</v>
      </c>
      <c r="AC279" s="40" t="s">
        <v>685</v>
      </c>
      <c r="AD279" s="264">
        <f t="shared" ca="1" si="25"/>
        <v>35.430804000000002</v>
      </c>
      <c r="AE279" s="40" t="s">
        <v>684</v>
      </c>
      <c r="AF279" s="264">
        <f t="shared" ca="1" si="26"/>
        <v>133.34822</v>
      </c>
      <c r="AG279" s="40" t="s">
        <v>686</v>
      </c>
      <c r="AH279" s="264" t="str">
        <f t="shared" ca="1" si="27"/>
        <v xml:space="preserve"> </v>
      </c>
      <c r="AI279" s="40" t="s">
        <v>684</v>
      </c>
      <c r="AJ279" s="264" t="str">
        <f t="shared" ca="1" si="28"/>
        <v xml:space="preserve"> </v>
      </c>
      <c r="AK279" s="40" t="s">
        <v>687</v>
      </c>
      <c r="AL279" s="264" t="str">
        <f t="shared" ca="1" si="29"/>
        <v>navy</v>
      </c>
      <c r="AM279" s="40" t="s">
        <v>688</v>
      </c>
      <c r="AN279" s="40" t="str">
        <f t="shared" ca="1" si="30"/>
        <v>,{"type":"polygon","latLngs":[ {"lat":35.429607,"lng":133.348251}, {"lat":35.430804,"lng":133.34822},{"lat": ,"lng": }], "color":"navy"}</v>
      </c>
      <c r="AO279" s="266" t="s">
        <v>689</v>
      </c>
      <c r="AP279" s="56">
        <f t="shared" ca="1" si="31"/>
        <v>35.429606999999997</v>
      </c>
      <c r="AQ279" s="40" t="s">
        <v>684</v>
      </c>
      <c r="AR279" s="56">
        <f t="shared" ca="1" si="32"/>
        <v>133.348251</v>
      </c>
      <c r="AS279" s="40" t="s">
        <v>686</v>
      </c>
      <c r="AT279" s="56">
        <f t="shared" ca="1" si="33"/>
        <v>35.430804000000002</v>
      </c>
      <c r="AU279" s="40" t="s">
        <v>684</v>
      </c>
      <c r="AV279" s="56">
        <f t="shared" ca="1" si="34"/>
        <v>133.34822</v>
      </c>
      <c r="AW279" s="40" t="s">
        <v>690</v>
      </c>
      <c r="AX279" s="40" t="str">
        <f t="shared" ca="1" si="35"/>
        <v>navy</v>
      </c>
      <c r="AY279" s="40" t="s">
        <v>688</v>
      </c>
      <c r="AZ279" s="40" t="str">
        <f t="shared" ca="1" si="36"/>
        <v>,{"type":"polyline","latLngs":[{"lat":35.429607,"lng":133.348251},{"lat":35.430804,"lng":133.34822}],"color":"navy"}</v>
      </c>
      <c r="BA279" s="40" t="s">
        <v>691</v>
      </c>
      <c r="BB279" s="56">
        <f t="shared" ca="1" si="37"/>
        <v>35.429606999999997</v>
      </c>
      <c r="BC279" s="40" t="s">
        <v>684</v>
      </c>
      <c r="BD279" s="56">
        <f t="shared" ca="1" si="38"/>
        <v>133.348251</v>
      </c>
      <c r="BE279" s="40" t="s">
        <v>692</v>
      </c>
      <c r="BF279" s="40" t="str">
        <f t="shared" ca="1" si="39"/>
        <v>navy</v>
      </c>
      <c r="BG279" s="40" t="s">
        <v>688</v>
      </c>
      <c r="BH279" s="40" t="str">
        <f t="shared" ca="1" si="40"/>
        <v>,{"type":"marker","latLng":{"lat":35.429607,"lng":133.348251},"color":"navy"}</v>
      </c>
      <c r="BI279" s="40" t="s">
        <v>693</v>
      </c>
      <c r="BJ279" s="40" t="s">
        <v>694</v>
      </c>
      <c r="BK279" s="267" t="str">
        <f t="shared" ca="1" si="41"/>
        <v>,{"type":"polyline","latLngs":[{"lat":35.429607,"lng":133.348251},{"lat":35.430804,"lng":133.34822}],"color":"navy"}</v>
      </c>
    </row>
    <row r="280" spans="7:63" ht="17.5">
      <c r="G280" s="261"/>
      <c r="H280" s="262" t="s">
        <v>672</v>
      </c>
      <c r="I280" s="93" t="str">
        <f ca="1">IFERROR(__xludf.DUMMYFUNCTION("""COMPUTED_VALUE"""),"Agent31")</f>
        <v>Agent31</v>
      </c>
      <c r="J280" s="93" t="str">
        <f ca="1">IFERROR(__xludf.DUMMYFUNCTION("""COMPUTED_VALUE"""),"P307")</f>
        <v>P307</v>
      </c>
      <c r="K280" s="93" t="str">
        <f ca="1">IFERROR(__xludf.DUMMYFUNCTION("""COMPUTED_VALUE"""),"P302")</f>
        <v>P302</v>
      </c>
      <c r="L280" s="242" t="s">
        <v>681</v>
      </c>
      <c r="M280" s="263" t="str">
        <f t="shared" ca="1" si="22"/>
        <v>navy</v>
      </c>
      <c r="N280" s="264" t="str">
        <f ca="1">IFERROR(__xludf.DUMMYFUNCTION("FILTER(C:E,B:B=J280)"),"NPB 未来の侍プロジェクト")</f>
        <v>NPB 未来の侍プロジェクト</v>
      </c>
      <c r="O280" s="265">
        <f ca="1">IFERROR(__xludf.DUMMYFUNCTION("""COMPUTED_VALUE"""),35.429607)</f>
        <v>35.429606999999997</v>
      </c>
      <c r="P280" s="265">
        <f ca="1">IFERROR(__xludf.DUMMYFUNCTION("""COMPUTED_VALUE"""),133.348251)</f>
        <v>133.348251</v>
      </c>
      <c r="Q280" s="264" t="str">
        <f ca="1">IFERROR(__xludf.DUMMYFUNCTION("FILTER(C:E,B:B=K280)"),"陽田山 経王寺")</f>
        <v>陽田山 経王寺</v>
      </c>
      <c r="R280" s="265">
        <f ca="1">IFERROR(__xludf.DUMMYFUNCTION("""COMPUTED_VALUE"""),35.427756)</f>
        <v>35.427756000000002</v>
      </c>
      <c r="S280" s="265">
        <f ca="1">IFERROR(__xludf.DUMMYFUNCTION("""COMPUTED_VALUE"""),133.346015)</f>
        <v>133.34601499999999</v>
      </c>
      <c r="T280" s="264" t="str">
        <f ca="1">IFERROR(__xludf.DUMMYFUNCTION("FILTER(C:E,B:B=L280)")," ")</f>
        <v xml:space="preserve"> </v>
      </c>
      <c r="U280" s="40" t="str">
        <f ca="1">IFERROR(__xludf.DUMMYFUNCTION("""COMPUTED_VALUE""")," ")</f>
        <v xml:space="preserve"> </v>
      </c>
      <c r="V280" s="40" t="str">
        <f ca="1">IFERROR(__xludf.DUMMYFUNCTION("""COMPUTED_VALUE""")," ")</f>
        <v xml:space="preserve"> </v>
      </c>
      <c r="W280" s="40" t="str">
        <f t="shared" ca="1" si="42"/>
        <v>,</v>
      </c>
      <c r="X280" s="40" t="s">
        <v>682</v>
      </c>
      <c r="Y280" s="40" t="s">
        <v>683</v>
      </c>
      <c r="Z280" s="264">
        <f t="shared" ca="1" si="23"/>
        <v>35.429606999999997</v>
      </c>
      <c r="AA280" s="40" t="s">
        <v>684</v>
      </c>
      <c r="AB280" s="264">
        <f t="shared" ca="1" si="24"/>
        <v>133.348251</v>
      </c>
      <c r="AC280" s="40" t="s">
        <v>685</v>
      </c>
      <c r="AD280" s="264">
        <f t="shared" ca="1" si="25"/>
        <v>35.427756000000002</v>
      </c>
      <c r="AE280" s="40" t="s">
        <v>684</v>
      </c>
      <c r="AF280" s="264">
        <f t="shared" ca="1" si="26"/>
        <v>133.34601499999999</v>
      </c>
      <c r="AG280" s="40" t="s">
        <v>686</v>
      </c>
      <c r="AH280" s="264" t="str">
        <f t="shared" ca="1" si="27"/>
        <v xml:space="preserve"> </v>
      </c>
      <c r="AI280" s="40" t="s">
        <v>684</v>
      </c>
      <c r="AJ280" s="264" t="str">
        <f t="shared" ca="1" si="28"/>
        <v xml:space="preserve"> </v>
      </c>
      <c r="AK280" s="40" t="s">
        <v>687</v>
      </c>
      <c r="AL280" s="264" t="str">
        <f t="shared" ca="1" si="29"/>
        <v>navy</v>
      </c>
      <c r="AM280" s="40" t="s">
        <v>688</v>
      </c>
      <c r="AN280" s="40" t="str">
        <f t="shared" ca="1" si="30"/>
        <v>,{"type":"polygon","latLngs":[ {"lat":35.429607,"lng":133.348251}, {"lat":35.427756,"lng":133.346015},{"lat": ,"lng": }], "color":"navy"}</v>
      </c>
      <c r="AO280" s="266" t="s">
        <v>689</v>
      </c>
      <c r="AP280" s="56">
        <f t="shared" ca="1" si="31"/>
        <v>35.429606999999997</v>
      </c>
      <c r="AQ280" s="40" t="s">
        <v>684</v>
      </c>
      <c r="AR280" s="56">
        <f t="shared" ca="1" si="32"/>
        <v>133.348251</v>
      </c>
      <c r="AS280" s="40" t="s">
        <v>686</v>
      </c>
      <c r="AT280" s="56">
        <f t="shared" ca="1" si="33"/>
        <v>35.427756000000002</v>
      </c>
      <c r="AU280" s="40" t="s">
        <v>684</v>
      </c>
      <c r="AV280" s="56">
        <f t="shared" ca="1" si="34"/>
        <v>133.34601499999999</v>
      </c>
      <c r="AW280" s="40" t="s">
        <v>690</v>
      </c>
      <c r="AX280" s="40" t="str">
        <f t="shared" ca="1" si="35"/>
        <v>navy</v>
      </c>
      <c r="AY280" s="40" t="s">
        <v>688</v>
      </c>
      <c r="AZ280" s="40" t="str">
        <f t="shared" ca="1" si="36"/>
        <v>,{"type":"polyline","latLngs":[{"lat":35.429607,"lng":133.348251},{"lat":35.427756,"lng":133.346015}],"color":"navy"}</v>
      </c>
      <c r="BA280" s="40" t="s">
        <v>691</v>
      </c>
      <c r="BB280" s="56">
        <f t="shared" ca="1" si="37"/>
        <v>35.429606999999997</v>
      </c>
      <c r="BC280" s="40" t="s">
        <v>684</v>
      </c>
      <c r="BD280" s="56">
        <f t="shared" ca="1" si="38"/>
        <v>133.348251</v>
      </c>
      <c r="BE280" s="40" t="s">
        <v>692</v>
      </c>
      <c r="BF280" s="40" t="str">
        <f t="shared" ca="1" si="39"/>
        <v>navy</v>
      </c>
      <c r="BG280" s="40" t="s">
        <v>688</v>
      </c>
      <c r="BH280" s="40" t="str">
        <f t="shared" ca="1" si="40"/>
        <v>,{"type":"marker","latLng":{"lat":35.429607,"lng":133.348251},"color":"navy"}</v>
      </c>
      <c r="BI280" s="40" t="s">
        <v>693</v>
      </c>
      <c r="BJ280" s="40" t="s">
        <v>694</v>
      </c>
      <c r="BK280" s="267" t="str">
        <f t="shared" ca="1" si="41"/>
        <v>,{"type":"polyline","latLngs":[{"lat":35.429607,"lng":133.348251},{"lat":35.427756,"lng":133.346015}],"color":"navy"}</v>
      </c>
    </row>
    <row r="281" spans="7:63" ht="17.5">
      <c r="G281" s="261"/>
      <c r="H281" s="262" t="s">
        <v>672</v>
      </c>
      <c r="I281" s="93" t="str">
        <f ca="1">IFERROR(__xludf.DUMMYFUNCTION("""COMPUTED_VALUE"""),"Agent31")</f>
        <v>Agent31</v>
      </c>
      <c r="J281" s="93" t="str">
        <f ca="1">IFERROR(__xludf.DUMMYFUNCTION("""COMPUTED_VALUE"""),"P306")</f>
        <v>P306</v>
      </c>
      <c r="K281" s="93" t="str">
        <f ca="1">IFERROR(__xludf.DUMMYFUNCTION("""COMPUTED_VALUE"""),"P307")</f>
        <v>P307</v>
      </c>
      <c r="L281" s="242" t="s">
        <v>681</v>
      </c>
      <c r="M281" s="263" t="str">
        <f t="shared" ca="1" si="22"/>
        <v>navy</v>
      </c>
      <c r="N281" s="264" t="str">
        <f ca="1">IFERROR(__xludf.DUMMYFUNCTION("FILTER(C:E,B:B=J281)"),"どらドラパーク米子庭球場")</f>
        <v>どらドラパーク米子庭球場</v>
      </c>
      <c r="O281" s="265">
        <f ca="1">IFERROR(__xludf.DUMMYFUNCTION("""COMPUTED_VALUE"""),35.429373)</f>
        <v>35.429372999999998</v>
      </c>
      <c r="P281" s="265">
        <f ca="1">IFERROR(__xludf.DUMMYFUNCTION("""COMPUTED_VALUE"""),133.3503)</f>
        <v>133.3503</v>
      </c>
      <c r="Q281" s="264" t="str">
        <f ca="1">IFERROR(__xludf.DUMMYFUNCTION("FILTER(C:E,B:B=K281)"),"NPB 未来の侍プロジェクト")</f>
        <v>NPB 未来の侍プロジェクト</v>
      </c>
      <c r="R281" s="265">
        <f ca="1">IFERROR(__xludf.DUMMYFUNCTION("""COMPUTED_VALUE"""),35.429607)</f>
        <v>35.429606999999997</v>
      </c>
      <c r="S281" s="265">
        <f ca="1">IFERROR(__xludf.DUMMYFUNCTION("""COMPUTED_VALUE"""),133.348251)</f>
        <v>133.348251</v>
      </c>
      <c r="T281" s="264" t="str">
        <f ca="1">IFERROR(__xludf.DUMMYFUNCTION("FILTER(C:E,B:B=L281)")," ")</f>
        <v xml:space="preserve"> </v>
      </c>
      <c r="U281" s="40" t="str">
        <f ca="1">IFERROR(__xludf.DUMMYFUNCTION("""COMPUTED_VALUE""")," ")</f>
        <v xml:space="preserve"> </v>
      </c>
      <c r="V281" s="40" t="str">
        <f ca="1">IFERROR(__xludf.DUMMYFUNCTION("""COMPUTED_VALUE""")," ")</f>
        <v xml:space="preserve"> </v>
      </c>
      <c r="W281" s="40" t="str">
        <f t="shared" ca="1" si="42"/>
        <v>,</v>
      </c>
      <c r="X281" s="40" t="s">
        <v>682</v>
      </c>
      <c r="Y281" s="40" t="s">
        <v>683</v>
      </c>
      <c r="Z281" s="264">
        <f t="shared" ca="1" si="23"/>
        <v>35.429372999999998</v>
      </c>
      <c r="AA281" s="40" t="s">
        <v>684</v>
      </c>
      <c r="AB281" s="264">
        <f t="shared" ca="1" si="24"/>
        <v>133.3503</v>
      </c>
      <c r="AC281" s="40" t="s">
        <v>685</v>
      </c>
      <c r="AD281" s="264">
        <f t="shared" ca="1" si="25"/>
        <v>35.429606999999997</v>
      </c>
      <c r="AE281" s="40" t="s">
        <v>684</v>
      </c>
      <c r="AF281" s="264">
        <f t="shared" ca="1" si="26"/>
        <v>133.348251</v>
      </c>
      <c r="AG281" s="40" t="s">
        <v>686</v>
      </c>
      <c r="AH281" s="264" t="str">
        <f t="shared" ca="1" si="27"/>
        <v xml:space="preserve"> </v>
      </c>
      <c r="AI281" s="40" t="s">
        <v>684</v>
      </c>
      <c r="AJ281" s="264" t="str">
        <f t="shared" ca="1" si="28"/>
        <v xml:space="preserve"> </v>
      </c>
      <c r="AK281" s="40" t="s">
        <v>687</v>
      </c>
      <c r="AL281" s="264" t="str">
        <f t="shared" ca="1" si="29"/>
        <v>navy</v>
      </c>
      <c r="AM281" s="40" t="s">
        <v>688</v>
      </c>
      <c r="AN281" s="40" t="str">
        <f t="shared" ca="1" si="30"/>
        <v>,{"type":"polygon","latLngs":[ {"lat":35.429373,"lng":133.3503}, {"lat":35.429607,"lng":133.348251},{"lat": ,"lng": }], "color":"navy"}</v>
      </c>
      <c r="AO281" s="266" t="s">
        <v>689</v>
      </c>
      <c r="AP281" s="56">
        <f t="shared" ca="1" si="31"/>
        <v>35.429372999999998</v>
      </c>
      <c r="AQ281" s="40" t="s">
        <v>684</v>
      </c>
      <c r="AR281" s="56">
        <f t="shared" ca="1" si="32"/>
        <v>133.3503</v>
      </c>
      <c r="AS281" s="40" t="s">
        <v>686</v>
      </c>
      <c r="AT281" s="56">
        <f t="shared" ca="1" si="33"/>
        <v>35.429606999999997</v>
      </c>
      <c r="AU281" s="40" t="s">
        <v>684</v>
      </c>
      <c r="AV281" s="56">
        <f t="shared" ca="1" si="34"/>
        <v>133.348251</v>
      </c>
      <c r="AW281" s="40" t="s">
        <v>690</v>
      </c>
      <c r="AX281" s="40" t="str">
        <f t="shared" ca="1" si="35"/>
        <v>navy</v>
      </c>
      <c r="AY281" s="40" t="s">
        <v>688</v>
      </c>
      <c r="AZ281" s="40" t="str">
        <f t="shared" ca="1" si="36"/>
        <v>,{"type":"polyline","latLngs":[{"lat":35.429373,"lng":133.3503},{"lat":35.429607,"lng":133.348251}],"color":"navy"}</v>
      </c>
      <c r="BA281" s="40" t="s">
        <v>691</v>
      </c>
      <c r="BB281" s="56">
        <f t="shared" ca="1" si="37"/>
        <v>35.429372999999998</v>
      </c>
      <c r="BC281" s="40" t="s">
        <v>684</v>
      </c>
      <c r="BD281" s="56">
        <f t="shared" ca="1" si="38"/>
        <v>133.3503</v>
      </c>
      <c r="BE281" s="40" t="s">
        <v>692</v>
      </c>
      <c r="BF281" s="40" t="str">
        <f t="shared" ca="1" si="39"/>
        <v>navy</v>
      </c>
      <c r="BG281" s="40" t="s">
        <v>688</v>
      </c>
      <c r="BH281" s="40" t="str">
        <f t="shared" ca="1" si="40"/>
        <v>,{"type":"marker","latLng":{"lat":35.429373,"lng":133.3503},"color":"navy"}</v>
      </c>
      <c r="BI281" s="40" t="s">
        <v>693</v>
      </c>
      <c r="BJ281" s="40" t="s">
        <v>694</v>
      </c>
      <c r="BK281" s="267" t="str">
        <f t="shared" ca="1" si="41"/>
        <v>,{"type":"polyline","latLngs":[{"lat":35.429373,"lng":133.3503},{"lat":35.429607,"lng":133.348251}],"color":"navy"}</v>
      </c>
    </row>
    <row r="282" spans="7:63" ht="17.5">
      <c r="G282" s="261"/>
      <c r="H282" s="262" t="s">
        <v>672</v>
      </c>
      <c r="I282" s="93" t="str">
        <f ca="1">IFERROR(__xludf.DUMMYFUNCTION("""COMPUTED_VALUE"""),"Agent31")</f>
        <v>Agent31</v>
      </c>
      <c r="J282" s="93" t="str">
        <f ca="1">IFERROR(__xludf.DUMMYFUNCTION("""COMPUTED_VALUE"""),"P306")</f>
        <v>P306</v>
      </c>
      <c r="K282" s="93" t="str">
        <f ca="1">IFERROR(__xludf.DUMMYFUNCTION("""COMPUTED_VALUE"""),"P302")</f>
        <v>P302</v>
      </c>
      <c r="L282" s="242" t="s">
        <v>681</v>
      </c>
      <c r="M282" s="263" t="str">
        <f t="shared" ca="1" si="22"/>
        <v>navy</v>
      </c>
      <c r="N282" s="264" t="str">
        <f ca="1">IFERROR(__xludf.DUMMYFUNCTION("FILTER(C:E,B:B=J282)"),"どらドラパーク米子庭球場")</f>
        <v>どらドラパーク米子庭球場</v>
      </c>
      <c r="O282" s="265">
        <f ca="1">IFERROR(__xludf.DUMMYFUNCTION("""COMPUTED_VALUE"""),35.429373)</f>
        <v>35.429372999999998</v>
      </c>
      <c r="P282" s="265">
        <f ca="1">IFERROR(__xludf.DUMMYFUNCTION("""COMPUTED_VALUE"""),133.3503)</f>
        <v>133.3503</v>
      </c>
      <c r="Q282" s="264" t="str">
        <f ca="1">IFERROR(__xludf.DUMMYFUNCTION("FILTER(C:E,B:B=K282)"),"陽田山 経王寺")</f>
        <v>陽田山 経王寺</v>
      </c>
      <c r="R282" s="265">
        <f ca="1">IFERROR(__xludf.DUMMYFUNCTION("""COMPUTED_VALUE"""),35.427756)</f>
        <v>35.427756000000002</v>
      </c>
      <c r="S282" s="265">
        <f ca="1">IFERROR(__xludf.DUMMYFUNCTION("""COMPUTED_VALUE"""),133.346015)</f>
        <v>133.34601499999999</v>
      </c>
      <c r="T282" s="264" t="str">
        <f ca="1">IFERROR(__xludf.DUMMYFUNCTION("FILTER(C:E,B:B=L282)")," ")</f>
        <v xml:space="preserve"> </v>
      </c>
      <c r="U282" s="40" t="str">
        <f ca="1">IFERROR(__xludf.DUMMYFUNCTION("""COMPUTED_VALUE""")," ")</f>
        <v xml:space="preserve"> </v>
      </c>
      <c r="V282" s="40" t="str">
        <f ca="1">IFERROR(__xludf.DUMMYFUNCTION("""COMPUTED_VALUE""")," ")</f>
        <v xml:space="preserve"> </v>
      </c>
      <c r="W282" s="40" t="str">
        <f t="shared" ca="1" si="42"/>
        <v>,</v>
      </c>
      <c r="X282" s="40" t="s">
        <v>682</v>
      </c>
      <c r="Y282" s="40" t="s">
        <v>683</v>
      </c>
      <c r="Z282" s="264">
        <f t="shared" ca="1" si="23"/>
        <v>35.429372999999998</v>
      </c>
      <c r="AA282" s="40" t="s">
        <v>684</v>
      </c>
      <c r="AB282" s="264">
        <f t="shared" ca="1" si="24"/>
        <v>133.3503</v>
      </c>
      <c r="AC282" s="40" t="s">
        <v>685</v>
      </c>
      <c r="AD282" s="264">
        <f t="shared" ca="1" si="25"/>
        <v>35.427756000000002</v>
      </c>
      <c r="AE282" s="40" t="s">
        <v>684</v>
      </c>
      <c r="AF282" s="264">
        <f t="shared" ca="1" si="26"/>
        <v>133.34601499999999</v>
      </c>
      <c r="AG282" s="40" t="s">
        <v>686</v>
      </c>
      <c r="AH282" s="264" t="str">
        <f t="shared" ca="1" si="27"/>
        <v xml:space="preserve"> </v>
      </c>
      <c r="AI282" s="40" t="s">
        <v>684</v>
      </c>
      <c r="AJ282" s="264" t="str">
        <f t="shared" ca="1" si="28"/>
        <v xml:space="preserve"> </v>
      </c>
      <c r="AK282" s="40" t="s">
        <v>687</v>
      </c>
      <c r="AL282" s="264" t="str">
        <f t="shared" ca="1" si="29"/>
        <v>navy</v>
      </c>
      <c r="AM282" s="40" t="s">
        <v>688</v>
      </c>
      <c r="AN282" s="40" t="str">
        <f t="shared" ca="1" si="30"/>
        <v>,{"type":"polygon","latLngs":[ {"lat":35.429373,"lng":133.3503}, {"lat":35.427756,"lng":133.346015},{"lat": ,"lng": }], "color":"navy"}</v>
      </c>
      <c r="AO282" s="266" t="s">
        <v>689</v>
      </c>
      <c r="AP282" s="56">
        <f t="shared" ca="1" si="31"/>
        <v>35.429372999999998</v>
      </c>
      <c r="AQ282" s="40" t="s">
        <v>684</v>
      </c>
      <c r="AR282" s="56">
        <f t="shared" ca="1" si="32"/>
        <v>133.3503</v>
      </c>
      <c r="AS282" s="40" t="s">
        <v>686</v>
      </c>
      <c r="AT282" s="56">
        <f t="shared" ca="1" si="33"/>
        <v>35.427756000000002</v>
      </c>
      <c r="AU282" s="40" t="s">
        <v>684</v>
      </c>
      <c r="AV282" s="56">
        <f t="shared" ca="1" si="34"/>
        <v>133.34601499999999</v>
      </c>
      <c r="AW282" s="40" t="s">
        <v>690</v>
      </c>
      <c r="AX282" s="40" t="str">
        <f t="shared" ca="1" si="35"/>
        <v>navy</v>
      </c>
      <c r="AY282" s="40" t="s">
        <v>688</v>
      </c>
      <c r="AZ282" s="40" t="str">
        <f t="shared" ca="1" si="36"/>
        <v>,{"type":"polyline","latLngs":[{"lat":35.429373,"lng":133.3503},{"lat":35.427756,"lng":133.346015}],"color":"navy"}</v>
      </c>
      <c r="BA282" s="40" t="s">
        <v>691</v>
      </c>
      <c r="BB282" s="56">
        <f t="shared" ca="1" si="37"/>
        <v>35.429372999999998</v>
      </c>
      <c r="BC282" s="40" t="s">
        <v>684</v>
      </c>
      <c r="BD282" s="56">
        <f t="shared" ca="1" si="38"/>
        <v>133.3503</v>
      </c>
      <c r="BE282" s="40" t="s">
        <v>692</v>
      </c>
      <c r="BF282" s="40" t="str">
        <f t="shared" ca="1" si="39"/>
        <v>navy</v>
      </c>
      <c r="BG282" s="40" t="s">
        <v>688</v>
      </c>
      <c r="BH282" s="40" t="str">
        <f t="shared" ca="1" si="40"/>
        <v>,{"type":"marker","latLng":{"lat":35.429373,"lng":133.3503},"color":"navy"}</v>
      </c>
      <c r="BI282" s="40" t="s">
        <v>693</v>
      </c>
      <c r="BJ282" s="40" t="s">
        <v>694</v>
      </c>
      <c r="BK282" s="267" t="str">
        <f t="shared" ca="1" si="41"/>
        <v>,{"type":"polyline","latLngs":[{"lat":35.429373,"lng":133.3503},{"lat":35.427756,"lng":133.346015}],"color":"navy"}</v>
      </c>
    </row>
    <row r="283" spans="7:63" ht="17.5">
      <c r="G283" s="261"/>
      <c r="H283" s="262" t="s">
        <v>672</v>
      </c>
      <c r="I283" s="93" t="str">
        <f ca="1">IFERROR(__xludf.DUMMYFUNCTION("""COMPUTED_VALUE"""),"Agent31")</f>
        <v>Agent31</v>
      </c>
      <c r="J283" s="93" t="str">
        <f ca="1">IFERROR(__xludf.DUMMYFUNCTION("""COMPUTED_VALUE"""),"P306")</f>
        <v>P306</v>
      </c>
      <c r="K283" s="93" t="str">
        <f ca="1">IFERROR(__xludf.DUMMYFUNCTION("""COMPUTED_VALUE"""),"P311")</f>
        <v>P311</v>
      </c>
      <c r="L283" s="242" t="s">
        <v>681</v>
      </c>
      <c r="M283" s="263" t="str">
        <f t="shared" ca="1" si="22"/>
        <v>navy</v>
      </c>
      <c r="N283" s="264" t="str">
        <f ca="1">IFERROR(__xludf.DUMMYFUNCTION("FILTER(C:E,B:B=J283)"),"どらドラパーク米子庭球場")</f>
        <v>どらドラパーク米子庭球場</v>
      </c>
      <c r="O283" s="265">
        <f ca="1">IFERROR(__xludf.DUMMYFUNCTION("""COMPUTED_VALUE"""),35.429373)</f>
        <v>35.429372999999998</v>
      </c>
      <c r="P283" s="265">
        <f ca="1">IFERROR(__xludf.DUMMYFUNCTION("""COMPUTED_VALUE"""),133.3503)</f>
        <v>133.3503</v>
      </c>
      <c r="Q283" s="264" t="str">
        <f ca="1">IFERROR(__xludf.DUMMYFUNCTION("FILTER(C:E,B:B=K283)"),"彫刻作品「つまみぐい」")</f>
        <v>彫刻作品「つまみぐい」</v>
      </c>
      <c r="R283" s="265">
        <f ca="1">IFERROR(__xludf.DUMMYFUNCTION("""COMPUTED_VALUE"""),35.430804)</f>
        <v>35.430804000000002</v>
      </c>
      <c r="S283" s="265">
        <f ca="1">IFERROR(__xludf.DUMMYFUNCTION("""COMPUTED_VALUE"""),133.34822)</f>
        <v>133.34822</v>
      </c>
      <c r="T283" s="264" t="str">
        <f ca="1">IFERROR(__xludf.DUMMYFUNCTION("FILTER(C:E,B:B=L283)")," ")</f>
        <v xml:space="preserve"> </v>
      </c>
      <c r="U283" s="40" t="str">
        <f ca="1">IFERROR(__xludf.DUMMYFUNCTION("""COMPUTED_VALUE""")," ")</f>
        <v xml:space="preserve"> </v>
      </c>
      <c r="V283" s="40" t="str">
        <f ca="1">IFERROR(__xludf.DUMMYFUNCTION("""COMPUTED_VALUE""")," ")</f>
        <v xml:space="preserve"> </v>
      </c>
      <c r="W283" s="40" t="str">
        <f t="shared" ca="1" si="42"/>
        <v>,</v>
      </c>
      <c r="X283" s="40" t="s">
        <v>682</v>
      </c>
      <c r="Y283" s="40" t="s">
        <v>683</v>
      </c>
      <c r="Z283" s="264">
        <f t="shared" ca="1" si="23"/>
        <v>35.429372999999998</v>
      </c>
      <c r="AA283" s="40" t="s">
        <v>684</v>
      </c>
      <c r="AB283" s="264">
        <f t="shared" ca="1" si="24"/>
        <v>133.3503</v>
      </c>
      <c r="AC283" s="40" t="s">
        <v>685</v>
      </c>
      <c r="AD283" s="264">
        <f t="shared" ca="1" si="25"/>
        <v>35.430804000000002</v>
      </c>
      <c r="AE283" s="40" t="s">
        <v>684</v>
      </c>
      <c r="AF283" s="264">
        <f t="shared" ca="1" si="26"/>
        <v>133.34822</v>
      </c>
      <c r="AG283" s="40" t="s">
        <v>686</v>
      </c>
      <c r="AH283" s="264" t="str">
        <f t="shared" ca="1" si="27"/>
        <v xml:space="preserve"> </v>
      </c>
      <c r="AI283" s="40" t="s">
        <v>684</v>
      </c>
      <c r="AJ283" s="264" t="str">
        <f t="shared" ca="1" si="28"/>
        <v xml:space="preserve"> </v>
      </c>
      <c r="AK283" s="40" t="s">
        <v>687</v>
      </c>
      <c r="AL283" s="264" t="str">
        <f t="shared" ca="1" si="29"/>
        <v>navy</v>
      </c>
      <c r="AM283" s="40" t="s">
        <v>688</v>
      </c>
      <c r="AN283" s="40" t="str">
        <f t="shared" ca="1" si="30"/>
        <v>,{"type":"polygon","latLngs":[ {"lat":35.429373,"lng":133.3503}, {"lat":35.430804,"lng":133.34822},{"lat": ,"lng": }], "color":"navy"}</v>
      </c>
      <c r="AO283" s="266" t="s">
        <v>689</v>
      </c>
      <c r="AP283" s="56">
        <f t="shared" ca="1" si="31"/>
        <v>35.429372999999998</v>
      </c>
      <c r="AQ283" s="40" t="s">
        <v>684</v>
      </c>
      <c r="AR283" s="56">
        <f t="shared" ca="1" si="32"/>
        <v>133.3503</v>
      </c>
      <c r="AS283" s="40" t="s">
        <v>686</v>
      </c>
      <c r="AT283" s="56">
        <f t="shared" ca="1" si="33"/>
        <v>35.430804000000002</v>
      </c>
      <c r="AU283" s="40" t="s">
        <v>684</v>
      </c>
      <c r="AV283" s="56">
        <f t="shared" ca="1" si="34"/>
        <v>133.34822</v>
      </c>
      <c r="AW283" s="40" t="s">
        <v>690</v>
      </c>
      <c r="AX283" s="40" t="str">
        <f t="shared" ca="1" si="35"/>
        <v>navy</v>
      </c>
      <c r="AY283" s="40" t="s">
        <v>688</v>
      </c>
      <c r="AZ283" s="40" t="str">
        <f t="shared" ca="1" si="36"/>
        <v>,{"type":"polyline","latLngs":[{"lat":35.429373,"lng":133.3503},{"lat":35.430804,"lng":133.34822}],"color":"navy"}</v>
      </c>
      <c r="BA283" s="40" t="s">
        <v>691</v>
      </c>
      <c r="BB283" s="56">
        <f t="shared" ca="1" si="37"/>
        <v>35.429372999999998</v>
      </c>
      <c r="BC283" s="40" t="s">
        <v>684</v>
      </c>
      <c r="BD283" s="56">
        <f t="shared" ca="1" si="38"/>
        <v>133.3503</v>
      </c>
      <c r="BE283" s="40" t="s">
        <v>692</v>
      </c>
      <c r="BF283" s="40" t="str">
        <f t="shared" ca="1" si="39"/>
        <v>navy</v>
      </c>
      <c r="BG283" s="40" t="s">
        <v>688</v>
      </c>
      <c r="BH283" s="40" t="str">
        <f t="shared" ca="1" si="40"/>
        <v>,{"type":"marker","latLng":{"lat":35.429373,"lng":133.3503},"color":"navy"}</v>
      </c>
      <c r="BI283" s="40" t="s">
        <v>693</v>
      </c>
      <c r="BJ283" s="40" t="s">
        <v>694</v>
      </c>
      <c r="BK283" s="267" t="str">
        <f t="shared" ca="1" si="41"/>
        <v>,{"type":"polyline","latLngs":[{"lat":35.429373,"lng":133.3503},{"lat":35.430804,"lng":133.34822}],"color":"navy"}</v>
      </c>
    </row>
    <row r="284" spans="7:63" ht="17.5">
      <c r="G284" s="261"/>
      <c r="H284" s="262" t="s">
        <v>672</v>
      </c>
      <c r="I284" s="93" t="str">
        <f ca="1">IFERROR(__xludf.DUMMYFUNCTION("""COMPUTED_VALUE"""),"Agent32")</f>
        <v>Agent32</v>
      </c>
      <c r="J284" s="93" t="str">
        <f ca="1">IFERROR(__xludf.DUMMYFUNCTION("""COMPUTED_VALUE"""),"P318")</f>
        <v>P318</v>
      </c>
      <c r="K284" s="93" t="str">
        <f ca="1">IFERROR(__xludf.DUMMYFUNCTION("""COMPUTED_VALUE"""),"P319")</f>
        <v>P319</v>
      </c>
      <c r="L284" s="242" t="s">
        <v>681</v>
      </c>
      <c r="M284" s="263" t="str">
        <f t="shared" ca="1" si="22"/>
        <v>blueviolet</v>
      </c>
      <c r="N284" s="264" t="str">
        <f ca="1">IFERROR(__xludf.DUMMYFUNCTION("FILTER(C:E,B:B=J284)"),"米川案内板")</f>
        <v>米川案内板</v>
      </c>
      <c r="O284" s="265">
        <f ca="1">IFERROR(__xludf.DUMMYFUNCTION("""COMPUTED_VALUE"""),35.434559)</f>
        <v>35.434559</v>
      </c>
      <c r="P284" s="265">
        <f ca="1">IFERROR(__xludf.DUMMYFUNCTION("""COMPUTED_VALUE"""),133.346848)</f>
        <v>133.34684799999999</v>
      </c>
      <c r="Q284" s="264" t="str">
        <f ca="1">IFERROR(__xludf.DUMMYFUNCTION("FILTER(C:E,B:B=K284)"),"米子中島簡易郵便局")</f>
        <v>米子中島簡易郵便局</v>
      </c>
      <c r="R284" s="265">
        <f ca="1">IFERROR(__xludf.DUMMYFUNCTION("""COMPUTED_VALUE"""),35.434604)</f>
        <v>35.434604</v>
      </c>
      <c r="S284" s="265">
        <f ca="1">IFERROR(__xludf.DUMMYFUNCTION("""COMPUTED_VALUE"""),133.349539)</f>
        <v>133.34953899999999</v>
      </c>
      <c r="T284" s="264" t="str">
        <f ca="1">IFERROR(__xludf.DUMMYFUNCTION("FILTER(C:E,B:B=L284)")," ")</f>
        <v xml:space="preserve"> </v>
      </c>
      <c r="U284" s="40" t="str">
        <f ca="1">IFERROR(__xludf.DUMMYFUNCTION("""COMPUTED_VALUE""")," ")</f>
        <v xml:space="preserve"> </v>
      </c>
      <c r="V284" s="40" t="str">
        <f ca="1">IFERROR(__xludf.DUMMYFUNCTION("""COMPUTED_VALUE""")," ")</f>
        <v xml:space="preserve"> </v>
      </c>
      <c r="W284" s="40" t="str">
        <f t="shared" ca="1" si="42"/>
        <v>,</v>
      </c>
      <c r="X284" s="40" t="s">
        <v>682</v>
      </c>
      <c r="Y284" s="40" t="s">
        <v>683</v>
      </c>
      <c r="Z284" s="264">
        <f t="shared" ca="1" si="23"/>
        <v>35.434559</v>
      </c>
      <c r="AA284" s="40" t="s">
        <v>684</v>
      </c>
      <c r="AB284" s="264">
        <f t="shared" ca="1" si="24"/>
        <v>133.34684799999999</v>
      </c>
      <c r="AC284" s="40" t="s">
        <v>685</v>
      </c>
      <c r="AD284" s="264">
        <f t="shared" ca="1" si="25"/>
        <v>35.434604</v>
      </c>
      <c r="AE284" s="40" t="s">
        <v>684</v>
      </c>
      <c r="AF284" s="264">
        <f t="shared" ca="1" si="26"/>
        <v>133.34953899999999</v>
      </c>
      <c r="AG284" s="40" t="s">
        <v>686</v>
      </c>
      <c r="AH284" s="264" t="str">
        <f t="shared" ca="1" si="27"/>
        <v xml:space="preserve"> </v>
      </c>
      <c r="AI284" s="40" t="s">
        <v>684</v>
      </c>
      <c r="AJ284" s="264" t="str">
        <f t="shared" ca="1" si="28"/>
        <v xml:space="preserve"> </v>
      </c>
      <c r="AK284" s="40" t="s">
        <v>687</v>
      </c>
      <c r="AL284" s="264" t="str">
        <f t="shared" ca="1" si="29"/>
        <v>blueviolet</v>
      </c>
      <c r="AM284" s="40" t="s">
        <v>688</v>
      </c>
      <c r="AN284" s="40" t="str">
        <f t="shared" ca="1" si="30"/>
        <v>,{"type":"polygon","latLngs":[ {"lat":35.434559,"lng":133.346848}, {"lat":35.434604,"lng":133.349539},{"lat": ,"lng": }], "color":"blueviolet"}</v>
      </c>
      <c r="AO284" s="266" t="s">
        <v>689</v>
      </c>
      <c r="AP284" s="56">
        <f t="shared" ca="1" si="31"/>
        <v>35.434559</v>
      </c>
      <c r="AQ284" s="40" t="s">
        <v>684</v>
      </c>
      <c r="AR284" s="56">
        <f t="shared" ca="1" si="32"/>
        <v>133.34684799999999</v>
      </c>
      <c r="AS284" s="40" t="s">
        <v>686</v>
      </c>
      <c r="AT284" s="56">
        <f t="shared" ca="1" si="33"/>
        <v>35.434604</v>
      </c>
      <c r="AU284" s="40" t="s">
        <v>684</v>
      </c>
      <c r="AV284" s="56">
        <f t="shared" ca="1" si="34"/>
        <v>133.34953899999999</v>
      </c>
      <c r="AW284" s="40" t="s">
        <v>690</v>
      </c>
      <c r="AX284" s="40" t="str">
        <f t="shared" ca="1" si="35"/>
        <v>blueviolet</v>
      </c>
      <c r="AY284" s="40" t="s">
        <v>688</v>
      </c>
      <c r="AZ284" s="40" t="str">
        <f t="shared" ca="1" si="36"/>
        <v>,{"type":"polyline","latLngs":[{"lat":35.434559,"lng":133.346848},{"lat":35.434604,"lng":133.349539}],"color":"blueviolet"}</v>
      </c>
      <c r="BA284" s="40" t="s">
        <v>691</v>
      </c>
      <c r="BB284" s="56">
        <f t="shared" ca="1" si="37"/>
        <v>35.434559</v>
      </c>
      <c r="BC284" s="40" t="s">
        <v>684</v>
      </c>
      <c r="BD284" s="56">
        <f t="shared" ca="1" si="38"/>
        <v>133.34684799999999</v>
      </c>
      <c r="BE284" s="40" t="s">
        <v>692</v>
      </c>
      <c r="BF284" s="40" t="str">
        <f t="shared" ca="1" si="39"/>
        <v>blueviolet</v>
      </c>
      <c r="BG284" s="40" t="s">
        <v>688</v>
      </c>
      <c r="BH284" s="40" t="str">
        <f t="shared" ca="1" si="40"/>
        <v>,{"type":"marker","latLng":{"lat":35.434559,"lng":133.346848},"color":"blueviolet"}</v>
      </c>
      <c r="BI284" s="40" t="s">
        <v>693</v>
      </c>
      <c r="BJ284" s="40" t="s">
        <v>694</v>
      </c>
      <c r="BK284" s="267" t="str">
        <f t="shared" ca="1" si="41"/>
        <v>,{"type":"polyline","latLngs":[{"lat":35.434559,"lng":133.346848},{"lat":35.434604,"lng":133.349539}],"color":"blueviolet"}</v>
      </c>
    </row>
    <row r="285" spans="7:63" ht="17.5">
      <c r="G285" s="261"/>
      <c r="H285" s="262" t="s">
        <v>672</v>
      </c>
      <c r="I285" s="93" t="str">
        <f ca="1">IFERROR(__xludf.DUMMYFUNCTION("""COMPUTED_VALUE"""),"Agent32")</f>
        <v>Agent32</v>
      </c>
      <c r="J285" s="93" t="str">
        <f ca="1">IFERROR(__xludf.DUMMYFUNCTION("""COMPUTED_VALUE"""),"P317")</f>
        <v>P317</v>
      </c>
      <c r="K285" s="93" t="str">
        <f ca="1">IFERROR(__xludf.DUMMYFUNCTION("""COMPUTED_VALUE"""),"P318")</f>
        <v>P318</v>
      </c>
      <c r="L285" s="242" t="s">
        <v>681</v>
      </c>
      <c r="M285" s="263" t="str">
        <f t="shared" ca="1" si="22"/>
        <v>blueviolet</v>
      </c>
      <c r="N285" s="264" t="str">
        <f ca="1">IFERROR(__xludf.DUMMYFUNCTION("FILTER(C:E,B:B=J285)"),"桜27本の碑")</f>
        <v>桜27本の碑</v>
      </c>
      <c r="O285" s="265">
        <f ca="1">IFERROR(__xludf.DUMMYFUNCTION("""COMPUTED_VALUE"""),35.434111)</f>
        <v>35.434111000000001</v>
      </c>
      <c r="P285" s="265">
        <f ca="1">IFERROR(__xludf.DUMMYFUNCTION("""COMPUTED_VALUE"""),133.34488)</f>
        <v>133.34487999999999</v>
      </c>
      <c r="Q285" s="264" t="str">
        <f ca="1">IFERROR(__xludf.DUMMYFUNCTION("FILTER(C:E,B:B=K285)"),"米川案内板")</f>
        <v>米川案内板</v>
      </c>
      <c r="R285" s="265">
        <f ca="1">IFERROR(__xludf.DUMMYFUNCTION("""COMPUTED_VALUE"""),35.434559)</f>
        <v>35.434559</v>
      </c>
      <c r="S285" s="265">
        <f ca="1">IFERROR(__xludf.DUMMYFUNCTION("""COMPUTED_VALUE"""),133.346848)</f>
        <v>133.34684799999999</v>
      </c>
      <c r="T285" s="264" t="str">
        <f ca="1">IFERROR(__xludf.DUMMYFUNCTION("FILTER(C:E,B:B=L285)")," ")</f>
        <v xml:space="preserve"> </v>
      </c>
      <c r="U285" s="40" t="str">
        <f ca="1">IFERROR(__xludf.DUMMYFUNCTION("""COMPUTED_VALUE""")," ")</f>
        <v xml:space="preserve"> </v>
      </c>
      <c r="V285" s="40" t="str">
        <f ca="1">IFERROR(__xludf.DUMMYFUNCTION("""COMPUTED_VALUE""")," ")</f>
        <v xml:space="preserve"> </v>
      </c>
      <c r="W285" s="40" t="str">
        <f t="shared" ca="1" si="42"/>
        <v>,</v>
      </c>
      <c r="X285" s="40" t="s">
        <v>682</v>
      </c>
      <c r="Y285" s="40" t="s">
        <v>683</v>
      </c>
      <c r="Z285" s="264">
        <f t="shared" ca="1" si="23"/>
        <v>35.434111000000001</v>
      </c>
      <c r="AA285" s="40" t="s">
        <v>684</v>
      </c>
      <c r="AB285" s="264">
        <f t="shared" ca="1" si="24"/>
        <v>133.34487999999999</v>
      </c>
      <c r="AC285" s="40" t="s">
        <v>685</v>
      </c>
      <c r="AD285" s="264">
        <f t="shared" ca="1" si="25"/>
        <v>35.434559</v>
      </c>
      <c r="AE285" s="40" t="s">
        <v>684</v>
      </c>
      <c r="AF285" s="264">
        <f t="shared" ca="1" si="26"/>
        <v>133.34684799999999</v>
      </c>
      <c r="AG285" s="40" t="s">
        <v>686</v>
      </c>
      <c r="AH285" s="264" t="str">
        <f t="shared" ca="1" si="27"/>
        <v xml:space="preserve"> </v>
      </c>
      <c r="AI285" s="40" t="s">
        <v>684</v>
      </c>
      <c r="AJ285" s="264" t="str">
        <f t="shared" ca="1" si="28"/>
        <v xml:space="preserve"> </v>
      </c>
      <c r="AK285" s="40" t="s">
        <v>687</v>
      </c>
      <c r="AL285" s="264" t="str">
        <f t="shared" ca="1" si="29"/>
        <v>blueviolet</v>
      </c>
      <c r="AM285" s="40" t="s">
        <v>688</v>
      </c>
      <c r="AN285" s="40" t="str">
        <f t="shared" ca="1" si="30"/>
        <v>,{"type":"polygon","latLngs":[ {"lat":35.434111,"lng":133.34488}, {"lat":35.434559,"lng":133.346848},{"lat": ,"lng": }], "color":"blueviolet"}</v>
      </c>
      <c r="AO285" s="266" t="s">
        <v>689</v>
      </c>
      <c r="AP285" s="56">
        <f t="shared" ca="1" si="31"/>
        <v>35.434111000000001</v>
      </c>
      <c r="AQ285" s="40" t="s">
        <v>684</v>
      </c>
      <c r="AR285" s="56">
        <f t="shared" ca="1" si="32"/>
        <v>133.34487999999999</v>
      </c>
      <c r="AS285" s="40" t="s">
        <v>686</v>
      </c>
      <c r="AT285" s="56">
        <f t="shared" ca="1" si="33"/>
        <v>35.434559</v>
      </c>
      <c r="AU285" s="40" t="s">
        <v>684</v>
      </c>
      <c r="AV285" s="56">
        <f t="shared" ca="1" si="34"/>
        <v>133.34684799999999</v>
      </c>
      <c r="AW285" s="40" t="s">
        <v>690</v>
      </c>
      <c r="AX285" s="40" t="str">
        <f t="shared" ca="1" si="35"/>
        <v>blueviolet</v>
      </c>
      <c r="AY285" s="40" t="s">
        <v>688</v>
      </c>
      <c r="AZ285" s="40" t="str">
        <f t="shared" ca="1" si="36"/>
        <v>,{"type":"polyline","latLngs":[{"lat":35.434111,"lng":133.34488},{"lat":35.434559,"lng":133.346848}],"color":"blueviolet"}</v>
      </c>
      <c r="BA285" s="40" t="s">
        <v>691</v>
      </c>
      <c r="BB285" s="56">
        <f t="shared" ca="1" si="37"/>
        <v>35.434111000000001</v>
      </c>
      <c r="BC285" s="40" t="s">
        <v>684</v>
      </c>
      <c r="BD285" s="56">
        <f t="shared" ca="1" si="38"/>
        <v>133.34487999999999</v>
      </c>
      <c r="BE285" s="40" t="s">
        <v>692</v>
      </c>
      <c r="BF285" s="40" t="str">
        <f t="shared" ca="1" si="39"/>
        <v>blueviolet</v>
      </c>
      <c r="BG285" s="40" t="s">
        <v>688</v>
      </c>
      <c r="BH285" s="40" t="str">
        <f t="shared" ca="1" si="40"/>
        <v>,{"type":"marker","latLng":{"lat":35.434111,"lng":133.34488},"color":"blueviolet"}</v>
      </c>
      <c r="BI285" s="40" t="s">
        <v>693</v>
      </c>
      <c r="BJ285" s="40" t="s">
        <v>694</v>
      </c>
      <c r="BK285" s="267" t="str">
        <f t="shared" ca="1" si="41"/>
        <v>,{"type":"polyline","latLngs":[{"lat":35.434111,"lng":133.34488},{"lat":35.434559,"lng":133.346848}],"color":"blueviolet"}</v>
      </c>
    </row>
    <row r="286" spans="7:63" ht="17.5">
      <c r="G286" s="261"/>
      <c r="H286" s="262" t="s">
        <v>672</v>
      </c>
      <c r="I286" s="93" t="str">
        <f ca="1">IFERROR(__xludf.DUMMYFUNCTION("""COMPUTED_VALUE"""),"Agent32")</f>
        <v>Agent32</v>
      </c>
      <c r="J286" s="93" t="str">
        <f ca="1">IFERROR(__xludf.DUMMYFUNCTION("""COMPUTED_VALUE"""),"P317")</f>
        <v>P317</v>
      </c>
      <c r="K286" s="93" t="str">
        <f ca="1">IFERROR(__xludf.DUMMYFUNCTION("""COMPUTED_VALUE"""),"P319")</f>
        <v>P319</v>
      </c>
      <c r="L286" s="242" t="s">
        <v>681</v>
      </c>
      <c r="M286" s="263" t="str">
        <f t="shared" ca="1" si="22"/>
        <v>blueviolet</v>
      </c>
      <c r="N286" s="264" t="str">
        <f ca="1">IFERROR(__xludf.DUMMYFUNCTION("FILTER(C:E,B:B=J286)"),"桜27本の碑")</f>
        <v>桜27本の碑</v>
      </c>
      <c r="O286" s="265">
        <f ca="1">IFERROR(__xludf.DUMMYFUNCTION("""COMPUTED_VALUE"""),35.434111)</f>
        <v>35.434111000000001</v>
      </c>
      <c r="P286" s="265">
        <f ca="1">IFERROR(__xludf.DUMMYFUNCTION("""COMPUTED_VALUE"""),133.34488)</f>
        <v>133.34487999999999</v>
      </c>
      <c r="Q286" s="264" t="str">
        <f ca="1">IFERROR(__xludf.DUMMYFUNCTION("FILTER(C:E,B:B=K286)"),"米子中島簡易郵便局")</f>
        <v>米子中島簡易郵便局</v>
      </c>
      <c r="R286" s="265">
        <f ca="1">IFERROR(__xludf.DUMMYFUNCTION("""COMPUTED_VALUE"""),35.434604)</f>
        <v>35.434604</v>
      </c>
      <c r="S286" s="265">
        <f ca="1">IFERROR(__xludf.DUMMYFUNCTION("""COMPUTED_VALUE"""),133.349539)</f>
        <v>133.34953899999999</v>
      </c>
      <c r="T286" s="264" t="str">
        <f ca="1">IFERROR(__xludf.DUMMYFUNCTION("FILTER(C:E,B:B=L286)")," ")</f>
        <v xml:space="preserve"> </v>
      </c>
      <c r="U286" s="40" t="str">
        <f ca="1">IFERROR(__xludf.DUMMYFUNCTION("""COMPUTED_VALUE""")," ")</f>
        <v xml:space="preserve"> </v>
      </c>
      <c r="V286" s="40" t="str">
        <f ca="1">IFERROR(__xludf.DUMMYFUNCTION("""COMPUTED_VALUE""")," ")</f>
        <v xml:space="preserve"> </v>
      </c>
      <c r="W286" s="40" t="str">
        <f t="shared" ca="1" si="42"/>
        <v>,</v>
      </c>
      <c r="X286" s="40" t="s">
        <v>682</v>
      </c>
      <c r="Y286" s="40" t="s">
        <v>683</v>
      </c>
      <c r="Z286" s="264">
        <f t="shared" ca="1" si="23"/>
        <v>35.434111000000001</v>
      </c>
      <c r="AA286" s="40" t="s">
        <v>684</v>
      </c>
      <c r="AB286" s="264">
        <f t="shared" ca="1" si="24"/>
        <v>133.34487999999999</v>
      </c>
      <c r="AC286" s="40" t="s">
        <v>685</v>
      </c>
      <c r="AD286" s="264">
        <f t="shared" ca="1" si="25"/>
        <v>35.434604</v>
      </c>
      <c r="AE286" s="40" t="s">
        <v>684</v>
      </c>
      <c r="AF286" s="264">
        <f t="shared" ca="1" si="26"/>
        <v>133.34953899999999</v>
      </c>
      <c r="AG286" s="40" t="s">
        <v>686</v>
      </c>
      <c r="AH286" s="264" t="str">
        <f t="shared" ca="1" si="27"/>
        <v xml:space="preserve"> </v>
      </c>
      <c r="AI286" s="40" t="s">
        <v>684</v>
      </c>
      <c r="AJ286" s="264" t="str">
        <f t="shared" ca="1" si="28"/>
        <v xml:space="preserve"> </v>
      </c>
      <c r="AK286" s="40" t="s">
        <v>687</v>
      </c>
      <c r="AL286" s="264" t="str">
        <f t="shared" ca="1" si="29"/>
        <v>blueviolet</v>
      </c>
      <c r="AM286" s="40" t="s">
        <v>688</v>
      </c>
      <c r="AN286" s="40" t="str">
        <f t="shared" ca="1" si="30"/>
        <v>,{"type":"polygon","latLngs":[ {"lat":35.434111,"lng":133.34488}, {"lat":35.434604,"lng":133.349539},{"lat": ,"lng": }], "color":"blueviolet"}</v>
      </c>
      <c r="AO286" s="266" t="s">
        <v>689</v>
      </c>
      <c r="AP286" s="56">
        <f t="shared" ca="1" si="31"/>
        <v>35.434111000000001</v>
      </c>
      <c r="AQ286" s="40" t="s">
        <v>684</v>
      </c>
      <c r="AR286" s="56">
        <f t="shared" ca="1" si="32"/>
        <v>133.34487999999999</v>
      </c>
      <c r="AS286" s="40" t="s">
        <v>686</v>
      </c>
      <c r="AT286" s="56">
        <f t="shared" ca="1" si="33"/>
        <v>35.434604</v>
      </c>
      <c r="AU286" s="40" t="s">
        <v>684</v>
      </c>
      <c r="AV286" s="56">
        <f t="shared" ca="1" si="34"/>
        <v>133.34953899999999</v>
      </c>
      <c r="AW286" s="40" t="s">
        <v>690</v>
      </c>
      <c r="AX286" s="40" t="str">
        <f t="shared" ca="1" si="35"/>
        <v>blueviolet</v>
      </c>
      <c r="AY286" s="40" t="s">
        <v>688</v>
      </c>
      <c r="AZ286" s="40" t="str">
        <f t="shared" ca="1" si="36"/>
        <v>,{"type":"polyline","latLngs":[{"lat":35.434111,"lng":133.34488},{"lat":35.434604,"lng":133.349539}],"color":"blueviolet"}</v>
      </c>
      <c r="BA286" s="40" t="s">
        <v>691</v>
      </c>
      <c r="BB286" s="56">
        <f t="shared" ca="1" si="37"/>
        <v>35.434111000000001</v>
      </c>
      <c r="BC286" s="40" t="s">
        <v>684</v>
      </c>
      <c r="BD286" s="56">
        <f t="shared" ca="1" si="38"/>
        <v>133.34487999999999</v>
      </c>
      <c r="BE286" s="40" t="s">
        <v>692</v>
      </c>
      <c r="BF286" s="40" t="str">
        <f t="shared" ca="1" si="39"/>
        <v>blueviolet</v>
      </c>
      <c r="BG286" s="40" t="s">
        <v>688</v>
      </c>
      <c r="BH286" s="40" t="str">
        <f t="shared" ca="1" si="40"/>
        <v>,{"type":"marker","latLng":{"lat":35.434111,"lng":133.34488},"color":"blueviolet"}</v>
      </c>
      <c r="BI286" s="40" t="s">
        <v>693</v>
      </c>
      <c r="BJ286" s="40" t="s">
        <v>694</v>
      </c>
      <c r="BK286" s="267" t="str">
        <f t="shared" ca="1" si="41"/>
        <v>,{"type":"polyline","latLngs":[{"lat":35.434111,"lng":133.34488},{"lat":35.434604,"lng":133.349539}],"color":"blueviolet"}</v>
      </c>
    </row>
    <row r="287" spans="7:63" ht="17.5">
      <c r="G287" s="261"/>
      <c r="H287" s="262" t="s">
        <v>672</v>
      </c>
      <c r="I287" s="93" t="str">
        <f ca="1">IFERROR(__xludf.DUMMYFUNCTION("""COMPUTED_VALUE"""),"Agent32")</f>
        <v>Agent32</v>
      </c>
      <c r="J287" s="93" t="str">
        <f ca="1">IFERROR(__xludf.DUMMYFUNCTION("""COMPUTED_VALUE"""),"P317")</f>
        <v>P317</v>
      </c>
      <c r="K287" s="93" t="str">
        <f ca="1">IFERROR(__xludf.DUMMYFUNCTION("""COMPUTED_VALUE"""),"P304")</f>
        <v>P304</v>
      </c>
      <c r="L287" s="242" t="s">
        <v>681</v>
      </c>
      <c r="M287" s="263" t="str">
        <f t="shared" ca="1" si="22"/>
        <v>blueviolet</v>
      </c>
      <c r="N287" s="264" t="str">
        <f ca="1">IFERROR(__xludf.DUMMYFUNCTION("FILTER(C:E,B:B=J287)"),"桜27本の碑")</f>
        <v>桜27本の碑</v>
      </c>
      <c r="O287" s="265">
        <f ca="1">IFERROR(__xludf.DUMMYFUNCTION("""COMPUTED_VALUE"""),35.434111)</f>
        <v>35.434111000000001</v>
      </c>
      <c r="P287" s="265">
        <f ca="1">IFERROR(__xludf.DUMMYFUNCTION("""COMPUTED_VALUE"""),133.34488)</f>
        <v>133.34487999999999</v>
      </c>
      <c r="Q287" s="264" t="str">
        <f ca="1">IFERROR(__xludf.DUMMYFUNCTION("FILTER(C:E,B:B=K287)"),"犬の像")</f>
        <v>犬の像</v>
      </c>
      <c r="R287" s="265">
        <f ca="1">IFERROR(__xludf.DUMMYFUNCTION("""COMPUTED_VALUE"""),35.42879)</f>
        <v>35.428789999999999</v>
      </c>
      <c r="S287" s="265">
        <f ca="1">IFERROR(__xludf.DUMMYFUNCTION("""COMPUTED_VALUE"""),133.345732)</f>
        <v>133.345732</v>
      </c>
      <c r="T287" s="264" t="str">
        <f ca="1">IFERROR(__xludf.DUMMYFUNCTION("FILTER(C:E,B:B=L287)")," ")</f>
        <v xml:space="preserve"> </v>
      </c>
      <c r="U287" s="40" t="str">
        <f ca="1">IFERROR(__xludf.DUMMYFUNCTION("""COMPUTED_VALUE""")," ")</f>
        <v xml:space="preserve"> </v>
      </c>
      <c r="V287" s="40" t="str">
        <f ca="1">IFERROR(__xludf.DUMMYFUNCTION("""COMPUTED_VALUE""")," ")</f>
        <v xml:space="preserve"> </v>
      </c>
      <c r="W287" s="40" t="str">
        <f t="shared" ca="1" si="42"/>
        <v>,</v>
      </c>
      <c r="X287" s="40" t="s">
        <v>682</v>
      </c>
      <c r="Y287" s="40" t="s">
        <v>683</v>
      </c>
      <c r="Z287" s="264">
        <f t="shared" ca="1" si="23"/>
        <v>35.434111000000001</v>
      </c>
      <c r="AA287" s="40" t="s">
        <v>684</v>
      </c>
      <c r="AB287" s="264">
        <f t="shared" ca="1" si="24"/>
        <v>133.34487999999999</v>
      </c>
      <c r="AC287" s="40" t="s">
        <v>685</v>
      </c>
      <c r="AD287" s="264">
        <f t="shared" ca="1" si="25"/>
        <v>35.428789999999999</v>
      </c>
      <c r="AE287" s="40" t="s">
        <v>684</v>
      </c>
      <c r="AF287" s="264">
        <f t="shared" ca="1" si="26"/>
        <v>133.345732</v>
      </c>
      <c r="AG287" s="40" t="s">
        <v>686</v>
      </c>
      <c r="AH287" s="264" t="str">
        <f t="shared" ca="1" si="27"/>
        <v xml:space="preserve"> </v>
      </c>
      <c r="AI287" s="40" t="s">
        <v>684</v>
      </c>
      <c r="AJ287" s="264" t="str">
        <f t="shared" ca="1" si="28"/>
        <v xml:space="preserve"> </v>
      </c>
      <c r="AK287" s="40" t="s">
        <v>687</v>
      </c>
      <c r="AL287" s="264" t="str">
        <f t="shared" ca="1" si="29"/>
        <v>blueviolet</v>
      </c>
      <c r="AM287" s="40" t="s">
        <v>688</v>
      </c>
      <c r="AN287" s="40" t="str">
        <f t="shared" ca="1" si="30"/>
        <v>,{"type":"polygon","latLngs":[ {"lat":35.434111,"lng":133.34488}, {"lat":35.42879,"lng":133.345732},{"lat": ,"lng": }], "color":"blueviolet"}</v>
      </c>
      <c r="AO287" s="266" t="s">
        <v>689</v>
      </c>
      <c r="AP287" s="56">
        <f t="shared" ca="1" si="31"/>
        <v>35.434111000000001</v>
      </c>
      <c r="AQ287" s="40" t="s">
        <v>684</v>
      </c>
      <c r="AR287" s="56">
        <f t="shared" ca="1" si="32"/>
        <v>133.34487999999999</v>
      </c>
      <c r="AS287" s="40" t="s">
        <v>686</v>
      </c>
      <c r="AT287" s="56">
        <f t="shared" ca="1" si="33"/>
        <v>35.428789999999999</v>
      </c>
      <c r="AU287" s="40" t="s">
        <v>684</v>
      </c>
      <c r="AV287" s="56">
        <f t="shared" ca="1" si="34"/>
        <v>133.345732</v>
      </c>
      <c r="AW287" s="40" t="s">
        <v>690</v>
      </c>
      <c r="AX287" s="40" t="str">
        <f t="shared" ca="1" si="35"/>
        <v>blueviolet</v>
      </c>
      <c r="AY287" s="40" t="s">
        <v>688</v>
      </c>
      <c r="AZ287" s="40" t="str">
        <f t="shared" ca="1" si="36"/>
        <v>,{"type":"polyline","latLngs":[{"lat":35.434111,"lng":133.34488},{"lat":35.42879,"lng":133.345732}],"color":"blueviolet"}</v>
      </c>
      <c r="BA287" s="40" t="s">
        <v>691</v>
      </c>
      <c r="BB287" s="56">
        <f t="shared" ca="1" si="37"/>
        <v>35.434111000000001</v>
      </c>
      <c r="BC287" s="40" t="s">
        <v>684</v>
      </c>
      <c r="BD287" s="56">
        <f t="shared" ca="1" si="38"/>
        <v>133.34487999999999</v>
      </c>
      <c r="BE287" s="40" t="s">
        <v>692</v>
      </c>
      <c r="BF287" s="40" t="str">
        <f t="shared" ca="1" si="39"/>
        <v>blueviolet</v>
      </c>
      <c r="BG287" s="40" t="s">
        <v>688</v>
      </c>
      <c r="BH287" s="40" t="str">
        <f t="shared" ca="1" si="40"/>
        <v>,{"type":"marker","latLng":{"lat":35.434111,"lng":133.34488},"color":"blueviolet"}</v>
      </c>
      <c r="BI287" s="40" t="s">
        <v>693</v>
      </c>
      <c r="BJ287" s="40" t="s">
        <v>694</v>
      </c>
      <c r="BK287" s="267" t="str">
        <f t="shared" ca="1" si="41"/>
        <v>,{"type":"polyline","latLngs":[{"lat":35.434111,"lng":133.34488},{"lat":35.42879,"lng":133.345732}],"color":"blueviolet"}</v>
      </c>
    </row>
    <row r="288" spans="7:63" ht="17.5">
      <c r="G288" s="261"/>
      <c r="H288" s="262" t="s">
        <v>672</v>
      </c>
      <c r="I288" s="93" t="str">
        <f ca="1">IFERROR(__xludf.DUMMYFUNCTION("""COMPUTED_VALUE"""),"Agent32")</f>
        <v>Agent32</v>
      </c>
      <c r="J288" s="93" t="str">
        <f ca="1">IFERROR(__xludf.DUMMYFUNCTION("""COMPUTED_VALUE"""),"P317")</f>
        <v>P317</v>
      </c>
      <c r="K288" s="93" t="str">
        <f ca="1">IFERROR(__xludf.DUMMYFUNCTION("""COMPUTED_VALUE"""),"P305")</f>
        <v>P305</v>
      </c>
      <c r="L288" s="242" t="s">
        <v>681</v>
      </c>
      <c r="M288" s="263" t="str">
        <f t="shared" ca="1" si="22"/>
        <v>blueviolet</v>
      </c>
      <c r="N288" s="264" t="str">
        <f ca="1">IFERROR(__xludf.DUMMYFUNCTION("FILTER(C:E,B:B=J288)"),"桜27本の碑")</f>
        <v>桜27本の碑</v>
      </c>
      <c r="O288" s="265">
        <f ca="1">IFERROR(__xludf.DUMMYFUNCTION("""COMPUTED_VALUE"""),35.434111)</f>
        <v>35.434111000000001</v>
      </c>
      <c r="P288" s="265">
        <f ca="1">IFERROR(__xludf.DUMMYFUNCTION("""COMPUTED_VALUE"""),133.34488)</f>
        <v>133.34487999999999</v>
      </c>
      <c r="Q288" s="264" t="str">
        <f ca="1">IFERROR(__xludf.DUMMYFUNCTION("FILTER(C:E,B:B=K288)"),"イルカ")</f>
        <v>イルカ</v>
      </c>
      <c r="R288" s="265">
        <f ca="1">IFERROR(__xludf.DUMMYFUNCTION("""COMPUTED_VALUE"""),35.429056)</f>
        <v>35.429056000000003</v>
      </c>
      <c r="S288" s="265">
        <f ca="1">IFERROR(__xludf.DUMMYFUNCTION("""COMPUTED_VALUE"""),133.34528)</f>
        <v>133.34528</v>
      </c>
      <c r="T288" s="264" t="str">
        <f ca="1">IFERROR(__xludf.DUMMYFUNCTION("FILTER(C:E,B:B=L288)")," ")</f>
        <v xml:space="preserve"> </v>
      </c>
      <c r="U288" s="40" t="str">
        <f ca="1">IFERROR(__xludf.DUMMYFUNCTION("""COMPUTED_VALUE""")," ")</f>
        <v xml:space="preserve"> </v>
      </c>
      <c r="V288" s="40" t="str">
        <f ca="1">IFERROR(__xludf.DUMMYFUNCTION("""COMPUTED_VALUE""")," ")</f>
        <v xml:space="preserve"> </v>
      </c>
      <c r="W288" s="40" t="str">
        <f t="shared" ca="1" si="42"/>
        <v>,</v>
      </c>
      <c r="X288" s="40" t="s">
        <v>682</v>
      </c>
      <c r="Y288" s="40" t="s">
        <v>683</v>
      </c>
      <c r="Z288" s="264">
        <f t="shared" ca="1" si="23"/>
        <v>35.434111000000001</v>
      </c>
      <c r="AA288" s="40" t="s">
        <v>684</v>
      </c>
      <c r="AB288" s="264">
        <f t="shared" ca="1" si="24"/>
        <v>133.34487999999999</v>
      </c>
      <c r="AC288" s="40" t="s">
        <v>685</v>
      </c>
      <c r="AD288" s="264">
        <f t="shared" ca="1" si="25"/>
        <v>35.429056000000003</v>
      </c>
      <c r="AE288" s="40" t="s">
        <v>684</v>
      </c>
      <c r="AF288" s="264">
        <f t="shared" ca="1" si="26"/>
        <v>133.34528</v>
      </c>
      <c r="AG288" s="40" t="s">
        <v>686</v>
      </c>
      <c r="AH288" s="264" t="str">
        <f t="shared" ca="1" si="27"/>
        <v xml:space="preserve"> </v>
      </c>
      <c r="AI288" s="40" t="s">
        <v>684</v>
      </c>
      <c r="AJ288" s="264" t="str">
        <f t="shared" ca="1" si="28"/>
        <v xml:space="preserve"> </v>
      </c>
      <c r="AK288" s="40" t="s">
        <v>687</v>
      </c>
      <c r="AL288" s="264" t="str">
        <f t="shared" ca="1" si="29"/>
        <v>blueviolet</v>
      </c>
      <c r="AM288" s="40" t="s">
        <v>688</v>
      </c>
      <c r="AN288" s="40" t="str">
        <f t="shared" ca="1" si="30"/>
        <v>,{"type":"polygon","latLngs":[ {"lat":35.434111,"lng":133.34488}, {"lat":35.429056,"lng":133.34528},{"lat": ,"lng": }], "color":"blueviolet"}</v>
      </c>
      <c r="AO288" s="266" t="s">
        <v>689</v>
      </c>
      <c r="AP288" s="56">
        <f t="shared" ca="1" si="31"/>
        <v>35.434111000000001</v>
      </c>
      <c r="AQ288" s="40" t="s">
        <v>684</v>
      </c>
      <c r="AR288" s="56">
        <f t="shared" ca="1" si="32"/>
        <v>133.34487999999999</v>
      </c>
      <c r="AS288" s="40" t="s">
        <v>686</v>
      </c>
      <c r="AT288" s="56">
        <f t="shared" ca="1" si="33"/>
        <v>35.429056000000003</v>
      </c>
      <c r="AU288" s="40" t="s">
        <v>684</v>
      </c>
      <c r="AV288" s="56">
        <f t="shared" ca="1" si="34"/>
        <v>133.34528</v>
      </c>
      <c r="AW288" s="40" t="s">
        <v>690</v>
      </c>
      <c r="AX288" s="40" t="str">
        <f t="shared" ca="1" si="35"/>
        <v>blueviolet</v>
      </c>
      <c r="AY288" s="40" t="s">
        <v>688</v>
      </c>
      <c r="AZ288" s="40" t="str">
        <f t="shared" ca="1" si="36"/>
        <v>,{"type":"polyline","latLngs":[{"lat":35.434111,"lng":133.34488},{"lat":35.429056,"lng":133.34528}],"color":"blueviolet"}</v>
      </c>
      <c r="BA288" s="40" t="s">
        <v>691</v>
      </c>
      <c r="BB288" s="56">
        <f t="shared" ca="1" si="37"/>
        <v>35.434111000000001</v>
      </c>
      <c r="BC288" s="40" t="s">
        <v>684</v>
      </c>
      <c r="BD288" s="56">
        <f t="shared" ca="1" si="38"/>
        <v>133.34487999999999</v>
      </c>
      <c r="BE288" s="40" t="s">
        <v>692</v>
      </c>
      <c r="BF288" s="40" t="str">
        <f t="shared" ca="1" si="39"/>
        <v>blueviolet</v>
      </c>
      <c r="BG288" s="40" t="s">
        <v>688</v>
      </c>
      <c r="BH288" s="40" t="str">
        <f t="shared" ca="1" si="40"/>
        <v>,{"type":"marker","latLng":{"lat":35.434111,"lng":133.34488},"color":"blueviolet"}</v>
      </c>
      <c r="BI288" s="40" t="s">
        <v>693</v>
      </c>
      <c r="BJ288" s="40" t="s">
        <v>694</v>
      </c>
      <c r="BK288" s="267" t="str">
        <f t="shared" ca="1" si="41"/>
        <v>,{"type":"polyline","latLngs":[{"lat":35.434111,"lng":133.34488},{"lat":35.429056,"lng":133.34528}],"color":"blueviolet"}</v>
      </c>
    </row>
    <row r="289" spans="7:63" ht="17.5">
      <c r="G289" s="261"/>
      <c r="H289" s="262" t="s">
        <v>672</v>
      </c>
      <c r="I289" s="93" t="str">
        <f ca="1">IFERROR(__xludf.DUMMYFUNCTION("""COMPUTED_VALUE"""),"Agent32")</f>
        <v>Agent32</v>
      </c>
      <c r="J289" s="93" t="str">
        <f ca="1">IFERROR(__xludf.DUMMYFUNCTION("""COMPUTED_VALUE"""),"P316")</f>
        <v>P316</v>
      </c>
      <c r="K289" s="93" t="str">
        <f ca="1">IFERROR(__xludf.DUMMYFUNCTION("""COMPUTED_VALUE"""),"P315")</f>
        <v>P315</v>
      </c>
      <c r="L289" s="242" t="s">
        <v>681</v>
      </c>
      <c r="M289" s="263" t="str">
        <f t="shared" ca="1" si="22"/>
        <v>blueviolet</v>
      </c>
      <c r="N289" s="264" t="str">
        <f ca="1">IFERROR(__xludf.DUMMYFUNCTION("FILTER(C:E,B:B=J289)"),"住之江公園")</f>
        <v>住之江公園</v>
      </c>
      <c r="O289" s="265">
        <f ca="1">IFERROR(__xludf.DUMMYFUNCTION("""COMPUTED_VALUE"""),35.432997)</f>
        <v>35.432997</v>
      </c>
      <c r="P289" s="265">
        <f ca="1">IFERROR(__xludf.DUMMYFUNCTION("""COMPUTED_VALUE"""),133.34833)</f>
        <v>133.34833</v>
      </c>
      <c r="Q289" s="264" t="str">
        <f ca="1">IFERROR(__xludf.DUMMYFUNCTION("FILTER(C:E,B:B=K289)"),"コンクリートすべり台")</f>
        <v>コンクリートすべり台</v>
      </c>
      <c r="R289" s="265">
        <f ca="1">IFERROR(__xludf.DUMMYFUNCTION("""COMPUTED_VALUE"""),35.432603)</f>
        <v>35.432603</v>
      </c>
      <c r="S289" s="265">
        <f ca="1">IFERROR(__xludf.DUMMYFUNCTION("""COMPUTED_VALUE"""),133.347499)</f>
        <v>133.347499</v>
      </c>
      <c r="T289" s="264" t="str">
        <f ca="1">IFERROR(__xludf.DUMMYFUNCTION("FILTER(C:E,B:B=L289)")," ")</f>
        <v xml:space="preserve"> </v>
      </c>
      <c r="U289" s="40" t="str">
        <f ca="1">IFERROR(__xludf.DUMMYFUNCTION("""COMPUTED_VALUE""")," ")</f>
        <v xml:space="preserve"> </v>
      </c>
      <c r="V289" s="40" t="str">
        <f ca="1">IFERROR(__xludf.DUMMYFUNCTION("""COMPUTED_VALUE""")," ")</f>
        <v xml:space="preserve"> </v>
      </c>
      <c r="W289" s="40" t="str">
        <f t="shared" ca="1" si="42"/>
        <v>,</v>
      </c>
      <c r="X289" s="40" t="s">
        <v>682</v>
      </c>
      <c r="Y289" s="40" t="s">
        <v>683</v>
      </c>
      <c r="Z289" s="264">
        <f t="shared" ca="1" si="23"/>
        <v>35.432997</v>
      </c>
      <c r="AA289" s="40" t="s">
        <v>684</v>
      </c>
      <c r="AB289" s="264">
        <f t="shared" ca="1" si="24"/>
        <v>133.34833</v>
      </c>
      <c r="AC289" s="40" t="s">
        <v>685</v>
      </c>
      <c r="AD289" s="264">
        <f t="shared" ca="1" si="25"/>
        <v>35.432603</v>
      </c>
      <c r="AE289" s="40" t="s">
        <v>684</v>
      </c>
      <c r="AF289" s="264">
        <f t="shared" ca="1" si="26"/>
        <v>133.347499</v>
      </c>
      <c r="AG289" s="40" t="s">
        <v>686</v>
      </c>
      <c r="AH289" s="264" t="str">
        <f t="shared" ca="1" si="27"/>
        <v xml:space="preserve"> </v>
      </c>
      <c r="AI289" s="40" t="s">
        <v>684</v>
      </c>
      <c r="AJ289" s="264" t="str">
        <f t="shared" ca="1" si="28"/>
        <v xml:space="preserve"> </v>
      </c>
      <c r="AK289" s="40" t="s">
        <v>687</v>
      </c>
      <c r="AL289" s="264" t="str">
        <f t="shared" ca="1" si="29"/>
        <v>blueviolet</v>
      </c>
      <c r="AM289" s="40" t="s">
        <v>688</v>
      </c>
      <c r="AN289" s="40" t="str">
        <f t="shared" ca="1" si="30"/>
        <v>,{"type":"polygon","latLngs":[ {"lat":35.432997,"lng":133.34833}, {"lat":35.432603,"lng":133.347499},{"lat": ,"lng": }], "color":"blueviolet"}</v>
      </c>
      <c r="AO289" s="266" t="s">
        <v>689</v>
      </c>
      <c r="AP289" s="56">
        <f t="shared" ca="1" si="31"/>
        <v>35.432997</v>
      </c>
      <c r="AQ289" s="40" t="s">
        <v>684</v>
      </c>
      <c r="AR289" s="56">
        <f t="shared" ca="1" si="32"/>
        <v>133.34833</v>
      </c>
      <c r="AS289" s="40" t="s">
        <v>686</v>
      </c>
      <c r="AT289" s="56">
        <f t="shared" ca="1" si="33"/>
        <v>35.432603</v>
      </c>
      <c r="AU289" s="40" t="s">
        <v>684</v>
      </c>
      <c r="AV289" s="56">
        <f t="shared" ca="1" si="34"/>
        <v>133.347499</v>
      </c>
      <c r="AW289" s="40" t="s">
        <v>690</v>
      </c>
      <c r="AX289" s="40" t="str">
        <f t="shared" ca="1" si="35"/>
        <v>blueviolet</v>
      </c>
      <c r="AY289" s="40" t="s">
        <v>688</v>
      </c>
      <c r="AZ289" s="40" t="str">
        <f t="shared" ca="1" si="36"/>
        <v>,{"type":"polyline","latLngs":[{"lat":35.432997,"lng":133.34833},{"lat":35.432603,"lng":133.347499}],"color":"blueviolet"}</v>
      </c>
      <c r="BA289" s="40" t="s">
        <v>691</v>
      </c>
      <c r="BB289" s="56">
        <f t="shared" ca="1" si="37"/>
        <v>35.432997</v>
      </c>
      <c r="BC289" s="40" t="s">
        <v>684</v>
      </c>
      <c r="BD289" s="56">
        <f t="shared" ca="1" si="38"/>
        <v>133.34833</v>
      </c>
      <c r="BE289" s="40" t="s">
        <v>692</v>
      </c>
      <c r="BF289" s="40" t="str">
        <f t="shared" ca="1" si="39"/>
        <v>blueviolet</v>
      </c>
      <c r="BG289" s="40" t="s">
        <v>688</v>
      </c>
      <c r="BH289" s="40" t="str">
        <f t="shared" ca="1" si="40"/>
        <v>,{"type":"marker","latLng":{"lat":35.432997,"lng":133.34833},"color":"blueviolet"}</v>
      </c>
      <c r="BI289" s="40" t="s">
        <v>693</v>
      </c>
      <c r="BJ289" s="40" t="s">
        <v>694</v>
      </c>
      <c r="BK289" s="267" t="str">
        <f t="shared" ca="1" si="41"/>
        <v>,{"type":"polyline","latLngs":[{"lat":35.432997,"lng":133.34833},{"lat":35.432603,"lng":133.347499}],"color":"blueviolet"}</v>
      </c>
    </row>
    <row r="290" spans="7:63" ht="17.5">
      <c r="G290" s="261"/>
      <c r="H290" s="262" t="s">
        <v>672</v>
      </c>
      <c r="I290" s="93" t="str">
        <f ca="1">IFERROR(__xludf.DUMMYFUNCTION("""COMPUTED_VALUE"""),"Agent32")</f>
        <v>Agent32</v>
      </c>
      <c r="J290" s="93" t="str">
        <f ca="1">IFERROR(__xludf.DUMMYFUNCTION("""COMPUTED_VALUE"""),"P313")</f>
        <v>P313</v>
      </c>
      <c r="K290" s="93" t="str">
        <f ca="1">IFERROR(__xludf.DUMMYFUNCTION("""COMPUTED_VALUE"""),"P315")</f>
        <v>P315</v>
      </c>
      <c r="L290" s="242" t="s">
        <v>681</v>
      </c>
      <c r="M290" s="263" t="str">
        <f t="shared" ca="1" si="22"/>
        <v>blueviolet</v>
      </c>
      <c r="N290" s="264" t="str">
        <f ca="1">IFERROR(__xludf.DUMMYFUNCTION("FILTER(C:E,B:B=J290)"),"車尾の題目塔")</f>
        <v>車尾の題目塔</v>
      </c>
      <c r="O290" s="265">
        <f ca="1">IFERROR(__xludf.DUMMYFUNCTION("""COMPUTED_VALUE"""),35.43129)</f>
        <v>35.431289999999997</v>
      </c>
      <c r="P290" s="265">
        <f ca="1">IFERROR(__xludf.DUMMYFUNCTION("""COMPUTED_VALUE"""),133.350315)</f>
        <v>133.35031499999999</v>
      </c>
      <c r="Q290" s="264" t="str">
        <f ca="1">IFERROR(__xludf.DUMMYFUNCTION("FILTER(C:E,B:B=K290)"),"コンクリートすべり台")</f>
        <v>コンクリートすべり台</v>
      </c>
      <c r="R290" s="265">
        <f ca="1">IFERROR(__xludf.DUMMYFUNCTION("""COMPUTED_VALUE"""),35.432603)</f>
        <v>35.432603</v>
      </c>
      <c r="S290" s="265">
        <f ca="1">IFERROR(__xludf.DUMMYFUNCTION("""COMPUTED_VALUE"""),133.347499)</f>
        <v>133.347499</v>
      </c>
      <c r="T290" s="264" t="str">
        <f ca="1">IFERROR(__xludf.DUMMYFUNCTION("FILTER(C:E,B:B=L290)")," ")</f>
        <v xml:space="preserve"> </v>
      </c>
      <c r="U290" s="40" t="str">
        <f ca="1">IFERROR(__xludf.DUMMYFUNCTION("""COMPUTED_VALUE""")," ")</f>
        <v xml:space="preserve"> </v>
      </c>
      <c r="V290" s="40" t="str">
        <f ca="1">IFERROR(__xludf.DUMMYFUNCTION("""COMPUTED_VALUE""")," ")</f>
        <v xml:space="preserve"> </v>
      </c>
      <c r="W290" s="40" t="str">
        <f t="shared" ca="1" si="42"/>
        <v>,</v>
      </c>
      <c r="X290" s="40" t="s">
        <v>682</v>
      </c>
      <c r="Y290" s="40" t="s">
        <v>683</v>
      </c>
      <c r="Z290" s="264">
        <f t="shared" ca="1" si="23"/>
        <v>35.431289999999997</v>
      </c>
      <c r="AA290" s="40" t="s">
        <v>684</v>
      </c>
      <c r="AB290" s="264">
        <f t="shared" ca="1" si="24"/>
        <v>133.35031499999999</v>
      </c>
      <c r="AC290" s="40" t="s">
        <v>685</v>
      </c>
      <c r="AD290" s="264">
        <f t="shared" ca="1" si="25"/>
        <v>35.432603</v>
      </c>
      <c r="AE290" s="40" t="s">
        <v>684</v>
      </c>
      <c r="AF290" s="264">
        <f t="shared" ca="1" si="26"/>
        <v>133.347499</v>
      </c>
      <c r="AG290" s="40" t="s">
        <v>686</v>
      </c>
      <c r="AH290" s="264" t="str">
        <f t="shared" ca="1" si="27"/>
        <v xml:space="preserve"> </v>
      </c>
      <c r="AI290" s="40" t="s">
        <v>684</v>
      </c>
      <c r="AJ290" s="264" t="str">
        <f t="shared" ca="1" si="28"/>
        <v xml:space="preserve"> </v>
      </c>
      <c r="AK290" s="40" t="s">
        <v>687</v>
      </c>
      <c r="AL290" s="264" t="str">
        <f t="shared" ca="1" si="29"/>
        <v>blueviolet</v>
      </c>
      <c r="AM290" s="40" t="s">
        <v>688</v>
      </c>
      <c r="AN290" s="40" t="str">
        <f t="shared" ca="1" si="30"/>
        <v>,{"type":"polygon","latLngs":[ {"lat":35.43129,"lng":133.350315}, {"lat":35.432603,"lng":133.347499},{"lat": ,"lng": }], "color":"blueviolet"}</v>
      </c>
      <c r="AO290" s="266" t="s">
        <v>689</v>
      </c>
      <c r="AP290" s="56">
        <f t="shared" ca="1" si="31"/>
        <v>35.431289999999997</v>
      </c>
      <c r="AQ290" s="40" t="s">
        <v>684</v>
      </c>
      <c r="AR290" s="56">
        <f t="shared" ca="1" si="32"/>
        <v>133.35031499999999</v>
      </c>
      <c r="AS290" s="40" t="s">
        <v>686</v>
      </c>
      <c r="AT290" s="56">
        <f t="shared" ca="1" si="33"/>
        <v>35.432603</v>
      </c>
      <c r="AU290" s="40" t="s">
        <v>684</v>
      </c>
      <c r="AV290" s="56">
        <f t="shared" ca="1" si="34"/>
        <v>133.347499</v>
      </c>
      <c r="AW290" s="40" t="s">
        <v>690</v>
      </c>
      <c r="AX290" s="40" t="str">
        <f t="shared" ca="1" si="35"/>
        <v>blueviolet</v>
      </c>
      <c r="AY290" s="40" t="s">
        <v>688</v>
      </c>
      <c r="AZ290" s="40" t="str">
        <f t="shared" ca="1" si="36"/>
        <v>,{"type":"polyline","latLngs":[{"lat":35.43129,"lng":133.350315},{"lat":35.432603,"lng":133.347499}],"color":"blueviolet"}</v>
      </c>
      <c r="BA290" s="40" t="s">
        <v>691</v>
      </c>
      <c r="BB290" s="56">
        <f t="shared" ca="1" si="37"/>
        <v>35.431289999999997</v>
      </c>
      <c r="BC290" s="40" t="s">
        <v>684</v>
      </c>
      <c r="BD290" s="56">
        <f t="shared" ca="1" si="38"/>
        <v>133.35031499999999</v>
      </c>
      <c r="BE290" s="40" t="s">
        <v>692</v>
      </c>
      <c r="BF290" s="40" t="str">
        <f t="shared" ca="1" si="39"/>
        <v>blueviolet</v>
      </c>
      <c r="BG290" s="40" t="s">
        <v>688</v>
      </c>
      <c r="BH290" s="40" t="str">
        <f t="shared" ca="1" si="40"/>
        <v>,{"type":"marker","latLng":{"lat":35.43129,"lng":133.350315},"color":"blueviolet"}</v>
      </c>
      <c r="BI290" s="40" t="s">
        <v>693</v>
      </c>
      <c r="BJ290" s="40" t="s">
        <v>694</v>
      </c>
      <c r="BK290" s="267" t="str">
        <f t="shared" ca="1" si="41"/>
        <v>,{"type":"polyline","latLngs":[{"lat":35.43129,"lng":133.350315},{"lat":35.432603,"lng":133.347499}],"color":"blueviolet"}</v>
      </c>
    </row>
    <row r="291" spans="7:63" ht="17.5">
      <c r="G291" s="261"/>
      <c r="H291" s="262" t="s">
        <v>672</v>
      </c>
      <c r="I291" s="93" t="str">
        <f ca="1">IFERROR(__xludf.DUMMYFUNCTION("""COMPUTED_VALUE"""),"Agent32")</f>
        <v>Agent32</v>
      </c>
      <c r="J291" s="93" t="str">
        <f ca="1">IFERROR(__xludf.DUMMYFUNCTION("""COMPUTED_VALUE"""),"P313")</f>
        <v>P313</v>
      </c>
      <c r="K291" s="93" t="str">
        <f ca="1">IFERROR(__xludf.DUMMYFUNCTION("""COMPUTED_VALUE"""),"P316")</f>
        <v>P316</v>
      </c>
      <c r="L291" s="242" t="s">
        <v>681</v>
      </c>
      <c r="M291" s="263" t="str">
        <f t="shared" ca="1" si="22"/>
        <v>blueviolet</v>
      </c>
      <c r="N291" s="264" t="str">
        <f ca="1">IFERROR(__xludf.DUMMYFUNCTION("FILTER(C:E,B:B=J291)"),"車尾の題目塔")</f>
        <v>車尾の題目塔</v>
      </c>
      <c r="O291" s="265">
        <f ca="1">IFERROR(__xludf.DUMMYFUNCTION("""COMPUTED_VALUE"""),35.43129)</f>
        <v>35.431289999999997</v>
      </c>
      <c r="P291" s="265">
        <f ca="1">IFERROR(__xludf.DUMMYFUNCTION("""COMPUTED_VALUE"""),133.350315)</f>
        <v>133.35031499999999</v>
      </c>
      <c r="Q291" s="264" t="str">
        <f ca="1">IFERROR(__xludf.DUMMYFUNCTION("FILTER(C:E,B:B=K291)"),"住之江公園")</f>
        <v>住之江公園</v>
      </c>
      <c r="R291" s="265">
        <f ca="1">IFERROR(__xludf.DUMMYFUNCTION("""COMPUTED_VALUE"""),35.432997)</f>
        <v>35.432997</v>
      </c>
      <c r="S291" s="265">
        <f ca="1">IFERROR(__xludf.DUMMYFUNCTION("""COMPUTED_VALUE"""),133.34833)</f>
        <v>133.34833</v>
      </c>
      <c r="T291" s="264" t="str">
        <f ca="1">IFERROR(__xludf.DUMMYFUNCTION("FILTER(C:E,B:B=L291)")," ")</f>
        <v xml:space="preserve"> </v>
      </c>
      <c r="U291" s="40" t="str">
        <f ca="1">IFERROR(__xludf.DUMMYFUNCTION("""COMPUTED_VALUE""")," ")</f>
        <v xml:space="preserve"> </v>
      </c>
      <c r="V291" s="40" t="str">
        <f ca="1">IFERROR(__xludf.DUMMYFUNCTION("""COMPUTED_VALUE""")," ")</f>
        <v xml:space="preserve"> </v>
      </c>
      <c r="W291" s="40" t="str">
        <f t="shared" ca="1" si="42"/>
        <v>,</v>
      </c>
      <c r="X291" s="40" t="s">
        <v>682</v>
      </c>
      <c r="Y291" s="40" t="s">
        <v>683</v>
      </c>
      <c r="Z291" s="264">
        <f t="shared" ca="1" si="23"/>
        <v>35.431289999999997</v>
      </c>
      <c r="AA291" s="40" t="s">
        <v>684</v>
      </c>
      <c r="AB291" s="264">
        <f t="shared" ca="1" si="24"/>
        <v>133.35031499999999</v>
      </c>
      <c r="AC291" s="40" t="s">
        <v>685</v>
      </c>
      <c r="AD291" s="264">
        <f t="shared" ca="1" si="25"/>
        <v>35.432997</v>
      </c>
      <c r="AE291" s="40" t="s">
        <v>684</v>
      </c>
      <c r="AF291" s="264">
        <f t="shared" ca="1" si="26"/>
        <v>133.34833</v>
      </c>
      <c r="AG291" s="40" t="s">
        <v>686</v>
      </c>
      <c r="AH291" s="264" t="str">
        <f t="shared" ca="1" si="27"/>
        <v xml:space="preserve"> </v>
      </c>
      <c r="AI291" s="40" t="s">
        <v>684</v>
      </c>
      <c r="AJ291" s="264" t="str">
        <f t="shared" ca="1" si="28"/>
        <v xml:space="preserve"> </v>
      </c>
      <c r="AK291" s="40" t="s">
        <v>687</v>
      </c>
      <c r="AL291" s="264" t="str">
        <f t="shared" ca="1" si="29"/>
        <v>blueviolet</v>
      </c>
      <c r="AM291" s="40" t="s">
        <v>688</v>
      </c>
      <c r="AN291" s="40" t="str">
        <f t="shared" ca="1" si="30"/>
        <v>,{"type":"polygon","latLngs":[ {"lat":35.43129,"lng":133.350315}, {"lat":35.432997,"lng":133.34833},{"lat": ,"lng": }], "color":"blueviolet"}</v>
      </c>
      <c r="AO291" s="266" t="s">
        <v>689</v>
      </c>
      <c r="AP291" s="56">
        <f t="shared" ca="1" si="31"/>
        <v>35.431289999999997</v>
      </c>
      <c r="AQ291" s="40" t="s">
        <v>684</v>
      </c>
      <c r="AR291" s="56">
        <f t="shared" ca="1" si="32"/>
        <v>133.35031499999999</v>
      </c>
      <c r="AS291" s="40" t="s">
        <v>686</v>
      </c>
      <c r="AT291" s="56">
        <f t="shared" ca="1" si="33"/>
        <v>35.432997</v>
      </c>
      <c r="AU291" s="40" t="s">
        <v>684</v>
      </c>
      <c r="AV291" s="56">
        <f t="shared" ca="1" si="34"/>
        <v>133.34833</v>
      </c>
      <c r="AW291" s="40" t="s">
        <v>690</v>
      </c>
      <c r="AX291" s="40" t="str">
        <f t="shared" ca="1" si="35"/>
        <v>blueviolet</v>
      </c>
      <c r="AY291" s="40" t="s">
        <v>688</v>
      </c>
      <c r="AZ291" s="40" t="str">
        <f t="shared" ca="1" si="36"/>
        <v>,{"type":"polyline","latLngs":[{"lat":35.43129,"lng":133.350315},{"lat":35.432997,"lng":133.34833}],"color":"blueviolet"}</v>
      </c>
      <c r="BA291" s="40" t="s">
        <v>691</v>
      </c>
      <c r="BB291" s="56">
        <f t="shared" ca="1" si="37"/>
        <v>35.431289999999997</v>
      </c>
      <c r="BC291" s="40" t="s">
        <v>684</v>
      </c>
      <c r="BD291" s="56">
        <f t="shared" ca="1" si="38"/>
        <v>133.35031499999999</v>
      </c>
      <c r="BE291" s="40" t="s">
        <v>692</v>
      </c>
      <c r="BF291" s="40" t="str">
        <f t="shared" ca="1" si="39"/>
        <v>blueviolet</v>
      </c>
      <c r="BG291" s="40" t="s">
        <v>688</v>
      </c>
      <c r="BH291" s="40" t="str">
        <f t="shared" ca="1" si="40"/>
        <v>,{"type":"marker","latLng":{"lat":35.43129,"lng":133.350315},"color":"blueviolet"}</v>
      </c>
      <c r="BI291" s="40" t="s">
        <v>693</v>
      </c>
      <c r="BJ291" s="40" t="s">
        <v>694</v>
      </c>
      <c r="BK291" s="267" t="str">
        <f t="shared" ca="1" si="41"/>
        <v>,{"type":"polyline","latLngs":[{"lat":35.43129,"lng":133.350315},{"lat":35.432997,"lng":133.34833}],"color":"blueviolet"}</v>
      </c>
    </row>
    <row r="292" spans="7:63" ht="17.5">
      <c r="G292" s="261"/>
      <c r="H292" s="262" t="s">
        <v>672</v>
      </c>
      <c r="I292" s="93" t="str">
        <f ca="1">IFERROR(__xludf.DUMMYFUNCTION("""COMPUTED_VALUE"""),"Agent32")</f>
        <v>Agent32</v>
      </c>
      <c r="J292" s="93" t="str">
        <f ca="1">IFERROR(__xludf.DUMMYFUNCTION("""COMPUTED_VALUE"""),"P312")</f>
        <v>P312</v>
      </c>
      <c r="K292" s="93" t="str">
        <f ca="1">IFERROR(__xludf.DUMMYFUNCTION("""COMPUTED_VALUE"""),"P319")</f>
        <v>P319</v>
      </c>
      <c r="L292" s="242" t="s">
        <v>681</v>
      </c>
      <c r="M292" s="263" t="str">
        <f t="shared" ca="1" si="22"/>
        <v>blueviolet</v>
      </c>
      <c r="N292" s="264" t="str">
        <f ca="1">IFERROR(__xludf.DUMMYFUNCTION("FILTER(C:E,B:B=J292)"),"ＪＲ 東山公園駅")</f>
        <v>ＪＲ 東山公園駅</v>
      </c>
      <c r="O292" s="265">
        <f ca="1">IFERROR(__xludf.DUMMYFUNCTION("""COMPUTED_VALUE"""),35.430839)</f>
        <v>35.430838999999999</v>
      </c>
      <c r="P292" s="265">
        <f ca="1">IFERROR(__xludf.DUMMYFUNCTION("""COMPUTED_VALUE"""),133.351473)</f>
        <v>133.351473</v>
      </c>
      <c r="Q292" s="264" t="str">
        <f ca="1">IFERROR(__xludf.DUMMYFUNCTION("FILTER(C:E,B:B=K292)"),"米子中島簡易郵便局")</f>
        <v>米子中島簡易郵便局</v>
      </c>
      <c r="R292" s="265">
        <f ca="1">IFERROR(__xludf.DUMMYFUNCTION("""COMPUTED_VALUE"""),35.434604)</f>
        <v>35.434604</v>
      </c>
      <c r="S292" s="265">
        <f ca="1">IFERROR(__xludf.DUMMYFUNCTION("""COMPUTED_VALUE"""),133.349539)</f>
        <v>133.34953899999999</v>
      </c>
      <c r="T292" s="264" t="str">
        <f ca="1">IFERROR(__xludf.DUMMYFUNCTION("FILTER(C:E,B:B=L292)")," ")</f>
        <v xml:space="preserve"> </v>
      </c>
      <c r="U292" s="40" t="str">
        <f ca="1">IFERROR(__xludf.DUMMYFUNCTION("""COMPUTED_VALUE""")," ")</f>
        <v xml:space="preserve"> </v>
      </c>
      <c r="V292" s="40" t="str">
        <f ca="1">IFERROR(__xludf.DUMMYFUNCTION("""COMPUTED_VALUE""")," ")</f>
        <v xml:space="preserve"> </v>
      </c>
      <c r="W292" s="40" t="str">
        <f t="shared" ca="1" si="42"/>
        <v>,</v>
      </c>
      <c r="X292" s="40" t="s">
        <v>682</v>
      </c>
      <c r="Y292" s="40" t="s">
        <v>683</v>
      </c>
      <c r="Z292" s="264">
        <f t="shared" ca="1" si="23"/>
        <v>35.430838999999999</v>
      </c>
      <c r="AA292" s="40" t="s">
        <v>684</v>
      </c>
      <c r="AB292" s="264">
        <f t="shared" ca="1" si="24"/>
        <v>133.351473</v>
      </c>
      <c r="AC292" s="40" t="s">
        <v>685</v>
      </c>
      <c r="AD292" s="264">
        <f t="shared" ca="1" si="25"/>
        <v>35.434604</v>
      </c>
      <c r="AE292" s="40" t="s">
        <v>684</v>
      </c>
      <c r="AF292" s="264">
        <f t="shared" ca="1" si="26"/>
        <v>133.34953899999999</v>
      </c>
      <c r="AG292" s="40" t="s">
        <v>686</v>
      </c>
      <c r="AH292" s="264" t="str">
        <f t="shared" ca="1" si="27"/>
        <v xml:space="preserve"> </v>
      </c>
      <c r="AI292" s="40" t="s">
        <v>684</v>
      </c>
      <c r="AJ292" s="264" t="str">
        <f t="shared" ca="1" si="28"/>
        <v xml:space="preserve"> </v>
      </c>
      <c r="AK292" s="40" t="s">
        <v>687</v>
      </c>
      <c r="AL292" s="264" t="str">
        <f t="shared" ca="1" si="29"/>
        <v>blueviolet</v>
      </c>
      <c r="AM292" s="40" t="s">
        <v>688</v>
      </c>
      <c r="AN292" s="40" t="str">
        <f t="shared" ca="1" si="30"/>
        <v>,{"type":"polygon","latLngs":[ {"lat":35.430839,"lng":133.351473}, {"lat":35.434604,"lng":133.349539},{"lat": ,"lng": }], "color":"blueviolet"}</v>
      </c>
      <c r="AO292" s="266" t="s">
        <v>689</v>
      </c>
      <c r="AP292" s="56">
        <f t="shared" ca="1" si="31"/>
        <v>35.430838999999999</v>
      </c>
      <c r="AQ292" s="40" t="s">
        <v>684</v>
      </c>
      <c r="AR292" s="56">
        <f t="shared" ca="1" si="32"/>
        <v>133.351473</v>
      </c>
      <c r="AS292" s="40" t="s">
        <v>686</v>
      </c>
      <c r="AT292" s="56">
        <f t="shared" ca="1" si="33"/>
        <v>35.434604</v>
      </c>
      <c r="AU292" s="40" t="s">
        <v>684</v>
      </c>
      <c r="AV292" s="56">
        <f t="shared" ca="1" si="34"/>
        <v>133.34953899999999</v>
      </c>
      <c r="AW292" s="40" t="s">
        <v>690</v>
      </c>
      <c r="AX292" s="40" t="str">
        <f t="shared" ca="1" si="35"/>
        <v>blueviolet</v>
      </c>
      <c r="AY292" s="40" t="s">
        <v>688</v>
      </c>
      <c r="AZ292" s="40" t="str">
        <f t="shared" ca="1" si="36"/>
        <v>,{"type":"polyline","latLngs":[{"lat":35.430839,"lng":133.351473},{"lat":35.434604,"lng":133.349539}],"color":"blueviolet"}</v>
      </c>
      <c r="BA292" s="40" t="s">
        <v>691</v>
      </c>
      <c r="BB292" s="56">
        <f t="shared" ca="1" si="37"/>
        <v>35.430838999999999</v>
      </c>
      <c r="BC292" s="40" t="s">
        <v>684</v>
      </c>
      <c r="BD292" s="56">
        <f t="shared" ca="1" si="38"/>
        <v>133.351473</v>
      </c>
      <c r="BE292" s="40" t="s">
        <v>692</v>
      </c>
      <c r="BF292" s="40" t="str">
        <f t="shared" ca="1" si="39"/>
        <v>blueviolet</v>
      </c>
      <c r="BG292" s="40" t="s">
        <v>688</v>
      </c>
      <c r="BH292" s="40" t="str">
        <f t="shared" ca="1" si="40"/>
        <v>,{"type":"marker","latLng":{"lat":35.430839,"lng":133.351473},"color":"blueviolet"}</v>
      </c>
      <c r="BI292" s="40" t="s">
        <v>693</v>
      </c>
      <c r="BJ292" s="40" t="s">
        <v>694</v>
      </c>
      <c r="BK292" s="267" t="str">
        <f t="shared" ca="1" si="41"/>
        <v>,{"type":"polyline","latLngs":[{"lat":35.430839,"lng":133.351473},{"lat":35.434604,"lng":133.349539}],"color":"blueviolet"}</v>
      </c>
    </row>
    <row r="293" spans="7:63" ht="17.5">
      <c r="G293" s="261"/>
      <c r="H293" s="262" t="s">
        <v>672</v>
      </c>
      <c r="I293" s="93" t="str">
        <f ca="1">IFERROR(__xludf.DUMMYFUNCTION("""COMPUTED_VALUE"""),"Agent32")</f>
        <v>Agent32</v>
      </c>
      <c r="J293" s="93" t="str">
        <f ca="1">IFERROR(__xludf.DUMMYFUNCTION("""COMPUTED_VALUE"""),"P309")</f>
        <v>P309</v>
      </c>
      <c r="K293" s="93" t="str">
        <f ca="1">IFERROR(__xludf.DUMMYFUNCTION("""COMPUTED_VALUE"""),"P312")</f>
        <v>P312</v>
      </c>
      <c r="L293" s="242" t="s">
        <v>681</v>
      </c>
      <c r="M293" s="263" t="str">
        <f t="shared" ca="1" si="22"/>
        <v>blueviolet</v>
      </c>
      <c r="N293" s="264" t="str">
        <f ca="1">IFERROR(__xludf.DUMMYFUNCTION("FILTER(C:E,B:B=J293)"),"どらドラパーク米子 案内図")</f>
        <v>どらドラパーク米子 案内図</v>
      </c>
      <c r="O293" s="265">
        <f ca="1">IFERROR(__xludf.DUMMYFUNCTION("""COMPUTED_VALUE"""),35.430394)</f>
        <v>35.430394</v>
      </c>
      <c r="P293" s="265">
        <f ca="1">IFERROR(__xludf.DUMMYFUNCTION("""COMPUTED_VALUE"""),133.352265)</f>
        <v>133.35226499999999</v>
      </c>
      <c r="Q293" s="264" t="str">
        <f ca="1">IFERROR(__xludf.DUMMYFUNCTION("FILTER(C:E,B:B=K293)"),"ＪＲ 東山公園駅")</f>
        <v>ＪＲ 東山公園駅</v>
      </c>
      <c r="R293" s="265">
        <f ca="1">IFERROR(__xludf.DUMMYFUNCTION("""COMPUTED_VALUE"""),35.430839)</f>
        <v>35.430838999999999</v>
      </c>
      <c r="S293" s="265">
        <f ca="1">IFERROR(__xludf.DUMMYFUNCTION("""COMPUTED_VALUE"""),133.351473)</f>
        <v>133.351473</v>
      </c>
      <c r="T293" s="264" t="str">
        <f ca="1">IFERROR(__xludf.DUMMYFUNCTION("FILTER(C:E,B:B=L293)")," ")</f>
        <v xml:space="preserve"> </v>
      </c>
      <c r="U293" s="40" t="str">
        <f ca="1">IFERROR(__xludf.DUMMYFUNCTION("""COMPUTED_VALUE""")," ")</f>
        <v xml:space="preserve"> </v>
      </c>
      <c r="V293" s="40" t="str">
        <f ca="1">IFERROR(__xludf.DUMMYFUNCTION("""COMPUTED_VALUE""")," ")</f>
        <v xml:space="preserve"> </v>
      </c>
      <c r="W293" s="40" t="str">
        <f t="shared" ca="1" si="42"/>
        <v>,</v>
      </c>
      <c r="X293" s="40" t="s">
        <v>682</v>
      </c>
      <c r="Y293" s="40" t="s">
        <v>683</v>
      </c>
      <c r="Z293" s="264">
        <f t="shared" ca="1" si="23"/>
        <v>35.430394</v>
      </c>
      <c r="AA293" s="40" t="s">
        <v>684</v>
      </c>
      <c r="AB293" s="264">
        <f t="shared" ca="1" si="24"/>
        <v>133.35226499999999</v>
      </c>
      <c r="AC293" s="40" t="s">
        <v>685</v>
      </c>
      <c r="AD293" s="264">
        <f t="shared" ca="1" si="25"/>
        <v>35.430838999999999</v>
      </c>
      <c r="AE293" s="40" t="s">
        <v>684</v>
      </c>
      <c r="AF293" s="264">
        <f t="shared" ca="1" si="26"/>
        <v>133.351473</v>
      </c>
      <c r="AG293" s="40" t="s">
        <v>686</v>
      </c>
      <c r="AH293" s="264" t="str">
        <f t="shared" ca="1" si="27"/>
        <v xml:space="preserve"> </v>
      </c>
      <c r="AI293" s="40" t="s">
        <v>684</v>
      </c>
      <c r="AJ293" s="264" t="str">
        <f t="shared" ca="1" si="28"/>
        <v xml:space="preserve"> </v>
      </c>
      <c r="AK293" s="40" t="s">
        <v>687</v>
      </c>
      <c r="AL293" s="264" t="str">
        <f t="shared" ca="1" si="29"/>
        <v>blueviolet</v>
      </c>
      <c r="AM293" s="40" t="s">
        <v>688</v>
      </c>
      <c r="AN293" s="40" t="str">
        <f t="shared" ca="1" si="30"/>
        <v>,{"type":"polygon","latLngs":[ {"lat":35.430394,"lng":133.352265}, {"lat":35.430839,"lng":133.351473},{"lat": ,"lng": }], "color":"blueviolet"}</v>
      </c>
      <c r="AO293" s="266" t="s">
        <v>689</v>
      </c>
      <c r="AP293" s="56">
        <f t="shared" ca="1" si="31"/>
        <v>35.430394</v>
      </c>
      <c r="AQ293" s="40" t="s">
        <v>684</v>
      </c>
      <c r="AR293" s="56">
        <f t="shared" ca="1" si="32"/>
        <v>133.35226499999999</v>
      </c>
      <c r="AS293" s="40" t="s">
        <v>686</v>
      </c>
      <c r="AT293" s="56">
        <f t="shared" ca="1" si="33"/>
        <v>35.430838999999999</v>
      </c>
      <c r="AU293" s="40" t="s">
        <v>684</v>
      </c>
      <c r="AV293" s="56">
        <f t="shared" ca="1" si="34"/>
        <v>133.351473</v>
      </c>
      <c r="AW293" s="40" t="s">
        <v>690</v>
      </c>
      <c r="AX293" s="40" t="str">
        <f t="shared" ca="1" si="35"/>
        <v>blueviolet</v>
      </c>
      <c r="AY293" s="40" t="s">
        <v>688</v>
      </c>
      <c r="AZ293" s="40" t="str">
        <f t="shared" ca="1" si="36"/>
        <v>,{"type":"polyline","latLngs":[{"lat":35.430394,"lng":133.352265},{"lat":35.430839,"lng":133.351473}],"color":"blueviolet"}</v>
      </c>
      <c r="BA293" s="40" t="s">
        <v>691</v>
      </c>
      <c r="BB293" s="56">
        <f t="shared" ca="1" si="37"/>
        <v>35.430394</v>
      </c>
      <c r="BC293" s="40" t="s">
        <v>684</v>
      </c>
      <c r="BD293" s="56">
        <f t="shared" ca="1" si="38"/>
        <v>133.35226499999999</v>
      </c>
      <c r="BE293" s="40" t="s">
        <v>692</v>
      </c>
      <c r="BF293" s="40" t="str">
        <f t="shared" ca="1" si="39"/>
        <v>blueviolet</v>
      </c>
      <c r="BG293" s="40" t="s">
        <v>688</v>
      </c>
      <c r="BH293" s="40" t="str">
        <f t="shared" ca="1" si="40"/>
        <v>,{"type":"marker","latLng":{"lat":35.430394,"lng":133.352265},"color":"blueviolet"}</v>
      </c>
      <c r="BI293" s="40" t="s">
        <v>693</v>
      </c>
      <c r="BJ293" s="40" t="s">
        <v>694</v>
      </c>
      <c r="BK293" s="267" t="str">
        <f t="shared" ca="1" si="41"/>
        <v>,{"type":"polyline","latLngs":[{"lat":35.430394,"lng":133.352265},{"lat":35.430839,"lng":133.351473}],"color":"blueviolet"}</v>
      </c>
    </row>
    <row r="294" spans="7:63" ht="17.5">
      <c r="G294" s="261"/>
      <c r="H294" s="262" t="s">
        <v>672</v>
      </c>
      <c r="I294" s="93" t="str">
        <f ca="1">IFERROR(__xludf.DUMMYFUNCTION("""COMPUTED_VALUE"""),"Agent32")</f>
        <v>Agent32</v>
      </c>
      <c r="J294" s="93" t="str">
        <f ca="1">IFERROR(__xludf.DUMMYFUNCTION("""COMPUTED_VALUE"""),"P309")</f>
        <v>P309</v>
      </c>
      <c r="K294" s="93" t="str">
        <f ca="1">IFERROR(__xludf.DUMMYFUNCTION("""COMPUTED_VALUE"""),"P319")</f>
        <v>P319</v>
      </c>
      <c r="L294" s="242" t="s">
        <v>681</v>
      </c>
      <c r="M294" s="263" t="str">
        <f t="shared" ca="1" si="22"/>
        <v>blueviolet</v>
      </c>
      <c r="N294" s="264" t="str">
        <f ca="1">IFERROR(__xludf.DUMMYFUNCTION("FILTER(C:E,B:B=J294)"),"どらドラパーク米子 案内図")</f>
        <v>どらドラパーク米子 案内図</v>
      </c>
      <c r="O294" s="265">
        <f ca="1">IFERROR(__xludf.DUMMYFUNCTION("""COMPUTED_VALUE"""),35.430394)</f>
        <v>35.430394</v>
      </c>
      <c r="P294" s="265">
        <f ca="1">IFERROR(__xludf.DUMMYFUNCTION("""COMPUTED_VALUE"""),133.352265)</f>
        <v>133.35226499999999</v>
      </c>
      <c r="Q294" s="264" t="str">
        <f ca="1">IFERROR(__xludf.DUMMYFUNCTION("FILTER(C:E,B:B=K294)"),"米子中島簡易郵便局")</f>
        <v>米子中島簡易郵便局</v>
      </c>
      <c r="R294" s="265">
        <f ca="1">IFERROR(__xludf.DUMMYFUNCTION("""COMPUTED_VALUE"""),35.434604)</f>
        <v>35.434604</v>
      </c>
      <c r="S294" s="265">
        <f ca="1">IFERROR(__xludf.DUMMYFUNCTION("""COMPUTED_VALUE"""),133.349539)</f>
        <v>133.34953899999999</v>
      </c>
      <c r="T294" s="264" t="str">
        <f ca="1">IFERROR(__xludf.DUMMYFUNCTION("FILTER(C:E,B:B=L294)")," ")</f>
        <v xml:space="preserve"> </v>
      </c>
      <c r="U294" s="40" t="str">
        <f ca="1">IFERROR(__xludf.DUMMYFUNCTION("""COMPUTED_VALUE""")," ")</f>
        <v xml:space="preserve"> </v>
      </c>
      <c r="V294" s="40" t="str">
        <f ca="1">IFERROR(__xludf.DUMMYFUNCTION("""COMPUTED_VALUE""")," ")</f>
        <v xml:space="preserve"> </v>
      </c>
      <c r="W294" s="40" t="str">
        <f t="shared" ca="1" si="42"/>
        <v>,</v>
      </c>
      <c r="X294" s="40" t="s">
        <v>682</v>
      </c>
      <c r="Y294" s="40" t="s">
        <v>683</v>
      </c>
      <c r="Z294" s="264">
        <f t="shared" ca="1" si="23"/>
        <v>35.430394</v>
      </c>
      <c r="AA294" s="40" t="s">
        <v>684</v>
      </c>
      <c r="AB294" s="264">
        <f t="shared" ca="1" si="24"/>
        <v>133.35226499999999</v>
      </c>
      <c r="AC294" s="40" t="s">
        <v>685</v>
      </c>
      <c r="AD294" s="264">
        <f t="shared" ca="1" si="25"/>
        <v>35.434604</v>
      </c>
      <c r="AE294" s="40" t="s">
        <v>684</v>
      </c>
      <c r="AF294" s="264">
        <f t="shared" ca="1" si="26"/>
        <v>133.34953899999999</v>
      </c>
      <c r="AG294" s="40" t="s">
        <v>686</v>
      </c>
      <c r="AH294" s="264" t="str">
        <f t="shared" ca="1" si="27"/>
        <v xml:space="preserve"> </v>
      </c>
      <c r="AI294" s="40" t="s">
        <v>684</v>
      </c>
      <c r="AJ294" s="264" t="str">
        <f t="shared" ca="1" si="28"/>
        <v xml:space="preserve"> </v>
      </c>
      <c r="AK294" s="40" t="s">
        <v>687</v>
      </c>
      <c r="AL294" s="264" t="str">
        <f t="shared" ca="1" si="29"/>
        <v>blueviolet</v>
      </c>
      <c r="AM294" s="40" t="s">
        <v>688</v>
      </c>
      <c r="AN294" s="40" t="str">
        <f t="shared" ca="1" si="30"/>
        <v>,{"type":"polygon","latLngs":[ {"lat":35.430394,"lng":133.352265}, {"lat":35.434604,"lng":133.349539},{"lat": ,"lng": }], "color":"blueviolet"}</v>
      </c>
      <c r="AO294" s="266" t="s">
        <v>689</v>
      </c>
      <c r="AP294" s="56">
        <f t="shared" ca="1" si="31"/>
        <v>35.430394</v>
      </c>
      <c r="AQ294" s="40" t="s">
        <v>684</v>
      </c>
      <c r="AR294" s="56">
        <f t="shared" ca="1" si="32"/>
        <v>133.35226499999999</v>
      </c>
      <c r="AS294" s="40" t="s">
        <v>686</v>
      </c>
      <c r="AT294" s="56">
        <f t="shared" ca="1" si="33"/>
        <v>35.434604</v>
      </c>
      <c r="AU294" s="40" t="s">
        <v>684</v>
      </c>
      <c r="AV294" s="56">
        <f t="shared" ca="1" si="34"/>
        <v>133.34953899999999</v>
      </c>
      <c r="AW294" s="40" t="s">
        <v>690</v>
      </c>
      <c r="AX294" s="40" t="str">
        <f t="shared" ca="1" si="35"/>
        <v>blueviolet</v>
      </c>
      <c r="AY294" s="40" t="s">
        <v>688</v>
      </c>
      <c r="AZ294" s="40" t="str">
        <f t="shared" ca="1" si="36"/>
        <v>,{"type":"polyline","latLngs":[{"lat":35.430394,"lng":133.352265},{"lat":35.434604,"lng":133.349539}],"color":"blueviolet"}</v>
      </c>
      <c r="BA294" s="40" t="s">
        <v>691</v>
      </c>
      <c r="BB294" s="56">
        <f t="shared" ca="1" si="37"/>
        <v>35.430394</v>
      </c>
      <c r="BC294" s="40" t="s">
        <v>684</v>
      </c>
      <c r="BD294" s="56">
        <f t="shared" ca="1" si="38"/>
        <v>133.35226499999999</v>
      </c>
      <c r="BE294" s="40" t="s">
        <v>692</v>
      </c>
      <c r="BF294" s="40" t="str">
        <f t="shared" ca="1" si="39"/>
        <v>blueviolet</v>
      </c>
      <c r="BG294" s="40" t="s">
        <v>688</v>
      </c>
      <c r="BH294" s="40" t="str">
        <f t="shared" ca="1" si="40"/>
        <v>,{"type":"marker","latLng":{"lat":35.430394,"lng":133.352265},"color":"blueviolet"}</v>
      </c>
      <c r="BI294" s="40" t="s">
        <v>693</v>
      </c>
      <c r="BJ294" s="40" t="s">
        <v>694</v>
      </c>
      <c r="BK294" s="267" t="str">
        <f t="shared" ca="1" si="41"/>
        <v>,{"type":"polyline","latLngs":[{"lat":35.430394,"lng":133.352265},{"lat":35.434604,"lng":133.349539}],"color":"blueviolet"}</v>
      </c>
    </row>
    <row r="295" spans="7:63" ht="17.5">
      <c r="G295" s="261"/>
      <c r="H295" s="262" t="s">
        <v>672</v>
      </c>
      <c r="I295" s="93" t="str">
        <f ca="1">IFERROR(__xludf.DUMMYFUNCTION("""COMPUTED_VALUE"""),"Agent32")</f>
        <v>Agent32</v>
      </c>
      <c r="J295" s="93" t="str">
        <f ca="1">IFERROR(__xludf.DUMMYFUNCTION("""COMPUTED_VALUE"""),"P301")</f>
        <v>P301</v>
      </c>
      <c r="K295" s="93" t="str">
        <f ca="1">IFERROR(__xludf.DUMMYFUNCTION("""COMPUTED_VALUE"""),"P309")</f>
        <v>P309</v>
      </c>
      <c r="L295" s="242" t="s">
        <v>681</v>
      </c>
      <c r="M295" s="263" t="str">
        <f t="shared" ca="1" si="22"/>
        <v>blueviolet</v>
      </c>
      <c r="N295" s="264" t="str">
        <f ca="1">IFERROR(__xludf.DUMMYFUNCTION("FILTER(C:E,B:B=J295)"),"天理教京伯分教会")</f>
        <v>天理教京伯分教会</v>
      </c>
      <c r="O295" s="265">
        <f ca="1">IFERROR(__xludf.DUMMYFUNCTION("""COMPUTED_VALUE"""),35.427028)</f>
        <v>35.427028</v>
      </c>
      <c r="P295" s="265">
        <f ca="1">IFERROR(__xludf.DUMMYFUNCTION("""COMPUTED_VALUE"""),133.349948)</f>
        <v>133.34994800000001</v>
      </c>
      <c r="Q295" s="264" t="str">
        <f ca="1">IFERROR(__xludf.DUMMYFUNCTION("FILTER(C:E,B:B=K295)"),"どらドラパーク米子 案内図")</f>
        <v>どらドラパーク米子 案内図</v>
      </c>
      <c r="R295" s="265">
        <f ca="1">IFERROR(__xludf.DUMMYFUNCTION("""COMPUTED_VALUE"""),35.430394)</f>
        <v>35.430394</v>
      </c>
      <c r="S295" s="265">
        <f ca="1">IFERROR(__xludf.DUMMYFUNCTION("""COMPUTED_VALUE"""),133.352265)</f>
        <v>133.35226499999999</v>
      </c>
      <c r="T295" s="264" t="str">
        <f ca="1">IFERROR(__xludf.DUMMYFUNCTION("FILTER(C:E,B:B=L295)")," ")</f>
        <v xml:space="preserve"> </v>
      </c>
      <c r="U295" s="40" t="str">
        <f ca="1">IFERROR(__xludf.DUMMYFUNCTION("""COMPUTED_VALUE""")," ")</f>
        <v xml:space="preserve"> </v>
      </c>
      <c r="V295" s="40" t="str">
        <f ca="1">IFERROR(__xludf.DUMMYFUNCTION("""COMPUTED_VALUE""")," ")</f>
        <v xml:space="preserve"> </v>
      </c>
      <c r="W295" s="40" t="str">
        <f t="shared" ca="1" si="42"/>
        <v>,</v>
      </c>
      <c r="X295" s="40" t="s">
        <v>682</v>
      </c>
      <c r="Y295" s="40" t="s">
        <v>683</v>
      </c>
      <c r="Z295" s="264">
        <f t="shared" ca="1" si="23"/>
        <v>35.427028</v>
      </c>
      <c r="AA295" s="40" t="s">
        <v>684</v>
      </c>
      <c r="AB295" s="264">
        <f t="shared" ca="1" si="24"/>
        <v>133.34994800000001</v>
      </c>
      <c r="AC295" s="40" t="s">
        <v>685</v>
      </c>
      <c r="AD295" s="264">
        <f t="shared" ca="1" si="25"/>
        <v>35.430394</v>
      </c>
      <c r="AE295" s="40" t="s">
        <v>684</v>
      </c>
      <c r="AF295" s="264">
        <f t="shared" ca="1" si="26"/>
        <v>133.35226499999999</v>
      </c>
      <c r="AG295" s="40" t="s">
        <v>686</v>
      </c>
      <c r="AH295" s="264" t="str">
        <f t="shared" ca="1" si="27"/>
        <v xml:space="preserve"> </v>
      </c>
      <c r="AI295" s="40" t="s">
        <v>684</v>
      </c>
      <c r="AJ295" s="264" t="str">
        <f t="shared" ca="1" si="28"/>
        <v xml:space="preserve"> </v>
      </c>
      <c r="AK295" s="40" t="s">
        <v>687</v>
      </c>
      <c r="AL295" s="264" t="str">
        <f t="shared" ca="1" si="29"/>
        <v>blueviolet</v>
      </c>
      <c r="AM295" s="40" t="s">
        <v>688</v>
      </c>
      <c r="AN295" s="40" t="str">
        <f t="shared" ca="1" si="30"/>
        <v>,{"type":"polygon","latLngs":[ {"lat":35.427028,"lng":133.349948}, {"lat":35.430394,"lng":133.352265},{"lat": ,"lng": }], "color":"blueviolet"}</v>
      </c>
      <c r="AO295" s="266" t="s">
        <v>689</v>
      </c>
      <c r="AP295" s="56">
        <f t="shared" ca="1" si="31"/>
        <v>35.427028</v>
      </c>
      <c r="AQ295" s="40" t="s">
        <v>684</v>
      </c>
      <c r="AR295" s="56">
        <f t="shared" ca="1" si="32"/>
        <v>133.34994800000001</v>
      </c>
      <c r="AS295" s="40" t="s">
        <v>686</v>
      </c>
      <c r="AT295" s="56">
        <f t="shared" ca="1" si="33"/>
        <v>35.430394</v>
      </c>
      <c r="AU295" s="40" t="s">
        <v>684</v>
      </c>
      <c r="AV295" s="56">
        <f t="shared" ca="1" si="34"/>
        <v>133.35226499999999</v>
      </c>
      <c r="AW295" s="40" t="s">
        <v>690</v>
      </c>
      <c r="AX295" s="40" t="str">
        <f t="shared" ca="1" si="35"/>
        <v>blueviolet</v>
      </c>
      <c r="AY295" s="40" t="s">
        <v>688</v>
      </c>
      <c r="AZ295" s="40" t="str">
        <f t="shared" ca="1" si="36"/>
        <v>,{"type":"polyline","latLngs":[{"lat":35.427028,"lng":133.349948},{"lat":35.430394,"lng":133.352265}],"color":"blueviolet"}</v>
      </c>
      <c r="BA295" s="40" t="s">
        <v>691</v>
      </c>
      <c r="BB295" s="56">
        <f t="shared" ca="1" si="37"/>
        <v>35.427028</v>
      </c>
      <c r="BC295" s="40" t="s">
        <v>684</v>
      </c>
      <c r="BD295" s="56">
        <f t="shared" ca="1" si="38"/>
        <v>133.34994800000001</v>
      </c>
      <c r="BE295" s="40" t="s">
        <v>692</v>
      </c>
      <c r="BF295" s="40" t="str">
        <f t="shared" ca="1" si="39"/>
        <v>blueviolet</v>
      </c>
      <c r="BG295" s="40" t="s">
        <v>688</v>
      </c>
      <c r="BH295" s="40" t="str">
        <f t="shared" ca="1" si="40"/>
        <v>,{"type":"marker","latLng":{"lat":35.427028,"lng":133.349948},"color":"blueviolet"}</v>
      </c>
      <c r="BI295" s="40" t="s">
        <v>693</v>
      </c>
      <c r="BJ295" s="40" t="s">
        <v>694</v>
      </c>
      <c r="BK295" s="267" t="str">
        <f t="shared" ca="1" si="41"/>
        <v>,{"type":"polyline","latLngs":[{"lat":35.427028,"lng":133.349948},{"lat":35.430394,"lng":133.352265}],"color":"blueviolet"}</v>
      </c>
    </row>
    <row r="296" spans="7:63" ht="17.5">
      <c r="G296" s="261"/>
      <c r="H296" s="262" t="s">
        <v>672</v>
      </c>
      <c r="I296" s="93" t="str">
        <f ca="1">IFERROR(__xludf.DUMMYFUNCTION("""COMPUTED_VALUE"""),"Agent32")</f>
        <v>Agent32</v>
      </c>
      <c r="J296" s="93" t="str">
        <f ca="1">IFERROR(__xludf.DUMMYFUNCTION("""COMPUTED_VALUE"""),"P301")</f>
        <v>P301</v>
      </c>
      <c r="K296" s="93" t="str">
        <f ca="1">IFERROR(__xludf.DUMMYFUNCTION("""COMPUTED_VALUE"""),"P312")</f>
        <v>P312</v>
      </c>
      <c r="L296" s="242" t="s">
        <v>681</v>
      </c>
      <c r="M296" s="263" t="str">
        <f t="shared" ca="1" si="22"/>
        <v>blueviolet</v>
      </c>
      <c r="N296" s="264" t="str">
        <f ca="1">IFERROR(__xludf.DUMMYFUNCTION("FILTER(C:E,B:B=J296)"),"天理教京伯分教会")</f>
        <v>天理教京伯分教会</v>
      </c>
      <c r="O296" s="265">
        <f ca="1">IFERROR(__xludf.DUMMYFUNCTION("""COMPUTED_VALUE"""),35.427028)</f>
        <v>35.427028</v>
      </c>
      <c r="P296" s="265">
        <f ca="1">IFERROR(__xludf.DUMMYFUNCTION("""COMPUTED_VALUE"""),133.349948)</f>
        <v>133.34994800000001</v>
      </c>
      <c r="Q296" s="264" t="str">
        <f ca="1">IFERROR(__xludf.DUMMYFUNCTION("FILTER(C:E,B:B=K296)"),"ＪＲ 東山公園駅")</f>
        <v>ＪＲ 東山公園駅</v>
      </c>
      <c r="R296" s="265">
        <f ca="1">IFERROR(__xludf.DUMMYFUNCTION("""COMPUTED_VALUE"""),35.430839)</f>
        <v>35.430838999999999</v>
      </c>
      <c r="S296" s="265">
        <f ca="1">IFERROR(__xludf.DUMMYFUNCTION("""COMPUTED_VALUE"""),133.351473)</f>
        <v>133.351473</v>
      </c>
      <c r="T296" s="264" t="str">
        <f ca="1">IFERROR(__xludf.DUMMYFUNCTION("FILTER(C:E,B:B=L296)")," ")</f>
        <v xml:space="preserve"> </v>
      </c>
      <c r="U296" s="40" t="str">
        <f ca="1">IFERROR(__xludf.DUMMYFUNCTION("""COMPUTED_VALUE""")," ")</f>
        <v xml:space="preserve"> </v>
      </c>
      <c r="V296" s="40" t="str">
        <f ca="1">IFERROR(__xludf.DUMMYFUNCTION("""COMPUTED_VALUE""")," ")</f>
        <v xml:space="preserve"> </v>
      </c>
      <c r="W296" s="40" t="str">
        <f t="shared" ca="1" si="42"/>
        <v>,</v>
      </c>
      <c r="X296" s="40" t="s">
        <v>682</v>
      </c>
      <c r="Y296" s="40" t="s">
        <v>683</v>
      </c>
      <c r="Z296" s="264">
        <f t="shared" ca="1" si="23"/>
        <v>35.427028</v>
      </c>
      <c r="AA296" s="40" t="s">
        <v>684</v>
      </c>
      <c r="AB296" s="264">
        <f t="shared" ca="1" si="24"/>
        <v>133.34994800000001</v>
      </c>
      <c r="AC296" s="40" t="s">
        <v>685</v>
      </c>
      <c r="AD296" s="264">
        <f t="shared" ca="1" si="25"/>
        <v>35.430838999999999</v>
      </c>
      <c r="AE296" s="40" t="s">
        <v>684</v>
      </c>
      <c r="AF296" s="264">
        <f t="shared" ca="1" si="26"/>
        <v>133.351473</v>
      </c>
      <c r="AG296" s="40" t="s">
        <v>686</v>
      </c>
      <c r="AH296" s="264" t="str">
        <f t="shared" ca="1" si="27"/>
        <v xml:space="preserve"> </v>
      </c>
      <c r="AI296" s="40" t="s">
        <v>684</v>
      </c>
      <c r="AJ296" s="264" t="str">
        <f t="shared" ca="1" si="28"/>
        <v xml:space="preserve"> </v>
      </c>
      <c r="AK296" s="40" t="s">
        <v>687</v>
      </c>
      <c r="AL296" s="264" t="str">
        <f t="shared" ca="1" si="29"/>
        <v>blueviolet</v>
      </c>
      <c r="AM296" s="40" t="s">
        <v>688</v>
      </c>
      <c r="AN296" s="40" t="str">
        <f t="shared" ca="1" si="30"/>
        <v>,{"type":"polygon","latLngs":[ {"lat":35.427028,"lng":133.349948}, {"lat":35.430839,"lng":133.351473},{"lat": ,"lng": }], "color":"blueviolet"}</v>
      </c>
      <c r="AO296" s="266" t="s">
        <v>689</v>
      </c>
      <c r="AP296" s="56">
        <f t="shared" ca="1" si="31"/>
        <v>35.427028</v>
      </c>
      <c r="AQ296" s="40" t="s">
        <v>684</v>
      </c>
      <c r="AR296" s="56">
        <f t="shared" ca="1" si="32"/>
        <v>133.34994800000001</v>
      </c>
      <c r="AS296" s="40" t="s">
        <v>686</v>
      </c>
      <c r="AT296" s="56">
        <f t="shared" ca="1" si="33"/>
        <v>35.430838999999999</v>
      </c>
      <c r="AU296" s="40" t="s">
        <v>684</v>
      </c>
      <c r="AV296" s="56">
        <f t="shared" ca="1" si="34"/>
        <v>133.351473</v>
      </c>
      <c r="AW296" s="40" t="s">
        <v>690</v>
      </c>
      <c r="AX296" s="40" t="str">
        <f t="shared" ca="1" si="35"/>
        <v>blueviolet</v>
      </c>
      <c r="AY296" s="40" t="s">
        <v>688</v>
      </c>
      <c r="AZ296" s="40" t="str">
        <f t="shared" ca="1" si="36"/>
        <v>,{"type":"polyline","latLngs":[{"lat":35.427028,"lng":133.349948},{"lat":35.430839,"lng":133.351473}],"color":"blueviolet"}</v>
      </c>
      <c r="BA296" s="40" t="s">
        <v>691</v>
      </c>
      <c r="BB296" s="56">
        <f t="shared" ca="1" si="37"/>
        <v>35.427028</v>
      </c>
      <c r="BC296" s="40" t="s">
        <v>684</v>
      </c>
      <c r="BD296" s="56">
        <f t="shared" ca="1" si="38"/>
        <v>133.34994800000001</v>
      </c>
      <c r="BE296" s="40" t="s">
        <v>692</v>
      </c>
      <c r="BF296" s="40" t="str">
        <f t="shared" ca="1" si="39"/>
        <v>blueviolet</v>
      </c>
      <c r="BG296" s="40" t="s">
        <v>688</v>
      </c>
      <c r="BH296" s="40" t="str">
        <f t="shared" ca="1" si="40"/>
        <v>,{"type":"marker","latLng":{"lat":35.427028,"lng":133.349948},"color":"blueviolet"}</v>
      </c>
      <c r="BI296" s="40" t="s">
        <v>693</v>
      </c>
      <c r="BJ296" s="40" t="s">
        <v>694</v>
      </c>
      <c r="BK296" s="267" t="str">
        <f t="shared" ca="1" si="41"/>
        <v>,{"type":"polyline","latLngs":[{"lat":35.427028,"lng":133.349948},{"lat":35.430839,"lng":133.351473}],"color":"blueviolet"}</v>
      </c>
    </row>
    <row r="297" spans="7:63" ht="17.5">
      <c r="G297" s="261"/>
      <c r="H297" s="262" t="s">
        <v>672</v>
      </c>
      <c r="I297" s="93" t="str">
        <f ca="1">IFERROR(__xludf.DUMMYFUNCTION("""COMPUTED_VALUE"""),"Agent32")</f>
        <v>Agent32</v>
      </c>
      <c r="J297" s="93" t="str">
        <f ca="1">IFERROR(__xludf.DUMMYFUNCTION("""COMPUTED_VALUE"""),"P302")</f>
        <v>P302</v>
      </c>
      <c r="K297" s="93" t="str">
        <f ca="1">IFERROR(__xludf.DUMMYFUNCTION("""COMPUTED_VALUE"""),"P301")</f>
        <v>P301</v>
      </c>
      <c r="L297" s="242" t="s">
        <v>681</v>
      </c>
      <c r="M297" s="263" t="str">
        <f t="shared" ca="1" si="22"/>
        <v>blueviolet</v>
      </c>
      <c r="N297" s="264" t="str">
        <f ca="1">IFERROR(__xludf.DUMMYFUNCTION("FILTER(C:E,B:B=J297)"),"陽田山 経王寺")</f>
        <v>陽田山 経王寺</v>
      </c>
      <c r="O297" s="265">
        <f ca="1">IFERROR(__xludf.DUMMYFUNCTION("""COMPUTED_VALUE"""),35.427756)</f>
        <v>35.427756000000002</v>
      </c>
      <c r="P297" s="265">
        <f ca="1">IFERROR(__xludf.DUMMYFUNCTION("""COMPUTED_VALUE"""),133.346015)</f>
        <v>133.34601499999999</v>
      </c>
      <c r="Q297" s="264" t="str">
        <f ca="1">IFERROR(__xludf.DUMMYFUNCTION("FILTER(C:E,B:B=K297)"),"天理教京伯分教会")</f>
        <v>天理教京伯分教会</v>
      </c>
      <c r="R297" s="265">
        <f ca="1">IFERROR(__xludf.DUMMYFUNCTION("""COMPUTED_VALUE"""),35.427028)</f>
        <v>35.427028</v>
      </c>
      <c r="S297" s="265">
        <f ca="1">IFERROR(__xludf.DUMMYFUNCTION("""COMPUTED_VALUE"""),133.349948)</f>
        <v>133.34994800000001</v>
      </c>
      <c r="T297" s="264" t="str">
        <f ca="1">IFERROR(__xludf.DUMMYFUNCTION("FILTER(C:E,B:B=L297)")," ")</f>
        <v xml:space="preserve"> </v>
      </c>
      <c r="U297" s="40" t="str">
        <f ca="1">IFERROR(__xludf.DUMMYFUNCTION("""COMPUTED_VALUE""")," ")</f>
        <v xml:space="preserve"> </v>
      </c>
      <c r="V297" s="40" t="str">
        <f ca="1">IFERROR(__xludf.DUMMYFUNCTION("""COMPUTED_VALUE""")," ")</f>
        <v xml:space="preserve"> </v>
      </c>
      <c r="W297" s="40" t="str">
        <f t="shared" ca="1" si="42"/>
        <v>,</v>
      </c>
      <c r="X297" s="40" t="s">
        <v>682</v>
      </c>
      <c r="Y297" s="40" t="s">
        <v>683</v>
      </c>
      <c r="Z297" s="264">
        <f t="shared" ca="1" si="23"/>
        <v>35.427756000000002</v>
      </c>
      <c r="AA297" s="40" t="s">
        <v>684</v>
      </c>
      <c r="AB297" s="264">
        <f t="shared" ca="1" si="24"/>
        <v>133.34601499999999</v>
      </c>
      <c r="AC297" s="40" t="s">
        <v>685</v>
      </c>
      <c r="AD297" s="264">
        <f t="shared" ca="1" si="25"/>
        <v>35.427028</v>
      </c>
      <c r="AE297" s="40" t="s">
        <v>684</v>
      </c>
      <c r="AF297" s="264">
        <f t="shared" ca="1" si="26"/>
        <v>133.34994800000001</v>
      </c>
      <c r="AG297" s="40" t="s">
        <v>686</v>
      </c>
      <c r="AH297" s="264" t="str">
        <f t="shared" ca="1" si="27"/>
        <v xml:space="preserve"> </v>
      </c>
      <c r="AI297" s="40" t="s">
        <v>684</v>
      </c>
      <c r="AJ297" s="264" t="str">
        <f t="shared" ca="1" si="28"/>
        <v xml:space="preserve"> </v>
      </c>
      <c r="AK297" s="40" t="s">
        <v>687</v>
      </c>
      <c r="AL297" s="264" t="str">
        <f t="shared" ca="1" si="29"/>
        <v>blueviolet</v>
      </c>
      <c r="AM297" s="40" t="s">
        <v>688</v>
      </c>
      <c r="AN297" s="40" t="str">
        <f t="shared" ca="1" si="30"/>
        <v>,{"type":"polygon","latLngs":[ {"lat":35.427756,"lng":133.346015}, {"lat":35.427028,"lng":133.349948},{"lat": ,"lng": }], "color":"blueviolet"}</v>
      </c>
      <c r="AO297" s="266" t="s">
        <v>689</v>
      </c>
      <c r="AP297" s="56">
        <f t="shared" ca="1" si="31"/>
        <v>35.427756000000002</v>
      </c>
      <c r="AQ297" s="40" t="s">
        <v>684</v>
      </c>
      <c r="AR297" s="56">
        <f t="shared" ca="1" si="32"/>
        <v>133.34601499999999</v>
      </c>
      <c r="AS297" s="40" t="s">
        <v>686</v>
      </c>
      <c r="AT297" s="56">
        <f t="shared" ca="1" si="33"/>
        <v>35.427028</v>
      </c>
      <c r="AU297" s="40" t="s">
        <v>684</v>
      </c>
      <c r="AV297" s="56">
        <f t="shared" ca="1" si="34"/>
        <v>133.34994800000001</v>
      </c>
      <c r="AW297" s="40" t="s">
        <v>690</v>
      </c>
      <c r="AX297" s="40" t="str">
        <f t="shared" ca="1" si="35"/>
        <v>blueviolet</v>
      </c>
      <c r="AY297" s="40" t="s">
        <v>688</v>
      </c>
      <c r="AZ297" s="40" t="str">
        <f t="shared" ca="1" si="36"/>
        <v>,{"type":"polyline","latLngs":[{"lat":35.427756,"lng":133.346015},{"lat":35.427028,"lng":133.349948}],"color":"blueviolet"}</v>
      </c>
      <c r="BA297" s="40" t="s">
        <v>691</v>
      </c>
      <c r="BB297" s="56">
        <f t="shared" ca="1" si="37"/>
        <v>35.427756000000002</v>
      </c>
      <c r="BC297" s="40" t="s">
        <v>684</v>
      </c>
      <c r="BD297" s="56">
        <f t="shared" ca="1" si="38"/>
        <v>133.34601499999999</v>
      </c>
      <c r="BE297" s="40" t="s">
        <v>692</v>
      </c>
      <c r="BF297" s="40" t="str">
        <f t="shared" ca="1" si="39"/>
        <v>blueviolet</v>
      </c>
      <c r="BG297" s="40" t="s">
        <v>688</v>
      </c>
      <c r="BH297" s="40" t="str">
        <f t="shared" ca="1" si="40"/>
        <v>,{"type":"marker","latLng":{"lat":35.427756,"lng":133.346015},"color":"blueviolet"}</v>
      </c>
      <c r="BI297" s="40" t="s">
        <v>693</v>
      </c>
      <c r="BJ297" s="40" t="s">
        <v>694</v>
      </c>
      <c r="BK297" s="267" t="str">
        <f t="shared" ca="1" si="41"/>
        <v>,{"type":"polyline","latLngs":[{"lat":35.427756,"lng":133.346015},{"lat":35.427028,"lng":133.349948}],"color":"blueviolet"}</v>
      </c>
    </row>
    <row r="298" spans="7:63" ht="17.5">
      <c r="G298" s="261"/>
      <c r="H298" s="262" t="s">
        <v>672</v>
      </c>
      <c r="I298" s="93" t="str">
        <f ca="1">IFERROR(__xludf.DUMMYFUNCTION("""COMPUTED_VALUE"""),"Agent32")</f>
        <v>Agent32</v>
      </c>
      <c r="J298" s="93" t="str">
        <f ca="1">IFERROR(__xludf.DUMMYFUNCTION("""COMPUTED_VALUE"""),"P303")</f>
        <v>P303</v>
      </c>
      <c r="K298" s="93" t="str">
        <f ca="1">IFERROR(__xludf.DUMMYFUNCTION("""COMPUTED_VALUE"""),"P302")</f>
        <v>P302</v>
      </c>
      <c r="L298" s="242" t="s">
        <v>681</v>
      </c>
      <c r="M298" s="263" t="str">
        <f t="shared" ca="1" si="22"/>
        <v>blueviolet</v>
      </c>
      <c r="N298" s="264" t="str">
        <f ca="1">IFERROR(__xludf.DUMMYFUNCTION("FILTER(C:E,B:B=J298)"),"留魂碑")</f>
        <v>留魂碑</v>
      </c>
      <c r="O298" s="265">
        <f ca="1">IFERROR(__xludf.DUMMYFUNCTION("""COMPUTED_VALUE"""),35.427938)</f>
        <v>35.427937999999997</v>
      </c>
      <c r="P298" s="265">
        <f ca="1">IFERROR(__xludf.DUMMYFUNCTION("""COMPUTED_VALUE"""),133.341278)</f>
        <v>133.34127799999999</v>
      </c>
      <c r="Q298" s="264" t="str">
        <f ca="1">IFERROR(__xludf.DUMMYFUNCTION("FILTER(C:E,B:B=K298)"),"陽田山 経王寺")</f>
        <v>陽田山 経王寺</v>
      </c>
      <c r="R298" s="265">
        <f ca="1">IFERROR(__xludf.DUMMYFUNCTION("""COMPUTED_VALUE"""),35.427756)</f>
        <v>35.427756000000002</v>
      </c>
      <c r="S298" s="265">
        <f ca="1">IFERROR(__xludf.DUMMYFUNCTION("""COMPUTED_VALUE"""),133.346015)</f>
        <v>133.34601499999999</v>
      </c>
      <c r="T298" s="264" t="str">
        <f ca="1">IFERROR(__xludf.DUMMYFUNCTION("FILTER(C:E,B:B=L298)")," ")</f>
        <v xml:space="preserve"> </v>
      </c>
      <c r="U298" s="40" t="str">
        <f ca="1">IFERROR(__xludf.DUMMYFUNCTION("""COMPUTED_VALUE""")," ")</f>
        <v xml:space="preserve"> </v>
      </c>
      <c r="V298" s="40" t="str">
        <f ca="1">IFERROR(__xludf.DUMMYFUNCTION("""COMPUTED_VALUE""")," ")</f>
        <v xml:space="preserve"> </v>
      </c>
      <c r="W298" s="40" t="str">
        <f t="shared" ca="1" si="42"/>
        <v>,</v>
      </c>
      <c r="X298" s="40" t="s">
        <v>682</v>
      </c>
      <c r="Y298" s="40" t="s">
        <v>683</v>
      </c>
      <c r="Z298" s="264">
        <f t="shared" ca="1" si="23"/>
        <v>35.427937999999997</v>
      </c>
      <c r="AA298" s="40" t="s">
        <v>684</v>
      </c>
      <c r="AB298" s="264">
        <f t="shared" ca="1" si="24"/>
        <v>133.34127799999999</v>
      </c>
      <c r="AC298" s="40" t="s">
        <v>685</v>
      </c>
      <c r="AD298" s="264">
        <f t="shared" ca="1" si="25"/>
        <v>35.427756000000002</v>
      </c>
      <c r="AE298" s="40" t="s">
        <v>684</v>
      </c>
      <c r="AF298" s="264">
        <f t="shared" ca="1" si="26"/>
        <v>133.34601499999999</v>
      </c>
      <c r="AG298" s="40" t="s">
        <v>686</v>
      </c>
      <c r="AH298" s="264" t="str">
        <f t="shared" ca="1" si="27"/>
        <v xml:space="preserve"> </v>
      </c>
      <c r="AI298" s="40" t="s">
        <v>684</v>
      </c>
      <c r="AJ298" s="264" t="str">
        <f t="shared" ca="1" si="28"/>
        <v xml:space="preserve"> </v>
      </c>
      <c r="AK298" s="40" t="s">
        <v>687</v>
      </c>
      <c r="AL298" s="264" t="str">
        <f t="shared" ca="1" si="29"/>
        <v>blueviolet</v>
      </c>
      <c r="AM298" s="40" t="s">
        <v>688</v>
      </c>
      <c r="AN298" s="40" t="str">
        <f t="shared" ca="1" si="30"/>
        <v>,{"type":"polygon","latLngs":[ {"lat":35.427938,"lng":133.341278}, {"lat":35.427756,"lng":133.346015},{"lat": ,"lng": }], "color":"blueviolet"}</v>
      </c>
      <c r="AO298" s="266" t="s">
        <v>689</v>
      </c>
      <c r="AP298" s="56">
        <f t="shared" ca="1" si="31"/>
        <v>35.427937999999997</v>
      </c>
      <c r="AQ298" s="40" t="s">
        <v>684</v>
      </c>
      <c r="AR298" s="56">
        <f t="shared" ca="1" si="32"/>
        <v>133.34127799999999</v>
      </c>
      <c r="AS298" s="40" t="s">
        <v>686</v>
      </c>
      <c r="AT298" s="56">
        <f t="shared" ca="1" si="33"/>
        <v>35.427756000000002</v>
      </c>
      <c r="AU298" s="40" t="s">
        <v>684</v>
      </c>
      <c r="AV298" s="56">
        <f t="shared" ca="1" si="34"/>
        <v>133.34601499999999</v>
      </c>
      <c r="AW298" s="40" t="s">
        <v>690</v>
      </c>
      <c r="AX298" s="40" t="str">
        <f t="shared" ca="1" si="35"/>
        <v>blueviolet</v>
      </c>
      <c r="AY298" s="40" t="s">
        <v>688</v>
      </c>
      <c r="AZ298" s="40" t="str">
        <f t="shared" ca="1" si="36"/>
        <v>,{"type":"polyline","latLngs":[{"lat":35.427938,"lng":133.341278},{"lat":35.427756,"lng":133.346015}],"color":"blueviolet"}</v>
      </c>
      <c r="BA298" s="40" t="s">
        <v>691</v>
      </c>
      <c r="BB298" s="56">
        <f t="shared" ca="1" si="37"/>
        <v>35.427937999999997</v>
      </c>
      <c r="BC298" s="40" t="s">
        <v>684</v>
      </c>
      <c r="BD298" s="56">
        <f t="shared" ca="1" si="38"/>
        <v>133.34127799999999</v>
      </c>
      <c r="BE298" s="40" t="s">
        <v>692</v>
      </c>
      <c r="BF298" s="40" t="str">
        <f t="shared" ca="1" si="39"/>
        <v>blueviolet</v>
      </c>
      <c r="BG298" s="40" t="s">
        <v>688</v>
      </c>
      <c r="BH298" s="40" t="str">
        <f t="shared" ca="1" si="40"/>
        <v>,{"type":"marker","latLng":{"lat":35.427938,"lng":133.341278},"color":"blueviolet"}</v>
      </c>
      <c r="BI298" s="40" t="s">
        <v>693</v>
      </c>
      <c r="BJ298" s="40" t="s">
        <v>694</v>
      </c>
      <c r="BK298" s="267" t="str">
        <f t="shared" ca="1" si="41"/>
        <v>,{"type":"polyline","latLngs":[{"lat":35.427938,"lng":133.341278},{"lat":35.427756,"lng":133.346015}],"color":"blueviolet"}</v>
      </c>
    </row>
    <row r="299" spans="7:63" ht="17.5">
      <c r="G299" s="261"/>
      <c r="H299" s="262" t="s">
        <v>672</v>
      </c>
      <c r="I299" s="93" t="str">
        <f ca="1">IFERROR(__xludf.DUMMYFUNCTION("""COMPUTED_VALUE"""),"Agent32")</f>
        <v>Agent32</v>
      </c>
      <c r="J299" s="93" t="str">
        <f ca="1">IFERROR(__xludf.DUMMYFUNCTION("""COMPUTED_VALUE"""),"P303")</f>
        <v>P303</v>
      </c>
      <c r="K299" s="93" t="str">
        <f ca="1">IFERROR(__xludf.DUMMYFUNCTION("""COMPUTED_VALUE"""),"P301")</f>
        <v>P301</v>
      </c>
      <c r="L299" s="242" t="s">
        <v>681</v>
      </c>
      <c r="M299" s="263" t="str">
        <f t="shared" ca="1" si="22"/>
        <v>blueviolet</v>
      </c>
      <c r="N299" s="264" t="str">
        <f ca="1">IFERROR(__xludf.DUMMYFUNCTION("FILTER(C:E,B:B=J299)"),"留魂碑")</f>
        <v>留魂碑</v>
      </c>
      <c r="O299" s="265">
        <f ca="1">IFERROR(__xludf.DUMMYFUNCTION("""COMPUTED_VALUE"""),35.427938)</f>
        <v>35.427937999999997</v>
      </c>
      <c r="P299" s="265">
        <f ca="1">IFERROR(__xludf.DUMMYFUNCTION("""COMPUTED_VALUE"""),133.341278)</f>
        <v>133.34127799999999</v>
      </c>
      <c r="Q299" s="264" t="str">
        <f ca="1">IFERROR(__xludf.DUMMYFUNCTION("FILTER(C:E,B:B=K299)"),"天理教京伯分教会")</f>
        <v>天理教京伯分教会</v>
      </c>
      <c r="R299" s="265">
        <f ca="1">IFERROR(__xludf.DUMMYFUNCTION("""COMPUTED_VALUE"""),35.427028)</f>
        <v>35.427028</v>
      </c>
      <c r="S299" s="265">
        <f ca="1">IFERROR(__xludf.DUMMYFUNCTION("""COMPUTED_VALUE"""),133.349948)</f>
        <v>133.34994800000001</v>
      </c>
      <c r="T299" s="264" t="str">
        <f ca="1">IFERROR(__xludf.DUMMYFUNCTION("FILTER(C:E,B:B=L299)")," ")</f>
        <v xml:space="preserve"> </v>
      </c>
      <c r="U299" s="40" t="str">
        <f ca="1">IFERROR(__xludf.DUMMYFUNCTION("""COMPUTED_VALUE""")," ")</f>
        <v xml:space="preserve"> </v>
      </c>
      <c r="V299" s="40" t="str">
        <f ca="1">IFERROR(__xludf.DUMMYFUNCTION("""COMPUTED_VALUE""")," ")</f>
        <v xml:space="preserve"> </v>
      </c>
      <c r="W299" s="40" t="str">
        <f t="shared" ca="1" si="42"/>
        <v>,</v>
      </c>
      <c r="X299" s="40" t="s">
        <v>682</v>
      </c>
      <c r="Y299" s="40" t="s">
        <v>683</v>
      </c>
      <c r="Z299" s="264">
        <f t="shared" ca="1" si="23"/>
        <v>35.427937999999997</v>
      </c>
      <c r="AA299" s="40" t="s">
        <v>684</v>
      </c>
      <c r="AB299" s="264">
        <f t="shared" ca="1" si="24"/>
        <v>133.34127799999999</v>
      </c>
      <c r="AC299" s="40" t="s">
        <v>685</v>
      </c>
      <c r="AD299" s="264">
        <f t="shared" ca="1" si="25"/>
        <v>35.427028</v>
      </c>
      <c r="AE299" s="40" t="s">
        <v>684</v>
      </c>
      <c r="AF299" s="264">
        <f t="shared" ca="1" si="26"/>
        <v>133.34994800000001</v>
      </c>
      <c r="AG299" s="40" t="s">
        <v>686</v>
      </c>
      <c r="AH299" s="264" t="str">
        <f t="shared" ca="1" si="27"/>
        <v xml:space="preserve"> </v>
      </c>
      <c r="AI299" s="40" t="s">
        <v>684</v>
      </c>
      <c r="AJ299" s="264" t="str">
        <f t="shared" ca="1" si="28"/>
        <v xml:space="preserve"> </v>
      </c>
      <c r="AK299" s="40" t="s">
        <v>687</v>
      </c>
      <c r="AL299" s="264" t="str">
        <f t="shared" ca="1" si="29"/>
        <v>blueviolet</v>
      </c>
      <c r="AM299" s="40" t="s">
        <v>688</v>
      </c>
      <c r="AN299" s="40" t="str">
        <f t="shared" ca="1" si="30"/>
        <v>,{"type":"polygon","latLngs":[ {"lat":35.427938,"lng":133.341278}, {"lat":35.427028,"lng":133.349948},{"lat": ,"lng": }], "color":"blueviolet"}</v>
      </c>
      <c r="AO299" s="266" t="s">
        <v>689</v>
      </c>
      <c r="AP299" s="56">
        <f t="shared" ca="1" si="31"/>
        <v>35.427937999999997</v>
      </c>
      <c r="AQ299" s="40" t="s">
        <v>684</v>
      </c>
      <c r="AR299" s="56">
        <f t="shared" ca="1" si="32"/>
        <v>133.34127799999999</v>
      </c>
      <c r="AS299" s="40" t="s">
        <v>686</v>
      </c>
      <c r="AT299" s="56">
        <f t="shared" ca="1" si="33"/>
        <v>35.427028</v>
      </c>
      <c r="AU299" s="40" t="s">
        <v>684</v>
      </c>
      <c r="AV299" s="56">
        <f t="shared" ca="1" si="34"/>
        <v>133.34994800000001</v>
      </c>
      <c r="AW299" s="40" t="s">
        <v>690</v>
      </c>
      <c r="AX299" s="40" t="str">
        <f t="shared" ca="1" si="35"/>
        <v>blueviolet</v>
      </c>
      <c r="AY299" s="40" t="s">
        <v>688</v>
      </c>
      <c r="AZ299" s="40" t="str">
        <f t="shared" ca="1" si="36"/>
        <v>,{"type":"polyline","latLngs":[{"lat":35.427938,"lng":133.341278},{"lat":35.427028,"lng":133.349948}],"color":"blueviolet"}</v>
      </c>
      <c r="BA299" s="40" t="s">
        <v>691</v>
      </c>
      <c r="BB299" s="56">
        <f t="shared" ca="1" si="37"/>
        <v>35.427937999999997</v>
      </c>
      <c r="BC299" s="40" t="s">
        <v>684</v>
      </c>
      <c r="BD299" s="56">
        <f t="shared" ca="1" si="38"/>
        <v>133.34127799999999</v>
      </c>
      <c r="BE299" s="40" t="s">
        <v>692</v>
      </c>
      <c r="BF299" s="40" t="str">
        <f t="shared" ca="1" si="39"/>
        <v>blueviolet</v>
      </c>
      <c r="BG299" s="40" t="s">
        <v>688</v>
      </c>
      <c r="BH299" s="40" t="str">
        <f t="shared" ca="1" si="40"/>
        <v>,{"type":"marker","latLng":{"lat":35.427938,"lng":133.341278},"color":"blueviolet"}</v>
      </c>
      <c r="BI299" s="40" t="s">
        <v>693</v>
      </c>
      <c r="BJ299" s="40" t="s">
        <v>694</v>
      </c>
      <c r="BK299" s="267" t="str">
        <f t="shared" ca="1" si="41"/>
        <v>,{"type":"polyline","latLngs":[{"lat":35.427938,"lng":133.341278},{"lat":35.427028,"lng":133.349948}],"color":"blueviolet"}</v>
      </c>
    </row>
    <row r="300" spans="7:63" ht="17.5">
      <c r="G300" s="261"/>
      <c r="H300" s="262" t="s">
        <v>672</v>
      </c>
      <c r="I300" s="93" t="str">
        <f ca="1">IFERROR(__xludf.DUMMYFUNCTION("""COMPUTED_VALUE"""),"Agent32")</f>
        <v>Agent32</v>
      </c>
      <c r="J300" s="93" t="str">
        <f ca="1">IFERROR(__xludf.DUMMYFUNCTION("""COMPUTED_VALUE"""),"P303")</f>
        <v>P303</v>
      </c>
      <c r="K300" s="93" t="str">
        <f ca="1">IFERROR(__xludf.DUMMYFUNCTION("""COMPUTED_VALUE"""),"P304")</f>
        <v>P304</v>
      </c>
      <c r="L300" s="242" t="s">
        <v>681</v>
      </c>
      <c r="M300" s="263" t="str">
        <f t="shared" ca="1" si="22"/>
        <v>blueviolet</v>
      </c>
      <c r="N300" s="264" t="str">
        <f ca="1">IFERROR(__xludf.DUMMYFUNCTION("FILTER(C:E,B:B=J300)"),"留魂碑")</f>
        <v>留魂碑</v>
      </c>
      <c r="O300" s="265">
        <f ca="1">IFERROR(__xludf.DUMMYFUNCTION("""COMPUTED_VALUE"""),35.427938)</f>
        <v>35.427937999999997</v>
      </c>
      <c r="P300" s="265">
        <f ca="1">IFERROR(__xludf.DUMMYFUNCTION("""COMPUTED_VALUE"""),133.341278)</f>
        <v>133.34127799999999</v>
      </c>
      <c r="Q300" s="264" t="str">
        <f ca="1">IFERROR(__xludf.DUMMYFUNCTION("FILTER(C:E,B:B=K300)"),"犬の像")</f>
        <v>犬の像</v>
      </c>
      <c r="R300" s="265">
        <f ca="1">IFERROR(__xludf.DUMMYFUNCTION("""COMPUTED_VALUE"""),35.42879)</f>
        <v>35.428789999999999</v>
      </c>
      <c r="S300" s="265">
        <f ca="1">IFERROR(__xludf.DUMMYFUNCTION("""COMPUTED_VALUE"""),133.345732)</f>
        <v>133.345732</v>
      </c>
      <c r="T300" s="264" t="str">
        <f ca="1">IFERROR(__xludf.DUMMYFUNCTION("FILTER(C:E,B:B=L300)")," ")</f>
        <v xml:space="preserve"> </v>
      </c>
      <c r="U300" s="40" t="str">
        <f ca="1">IFERROR(__xludf.DUMMYFUNCTION("""COMPUTED_VALUE""")," ")</f>
        <v xml:space="preserve"> </v>
      </c>
      <c r="V300" s="40" t="str">
        <f ca="1">IFERROR(__xludf.DUMMYFUNCTION("""COMPUTED_VALUE""")," ")</f>
        <v xml:space="preserve"> </v>
      </c>
      <c r="W300" s="40" t="str">
        <f t="shared" ca="1" si="42"/>
        <v>,</v>
      </c>
      <c r="X300" s="40" t="s">
        <v>682</v>
      </c>
      <c r="Y300" s="40" t="s">
        <v>683</v>
      </c>
      <c r="Z300" s="264">
        <f t="shared" ca="1" si="23"/>
        <v>35.427937999999997</v>
      </c>
      <c r="AA300" s="40" t="s">
        <v>684</v>
      </c>
      <c r="AB300" s="264">
        <f t="shared" ca="1" si="24"/>
        <v>133.34127799999999</v>
      </c>
      <c r="AC300" s="40" t="s">
        <v>685</v>
      </c>
      <c r="AD300" s="264">
        <f t="shared" ca="1" si="25"/>
        <v>35.428789999999999</v>
      </c>
      <c r="AE300" s="40" t="s">
        <v>684</v>
      </c>
      <c r="AF300" s="264">
        <f t="shared" ca="1" si="26"/>
        <v>133.345732</v>
      </c>
      <c r="AG300" s="40" t="s">
        <v>686</v>
      </c>
      <c r="AH300" s="264" t="str">
        <f t="shared" ca="1" si="27"/>
        <v xml:space="preserve"> </v>
      </c>
      <c r="AI300" s="40" t="s">
        <v>684</v>
      </c>
      <c r="AJ300" s="264" t="str">
        <f t="shared" ca="1" si="28"/>
        <v xml:space="preserve"> </v>
      </c>
      <c r="AK300" s="40" t="s">
        <v>687</v>
      </c>
      <c r="AL300" s="264" t="str">
        <f t="shared" ca="1" si="29"/>
        <v>blueviolet</v>
      </c>
      <c r="AM300" s="40" t="s">
        <v>688</v>
      </c>
      <c r="AN300" s="40" t="str">
        <f t="shared" ca="1" si="30"/>
        <v>,{"type":"polygon","latLngs":[ {"lat":35.427938,"lng":133.341278}, {"lat":35.42879,"lng":133.345732},{"lat": ,"lng": }], "color":"blueviolet"}</v>
      </c>
      <c r="AO300" s="266" t="s">
        <v>689</v>
      </c>
      <c r="AP300" s="56">
        <f t="shared" ca="1" si="31"/>
        <v>35.427937999999997</v>
      </c>
      <c r="AQ300" s="40" t="s">
        <v>684</v>
      </c>
      <c r="AR300" s="56">
        <f t="shared" ca="1" si="32"/>
        <v>133.34127799999999</v>
      </c>
      <c r="AS300" s="40" t="s">
        <v>686</v>
      </c>
      <c r="AT300" s="56">
        <f t="shared" ca="1" si="33"/>
        <v>35.428789999999999</v>
      </c>
      <c r="AU300" s="40" t="s">
        <v>684</v>
      </c>
      <c r="AV300" s="56">
        <f t="shared" ca="1" si="34"/>
        <v>133.345732</v>
      </c>
      <c r="AW300" s="40" t="s">
        <v>690</v>
      </c>
      <c r="AX300" s="40" t="str">
        <f t="shared" ca="1" si="35"/>
        <v>blueviolet</v>
      </c>
      <c r="AY300" s="40" t="s">
        <v>688</v>
      </c>
      <c r="AZ300" s="40" t="str">
        <f t="shared" ca="1" si="36"/>
        <v>,{"type":"polyline","latLngs":[{"lat":35.427938,"lng":133.341278},{"lat":35.42879,"lng":133.345732}],"color":"blueviolet"}</v>
      </c>
      <c r="BA300" s="40" t="s">
        <v>691</v>
      </c>
      <c r="BB300" s="56">
        <f t="shared" ca="1" si="37"/>
        <v>35.427937999999997</v>
      </c>
      <c r="BC300" s="40" t="s">
        <v>684</v>
      </c>
      <c r="BD300" s="56">
        <f t="shared" ca="1" si="38"/>
        <v>133.34127799999999</v>
      </c>
      <c r="BE300" s="40" t="s">
        <v>692</v>
      </c>
      <c r="BF300" s="40" t="str">
        <f t="shared" ca="1" si="39"/>
        <v>blueviolet</v>
      </c>
      <c r="BG300" s="40" t="s">
        <v>688</v>
      </c>
      <c r="BH300" s="40" t="str">
        <f t="shared" ca="1" si="40"/>
        <v>,{"type":"marker","latLng":{"lat":35.427938,"lng":133.341278},"color":"blueviolet"}</v>
      </c>
      <c r="BI300" s="40" t="s">
        <v>693</v>
      </c>
      <c r="BJ300" s="40" t="s">
        <v>694</v>
      </c>
      <c r="BK300" s="267" t="str">
        <f t="shared" ca="1" si="41"/>
        <v>,{"type":"polyline","latLngs":[{"lat":35.427938,"lng":133.341278},{"lat":35.42879,"lng":133.345732}],"color":"blueviolet"}</v>
      </c>
    </row>
    <row r="301" spans="7:63" ht="17.5">
      <c r="G301" s="261"/>
      <c r="H301" s="262" t="s">
        <v>672</v>
      </c>
      <c r="I301" s="93" t="str">
        <f ca="1">IFERROR(__xludf.DUMMYFUNCTION("""COMPUTED_VALUE"""),"Agent32")</f>
        <v>Agent32</v>
      </c>
      <c r="J301" s="93" t="str">
        <f ca="1">IFERROR(__xludf.DUMMYFUNCTION("""COMPUTED_VALUE"""),"P303")</f>
        <v>P303</v>
      </c>
      <c r="K301" s="93" t="str">
        <f ca="1">IFERROR(__xludf.DUMMYFUNCTION("""COMPUTED_VALUE"""),"P305")</f>
        <v>P305</v>
      </c>
      <c r="L301" s="242" t="s">
        <v>681</v>
      </c>
      <c r="M301" s="263" t="str">
        <f t="shared" ca="1" si="22"/>
        <v>blueviolet</v>
      </c>
      <c r="N301" s="264" t="str">
        <f ca="1">IFERROR(__xludf.DUMMYFUNCTION("FILTER(C:E,B:B=J301)"),"留魂碑")</f>
        <v>留魂碑</v>
      </c>
      <c r="O301" s="265">
        <f ca="1">IFERROR(__xludf.DUMMYFUNCTION("""COMPUTED_VALUE"""),35.427938)</f>
        <v>35.427937999999997</v>
      </c>
      <c r="P301" s="265">
        <f ca="1">IFERROR(__xludf.DUMMYFUNCTION("""COMPUTED_VALUE"""),133.341278)</f>
        <v>133.34127799999999</v>
      </c>
      <c r="Q301" s="264" t="str">
        <f ca="1">IFERROR(__xludf.DUMMYFUNCTION("FILTER(C:E,B:B=K301)"),"イルカ")</f>
        <v>イルカ</v>
      </c>
      <c r="R301" s="265">
        <f ca="1">IFERROR(__xludf.DUMMYFUNCTION("""COMPUTED_VALUE"""),35.429056)</f>
        <v>35.429056000000003</v>
      </c>
      <c r="S301" s="265">
        <f ca="1">IFERROR(__xludf.DUMMYFUNCTION("""COMPUTED_VALUE"""),133.34528)</f>
        <v>133.34528</v>
      </c>
      <c r="T301" s="264" t="str">
        <f ca="1">IFERROR(__xludf.DUMMYFUNCTION("FILTER(C:E,B:B=L301)")," ")</f>
        <v xml:space="preserve"> </v>
      </c>
      <c r="U301" s="40" t="str">
        <f ca="1">IFERROR(__xludf.DUMMYFUNCTION("""COMPUTED_VALUE""")," ")</f>
        <v xml:space="preserve"> </v>
      </c>
      <c r="V301" s="40" t="str">
        <f ca="1">IFERROR(__xludf.DUMMYFUNCTION("""COMPUTED_VALUE""")," ")</f>
        <v xml:space="preserve"> </v>
      </c>
      <c r="W301" s="40" t="str">
        <f t="shared" ca="1" si="42"/>
        <v>,</v>
      </c>
      <c r="X301" s="40" t="s">
        <v>682</v>
      </c>
      <c r="Y301" s="40" t="s">
        <v>683</v>
      </c>
      <c r="Z301" s="264">
        <f t="shared" ca="1" si="23"/>
        <v>35.427937999999997</v>
      </c>
      <c r="AA301" s="40" t="s">
        <v>684</v>
      </c>
      <c r="AB301" s="264">
        <f t="shared" ca="1" si="24"/>
        <v>133.34127799999999</v>
      </c>
      <c r="AC301" s="40" t="s">
        <v>685</v>
      </c>
      <c r="AD301" s="264">
        <f t="shared" ca="1" si="25"/>
        <v>35.429056000000003</v>
      </c>
      <c r="AE301" s="40" t="s">
        <v>684</v>
      </c>
      <c r="AF301" s="264">
        <f t="shared" ca="1" si="26"/>
        <v>133.34528</v>
      </c>
      <c r="AG301" s="40" t="s">
        <v>686</v>
      </c>
      <c r="AH301" s="264" t="str">
        <f t="shared" ca="1" si="27"/>
        <v xml:space="preserve"> </v>
      </c>
      <c r="AI301" s="40" t="s">
        <v>684</v>
      </c>
      <c r="AJ301" s="264" t="str">
        <f t="shared" ca="1" si="28"/>
        <v xml:space="preserve"> </v>
      </c>
      <c r="AK301" s="40" t="s">
        <v>687</v>
      </c>
      <c r="AL301" s="264" t="str">
        <f t="shared" ca="1" si="29"/>
        <v>blueviolet</v>
      </c>
      <c r="AM301" s="40" t="s">
        <v>688</v>
      </c>
      <c r="AN301" s="40" t="str">
        <f t="shared" ca="1" si="30"/>
        <v>,{"type":"polygon","latLngs":[ {"lat":35.427938,"lng":133.341278}, {"lat":35.429056,"lng":133.34528},{"lat": ,"lng": }], "color":"blueviolet"}</v>
      </c>
      <c r="AO301" s="266" t="s">
        <v>689</v>
      </c>
      <c r="AP301" s="56">
        <f t="shared" ca="1" si="31"/>
        <v>35.427937999999997</v>
      </c>
      <c r="AQ301" s="40" t="s">
        <v>684</v>
      </c>
      <c r="AR301" s="56">
        <f t="shared" ca="1" si="32"/>
        <v>133.34127799999999</v>
      </c>
      <c r="AS301" s="40" t="s">
        <v>686</v>
      </c>
      <c r="AT301" s="56">
        <f t="shared" ca="1" si="33"/>
        <v>35.429056000000003</v>
      </c>
      <c r="AU301" s="40" t="s">
        <v>684</v>
      </c>
      <c r="AV301" s="56">
        <f t="shared" ca="1" si="34"/>
        <v>133.34528</v>
      </c>
      <c r="AW301" s="40" t="s">
        <v>690</v>
      </c>
      <c r="AX301" s="40" t="str">
        <f t="shared" ca="1" si="35"/>
        <v>blueviolet</v>
      </c>
      <c r="AY301" s="40" t="s">
        <v>688</v>
      </c>
      <c r="AZ301" s="40" t="str">
        <f t="shared" ca="1" si="36"/>
        <v>,{"type":"polyline","latLngs":[{"lat":35.427938,"lng":133.341278},{"lat":35.429056,"lng":133.34528}],"color":"blueviolet"}</v>
      </c>
      <c r="BA301" s="40" t="s">
        <v>691</v>
      </c>
      <c r="BB301" s="56">
        <f t="shared" ca="1" si="37"/>
        <v>35.427937999999997</v>
      </c>
      <c r="BC301" s="40" t="s">
        <v>684</v>
      </c>
      <c r="BD301" s="56">
        <f t="shared" ca="1" si="38"/>
        <v>133.34127799999999</v>
      </c>
      <c r="BE301" s="40" t="s">
        <v>692</v>
      </c>
      <c r="BF301" s="40" t="str">
        <f t="shared" ca="1" si="39"/>
        <v>blueviolet</v>
      </c>
      <c r="BG301" s="40" t="s">
        <v>688</v>
      </c>
      <c r="BH301" s="40" t="str">
        <f t="shared" ca="1" si="40"/>
        <v>,{"type":"marker","latLng":{"lat":35.427938,"lng":133.341278},"color":"blueviolet"}</v>
      </c>
      <c r="BI301" s="40" t="s">
        <v>693</v>
      </c>
      <c r="BJ301" s="40" t="s">
        <v>694</v>
      </c>
      <c r="BK301" s="267" t="str">
        <f t="shared" ca="1" si="41"/>
        <v>,{"type":"polyline","latLngs":[{"lat":35.427938,"lng":133.341278},{"lat":35.429056,"lng":133.34528}],"color":"blueviolet"}</v>
      </c>
    </row>
    <row r="302" spans="7:63" ht="17.5">
      <c r="G302" s="261"/>
      <c r="H302" s="262" t="s">
        <v>696</v>
      </c>
      <c r="I302" s="93" t="s">
        <v>681</v>
      </c>
      <c r="J302" s="93" t="s">
        <v>681</v>
      </c>
      <c r="K302" s="93" t="s">
        <v>681</v>
      </c>
      <c r="L302" s="242" t="s">
        <v>681</v>
      </c>
      <c r="M302" s="263" t="str">
        <f t="shared" si="22"/>
        <v>dodgerblue</v>
      </c>
      <c r="N302" s="264" t="str">
        <f ca="1">IFERROR(__xludf.DUMMYFUNCTION("FILTER(C:E,B:B=J302)")," ")</f>
        <v xml:space="preserve"> </v>
      </c>
      <c r="O302" s="265" t="str">
        <f ca="1">IFERROR(__xludf.DUMMYFUNCTION("""COMPUTED_VALUE""")," ")</f>
        <v xml:space="preserve"> </v>
      </c>
      <c r="P302" s="265" t="str">
        <f ca="1">IFERROR(__xludf.DUMMYFUNCTION("""COMPUTED_VALUE""")," ")</f>
        <v xml:space="preserve"> </v>
      </c>
      <c r="Q302" s="264" t="str">
        <f ca="1">IFERROR(__xludf.DUMMYFUNCTION("FILTER(C:E,B:B=K302)")," ")</f>
        <v xml:space="preserve"> </v>
      </c>
      <c r="R302" s="265" t="str">
        <f ca="1">IFERROR(__xludf.DUMMYFUNCTION("""COMPUTED_VALUE""")," ")</f>
        <v xml:space="preserve"> </v>
      </c>
      <c r="S302" s="265" t="str">
        <f ca="1">IFERROR(__xludf.DUMMYFUNCTION("""COMPUTED_VALUE""")," ")</f>
        <v xml:space="preserve"> </v>
      </c>
      <c r="T302" s="264" t="str">
        <f ca="1">IFERROR(__xludf.DUMMYFUNCTION("FILTER(C:E,B:B=L302)")," ")</f>
        <v xml:space="preserve"> </v>
      </c>
      <c r="U302" s="40" t="str">
        <f ca="1">IFERROR(__xludf.DUMMYFUNCTION("""COMPUTED_VALUE""")," ")</f>
        <v xml:space="preserve"> </v>
      </c>
      <c r="V302" s="40" t="str">
        <f ca="1">IFERROR(__xludf.DUMMYFUNCTION("""COMPUTED_VALUE""")," ")</f>
        <v xml:space="preserve"> </v>
      </c>
      <c r="W302" s="40" t="str">
        <f t="shared" ca="1" si="42"/>
        <v>,</v>
      </c>
      <c r="X302" s="40" t="s">
        <v>682</v>
      </c>
      <c r="Y302" s="40" t="s">
        <v>683</v>
      </c>
      <c r="Z302" s="264" t="str">
        <f t="shared" ca="1" si="23"/>
        <v xml:space="preserve"> </v>
      </c>
      <c r="AA302" s="40" t="s">
        <v>684</v>
      </c>
      <c r="AB302" s="264" t="str">
        <f t="shared" ca="1" si="24"/>
        <v xml:space="preserve"> </v>
      </c>
      <c r="AC302" s="40" t="s">
        <v>685</v>
      </c>
      <c r="AD302" s="264" t="str">
        <f t="shared" ca="1" si="25"/>
        <v xml:space="preserve"> </v>
      </c>
      <c r="AE302" s="40" t="s">
        <v>684</v>
      </c>
      <c r="AF302" s="264" t="str">
        <f t="shared" ca="1" si="26"/>
        <v xml:space="preserve"> </v>
      </c>
      <c r="AG302" s="40" t="s">
        <v>686</v>
      </c>
      <c r="AH302" s="264" t="str">
        <f t="shared" ca="1" si="27"/>
        <v xml:space="preserve"> </v>
      </c>
      <c r="AI302" s="40" t="s">
        <v>684</v>
      </c>
      <c r="AJ302" s="264" t="str">
        <f t="shared" ca="1" si="28"/>
        <v xml:space="preserve"> </v>
      </c>
      <c r="AK302" s="40" t="s">
        <v>687</v>
      </c>
      <c r="AL302" s="264" t="str">
        <f t="shared" si="29"/>
        <v>dodgerblue</v>
      </c>
      <c r="AM302" s="40" t="s">
        <v>688</v>
      </c>
      <c r="AN302" s="40" t="str">
        <f t="shared" ca="1" si="30"/>
        <v>,{"type":"polygon","latLngs":[ {"lat": ,"lng": }, {"lat": ,"lng": },{"lat": ,"lng": }], "color":"dodgerblue"}</v>
      </c>
      <c r="AO302" s="266" t="s">
        <v>689</v>
      </c>
      <c r="AP302" s="56" t="str">
        <f t="shared" ca="1" si="31"/>
        <v xml:space="preserve"> </v>
      </c>
      <c r="AQ302" s="40" t="s">
        <v>684</v>
      </c>
      <c r="AR302" s="56" t="str">
        <f t="shared" ca="1" si="32"/>
        <v xml:space="preserve"> </v>
      </c>
      <c r="AS302" s="40" t="s">
        <v>686</v>
      </c>
      <c r="AT302" s="56" t="str">
        <f t="shared" ca="1" si="33"/>
        <v xml:space="preserve"> </v>
      </c>
      <c r="AU302" s="40" t="s">
        <v>684</v>
      </c>
      <c r="AV302" s="56" t="str">
        <f t="shared" ca="1" si="34"/>
        <v xml:space="preserve"> </v>
      </c>
      <c r="AW302" s="40" t="s">
        <v>690</v>
      </c>
      <c r="AX302" s="40" t="str">
        <f t="shared" si="35"/>
        <v>dodgerblue</v>
      </c>
      <c r="AY302" s="40" t="s">
        <v>688</v>
      </c>
      <c r="AZ302" s="40" t="str">
        <f t="shared" ca="1" si="36"/>
        <v>,{"type":"polyline","latLngs":[{"lat": ,"lng": },{"lat": ,"lng": }],"color":"dodgerblue"}</v>
      </c>
      <c r="BA302" s="40" t="s">
        <v>691</v>
      </c>
      <c r="BB302" s="56" t="str">
        <f t="shared" ca="1" si="37"/>
        <v xml:space="preserve"> </v>
      </c>
      <c r="BC302" s="40" t="s">
        <v>684</v>
      </c>
      <c r="BD302" s="56" t="str">
        <f t="shared" ca="1" si="38"/>
        <v xml:space="preserve"> </v>
      </c>
      <c r="BE302" s="40" t="s">
        <v>692</v>
      </c>
      <c r="BF302" s="40" t="str">
        <f t="shared" si="39"/>
        <v>dodgerblue</v>
      </c>
      <c r="BG302" s="40" t="s">
        <v>688</v>
      </c>
      <c r="BH302" s="40" t="str">
        <f t="shared" ca="1" si="40"/>
        <v>,{"type":"marker","latLng":{"lat": ,"lng": },"color":"dodgerblue"}</v>
      </c>
      <c r="BI302" s="40" t="s">
        <v>693</v>
      </c>
      <c r="BJ302" s="40" t="s">
        <v>694</v>
      </c>
      <c r="BK302" s="267" t="str">
        <f t="shared" si="41"/>
        <v>]</v>
      </c>
    </row>
    <row r="303" spans="7:63" ht="17.5">
      <c r="G303" s="261"/>
      <c r="H303" s="262"/>
      <c r="I303" s="93" t="s">
        <v>681</v>
      </c>
      <c r="J303" s="93" t="s">
        <v>681</v>
      </c>
      <c r="K303" s="93" t="s">
        <v>681</v>
      </c>
      <c r="L303" s="242" t="s">
        <v>681</v>
      </c>
      <c r="M303" s="263" t="str">
        <f t="shared" si="22"/>
        <v>dodgerblue</v>
      </c>
      <c r="N303" s="264" t="str">
        <f ca="1">IFERROR(__xludf.DUMMYFUNCTION("FILTER(C:E,B:B=J303)")," ")</f>
        <v xml:space="preserve"> </v>
      </c>
      <c r="O303" s="265" t="str">
        <f ca="1">IFERROR(__xludf.DUMMYFUNCTION("""COMPUTED_VALUE""")," ")</f>
        <v xml:space="preserve"> </v>
      </c>
      <c r="P303" s="265" t="str">
        <f ca="1">IFERROR(__xludf.DUMMYFUNCTION("""COMPUTED_VALUE""")," ")</f>
        <v xml:space="preserve"> </v>
      </c>
      <c r="Q303" s="264" t="str">
        <f ca="1">IFERROR(__xludf.DUMMYFUNCTION("FILTER(C:E,B:B=K303)")," ")</f>
        <v xml:space="preserve"> </v>
      </c>
      <c r="R303" s="265" t="str">
        <f ca="1">IFERROR(__xludf.DUMMYFUNCTION("""COMPUTED_VALUE""")," ")</f>
        <v xml:space="preserve"> </v>
      </c>
      <c r="S303" s="265" t="str">
        <f ca="1">IFERROR(__xludf.DUMMYFUNCTION("""COMPUTED_VALUE""")," ")</f>
        <v xml:space="preserve"> </v>
      </c>
      <c r="T303" s="264" t="str">
        <f ca="1">IFERROR(__xludf.DUMMYFUNCTION("FILTER(C:E,B:B=L303)")," ")</f>
        <v xml:space="preserve"> </v>
      </c>
      <c r="U303" s="40" t="str">
        <f ca="1">IFERROR(__xludf.DUMMYFUNCTION("""COMPUTED_VALUE""")," ")</f>
        <v xml:space="preserve"> </v>
      </c>
      <c r="V303" s="40" t="str">
        <f ca="1">IFERROR(__xludf.DUMMYFUNCTION("""COMPUTED_VALUE""")," ")</f>
        <v xml:space="preserve"> </v>
      </c>
      <c r="W303" s="40" t="str">
        <f t="shared" ca="1" si="42"/>
        <v>,</v>
      </c>
      <c r="X303" s="40" t="s">
        <v>682</v>
      </c>
      <c r="Y303" s="40" t="s">
        <v>683</v>
      </c>
      <c r="Z303" s="264" t="str">
        <f t="shared" ca="1" si="23"/>
        <v xml:space="preserve"> </v>
      </c>
      <c r="AA303" s="40" t="s">
        <v>684</v>
      </c>
      <c r="AB303" s="264" t="str">
        <f t="shared" ca="1" si="24"/>
        <v xml:space="preserve"> </v>
      </c>
      <c r="AC303" s="40" t="s">
        <v>685</v>
      </c>
      <c r="AD303" s="264" t="str">
        <f t="shared" ca="1" si="25"/>
        <v xml:space="preserve"> </v>
      </c>
      <c r="AE303" s="40" t="s">
        <v>684</v>
      </c>
      <c r="AF303" s="264" t="str">
        <f t="shared" ca="1" si="26"/>
        <v xml:space="preserve"> </v>
      </c>
      <c r="AG303" s="40" t="s">
        <v>686</v>
      </c>
      <c r="AH303" s="264" t="str">
        <f t="shared" ca="1" si="27"/>
        <v xml:space="preserve"> </v>
      </c>
      <c r="AI303" s="40" t="s">
        <v>684</v>
      </c>
      <c r="AJ303" s="264" t="str">
        <f t="shared" ca="1" si="28"/>
        <v xml:space="preserve"> </v>
      </c>
      <c r="AK303" s="40" t="s">
        <v>687</v>
      </c>
      <c r="AL303" s="264" t="str">
        <f t="shared" si="29"/>
        <v>dodgerblue</v>
      </c>
      <c r="AM303" s="40" t="s">
        <v>688</v>
      </c>
      <c r="AN303" s="40" t="str">
        <f t="shared" ca="1" si="30"/>
        <v>,{"type":"polygon","latLngs":[ {"lat": ,"lng": }, {"lat": ,"lng": },{"lat": ,"lng": }], "color":"dodgerblue"}</v>
      </c>
      <c r="AO303" s="266" t="s">
        <v>689</v>
      </c>
      <c r="AP303" s="56" t="str">
        <f t="shared" ca="1" si="31"/>
        <v xml:space="preserve"> </v>
      </c>
      <c r="AQ303" s="40" t="s">
        <v>684</v>
      </c>
      <c r="AR303" s="56" t="str">
        <f t="shared" ca="1" si="32"/>
        <v xml:space="preserve"> </v>
      </c>
      <c r="AS303" s="40" t="s">
        <v>686</v>
      </c>
      <c r="AT303" s="56" t="str">
        <f t="shared" ca="1" si="33"/>
        <v xml:space="preserve"> </v>
      </c>
      <c r="AU303" s="40" t="s">
        <v>684</v>
      </c>
      <c r="AV303" s="56" t="str">
        <f t="shared" ca="1" si="34"/>
        <v xml:space="preserve"> </v>
      </c>
      <c r="AW303" s="40" t="s">
        <v>690</v>
      </c>
      <c r="AX303" s="40" t="str">
        <f t="shared" si="35"/>
        <v>dodgerblue</v>
      </c>
      <c r="AY303" s="40" t="s">
        <v>688</v>
      </c>
      <c r="AZ303" s="40" t="str">
        <f t="shared" ca="1" si="36"/>
        <v>,{"type":"polyline","latLngs":[{"lat": ,"lng": },{"lat": ,"lng": }],"color":"dodgerblue"}</v>
      </c>
      <c r="BA303" s="40" t="s">
        <v>691</v>
      </c>
      <c r="BB303" s="56" t="str">
        <f t="shared" ca="1" si="37"/>
        <v xml:space="preserve"> </v>
      </c>
      <c r="BC303" s="40" t="s">
        <v>684</v>
      </c>
      <c r="BD303" s="56" t="str">
        <f t="shared" ca="1" si="38"/>
        <v xml:space="preserve"> </v>
      </c>
      <c r="BE303" s="40" t="s">
        <v>692</v>
      </c>
      <c r="BF303" s="40" t="str">
        <f t="shared" si="39"/>
        <v>dodgerblue</v>
      </c>
      <c r="BG303" s="40" t="s">
        <v>688</v>
      </c>
      <c r="BH303" s="40" t="str">
        <f t="shared" ca="1" si="40"/>
        <v>,{"type":"marker","latLng":{"lat": ,"lng": },"color":"dodgerblue"}</v>
      </c>
      <c r="BI303" s="40" t="s">
        <v>693</v>
      </c>
      <c r="BJ303" s="40" t="s">
        <v>694</v>
      </c>
      <c r="BK303" s="267" t="str">
        <f t="shared" si="41"/>
        <v/>
      </c>
    </row>
    <row r="304" spans="7:63" ht="17.5">
      <c r="G304" s="261"/>
      <c r="H304" s="262"/>
      <c r="I304" s="93" t="s">
        <v>681</v>
      </c>
      <c r="J304" s="93" t="s">
        <v>681</v>
      </c>
      <c r="K304" s="93" t="s">
        <v>681</v>
      </c>
      <c r="L304" s="242" t="s">
        <v>681</v>
      </c>
      <c r="M304" s="263" t="str">
        <f t="shared" si="22"/>
        <v>dodgerblue</v>
      </c>
      <c r="N304" s="264" t="str">
        <f ca="1">IFERROR(__xludf.DUMMYFUNCTION("FILTER(C:E,B:B=J304)")," ")</f>
        <v xml:space="preserve"> </v>
      </c>
      <c r="O304" s="265" t="str">
        <f ca="1">IFERROR(__xludf.DUMMYFUNCTION("""COMPUTED_VALUE""")," ")</f>
        <v xml:space="preserve"> </v>
      </c>
      <c r="P304" s="265" t="str">
        <f ca="1">IFERROR(__xludf.DUMMYFUNCTION("""COMPUTED_VALUE""")," ")</f>
        <v xml:space="preserve"> </v>
      </c>
      <c r="Q304" s="264" t="str">
        <f ca="1">IFERROR(__xludf.DUMMYFUNCTION("FILTER(C:E,B:B=K304)")," ")</f>
        <v xml:space="preserve"> </v>
      </c>
      <c r="R304" s="265" t="str">
        <f ca="1">IFERROR(__xludf.DUMMYFUNCTION("""COMPUTED_VALUE""")," ")</f>
        <v xml:space="preserve"> </v>
      </c>
      <c r="S304" s="265" t="str">
        <f ca="1">IFERROR(__xludf.DUMMYFUNCTION("""COMPUTED_VALUE""")," ")</f>
        <v xml:space="preserve"> </v>
      </c>
      <c r="T304" s="264" t="str">
        <f ca="1">IFERROR(__xludf.DUMMYFUNCTION("FILTER(C:E,B:B=L304)")," ")</f>
        <v xml:space="preserve"> </v>
      </c>
      <c r="U304" s="40" t="str">
        <f ca="1">IFERROR(__xludf.DUMMYFUNCTION("""COMPUTED_VALUE""")," ")</f>
        <v xml:space="preserve"> </v>
      </c>
      <c r="V304" s="40" t="str">
        <f ca="1">IFERROR(__xludf.DUMMYFUNCTION("""COMPUTED_VALUE""")," ")</f>
        <v xml:space="preserve"> </v>
      </c>
      <c r="W304" s="40" t="str">
        <f t="shared" ca="1" si="42"/>
        <v>,</v>
      </c>
      <c r="X304" s="40" t="s">
        <v>682</v>
      </c>
      <c r="Y304" s="40" t="s">
        <v>683</v>
      </c>
      <c r="Z304" s="264" t="str">
        <f t="shared" ca="1" si="23"/>
        <v xml:space="preserve"> </v>
      </c>
      <c r="AA304" s="40" t="s">
        <v>684</v>
      </c>
      <c r="AB304" s="264" t="str">
        <f t="shared" ca="1" si="24"/>
        <v xml:space="preserve"> </v>
      </c>
      <c r="AC304" s="40" t="s">
        <v>685</v>
      </c>
      <c r="AD304" s="264" t="str">
        <f t="shared" ca="1" si="25"/>
        <v xml:space="preserve"> </v>
      </c>
      <c r="AE304" s="40" t="s">
        <v>684</v>
      </c>
      <c r="AF304" s="264" t="str">
        <f t="shared" ca="1" si="26"/>
        <v xml:space="preserve"> </v>
      </c>
      <c r="AG304" s="40" t="s">
        <v>686</v>
      </c>
      <c r="AH304" s="264" t="str">
        <f t="shared" ca="1" si="27"/>
        <v xml:space="preserve"> </v>
      </c>
      <c r="AI304" s="40" t="s">
        <v>684</v>
      </c>
      <c r="AJ304" s="264" t="str">
        <f t="shared" ca="1" si="28"/>
        <v xml:space="preserve"> </v>
      </c>
      <c r="AK304" s="40" t="s">
        <v>687</v>
      </c>
      <c r="AL304" s="264" t="str">
        <f t="shared" si="29"/>
        <v>dodgerblue</v>
      </c>
      <c r="AM304" s="40" t="s">
        <v>688</v>
      </c>
      <c r="AN304" s="40" t="str">
        <f t="shared" ca="1" si="30"/>
        <v>,{"type":"polygon","latLngs":[ {"lat": ,"lng": }, {"lat": ,"lng": },{"lat": ,"lng": }], "color":"dodgerblue"}</v>
      </c>
      <c r="AO304" s="266" t="s">
        <v>689</v>
      </c>
      <c r="AP304" s="56" t="str">
        <f t="shared" ca="1" si="31"/>
        <v xml:space="preserve"> </v>
      </c>
      <c r="AQ304" s="40" t="s">
        <v>684</v>
      </c>
      <c r="AR304" s="56" t="str">
        <f t="shared" ca="1" si="32"/>
        <v xml:space="preserve"> </v>
      </c>
      <c r="AS304" s="40" t="s">
        <v>686</v>
      </c>
      <c r="AT304" s="56" t="str">
        <f t="shared" ca="1" si="33"/>
        <v xml:space="preserve"> </v>
      </c>
      <c r="AU304" s="40" t="s">
        <v>684</v>
      </c>
      <c r="AV304" s="56" t="str">
        <f t="shared" ca="1" si="34"/>
        <v xml:space="preserve"> </v>
      </c>
      <c r="AW304" s="40" t="s">
        <v>690</v>
      </c>
      <c r="AX304" s="40" t="str">
        <f t="shared" si="35"/>
        <v>dodgerblue</v>
      </c>
      <c r="AY304" s="40" t="s">
        <v>688</v>
      </c>
      <c r="AZ304" s="40" t="str">
        <f t="shared" ca="1" si="36"/>
        <v>,{"type":"polyline","latLngs":[{"lat": ,"lng": },{"lat": ,"lng": }],"color":"dodgerblue"}</v>
      </c>
      <c r="BA304" s="40" t="s">
        <v>691</v>
      </c>
      <c r="BB304" s="56" t="str">
        <f t="shared" ca="1" si="37"/>
        <v xml:space="preserve"> </v>
      </c>
      <c r="BC304" s="40" t="s">
        <v>684</v>
      </c>
      <c r="BD304" s="56" t="str">
        <f t="shared" ca="1" si="38"/>
        <v xml:space="preserve"> </v>
      </c>
      <c r="BE304" s="40" t="s">
        <v>692</v>
      </c>
      <c r="BF304" s="40" t="str">
        <f t="shared" si="39"/>
        <v>dodgerblue</v>
      </c>
      <c r="BG304" s="40" t="s">
        <v>688</v>
      </c>
      <c r="BH304" s="40" t="str">
        <f t="shared" ca="1" si="40"/>
        <v>,{"type":"marker","latLng":{"lat": ,"lng": },"color":"dodgerblue"}</v>
      </c>
      <c r="BI304" s="40" t="s">
        <v>693</v>
      </c>
      <c r="BJ304" s="40" t="s">
        <v>694</v>
      </c>
      <c r="BK304" s="267" t="str">
        <f t="shared" si="41"/>
        <v/>
      </c>
    </row>
    <row r="305" spans="7:63" ht="17.5">
      <c r="G305" s="261"/>
      <c r="H305" s="262"/>
      <c r="I305" s="93" t="s">
        <v>681</v>
      </c>
      <c r="J305" s="93" t="s">
        <v>681</v>
      </c>
      <c r="K305" s="93" t="s">
        <v>681</v>
      </c>
      <c r="L305" s="242" t="s">
        <v>681</v>
      </c>
      <c r="M305" s="263" t="str">
        <f t="shared" si="22"/>
        <v>dodgerblue</v>
      </c>
      <c r="N305" s="264" t="str">
        <f ca="1">IFERROR(__xludf.DUMMYFUNCTION("FILTER(C:E,B:B=J305)")," ")</f>
        <v xml:space="preserve"> </v>
      </c>
      <c r="O305" s="265" t="str">
        <f ca="1">IFERROR(__xludf.DUMMYFUNCTION("""COMPUTED_VALUE""")," ")</f>
        <v xml:space="preserve"> </v>
      </c>
      <c r="P305" s="265" t="str">
        <f ca="1">IFERROR(__xludf.DUMMYFUNCTION("""COMPUTED_VALUE""")," ")</f>
        <v xml:space="preserve"> </v>
      </c>
      <c r="Q305" s="264" t="str">
        <f ca="1">IFERROR(__xludf.DUMMYFUNCTION("FILTER(C:E,B:B=K305)")," ")</f>
        <v xml:space="preserve"> </v>
      </c>
      <c r="R305" s="265" t="str">
        <f ca="1">IFERROR(__xludf.DUMMYFUNCTION("""COMPUTED_VALUE""")," ")</f>
        <v xml:space="preserve"> </v>
      </c>
      <c r="S305" s="265" t="str">
        <f ca="1">IFERROR(__xludf.DUMMYFUNCTION("""COMPUTED_VALUE""")," ")</f>
        <v xml:space="preserve"> </v>
      </c>
      <c r="T305" s="264" t="str">
        <f ca="1">IFERROR(__xludf.DUMMYFUNCTION("FILTER(C:E,B:B=L305)")," ")</f>
        <v xml:space="preserve"> </v>
      </c>
      <c r="U305" s="40" t="str">
        <f ca="1">IFERROR(__xludf.DUMMYFUNCTION("""COMPUTED_VALUE""")," ")</f>
        <v xml:space="preserve"> </v>
      </c>
      <c r="V305" s="40" t="str">
        <f ca="1">IFERROR(__xludf.DUMMYFUNCTION("""COMPUTED_VALUE""")," ")</f>
        <v xml:space="preserve"> </v>
      </c>
      <c r="W305" s="40" t="str">
        <f t="shared" ca="1" si="42"/>
        <v>,</v>
      </c>
      <c r="X305" s="40" t="s">
        <v>682</v>
      </c>
      <c r="Y305" s="40" t="s">
        <v>683</v>
      </c>
      <c r="Z305" s="264" t="str">
        <f t="shared" ca="1" si="23"/>
        <v xml:space="preserve"> </v>
      </c>
      <c r="AA305" s="40" t="s">
        <v>684</v>
      </c>
      <c r="AB305" s="264" t="str">
        <f t="shared" ca="1" si="24"/>
        <v xml:space="preserve"> </v>
      </c>
      <c r="AC305" s="40" t="s">
        <v>685</v>
      </c>
      <c r="AD305" s="264" t="str">
        <f t="shared" ca="1" si="25"/>
        <v xml:space="preserve"> </v>
      </c>
      <c r="AE305" s="40" t="s">
        <v>684</v>
      </c>
      <c r="AF305" s="264" t="str">
        <f t="shared" ca="1" si="26"/>
        <v xml:space="preserve"> </v>
      </c>
      <c r="AG305" s="40" t="s">
        <v>686</v>
      </c>
      <c r="AH305" s="264" t="str">
        <f t="shared" ca="1" si="27"/>
        <v xml:space="preserve"> </v>
      </c>
      <c r="AI305" s="40" t="s">
        <v>684</v>
      </c>
      <c r="AJ305" s="264" t="str">
        <f t="shared" ca="1" si="28"/>
        <v xml:space="preserve"> </v>
      </c>
      <c r="AK305" s="40" t="s">
        <v>687</v>
      </c>
      <c r="AL305" s="264" t="str">
        <f t="shared" si="29"/>
        <v>dodgerblue</v>
      </c>
      <c r="AM305" s="40" t="s">
        <v>688</v>
      </c>
      <c r="AN305" s="40" t="str">
        <f t="shared" ca="1" si="30"/>
        <v>,{"type":"polygon","latLngs":[ {"lat": ,"lng": }, {"lat": ,"lng": },{"lat": ,"lng": }], "color":"dodgerblue"}</v>
      </c>
      <c r="AO305" s="266" t="s">
        <v>689</v>
      </c>
      <c r="AP305" s="56" t="str">
        <f t="shared" ca="1" si="31"/>
        <v xml:space="preserve"> </v>
      </c>
      <c r="AQ305" s="40" t="s">
        <v>684</v>
      </c>
      <c r="AR305" s="56" t="str">
        <f t="shared" ca="1" si="32"/>
        <v xml:space="preserve"> </v>
      </c>
      <c r="AS305" s="40" t="s">
        <v>686</v>
      </c>
      <c r="AT305" s="56" t="str">
        <f t="shared" ca="1" si="33"/>
        <v xml:space="preserve"> </v>
      </c>
      <c r="AU305" s="40" t="s">
        <v>684</v>
      </c>
      <c r="AV305" s="56" t="str">
        <f t="shared" ca="1" si="34"/>
        <v xml:space="preserve"> </v>
      </c>
      <c r="AW305" s="40" t="s">
        <v>690</v>
      </c>
      <c r="AX305" s="40" t="str">
        <f t="shared" si="35"/>
        <v>dodgerblue</v>
      </c>
      <c r="AY305" s="40" t="s">
        <v>688</v>
      </c>
      <c r="AZ305" s="40" t="str">
        <f t="shared" ca="1" si="36"/>
        <v>,{"type":"polyline","latLngs":[{"lat": ,"lng": },{"lat": ,"lng": }],"color":"dodgerblue"}</v>
      </c>
      <c r="BA305" s="40" t="s">
        <v>691</v>
      </c>
      <c r="BB305" s="56" t="str">
        <f t="shared" ca="1" si="37"/>
        <v xml:space="preserve"> </v>
      </c>
      <c r="BC305" s="40" t="s">
        <v>684</v>
      </c>
      <c r="BD305" s="56" t="str">
        <f t="shared" ca="1" si="38"/>
        <v xml:space="preserve"> </v>
      </c>
      <c r="BE305" s="40" t="s">
        <v>692</v>
      </c>
      <c r="BF305" s="40" t="str">
        <f t="shared" si="39"/>
        <v>dodgerblue</v>
      </c>
      <c r="BG305" s="40" t="s">
        <v>688</v>
      </c>
      <c r="BH305" s="40" t="str">
        <f t="shared" ca="1" si="40"/>
        <v>,{"type":"marker","latLng":{"lat": ,"lng": },"color":"dodgerblue"}</v>
      </c>
      <c r="BI305" s="40" t="s">
        <v>693</v>
      </c>
      <c r="BJ305" s="40" t="s">
        <v>694</v>
      </c>
      <c r="BK305" s="267" t="str">
        <f t="shared" si="41"/>
        <v/>
      </c>
    </row>
    <row r="306" spans="7:63" ht="17.5">
      <c r="G306" s="261"/>
      <c r="H306" s="262"/>
      <c r="I306" s="93" t="s">
        <v>681</v>
      </c>
      <c r="J306" s="93" t="s">
        <v>681</v>
      </c>
      <c r="K306" s="93" t="s">
        <v>681</v>
      </c>
      <c r="L306" s="242" t="s">
        <v>681</v>
      </c>
      <c r="M306" s="263" t="str">
        <f t="shared" si="22"/>
        <v>dodgerblue</v>
      </c>
      <c r="N306" s="264" t="str">
        <f ca="1">IFERROR(__xludf.DUMMYFUNCTION("FILTER(C:E,B:B=J306)")," ")</f>
        <v xml:space="preserve"> </v>
      </c>
      <c r="O306" s="265" t="str">
        <f ca="1">IFERROR(__xludf.DUMMYFUNCTION("""COMPUTED_VALUE""")," ")</f>
        <v xml:space="preserve"> </v>
      </c>
      <c r="P306" s="265" t="str">
        <f ca="1">IFERROR(__xludf.DUMMYFUNCTION("""COMPUTED_VALUE""")," ")</f>
        <v xml:space="preserve"> </v>
      </c>
      <c r="Q306" s="264" t="str">
        <f ca="1">IFERROR(__xludf.DUMMYFUNCTION("FILTER(C:E,B:B=K306)")," ")</f>
        <v xml:space="preserve"> </v>
      </c>
      <c r="R306" s="265" t="str">
        <f ca="1">IFERROR(__xludf.DUMMYFUNCTION("""COMPUTED_VALUE""")," ")</f>
        <v xml:space="preserve"> </v>
      </c>
      <c r="S306" s="265" t="str">
        <f ca="1">IFERROR(__xludf.DUMMYFUNCTION("""COMPUTED_VALUE""")," ")</f>
        <v xml:space="preserve"> </v>
      </c>
      <c r="T306" s="264" t="str">
        <f ca="1">IFERROR(__xludf.DUMMYFUNCTION("FILTER(C:E,B:B=L306)")," ")</f>
        <v xml:space="preserve"> </v>
      </c>
      <c r="U306" s="40" t="str">
        <f ca="1">IFERROR(__xludf.DUMMYFUNCTION("""COMPUTED_VALUE""")," ")</f>
        <v xml:space="preserve"> </v>
      </c>
      <c r="V306" s="40" t="str">
        <f ca="1">IFERROR(__xludf.DUMMYFUNCTION("""COMPUTED_VALUE""")," ")</f>
        <v xml:space="preserve"> </v>
      </c>
      <c r="W306" s="40" t="str">
        <f t="shared" ca="1" si="42"/>
        <v>,</v>
      </c>
      <c r="X306" s="40" t="s">
        <v>682</v>
      </c>
      <c r="Y306" s="40" t="s">
        <v>683</v>
      </c>
      <c r="Z306" s="264" t="str">
        <f t="shared" ca="1" si="23"/>
        <v xml:space="preserve"> </v>
      </c>
      <c r="AA306" s="40" t="s">
        <v>684</v>
      </c>
      <c r="AB306" s="264" t="str">
        <f t="shared" ca="1" si="24"/>
        <v xml:space="preserve"> </v>
      </c>
      <c r="AC306" s="40" t="s">
        <v>685</v>
      </c>
      <c r="AD306" s="264" t="str">
        <f t="shared" ca="1" si="25"/>
        <v xml:space="preserve"> </v>
      </c>
      <c r="AE306" s="40" t="s">
        <v>684</v>
      </c>
      <c r="AF306" s="264" t="str">
        <f t="shared" ca="1" si="26"/>
        <v xml:space="preserve"> </v>
      </c>
      <c r="AG306" s="40" t="s">
        <v>686</v>
      </c>
      <c r="AH306" s="264" t="str">
        <f t="shared" ca="1" si="27"/>
        <v xml:space="preserve"> </v>
      </c>
      <c r="AI306" s="40" t="s">
        <v>684</v>
      </c>
      <c r="AJ306" s="264" t="str">
        <f t="shared" ca="1" si="28"/>
        <v xml:space="preserve"> </v>
      </c>
      <c r="AK306" s="40" t="s">
        <v>687</v>
      </c>
      <c r="AL306" s="264" t="str">
        <f t="shared" si="29"/>
        <v>dodgerblue</v>
      </c>
      <c r="AM306" s="40" t="s">
        <v>688</v>
      </c>
      <c r="AN306" s="40" t="str">
        <f t="shared" ca="1" si="30"/>
        <v>,{"type":"polygon","latLngs":[ {"lat": ,"lng": }, {"lat": ,"lng": },{"lat": ,"lng": }], "color":"dodgerblue"}</v>
      </c>
      <c r="AO306" s="266" t="s">
        <v>689</v>
      </c>
      <c r="AP306" s="56" t="str">
        <f t="shared" ca="1" si="31"/>
        <v xml:space="preserve"> </v>
      </c>
      <c r="AQ306" s="40" t="s">
        <v>684</v>
      </c>
      <c r="AR306" s="56" t="str">
        <f t="shared" ca="1" si="32"/>
        <v xml:space="preserve"> </v>
      </c>
      <c r="AS306" s="40" t="s">
        <v>686</v>
      </c>
      <c r="AT306" s="56" t="str">
        <f t="shared" ca="1" si="33"/>
        <v xml:space="preserve"> </v>
      </c>
      <c r="AU306" s="40" t="s">
        <v>684</v>
      </c>
      <c r="AV306" s="56" t="str">
        <f t="shared" ca="1" si="34"/>
        <v xml:space="preserve"> </v>
      </c>
      <c r="AW306" s="40" t="s">
        <v>690</v>
      </c>
      <c r="AX306" s="40" t="str">
        <f t="shared" si="35"/>
        <v>dodgerblue</v>
      </c>
      <c r="AY306" s="40" t="s">
        <v>688</v>
      </c>
      <c r="AZ306" s="40" t="str">
        <f t="shared" ca="1" si="36"/>
        <v>,{"type":"polyline","latLngs":[{"lat": ,"lng": },{"lat": ,"lng": }],"color":"dodgerblue"}</v>
      </c>
      <c r="BA306" s="40" t="s">
        <v>691</v>
      </c>
      <c r="BB306" s="56" t="str">
        <f t="shared" ca="1" si="37"/>
        <v xml:space="preserve"> </v>
      </c>
      <c r="BC306" s="40" t="s">
        <v>684</v>
      </c>
      <c r="BD306" s="56" t="str">
        <f t="shared" ca="1" si="38"/>
        <v xml:space="preserve"> </v>
      </c>
      <c r="BE306" s="40" t="s">
        <v>692</v>
      </c>
      <c r="BF306" s="40" t="str">
        <f t="shared" si="39"/>
        <v>dodgerblue</v>
      </c>
      <c r="BG306" s="40" t="s">
        <v>688</v>
      </c>
      <c r="BH306" s="40" t="str">
        <f t="shared" ca="1" si="40"/>
        <v>,{"type":"marker","latLng":{"lat": ,"lng": },"color":"dodgerblue"}</v>
      </c>
      <c r="BI306" s="40" t="s">
        <v>693</v>
      </c>
      <c r="BJ306" s="40" t="s">
        <v>694</v>
      </c>
      <c r="BK306" s="267" t="str">
        <f t="shared" si="41"/>
        <v/>
      </c>
    </row>
    <row r="307" spans="7:63" ht="17.5">
      <c r="G307" s="261"/>
      <c r="H307" s="262"/>
      <c r="I307" s="93" t="s">
        <v>681</v>
      </c>
      <c r="J307" s="93" t="s">
        <v>681</v>
      </c>
      <c r="K307" s="93" t="s">
        <v>681</v>
      </c>
      <c r="L307" s="242" t="s">
        <v>681</v>
      </c>
      <c r="M307" s="263" t="str">
        <f t="shared" si="22"/>
        <v>dodgerblue</v>
      </c>
      <c r="N307" s="264" t="str">
        <f ca="1">IFERROR(__xludf.DUMMYFUNCTION("FILTER(C:E,B:B=J307)")," ")</f>
        <v xml:space="preserve"> </v>
      </c>
      <c r="O307" s="265" t="str">
        <f ca="1">IFERROR(__xludf.DUMMYFUNCTION("""COMPUTED_VALUE""")," ")</f>
        <v xml:space="preserve"> </v>
      </c>
      <c r="P307" s="265" t="str">
        <f ca="1">IFERROR(__xludf.DUMMYFUNCTION("""COMPUTED_VALUE""")," ")</f>
        <v xml:space="preserve"> </v>
      </c>
      <c r="Q307" s="264" t="str">
        <f ca="1">IFERROR(__xludf.DUMMYFUNCTION("FILTER(C:E,B:B=K307)")," ")</f>
        <v xml:space="preserve"> </v>
      </c>
      <c r="R307" s="265" t="str">
        <f ca="1">IFERROR(__xludf.DUMMYFUNCTION("""COMPUTED_VALUE""")," ")</f>
        <v xml:space="preserve"> </v>
      </c>
      <c r="S307" s="265" t="str">
        <f ca="1">IFERROR(__xludf.DUMMYFUNCTION("""COMPUTED_VALUE""")," ")</f>
        <v xml:space="preserve"> </v>
      </c>
      <c r="T307" s="264" t="str">
        <f ca="1">IFERROR(__xludf.DUMMYFUNCTION("FILTER(C:E,B:B=L307)")," ")</f>
        <v xml:space="preserve"> </v>
      </c>
      <c r="U307" s="40" t="str">
        <f ca="1">IFERROR(__xludf.DUMMYFUNCTION("""COMPUTED_VALUE""")," ")</f>
        <v xml:space="preserve"> </v>
      </c>
      <c r="V307" s="40" t="str">
        <f ca="1">IFERROR(__xludf.DUMMYFUNCTION("""COMPUTED_VALUE""")," ")</f>
        <v xml:space="preserve"> </v>
      </c>
      <c r="W307" s="40" t="str">
        <f t="shared" ca="1" si="42"/>
        <v>,</v>
      </c>
      <c r="X307" s="40" t="s">
        <v>682</v>
      </c>
      <c r="Y307" s="40" t="s">
        <v>683</v>
      </c>
      <c r="Z307" s="264" t="str">
        <f t="shared" ca="1" si="23"/>
        <v xml:space="preserve"> </v>
      </c>
      <c r="AA307" s="40" t="s">
        <v>684</v>
      </c>
      <c r="AB307" s="264" t="str">
        <f t="shared" ca="1" si="24"/>
        <v xml:space="preserve"> </v>
      </c>
      <c r="AC307" s="40" t="s">
        <v>685</v>
      </c>
      <c r="AD307" s="264" t="str">
        <f t="shared" ca="1" si="25"/>
        <v xml:space="preserve"> </v>
      </c>
      <c r="AE307" s="40" t="s">
        <v>684</v>
      </c>
      <c r="AF307" s="264" t="str">
        <f t="shared" ca="1" si="26"/>
        <v xml:space="preserve"> </v>
      </c>
      <c r="AG307" s="40" t="s">
        <v>686</v>
      </c>
      <c r="AH307" s="264" t="str">
        <f t="shared" ca="1" si="27"/>
        <v xml:space="preserve"> </v>
      </c>
      <c r="AI307" s="40" t="s">
        <v>684</v>
      </c>
      <c r="AJ307" s="264" t="str">
        <f t="shared" ca="1" si="28"/>
        <v xml:space="preserve"> </v>
      </c>
      <c r="AK307" s="40" t="s">
        <v>687</v>
      </c>
      <c r="AL307" s="264" t="str">
        <f t="shared" si="29"/>
        <v>dodgerblue</v>
      </c>
      <c r="AM307" s="40" t="s">
        <v>688</v>
      </c>
      <c r="AN307" s="40" t="str">
        <f t="shared" ca="1" si="30"/>
        <v>,{"type":"polygon","latLngs":[ {"lat": ,"lng": }, {"lat": ,"lng": },{"lat": ,"lng": }], "color":"dodgerblue"}</v>
      </c>
      <c r="AO307" s="266" t="s">
        <v>689</v>
      </c>
      <c r="AP307" s="56" t="str">
        <f t="shared" ca="1" si="31"/>
        <v xml:space="preserve"> </v>
      </c>
      <c r="AQ307" s="40" t="s">
        <v>684</v>
      </c>
      <c r="AR307" s="56" t="str">
        <f t="shared" ca="1" si="32"/>
        <v xml:space="preserve"> </v>
      </c>
      <c r="AS307" s="40" t="s">
        <v>686</v>
      </c>
      <c r="AT307" s="56" t="str">
        <f t="shared" ca="1" si="33"/>
        <v xml:space="preserve"> </v>
      </c>
      <c r="AU307" s="40" t="s">
        <v>684</v>
      </c>
      <c r="AV307" s="56" t="str">
        <f t="shared" ca="1" si="34"/>
        <v xml:space="preserve"> </v>
      </c>
      <c r="AW307" s="40" t="s">
        <v>690</v>
      </c>
      <c r="AX307" s="40" t="str">
        <f t="shared" si="35"/>
        <v>dodgerblue</v>
      </c>
      <c r="AY307" s="40" t="s">
        <v>688</v>
      </c>
      <c r="AZ307" s="40" t="str">
        <f t="shared" ca="1" si="36"/>
        <v>,{"type":"polyline","latLngs":[{"lat": ,"lng": },{"lat": ,"lng": }],"color":"dodgerblue"}</v>
      </c>
      <c r="BA307" s="40" t="s">
        <v>691</v>
      </c>
      <c r="BB307" s="56" t="str">
        <f t="shared" ca="1" si="37"/>
        <v xml:space="preserve"> </v>
      </c>
      <c r="BC307" s="40" t="s">
        <v>684</v>
      </c>
      <c r="BD307" s="56" t="str">
        <f t="shared" ca="1" si="38"/>
        <v xml:space="preserve"> </v>
      </c>
      <c r="BE307" s="40" t="s">
        <v>692</v>
      </c>
      <c r="BF307" s="40" t="str">
        <f t="shared" si="39"/>
        <v>dodgerblue</v>
      </c>
      <c r="BG307" s="40" t="s">
        <v>688</v>
      </c>
      <c r="BH307" s="40" t="str">
        <f t="shared" ca="1" si="40"/>
        <v>,{"type":"marker","latLng":{"lat": ,"lng": },"color":"dodgerblue"}</v>
      </c>
      <c r="BI307" s="40" t="s">
        <v>693</v>
      </c>
      <c r="BJ307" s="40" t="s">
        <v>694</v>
      </c>
      <c r="BK307" s="267" t="str">
        <f t="shared" si="41"/>
        <v/>
      </c>
    </row>
    <row r="308" spans="7:63" ht="17.5">
      <c r="G308" s="261"/>
      <c r="H308" s="262"/>
      <c r="I308" s="93" t="s">
        <v>681</v>
      </c>
      <c r="J308" s="93" t="s">
        <v>681</v>
      </c>
      <c r="K308" s="93" t="s">
        <v>681</v>
      </c>
      <c r="L308" s="242" t="s">
        <v>681</v>
      </c>
      <c r="M308" s="263" t="str">
        <f t="shared" si="22"/>
        <v>dodgerblue</v>
      </c>
      <c r="N308" s="264" t="str">
        <f ca="1">IFERROR(__xludf.DUMMYFUNCTION("FILTER(C:E,B:B=J308)")," ")</f>
        <v xml:space="preserve"> </v>
      </c>
      <c r="O308" s="265" t="str">
        <f ca="1">IFERROR(__xludf.DUMMYFUNCTION("""COMPUTED_VALUE""")," ")</f>
        <v xml:space="preserve"> </v>
      </c>
      <c r="P308" s="265" t="str">
        <f ca="1">IFERROR(__xludf.DUMMYFUNCTION("""COMPUTED_VALUE""")," ")</f>
        <v xml:space="preserve"> </v>
      </c>
      <c r="Q308" s="264" t="str">
        <f ca="1">IFERROR(__xludf.DUMMYFUNCTION("FILTER(C:E,B:B=K308)")," ")</f>
        <v xml:space="preserve"> </v>
      </c>
      <c r="R308" s="265" t="str">
        <f ca="1">IFERROR(__xludf.DUMMYFUNCTION("""COMPUTED_VALUE""")," ")</f>
        <v xml:space="preserve"> </v>
      </c>
      <c r="S308" s="265" t="str">
        <f ca="1">IFERROR(__xludf.DUMMYFUNCTION("""COMPUTED_VALUE""")," ")</f>
        <v xml:space="preserve"> </v>
      </c>
      <c r="T308" s="264" t="str">
        <f ca="1">IFERROR(__xludf.DUMMYFUNCTION("FILTER(C:E,B:B=L308)")," ")</f>
        <v xml:space="preserve"> </v>
      </c>
      <c r="U308" s="40" t="str">
        <f ca="1">IFERROR(__xludf.DUMMYFUNCTION("""COMPUTED_VALUE""")," ")</f>
        <v xml:space="preserve"> </v>
      </c>
      <c r="V308" s="40" t="str">
        <f ca="1">IFERROR(__xludf.DUMMYFUNCTION("""COMPUTED_VALUE""")," ")</f>
        <v xml:space="preserve"> </v>
      </c>
      <c r="W308" s="40" t="str">
        <f t="shared" ca="1" si="42"/>
        <v>,</v>
      </c>
      <c r="X308" s="40" t="s">
        <v>682</v>
      </c>
      <c r="Y308" s="40" t="s">
        <v>683</v>
      </c>
      <c r="Z308" s="264" t="str">
        <f t="shared" ca="1" si="23"/>
        <v xml:space="preserve"> </v>
      </c>
      <c r="AA308" s="40" t="s">
        <v>684</v>
      </c>
      <c r="AB308" s="264" t="str">
        <f t="shared" ca="1" si="24"/>
        <v xml:space="preserve"> </v>
      </c>
      <c r="AC308" s="40" t="s">
        <v>685</v>
      </c>
      <c r="AD308" s="264" t="str">
        <f t="shared" ca="1" si="25"/>
        <v xml:space="preserve"> </v>
      </c>
      <c r="AE308" s="40" t="s">
        <v>684</v>
      </c>
      <c r="AF308" s="264" t="str">
        <f t="shared" ca="1" si="26"/>
        <v xml:space="preserve"> </v>
      </c>
      <c r="AG308" s="40" t="s">
        <v>686</v>
      </c>
      <c r="AH308" s="264" t="str">
        <f t="shared" ca="1" si="27"/>
        <v xml:space="preserve"> </v>
      </c>
      <c r="AI308" s="40" t="s">
        <v>684</v>
      </c>
      <c r="AJ308" s="264" t="str">
        <f t="shared" ca="1" si="28"/>
        <v xml:space="preserve"> </v>
      </c>
      <c r="AK308" s="40" t="s">
        <v>687</v>
      </c>
      <c r="AL308" s="264" t="str">
        <f t="shared" si="29"/>
        <v>dodgerblue</v>
      </c>
      <c r="AM308" s="40" t="s">
        <v>688</v>
      </c>
      <c r="AN308" s="40" t="str">
        <f t="shared" ca="1" si="30"/>
        <v>,{"type":"polygon","latLngs":[ {"lat": ,"lng": }, {"lat": ,"lng": },{"lat": ,"lng": }], "color":"dodgerblue"}</v>
      </c>
      <c r="AO308" s="266" t="s">
        <v>689</v>
      </c>
      <c r="AP308" s="56" t="str">
        <f t="shared" ca="1" si="31"/>
        <v xml:space="preserve"> </v>
      </c>
      <c r="AQ308" s="40" t="s">
        <v>684</v>
      </c>
      <c r="AR308" s="56" t="str">
        <f t="shared" ca="1" si="32"/>
        <v xml:space="preserve"> </v>
      </c>
      <c r="AS308" s="40" t="s">
        <v>686</v>
      </c>
      <c r="AT308" s="56" t="str">
        <f t="shared" ca="1" si="33"/>
        <v xml:space="preserve"> </v>
      </c>
      <c r="AU308" s="40" t="s">
        <v>684</v>
      </c>
      <c r="AV308" s="56" t="str">
        <f t="shared" ca="1" si="34"/>
        <v xml:space="preserve"> </v>
      </c>
      <c r="AW308" s="40" t="s">
        <v>690</v>
      </c>
      <c r="AX308" s="40" t="str">
        <f t="shared" si="35"/>
        <v>dodgerblue</v>
      </c>
      <c r="AY308" s="40" t="s">
        <v>688</v>
      </c>
      <c r="AZ308" s="40" t="str">
        <f t="shared" ca="1" si="36"/>
        <v>,{"type":"polyline","latLngs":[{"lat": ,"lng": },{"lat": ,"lng": }],"color":"dodgerblue"}</v>
      </c>
      <c r="BA308" s="40" t="s">
        <v>691</v>
      </c>
      <c r="BB308" s="56" t="str">
        <f t="shared" ca="1" si="37"/>
        <v xml:space="preserve"> </v>
      </c>
      <c r="BC308" s="40" t="s">
        <v>684</v>
      </c>
      <c r="BD308" s="56" t="str">
        <f t="shared" ca="1" si="38"/>
        <v xml:space="preserve"> </v>
      </c>
      <c r="BE308" s="40" t="s">
        <v>692</v>
      </c>
      <c r="BF308" s="40" t="str">
        <f t="shared" si="39"/>
        <v>dodgerblue</v>
      </c>
      <c r="BG308" s="40" t="s">
        <v>688</v>
      </c>
      <c r="BH308" s="40" t="str">
        <f t="shared" ca="1" si="40"/>
        <v>,{"type":"marker","latLng":{"lat": ,"lng": },"color":"dodgerblue"}</v>
      </c>
      <c r="BI308" s="40" t="s">
        <v>693</v>
      </c>
      <c r="BJ308" s="40" t="s">
        <v>694</v>
      </c>
      <c r="BK308" s="267" t="str">
        <f t="shared" si="41"/>
        <v/>
      </c>
    </row>
    <row r="309" spans="7:63" ht="17.5">
      <c r="G309" s="261"/>
      <c r="H309" s="262"/>
      <c r="I309" s="93" t="s">
        <v>681</v>
      </c>
      <c r="J309" s="93" t="s">
        <v>681</v>
      </c>
      <c r="K309" s="93" t="s">
        <v>681</v>
      </c>
      <c r="L309" s="242" t="s">
        <v>681</v>
      </c>
      <c r="M309" s="263" t="str">
        <f t="shared" si="22"/>
        <v>dodgerblue</v>
      </c>
      <c r="N309" s="264" t="str">
        <f ca="1">IFERROR(__xludf.DUMMYFUNCTION("FILTER(C:E,B:B=J309)")," ")</f>
        <v xml:space="preserve"> </v>
      </c>
      <c r="O309" s="265" t="str">
        <f ca="1">IFERROR(__xludf.DUMMYFUNCTION("""COMPUTED_VALUE""")," ")</f>
        <v xml:space="preserve"> </v>
      </c>
      <c r="P309" s="265" t="str">
        <f ca="1">IFERROR(__xludf.DUMMYFUNCTION("""COMPUTED_VALUE""")," ")</f>
        <v xml:space="preserve"> </v>
      </c>
      <c r="Q309" s="264" t="str">
        <f ca="1">IFERROR(__xludf.DUMMYFUNCTION("FILTER(C:E,B:B=K309)")," ")</f>
        <v xml:space="preserve"> </v>
      </c>
      <c r="R309" s="265" t="str">
        <f ca="1">IFERROR(__xludf.DUMMYFUNCTION("""COMPUTED_VALUE""")," ")</f>
        <v xml:space="preserve"> </v>
      </c>
      <c r="S309" s="265" t="str">
        <f ca="1">IFERROR(__xludf.DUMMYFUNCTION("""COMPUTED_VALUE""")," ")</f>
        <v xml:space="preserve"> </v>
      </c>
      <c r="T309" s="264" t="str">
        <f ca="1">IFERROR(__xludf.DUMMYFUNCTION("FILTER(C:E,B:B=L309)")," ")</f>
        <v xml:space="preserve"> </v>
      </c>
      <c r="U309" s="40" t="str">
        <f ca="1">IFERROR(__xludf.DUMMYFUNCTION("""COMPUTED_VALUE""")," ")</f>
        <v xml:space="preserve"> </v>
      </c>
      <c r="V309" s="40" t="str">
        <f ca="1">IFERROR(__xludf.DUMMYFUNCTION("""COMPUTED_VALUE""")," ")</f>
        <v xml:space="preserve"> </v>
      </c>
      <c r="W309" s="40" t="str">
        <f t="shared" ca="1" si="42"/>
        <v>,</v>
      </c>
      <c r="X309" s="40" t="s">
        <v>682</v>
      </c>
      <c r="Y309" s="40" t="s">
        <v>683</v>
      </c>
      <c r="Z309" s="264" t="str">
        <f t="shared" ca="1" si="23"/>
        <v xml:space="preserve"> </v>
      </c>
      <c r="AA309" s="40" t="s">
        <v>684</v>
      </c>
      <c r="AB309" s="264" t="str">
        <f t="shared" ca="1" si="24"/>
        <v xml:space="preserve"> </v>
      </c>
      <c r="AC309" s="40" t="s">
        <v>685</v>
      </c>
      <c r="AD309" s="264" t="str">
        <f t="shared" ca="1" si="25"/>
        <v xml:space="preserve"> </v>
      </c>
      <c r="AE309" s="40" t="s">
        <v>684</v>
      </c>
      <c r="AF309" s="264" t="str">
        <f t="shared" ca="1" si="26"/>
        <v xml:space="preserve"> </v>
      </c>
      <c r="AG309" s="40" t="s">
        <v>686</v>
      </c>
      <c r="AH309" s="264" t="str">
        <f t="shared" ca="1" si="27"/>
        <v xml:space="preserve"> </v>
      </c>
      <c r="AI309" s="40" t="s">
        <v>684</v>
      </c>
      <c r="AJ309" s="264" t="str">
        <f t="shared" ca="1" si="28"/>
        <v xml:space="preserve"> </v>
      </c>
      <c r="AK309" s="40" t="s">
        <v>687</v>
      </c>
      <c r="AL309" s="264" t="str">
        <f t="shared" si="29"/>
        <v>dodgerblue</v>
      </c>
      <c r="AM309" s="40" t="s">
        <v>688</v>
      </c>
      <c r="AN309" s="40" t="str">
        <f t="shared" ca="1" si="30"/>
        <v>,{"type":"polygon","latLngs":[ {"lat": ,"lng": }, {"lat": ,"lng": },{"lat": ,"lng": }], "color":"dodgerblue"}</v>
      </c>
      <c r="AO309" s="266" t="s">
        <v>689</v>
      </c>
      <c r="AP309" s="56" t="str">
        <f t="shared" ca="1" si="31"/>
        <v xml:space="preserve"> </v>
      </c>
      <c r="AQ309" s="40" t="s">
        <v>684</v>
      </c>
      <c r="AR309" s="56" t="str">
        <f t="shared" ca="1" si="32"/>
        <v xml:space="preserve"> </v>
      </c>
      <c r="AS309" s="40" t="s">
        <v>686</v>
      </c>
      <c r="AT309" s="56" t="str">
        <f t="shared" ca="1" si="33"/>
        <v xml:space="preserve"> </v>
      </c>
      <c r="AU309" s="40" t="s">
        <v>684</v>
      </c>
      <c r="AV309" s="56" t="str">
        <f t="shared" ca="1" si="34"/>
        <v xml:space="preserve"> </v>
      </c>
      <c r="AW309" s="40" t="s">
        <v>690</v>
      </c>
      <c r="AX309" s="40" t="str">
        <f t="shared" si="35"/>
        <v>dodgerblue</v>
      </c>
      <c r="AY309" s="40" t="s">
        <v>688</v>
      </c>
      <c r="AZ309" s="40" t="str">
        <f t="shared" ca="1" si="36"/>
        <v>,{"type":"polyline","latLngs":[{"lat": ,"lng": },{"lat": ,"lng": }],"color":"dodgerblue"}</v>
      </c>
      <c r="BA309" s="40" t="s">
        <v>691</v>
      </c>
      <c r="BB309" s="56" t="str">
        <f t="shared" ca="1" si="37"/>
        <v xml:space="preserve"> </v>
      </c>
      <c r="BC309" s="40" t="s">
        <v>684</v>
      </c>
      <c r="BD309" s="56" t="str">
        <f t="shared" ca="1" si="38"/>
        <v xml:space="preserve"> </v>
      </c>
      <c r="BE309" s="40" t="s">
        <v>692</v>
      </c>
      <c r="BF309" s="40" t="str">
        <f t="shared" si="39"/>
        <v>dodgerblue</v>
      </c>
      <c r="BG309" s="40" t="s">
        <v>688</v>
      </c>
      <c r="BH309" s="40" t="str">
        <f t="shared" ca="1" si="40"/>
        <v>,{"type":"marker","latLng":{"lat": ,"lng": },"color":"dodgerblue"}</v>
      </c>
      <c r="BI309" s="40" t="s">
        <v>693</v>
      </c>
      <c r="BJ309" s="40" t="s">
        <v>694</v>
      </c>
      <c r="BK309" s="267" t="str">
        <f t="shared" si="41"/>
        <v/>
      </c>
    </row>
    <row r="310" spans="7:63" ht="17.5">
      <c r="G310" s="261"/>
      <c r="H310" s="262"/>
      <c r="I310" s="93" t="s">
        <v>681</v>
      </c>
      <c r="J310" s="93" t="s">
        <v>681</v>
      </c>
      <c r="K310" s="93" t="s">
        <v>681</v>
      </c>
      <c r="L310" s="242" t="s">
        <v>681</v>
      </c>
      <c r="M310" s="263" t="str">
        <f t="shared" si="22"/>
        <v>dodgerblue</v>
      </c>
      <c r="N310" s="264" t="str">
        <f ca="1">IFERROR(__xludf.DUMMYFUNCTION("FILTER(C:E,B:B=J310)")," ")</f>
        <v xml:space="preserve"> </v>
      </c>
      <c r="O310" s="265" t="str">
        <f ca="1">IFERROR(__xludf.DUMMYFUNCTION("""COMPUTED_VALUE""")," ")</f>
        <v xml:space="preserve"> </v>
      </c>
      <c r="P310" s="265" t="str">
        <f ca="1">IFERROR(__xludf.DUMMYFUNCTION("""COMPUTED_VALUE""")," ")</f>
        <v xml:space="preserve"> </v>
      </c>
      <c r="Q310" s="264" t="str">
        <f ca="1">IFERROR(__xludf.DUMMYFUNCTION("FILTER(C:E,B:B=K310)")," ")</f>
        <v xml:space="preserve"> </v>
      </c>
      <c r="R310" s="265" t="str">
        <f ca="1">IFERROR(__xludf.DUMMYFUNCTION("""COMPUTED_VALUE""")," ")</f>
        <v xml:space="preserve"> </v>
      </c>
      <c r="S310" s="265" t="str">
        <f ca="1">IFERROR(__xludf.DUMMYFUNCTION("""COMPUTED_VALUE""")," ")</f>
        <v xml:space="preserve"> </v>
      </c>
      <c r="T310" s="264" t="str">
        <f ca="1">IFERROR(__xludf.DUMMYFUNCTION("FILTER(C:E,B:B=L310)")," ")</f>
        <v xml:space="preserve"> </v>
      </c>
      <c r="U310" s="40" t="str">
        <f ca="1">IFERROR(__xludf.DUMMYFUNCTION("""COMPUTED_VALUE""")," ")</f>
        <v xml:space="preserve"> </v>
      </c>
      <c r="V310" s="40" t="str">
        <f ca="1">IFERROR(__xludf.DUMMYFUNCTION("""COMPUTED_VALUE""")," ")</f>
        <v xml:space="preserve"> </v>
      </c>
      <c r="W310" s="40" t="str">
        <f t="shared" ca="1" si="42"/>
        <v>,</v>
      </c>
      <c r="X310" s="40" t="s">
        <v>682</v>
      </c>
      <c r="Y310" s="40" t="s">
        <v>683</v>
      </c>
      <c r="Z310" s="264" t="str">
        <f t="shared" ca="1" si="23"/>
        <v xml:space="preserve"> </v>
      </c>
      <c r="AA310" s="40" t="s">
        <v>684</v>
      </c>
      <c r="AB310" s="264" t="str">
        <f t="shared" ca="1" si="24"/>
        <v xml:space="preserve"> </v>
      </c>
      <c r="AC310" s="40" t="s">
        <v>685</v>
      </c>
      <c r="AD310" s="264" t="str">
        <f t="shared" ca="1" si="25"/>
        <v xml:space="preserve"> </v>
      </c>
      <c r="AE310" s="40" t="s">
        <v>684</v>
      </c>
      <c r="AF310" s="264" t="str">
        <f t="shared" ca="1" si="26"/>
        <v xml:space="preserve"> </v>
      </c>
      <c r="AG310" s="40" t="s">
        <v>686</v>
      </c>
      <c r="AH310" s="264" t="str">
        <f t="shared" ca="1" si="27"/>
        <v xml:space="preserve"> </v>
      </c>
      <c r="AI310" s="40" t="s">
        <v>684</v>
      </c>
      <c r="AJ310" s="264" t="str">
        <f t="shared" ca="1" si="28"/>
        <v xml:space="preserve"> </v>
      </c>
      <c r="AK310" s="40" t="s">
        <v>687</v>
      </c>
      <c r="AL310" s="264" t="str">
        <f t="shared" si="29"/>
        <v>dodgerblue</v>
      </c>
      <c r="AM310" s="40" t="s">
        <v>688</v>
      </c>
      <c r="AN310" s="40" t="str">
        <f t="shared" ca="1" si="30"/>
        <v>,{"type":"polygon","latLngs":[ {"lat": ,"lng": }, {"lat": ,"lng": },{"lat": ,"lng": }], "color":"dodgerblue"}</v>
      </c>
      <c r="AO310" s="266" t="s">
        <v>689</v>
      </c>
      <c r="AP310" s="56" t="str">
        <f t="shared" ca="1" si="31"/>
        <v xml:space="preserve"> </v>
      </c>
      <c r="AQ310" s="40" t="s">
        <v>684</v>
      </c>
      <c r="AR310" s="56" t="str">
        <f t="shared" ca="1" si="32"/>
        <v xml:space="preserve"> </v>
      </c>
      <c r="AS310" s="40" t="s">
        <v>686</v>
      </c>
      <c r="AT310" s="56" t="str">
        <f t="shared" ca="1" si="33"/>
        <v xml:space="preserve"> </v>
      </c>
      <c r="AU310" s="40" t="s">
        <v>684</v>
      </c>
      <c r="AV310" s="56" t="str">
        <f t="shared" ca="1" si="34"/>
        <v xml:space="preserve"> </v>
      </c>
      <c r="AW310" s="40" t="s">
        <v>690</v>
      </c>
      <c r="AX310" s="40" t="str">
        <f t="shared" si="35"/>
        <v>dodgerblue</v>
      </c>
      <c r="AY310" s="40" t="s">
        <v>688</v>
      </c>
      <c r="AZ310" s="40" t="str">
        <f t="shared" ca="1" si="36"/>
        <v>,{"type":"polyline","latLngs":[{"lat": ,"lng": },{"lat": ,"lng": }],"color":"dodgerblue"}</v>
      </c>
      <c r="BA310" s="40" t="s">
        <v>691</v>
      </c>
      <c r="BB310" s="56" t="str">
        <f t="shared" ca="1" si="37"/>
        <v xml:space="preserve"> </v>
      </c>
      <c r="BC310" s="40" t="s">
        <v>684</v>
      </c>
      <c r="BD310" s="56" t="str">
        <f t="shared" ca="1" si="38"/>
        <v xml:space="preserve"> </v>
      </c>
      <c r="BE310" s="40" t="s">
        <v>692</v>
      </c>
      <c r="BF310" s="40" t="str">
        <f t="shared" si="39"/>
        <v>dodgerblue</v>
      </c>
      <c r="BG310" s="40" t="s">
        <v>688</v>
      </c>
      <c r="BH310" s="40" t="str">
        <f t="shared" ca="1" si="40"/>
        <v>,{"type":"marker","latLng":{"lat": ,"lng": },"color":"dodgerblue"}</v>
      </c>
      <c r="BI310" s="40" t="s">
        <v>693</v>
      </c>
      <c r="BJ310" s="40" t="s">
        <v>694</v>
      </c>
      <c r="BK310" s="267" t="str">
        <f t="shared" si="41"/>
        <v/>
      </c>
    </row>
    <row r="311" spans="7:63" ht="17.5">
      <c r="G311" s="261"/>
      <c r="H311" s="262"/>
      <c r="I311" s="93" t="s">
        <v>681</v>
      </c>
      <c r="J311" s="93" t="s">
        <v>681</v>
      </c>
      <c r="K311" s="93" t="s">
        <v>681</v>
      </c>
      <c r="L311" s="242" t="s">
        <v>681</v>
      </c>
      <c r="M311" s="263" t="str">
        <f t="shared" si="22"/>
        <v>dodgerblue</v>
      </c>
      <c r="N311" s="264" t="str">
        <f ca="1">IFERROR(__xludf.DUMMYFUNCTION("FILTER(C:E,B:B=J311)")," ")</f>
        <v xml:space="preserve"> </v>
      </c>
      <c r="O311" s="265" t="str">
        <f ca="1">IFERROR(__xludf.DUMMYFUNCTION("""COMPUTED_VALUE""")," ")</f>
        <v xml:space="preserve"> </v>
      </c>
      <c r="P311" s="265" t="str">
        <f ca="1">IFERROR(__xludf.DUMMYFUNCTION("""COMPUTED_VALUE""")," ")</f>
        <v xml:space="preserve"> </v>
      </c>
      <c r="Q311" s="264" t="str">
        <f ca="1">IFERROR(__xludf.DUMMYFUNCTION("FILTER(C:E,B:B=K311)")," ")</f>
        <v xml:space="preserve"> </v>
      </c>
      <c r="R311" s="265" t="str">
        <f ca="1">IFERROR(__xludf.DUMMYFUNCTION("""COMPUTED_VALUE""")," ")</f>
        <v xml:space="preserve"> </v>
      </c>
      <c r="S311" s="265" t="str">
        <f ca="1">IFERROR(__xludf.DUMMYFUNCTION("""COMPUTED_VALUE""")," ")</f>
        <v xml:space="preserve"> </v>
      </c>
      <c r="T311" s="264" t="str">
        <f ca="1">IFERROR(__xludf.DUMMYFUNCTION("FILTER(C:E,B:B=L311)")," ")</f>
        <v xml:space="preserve"> </v>
      </c>
      <c r="U311" s="40" t="str">
        <f ca="1">IFERROR(__xludf.DUMMYFUNCTION("""COMPUTED_VALUE""")," ")</f>
        <v xml:space="preserve"> </v>
      </c>
      <c r="V311" s="40" t="str">
        <f ca="1">IFERROR(__xludf.DUMMYFUNCTION("""COMPUTED_VALUE""")," ")</f>
        <v xml:space="preserve"> </v>
      </c>
      <c r="W311" s="40" t="str">
        <f t="shared" ca="1" si="42"/>
        <v>,</v>
      </c>
      <c r="X311" s="40" t="s">
        <v>682</v>
      </c>
      <c r="Y311" s="40" t="s">
        <v>683</v>
      </c>
      <c r="Z311" s="264" t="str">
        <f t="shared" ca="1" si="23"/>
        <v xml:space="preserve"> </v>
      </c>
      <c r="AA311" s="40" t="s">
        <v>684</v>
      </c>
      <c r="AB311" s="264" t="str">
        <f t="shared" ca="1" si="24"/>
        <v xml:space="preserve"> </v>
      </c>
      <c r="AC311" s="40" t="s">
        <v>685</v>
      </c>
      <c r="AD311" s="264" t="str">
        <f t="shared" ca="1" si="25"/>
        <v xml:space="preserve"> </v>
      </c>
      <c r="AE311" s="40" t="s">
        <v>684</v>
      </c>
      <c r="AF311" s="264" t="str">
        <f t="shared" ca="1" si="26"/>
        <v xml:space="preserve"> </v>
      </c>
      <c r="AG311" s="40" t="s">
        <v>686</v>
      </c>
      <c r="AH311" s="264" t="str">
        <f t="shared" ca="1" si="27"/>
        <v xml:space="preserve"> </v>
      </c>
      <c r="AI311" s="40" t="s">
        <v>684</v>
      </c>
      <c r="AJ311" s="264" t="str">
        <f t="shared" ca="1" si="28"/>
        <v xml:space="preserve"> </v>
      </c>
      <c r="AK311" s="40" t="s">
        <v>687</v>
      </c>
      <c r="AL311" s="264" t="str">
        <f t="shared" si="29"/>
        <v>dodgerblue</v>
      </c>
      <c r="AM311" s="40" t="s">
        <v>688</v>
      </c>
      <c r="AN311" s="40" t="str">
        <f t="shared" ca="1" si="30"/>
        <v>,{"type":"polygon","latLngs":[ {"lat": ,"lng": }, {"lat": ,"lng": },{"lat": ,"lng": }], "color":"dodgerblue"}</v>
      </c>
      <c r="AO311" s="266" t="s">
        <v>689</v>
      </c>
      <c r="AP311" s="56" t="str">
        <f t="shared" ca="1" si="31"/>
        <v xml:space="preserve"> </v>
      </c>
      <c r="AQ311" s="40" t="s">
        <v>684</v>
      </c>
      <c r="AR311" s="56" t="str">
        <f t="shared" ca="1" si="32"/>
        <v xml:space="preserve"> </v>
      </c>
      <c r="AS311" s="40" t="s">
        <v>686</v>
      </c>
      <c r="AT311" s="56" t="str">
        <f t="shared" ca="1" si="33"/>
        <v xml:space="preserve"> </v>
      </c>
      <c r="AU311" s="40" t="s">
        <v>684</v>
      </c>
      <c r="AV311" s="56" t="str">
        <f t="shared" ca="1" si="34"/>
        <v xml:space="preserve"> </v>
      </c>
      <c r="AW311" s="40" t="s">
        <v>690</v>
      </c>
      <c r="AX311" s="40" t="str">
        <f t="shared" si="35"/>
        <v>dodgerblue</v>
      </c>
      <c r="AY311" s="40" t="s">
        <v>688</v>
      </c>
      <c r="AZ311" s="40" t="str">
        <f t="shared" ca="1" si="36"/>
        <v>,{"type":"polyline","latLngs":[{"lat": ,"lng": },{"lat": ,"lng": }],"color":"dodgerblue"}</v>
      </c>
      <c r="BA311" s="40" t="s">
        <v>691</v>
      </c>
      <c r="BB311" s="56" t="str">
        <f t="shared" ca="1" si="37"/>
        <v xml:space="preserve"> </v>
      </c>
      <c r="BC311" s="40" t="s">
        <v>684</v>
      </c>
      <c r="BD311" s="56" t="str">
        <f t="shared" ca="1" si="38"/>
        <v xml:space="preserve"> </v>
      </c>
      <c r="BE311" s="40" t="s">
        <v>692</v>
      </c>
      <c r="BF311" s="40" t="str">
        <f t="shared" si="39"/>
        <v>dodgerblue</v>
      </c>
      <c r="BG311" s="40" t="s">
        <v>688</v>
      </c>
      <c r="BH311" s="40" t="str">
        <f t="shared" ca="1" si="40"/>
        <v>,{"type":"marker","latLng":{"lat": ,"lng": },"color":"dodgerblue"}</v>
      </c>
      <c r="BI311" s="40" t="s">
        <v>693</v>
      </c>
      <c r="BJ311" s="40" t="s">
        <v>694</v>
      </c>
      <c r="BK311" s="267" t="str">
        <f t="shared" si="41"/>
        <v/>
      </c>
    </row>
    <row r="312" spans="7:63" ht="17.5">
      <c r="G312" s="261"/>
      <c r="H312" s="262"/>
      <c r="I312" s="93" t="s">
        <v>681</v>
      </c>
      <c r="J312" s="93" t="s">
        <v>681</v>
      </c>
      <c r="K312" s="93" t="s">
        <v>681</v>
      </c>
      <c r="L312" s="242" t="s">
        <v>681</v>
      </c>
      <c r="M312" s="263" t="str">
        <f t="shared" si="22"/>
        <v>dodgerblue</v>
      </c>
      <c r="N312" s="264" t="str">
        <f ca="1">IFERROR(__xludf.DUMMYFUNCTION("FILTER(C:E,B:B=J312)")," ")</f>
        <v xml:space="preserve"> </v>
      </c>
      <c r="O312" s="265" t="str">
        <f ca="1">IFERROR(__xludf.DUMMYFUNCTION("""COMPUTED_VALUE""")," ")</f>
        <v xml:space="preserve"> </v>
      </c>
      <c r="P312" s="265" t="str">
        <f ca="1">IFERROR(__xludf.DUMMYFUNCTION("""COMPUTED_VALUE""")," ")</f>
        <v xml:space="preserve"> </v>
      </c>
      <c r="Q312" s="264" t="str">
        <f ca="1">IFERROR(__xludf.DUMMYFUNCTION("FILTER(C:E,B:B=K312)")," ")</f>
        <v xml:space="preserve"> </v>
      </c>
      <c r="R312" s="265" t="str">
        <f ca="1">IFERROR(__xludf.DUMMYFUNCTION("""COMPUTED_VALUE""")," ")</f>
        <v xml:space="preserve"> </v>
      </c>
      <c r="S312" s="265" t="str">
        <f ca="1">IFERROR(__xludf.DUMMYFUNCTION("""COMPUTED_VALUE""")," ")</f>
        <v xml:space="preserve"> </v>
      </c>
      <c r="T312" s="264" t="str">
        <f ca="1">IFERROR(__xludf.DUMMYFUNCTION("FILTER(C:E,B:B=L312)")," ")</f>
        <v xml:space="preserve"> </v>
      </c>
      <c r="U312" s="40" t="str">
        <f ca="1">IFERROR(__xludf.DUMMYFUNCTION("""COMPUTED_VALUE""")," ")</f>
        <v xml:space="preserve"> </v>
      </c>
      <c r="V312" s="40" t="str">
        <f ca="1">IFERROR(__xludf.DUMMYFUNCTION("""COMPUTED_VALUE""")," ")</f>
        <v xml:space="preserve"> </v>
      </c>
      <c r="W312" s="40" t="str">
        <f t="shared" ca="1" si="42"/>
        <v>,</v>
      </c>
      <c r="X312" s="40" t="s">
        <v>682</v>
      </c>
      <c r="Y312" s="40" t="s">
        <v>683</v>
      </c>
      <c r="Z312" s="264" t="str">
        <f t="shared" ca="1" si="23"/>
        <v xml:space="preserve"> </v>
      </c>
      <c r="AA312" s="40" t="s">
        <v>684</v>
      </c>
      <c r="AB312" s="264" t="str">
        <f t="shared" ca="1" si="24"/>
        <v xml:space="preserve"> </v>
      </c>
      <c r="AC312" s="40" t="s">
        <v>685</v>
      </c>
      <c r="AD312" s="264" t="str">
        <f t="shared" ca="1" si="25"/>
        <v xml:space="preserve"> </v>
      </c>
      <c r="AE312" s="40" t="s">
        <v>684</v>
      </c>
      <c r="AF312" s="264" t="str">
        <f t="shared" ca="1" si="26"/>
        <v xml:space="preserve"> </v>
      </c>
      <c r="AG312" s="40" t="s">
        <v>686</v>
      </c>
      <c r="AH312" s="264" t="str">
        <f t="shared" ca="1" si="27"/>
        <v xml:space="preserve"> </v>
      </c>
      <c r="AI312" s="40" t="s">
        <v>684</v>
      </c>
      <c r="AJ312" s="264" t="str">
        <f t="shared" ca="1" si="28"/>
        <v xml:space="preserve"> </v>
      </c>
      <c r="AK312" s="40" t="s">
        <v>687</v>
      </c>
      <c r="AL312" s="264" t="str">
        <f t="shared" si="29"/>
        <v>dodgerblue</v>
      </c>
      <c r="AM312" s="40" t="s">
        <v>688</v>
      </c>
      <c r="AN312" s="40" t="str">
        <f t="shared" ca="1" si="30"/>
        <v>,{"type":"polygon","latLngs":[ {"lat": ,"lng": }, {"lat": ,"lng": },{"lat": ,"lng": }], "color":"dodgerblue"}</v>
      </c>
      <c r="AO312" s="266" t="s">
        <v>689</v>
      </c>
      <c r="AP312" s="56" t="str">
        <f t="shared" ca="1" si="31"/>
        <v xml:space="preserve"> </v>
      </c>
      <c r="AQ312" s="40" t="s">
        <v>684</v>
      </c>
      <c r="AR312" s="56" t="str">
        <f t="shared" ca="1" si="32"/>
        <v xml:space="preserve"> </v>
      </c>
      <c r="AS312" s="40" t="s">
        <v>686</v>
      </c>
      <c r="AT312" s="56" t="str">
        <f t="shared" ca="1" si="33"/>
        <v xml:space="preserve"> </v>
      </c>
      <c r="AU312" s="40" t="s">
        <v>684</v>
      </c>
      <c r="AV312" s="56" t="str">
        <f t="shared" ca="1" si="34"/>
        <v xml:space="preserve"> </v>
      </c>
      <c r="AW312" s="40" t="s">
        <v>690</v>
      </c>
      <c r="AX312" s="40" t="str">
        <f t="shared" si="35"/>
        <v>dodgerblue</v>
      </c>
      <c r="AY312" s="40" t="s">
        <v>688</v>
      </c>
      <c r="AZ312" s="40" t="str">
        <f t="shared" ca="1" si="36"/>
        <v>,{"type":"polyline","latLngs":[{"lat": ,"lng": },{"lat": ,"lng": }],"color":"dodgerblue"}</v>
      </c>
      <c r="BA312" s="40" t="s">
        <v>691</v>
      </c>
      <c r="BB312" s="56" t="str">
        <f t="shared" ca="1" si="37"/>
        <v xml:space="preserve"> </v>
      </c>
      <c r="BC312" s="40" t="s">
        <v>684</v>
      </c>
      <c r="BD312" s="56" t="str">
        <f t="shared" ca="1" si="38"/>
        <v xml:space="preserve"> </v>
      </c>
      <c r="BE312" s="40" t="s">
        <v>692</v>
      </c>
      <c r="BF312" s="40" t="str">
        <f t="shared" si="39"/>
        <v>dodgerblue</v>
      </c>
      <c r="BG312" s="40" t="s">
        <v>688</v>
      </c>
      <c r="BH312" s="40" t="str">
        <f t="shared" ca="1" si="40"/>
        <v>,{"type":"marker","latLng":{"lat": ,"lng": },"color":"dodgerblue"}</v>
      </c>
      <c r="BI312" s="40" t="s">
        <v>693</v>
      </c>
      <c r="BJ312" s="40" t="s">
        <v>694</v>
      </c>
      <c r="BK312" s="267" t="str">
        <f t="shared" si="41"/>
        <v/>
      </c>
    </row>
    <row r="313" spans="7:63" ht="17.5">
      <c r="G313" s="261"/>
      <c r="H313" s="262"/>
      <c r="I313" s="93" t="s">
        <v>681</v>
      </c>
      <c r="J313" s="93" t="s">
        <v>681</v>
      </c>
      <c r="K313" s="93" t="s">
        <v>681</v>
      </c>
      <c r="L313" s="242" t="s">
        <v>681</v>
      </c>
      <c r="M313" s="263" t="str">
        <f t="shared" si="22"/>
        <v>dodgerblue</v>
      </c>
      <c r="N313" s="264" t="str">
        <f ca="1">IFERROR(__xludf.DUMMYFUNCTION("FILTER(C:E,B:B=J313)")," ")</f>
        <v xml:space="preserve"> </v>
      </c>
      <c r="O313" s="265" t="str">
        <f ca="1">IFERROR(__xludf.DUMMYFUNCTION("""COMPUTED_VALUE""")," ")</f>
        <v xml:space="preserve"> </v>
      </c>
      <c r="P313" s="265" t="str">
        <f ca="1">IFERROR(__xludf.DUMMYFUNCTION("""COMPUTED_VALUE""")," ")</f>
        <v xml:space="preserve"> </v>
      </c>
      <c r="Q313" s="264" t="str">
        <f ca="1">IFERROR(__xludf.DUMMYFUNCTION("FILTER(C:E,B:B=K313)")," ")</f>
        <v xml:space="preserve"> </v>
      </c>
      <c r="R313" s="265" t="str">
        <f ca="1">IFERROR(__xludf.DUMMYFUNCTION("""COMPUTED_VALUE""")," ")</f>
        <v xml:space="preserve"> </v>
      </c>
      <c r="S313" s="265" t="str">
        <f ca="1">IFERROR(__xludf.DUMMYFUNCTION("""COMPUTED_VALUE""")," ")</f>
        <v xml:space="preserve"> </v>
      </c>
      <c r="T313" s="264" t="str">
        <f ca="1">IFERROR(__xludf.DUMMYFUNCTION("FILTER(C:E,B:B=L313)")," ")</f>
        <v xml:space="preserve"> </v>
      </c>
      <c r="U313" s="40" t="str">
        <f ca="1">IFERROR(__xludf.DUMMYFUNCTION("""COMPUTED_VALUE""")," ")</f>
        <v xml:space="preserve"> </v>
      </c>
      <c r="V313" s="40" t="str">
        <f ca="1">IFERROR(__xludf.DUMMYFUNCTION("""COMPUTED_VALUE""")," ")</f>
        <v xml:space="preserve"> </v>
      </c>
      <c r="W313" s="40" t="str">
        <f t="shared" ca="1" si="42"/>
        <v>,</v>
      </c>
      <c r="X313" s="40" t="s">
        <v>682</v>
      </c>
      <c r="Y313" s="40" t="s">
        <v>683</v>
      </c>
      <c r="Z313" s="264" t="str">
        <f t="shared" ca="1" si="23"/>
        <v xml:space="preserve"> </v>
      </c>
      <c r="AA313" s="40" t="s">
        <v>684</v>
      </c>
      <c r="AB313" s="264" t="str">
        <f t="shared" ca="1" si="24"/>
        <v xml:space="preserve"> </v>
      </c>
      <c r="AC313" s="40" t="s">
        <v>685</v>
      </c>
      <c r="AD313" s="264" t="str">
        <f t="shared" ca="1" si="25"/>
        <v xml:space="preserve"> </v>
      </c>
      <c r="AE313" s="40" t="s">
        <v>684</v>
      </c>
      <c r="AF313" s="264" t="str">
        <f t="shared" ca="1" si="26"/>
        <v xml:space="preserve"> </v>
      </c>
      <c r="AG313" s="40" t="s">
        <v>686</v>
      </c>
      <c r="AH313" s="264" t="str">
        <f t="shared" ca="1" si="27"/>
        <v xml:space="preserve"> </v>
      </c>
      <c r="AI313" s="40" t="s">
        <v>684</v>
      </c>
      <c r="AJ313" s="264" t="str">
        <f t="shared" ca="1" si="28"/>
        <v xml:space="preserve"> </v>
      </c>
      <c r="AK313" s="40" t="s">
        <v>687</v>
      </c>
      <c r="AL313" s="264" t="str">
        <f t="shared" si="29"/>
        <v>dodgerblue</v>
      </c>
      <c r="AM313" s="40" t="s">
        <v>688</v>
      </c>
      <c r="AN313" s="40" t="str">
        <f t="shared" ca="1" si="30"/>
        <v>,{"type":"polygon","latLngs":[ {"lat": ,"lng": }, {"lat": ,"lng": },{"lat": ,"lng": }], "color":"dodgerblue"}</v>
      </c>
      <c r="AO313" s="266" t="s">
        <v>689</v>
      </c>
      <c r="AP313" s="56" t="str">
        <f t="shared" ca="1" si="31"/>
        <v xml:space="preserve"> </v>
      </c>
      <c r="AQ313" s="40" t="s">
        <v>684</v>
      </c>
      <c r="AR313" s="56" t="str">
        <f t="shared" ca="1" si="32"/>
        <v xml:space="preserve"> </v>
      </c>
      <c r="AS313" s="40" t="s">
        <v>686</v>
      </c>
      <c r="AT313" s="56" t="str">
        <f t="shared" ca="1" si="33"/>
        <v xml:space="preserve"> </v>
      </c>
      <c r="AU313" s="40" t="s">
        <v>684</v>
      </c>
      <c r="AV313" s="56" t="str">
        <f t="shared" ca="1" si="34"/>
        <v xml:space="preserve"> </v>
      </c>
      <c r="AW313" s="40" t="s">
        <v>690</v>
      </c>
      <c r="AX313" s="40" t="str">
        <f t="shared" si="35"/>
        <v>dodgerblue</v>
      </c>
      <c r="AY313" s="40" t="s">
        <v>688</v>
      </c>
      <c r="AZ313" s="40" t="str">
        <f t="shared" ca="1" si="36"/>
        <v>,{"type":"polyline","latLngs":[{"lat": ,"lng": },{"lat": ,"lng": }],"color":"dodgerblue"}</v>
      </c>
      <c r="BA313" s="40" t="s">
        <v>691</v>
      </c>
      <c r="BB313" s="56" t="str">
        <f t="shared" ca="1" si="37"/>
        <v xml:space="preserve"> </v>
      </c>
      <c r="BC313" s="40" t="s">
        <v>684</v>
      </c>
      <c r="BD313" s="56" t="str">
        <f t="shared" ca="1" si="38"/>
        <v xml:space="preserve"> </v>
      </c>
      <c r="BE313" s="40" t="s">
        <v>692</v>
      </c>
      <c r="BF313" s="40" t="str">
        <f t="shared" si="39"/>
        <v>dodgerblue</v>
      </c>
      <c r="BG313" s="40" t="s">
        <v>688</v>
      </c>
      <c r="BH313" s="40" t="str">
        <f t="shared" ca="1" si="40"/>
        <v>,{"type":"marker","latLng":{"lat": ,"lng": },"color":"dodgerblue"}</v>
      </c>
      <c r="BI313" s="40" t="s">
        <v>693</v>
      </c>
      <c r="BJ313" s="40" t="s">
        <v>694</v>
      </c>
      <c r="BK313" s="267" t="str">
        <f t="shared" si="41"/>
        <v/>
      </c>
    </row>
    <row r="314" spans="7:63" ht="17.5">
      <c r="G314" s="261"/>
      <c r="H314" s="262"/>
      <c r="I314" s="93" t="s">
        <v>681</v>
      </c>
      <c r="J314" s="93" t="s">
        <v>681</v>
      </c>
      <c r="K314" s="93" t="s">
        <v>681</v>
      </c>
      <c r="L314" s="242" t="s">
        <v>681</v>
      </c>
      <c r="M314" s="263" t="str">
        <f t="shared" si="22"/>
        <v>dodgerblue</v>
      </c>
      <c r="N314" s="264" t="str">
        <f ca="1">IFERROR(__xludf.DUMMYFUNCTION("FILTER(C:E,B:B=J314)")," ")</f>
        <v xml:space="preserve"> </v>
      </c>
      <c r="O314" s="265" t="str">
        <f ca="1">IFERROR(__xludf.DUMMYFUNCTION("""COMPUTED_VALUE""")," ")</f>
        <v xml:space="preserve"> </v>
      </c>
      <c r="P314" s="265" t="str">
        <f ca="1">IFERROR(__xludf.DUMMYFUNCTION("""COMPUTED_VALUE""")," ")</f>
        <v xml:space="preserve"> </v>
      </c>
      <c r="Q314" s="264" t="str">
        <f ca="1">IFERROR(__xludf.DUMMYFUNCTION("FILTER(C:E,B:B=K314)")," ")</f>
        <v xml:space="preserve"> </v>
      </c>
      <c r="R314" s="265" t="str">
        <f ca="1">IFERROR(__xludf.DUMMYFUNCTION("""COMPUTED_VALUE""")," ")</f>
        <v xml:space="preserve"> </v>
      </c>
      <c r="S314" s="265" t="str">
        <f ca="1">IFERROR(__xludf.DUMMYFUNCTION("""COMPUTED_VALUE""")," ")</f>
        <v xml:space="preserve"> </v>
      </c>
      <c r="T314" s="264" t="str">
        <f ca="1">IFERROR(__xludf.DUMMYFUNCTION("FILTER(C:E,B:B=L314)")," ")</f>
        <v xml:space="preserve"> </v>
      </c>
      <c r="U314" s="40" t="str">
        <f ca="1">IFERROR(__xludf.DUMMYFUNCTION("""COMPUTED_VALUE""")," ")</f>
        <v xml:space="preserve"> </v>
      </c>
      <c r="V314" s="40" t="str">
        <f ca="1">IFERROR(__xludf.DUMMYFUNCTION("""COMPUTED_VALUE""")," ")</f>
        <v xml:space="preserve"> </v>
      </c>
      <c r="W314" s="40" t="str">
        <f t="shared" ca="1" si="42"/>
        <v>,</v>
      </c>
      <c r="X314" s="40" t="s">
        <v>682</v>
      </c>
      <c r="Y314" s="40" t="s">
        <v>683</v>
      </c>
      <c r="Z314" s="264" t="str">
        <f t="shared" ca="1" si="23"/>
        <v xml:space="preserve"> </v>
      </c>
      <c r="AA314" s="40" t="s">
        <v>684</v>
      </c>
      <c r="AB314" s="264" t="str">
        <f t="shared" ca="1" si="24"/>
        <v xml:space="preserve"> </v>
      </c>
      <c r="AC314" s="40" t="s">
        <v>685</v>
      </c>
      <c r="AD314" s="264" t="str">
        <f t="shared" ca="1" si="25"/>
        <v xml:space="preserve"> </v>
      </c>
      <c r="AE314" s="40" t="s">
        <v>684</v>
      </c>
      <c r="AF314" s="264" t="str">
        <f t="shared" ca="1" si="26"/>
        <v xml:space="preserve"> </v>
      </c>
      <c r="AG314" s="40" t="s">
        <v>686</v>
      </c>
      <c r="AH314" s="264" t="str">
        <f t="shared" ca="1" si="27"/>
        <v xml:space="preserve"> </v>
      </c>
      <c r="AI314" s="40" t="s">
        <v>684</v>
      </c>
      <c r="AJ314" s="264" t="str">
        <f t="shared" ca="1" si="28"/>
        <v xml:space="preserve"> </v>
      </c>
      <c r="AK314" s="40" t="s">
        <v>687</v>
      </c>
      <c r="AL314" s="264" t="str">
        <f t="shared" si="29"/>
        <v>dodgerblue</v>
      </c>
      <c r="AM314" s="40" t="s">
        <v>688</v>
      </c>
      <c r="AN314" s="40" t="str">
        <f t="shared" ca="1" si="30"/>
        <v>,{"type":"polygon","latLngs":[ {"lat": ,"lng": }, {"lat": ,"lng": },{"lat": ,"lng": }], "color":"dodgerblue"}</v>
      </c>
      <c r="AO314" s="266" t="s">
        <v>689</v>
      </c>
      <c r="AP314" s="56" t="str">
        <f t="shared" ca="1" si="31"/>
        <v xml:space="preserve"> </v>
      </c>
      <c r="AQ314" s="40" t="s">
        <v>684</v>
      </c>
      <c r="AR314" s="56" t="str">
        <f t="shared" ca="1" si="32"/>
        <v xml:space="preserve"> </v>
      </c>
      <c r="AS314" s="40" t="s">
        <v>686</v>
      </c>
      <c r="AT314" s="56" t="str">
        <f t="shared" ca="1" si="33"/>
        <v xml:space="preserve"> </v>
      </c>
      <c r="AU314" s="40" t="s">
        <v>684</v>
      </c>
      <c r="AV314" s="56" t="str">
        <f t="shared" ca="1" si="34"/>
        <v xml:space="preserve"> </v>
      </c>
      <c r="AW314" s="40" t="s">
        <v>690</v>
      </c>
      <c r="AX314" s="40" t="str">
        <f t="shared" si="35"/>
        <v>dodgerblue</v>
      </c>
      <c r="AY314" s="40" t="s">
        <v>688</v>
      </c>
      <c r="AZ314" s="40" t="str">
        <f t="shared" ca="1" si="36"/>
        <v>,{"type":"polyline","latLngs":[{"lat": ,"lng": },{"lat": ,"lng": }],"color":"dodgerblue"}</v>
      </c>
      <c r="BA314" s="40" t="s">
        <v>691</v>
      </c>
      <c r="BB314" s="56" t="str">
        <f t="shared" ca="1" si="37"/>
        <v xml:space="preserve"> </v>
      </c>
      <c r="BC314" s="40" t="s">
        <v>684</v>
      </c>
      <c r="BD314" s="56" t="str">
        <f t="shared" ca="1" si="38"/>
        <v xml:space="preserve"> </v>
      </c>
      <c r="BE314" s="40" t="s">
        <v>692</v>
      </c>
      <c r="BF314" s="40" t="str">
        <f t="shared" si="39"/>
        <v>dodgerblue</v>
      </c>
      <c r="BG314" s="40" t="s">
        <v>688</v>
      </c>
      <c r="BH314" s="40" t="str">
        <f t="shared" ca="1" si="40"/>
        <v>,{"type":"marker","latLng":{"lat": ,"lng": },"color":"dodgerblue"}</v>
      </c>
      <c r="BI314" s="40" t="s">
        <v>693</v>
      </c>
      <c r="BJ314" s="40" t="s">
        <v>694</v>
      </c>
      <c r="BK314" s="267" t="str">
        <f t="shared" si="41"/>
        <v/>
      </c>
    </row>
    <row r="315" spans="7:63" ht="17.5">
      <c r="G315" s="261"/>
      <c r="H315" s="262"/>
      <c r="I315" s="93" t="s">
        <v>681</v>
      </c>
      <c r="J315" s="93" t="s">
        <v>681</v>
      </c>
      <c r="K315" s="93" t="s">
        <v>681</v>
      </c>
      <c r="L315" s="242" t="s">
        <v>681</v>
      </c>
      <c r="M315" s="263" t="str">
        <f t="shared" si="22"/>
        <v>dodgerblue</v>
      </c>
      <c r="N315" s="264" t="str">
        <f ca="1">IFERROR(__xludf.DUMMYFUNCTION("FILTER(C:E,B:B=J315)")," ")</f>
        <v xml:space="preserve"> </v>
      </c>
      <c r="O315" s="265" t="str">
        <f ca="1">IFERROR(__xludf.DUMMYFUNCTION("""COMPUTED_VALUE""")," ")</f>
        <v xml:space="preserve"> </v>
      </c>
      <c r="P315" s="265" t="str">
        <f ca="1">IFERROR(__xludf.DUMMYFUNCTION("""COMPUTED_VALUE""")," ")</f>
        <v xml:space="preserve"> </v>
      </c>
      <c r="Q315" s="264" t="str">
        <f ca="1">IFERROR(__xludf.DUMMYFUNCTION("FILTER(C:E,B:B=K315)")," ")</f>
        <v xml:space="preserve"> </v>
      </c>
      <c r="R315" s="265" t="str">
        <f ca="1">IFERROR(__xludf.DUMMYFUNCTION("""COMPUTED_VALUE""")," ")</f>
        <v xml:space="preserve"> </v>
      </c>
      <c r="S315" s="265" t="str">
        <f ca="1">IFERROR(__xludf.DUMMYFUNCTION("""COMPUTED_VALUE""")," ")</f>
        <v xml:space="preserve"> </v>
      </c>
      <c r="T315" s="264" t="str">
        <f ca="1">IFERROR(__xludf.DUMMYFUNCTION("FILTER(C:E,B:B=L315)")," ")</f>
        <v xml:space="preserve"> </v>
      </c>
      <c r="U315" s="40" t="str">
        <f ca="1">IFERROR(__xludf.DUMMYFUNCTION("""COMPUTED_VALUE""")," ")</f>
        <v xml:space="preserve"> </v>
      </c>
      <c r="V315" s="40" t="str">
        <f ca="1">IFERROR(__xludf.DUMMYFUNCTION("""COMPUTED_VALUE""")," ")</f>
        <v xml:space="preserve"> </v>
      </c>
      <c r="W315" s="40" t="str">
        <f t="shared" ca="1" si="42"/>
        <v>,</v>
      </c>
      <c r="X315" s="40" t="s">
        <v>682</v>
      </c>
      <c r="Y315" s="40" t="s">
        <v>683</v>
      </c>
      <c r="Z315" s="264" t="str">
        <f t="shared" ca="1" si="23"/>
        <v xml:space="preserve"> </v>
      </c>
      <c r="AA315" s="40" t="s">
        <v>684</v>
      </c>
      <c r="AB315" s="264" t="str">
        <f t="shared" ca="1" si="24"/>
        <v xml:space="preserve"> </v>
      </c>
      <c r="AC315" s="40" t="s">
        <v>685</v>
      </c>
      <c r="AD315" s="264" t="str">
        <f t="shared" ca="1" si="25"/>
        <v xml:space="preserve"> </v>
      </c>
      <c r="AE315" s="40" t="s">
        <v>684</v>
      </c>
      <c r="AF315" s="264" t="str">
        <f t="shared" ca="1" si="26"/>
        <v xml:space="preserve"> </v>
      </c>
      <c r="AG315" s="40" t="s">
        <v>686</v>
      </c>
      <c r="AH315" s="264" t="str">
        <f t="shared" ca="1" si="27"/>
        <v xml:space="preserve"> </v>
      </c>
      <c r="AI315" s="40" t="s">
        <v>684</v>
      </c>
      <c r="AJ315" s="264" t="str">
        <f t="shared" ca="1" si="28"/>
        <v xml:space="preserve"> </v>
      </c>
      <c r="AK315" s="40" t="s">
        <v>687</v>
      </c>
      <c r="AL315" s="264" t="str">
        <f t="shared" si="29"/>
        <v>dodgerblue</v>
      </c>
      <c r="AM315" s="40" t="s">
        <v>688</v>
      </c>
      <c r="AN315" s="40" t="str">
        <f t="shared" ca="1" si="30"/>
        <v>,{"type":"polygon","latLngs":[ {"lat": ,"lng": }, {"lat": ,"lng": },{"lat": ,"lng": }], "color":"dodgerblue"}</v>
      </c>
      <c r="AO315" s="266" t="s">
        <v>689</v>
      </c>
      <c r="AP315" s="56" t="str">
        <f t="shared" ca="1" si="31"/>
        <v xml:space="preserve"> </v>
      </c>
      <c r="AQ315" s="40" t="s">
        <v>684</v>
      </c>
      <c r="AR315" s="56" t="str">
        <f t="shared" ca="1" si="32"/>
        <v xml:space="preserve"> </v>
      </c>
      <c r="AS315" s="40" t="s">
        <v>686</v>
      </c>
      <c r="AT315" s="56" t="str">
        <f t="shared" ca="1" si="33"/>
        <v xml:space="preserve"> </v>
      </c>
      <c r="AU315" s="40" t="s">
        <v>684</v>
      </c>
      <c r="AV315" s="56" t="str">
        <f t="shared" ca="1" si="34"/>
        <v xml:space="preserve"> </v>
      </c>
      <c r="AW315" s="40" t="s">
        <v>690</v>
      </c>
      <c r="AX315" s="40" t="str">
        <f t="shared" si="35"/>
        <v>dodgerblue</v>
      </c>
      <c r="AY315" s="40" t="s">
        <v>688</v>
      </c>
      <c r="AZ315" s="40" t="str">
        <f t="shared" ca="1" si="36"/>
        <v>,{"type":"polyline","latLngs":[{"lat": ,"lng": },{"lat": ,"lng": }],"color":"dodgerblue"}</v>
      </c>
      <c r="BA315" s="40" t="s">
        <v>691</v>
      </c>
      <c r="BB315" s="56" t="str">
        <f t="shared" ca="1" si="37"/>
        <v xml:space="preserve"> </v>
      </c>
      <c r="BC315" s="40" t="s">
        <v>684</v>
      </c>
      <c r="BD315" s="56" t="str">
        <f t="shared" ca="1" si="38"/>
        <v xml:space="preserve"> </v>
      </c>
      <c r="BE315" s="40" t="s">
        <v>692</v>
      </c>
      <c r="BF315" s="40" t="str">
        <f t="shared" si="39"/>
        <v>dodgerblue</v>
      </c>
      <c r="BG315" s="40" t="s">
        <v>688</v>
      </c>
      <c r="BH315" s="40" t="str">
        <f t="shared" ca="1" si="40"/>
        <v>,{"type":"marker","latLng":{"lat": ,"lng": },"color":"dodgerblue"}</v>
      </c>
      <c r="BI315" s="40" t="s">
        <v>693</v>
      </c>
      <c r="BJ315" s="40" t="s">
        <v>694</v>
      </c>
      <c r="BK315" s="267" t="str">
        <f t="shared" si="41"/>
        <v/>
      </c>
    </row>
    <row r="316" spans="7:63" ht="17.5">
      <c r="G316" s="261"/>
      <c r="H316" s="262"/>
      <c r="I316" s="93" t="s">
        <v>681</v>
      </c>
      <c r="J316" s="93" t="s">
        <v>681</v>
      </c>
      <c r="K316" s="93" t="s">
        <v>681</v>
      </c>
      <c r="L316" s="242" t="s">
        <v>681</v>
      </c>
      <c r="M316" s="263" t="str">
        <f t="shared" si="22"/>
        <v>dodgerblue</v>
      </c>
      <c r="N316" s="264" t="str">
        <f ca="1">IFERROR(__xludf.DUMMYFUNCTION("FILTER(C:E,B:B=J316)")," ")</f>
        <v xml:space="preserve"> </v>
      </c>
      <c r="O316" s="265" t="str">
        <f ca="1">IFERROR(__xludf.DUMMYFUNCTION("""COMPUTED_VALUE""")," ")</f>
        <v xml:space="preserve"> </v>
      </c>
      <c r="P316" s="265" t="str">
        <f ca="1">IFERROR(__xludf.DUMMYFUNCTION("""COMPUTED_VALUE""")," ")</f>
        <v xml:space="preserve"> </v>
      </c>
      <c r="Q316" s="264" t="str">
        <f ca="1">IFERROR(__xludf.DUMMYFUNCTION("FILTER(C:E,B:B=K316)")," ")</f>
        <v xml:space="preserve"> </v>
      </c>
      <c r="R316" s="265" t="str">
        <f ca="1">IFERROR(__xludf.DUMMYFUNCTION("""COMPUTED_VALUE""")," ")</f>
        <v xml:space="preserve"> </v>
      </c>
      <c r="S316" s="265" t="str">
        <f ca="1">IFERROR(__xludf.DUMMYFUNCTION("""COMPUTED_VALUE""")," ")</f>
        <v xml:space="preserve"> </v>
      </c>
      <c r="T316" s="264" t="str">
        <f ca="1">IFERROR(__xludf.DUMMYFUNCTION("FILTER(C:E,B:B=L316)")," ")</f>
        <v xml:space="preserve"> </v>
      </c>
      <c r="U316" s="40" t="str">
        <f ca="1">IFERROR(__xludf.DUMMYFUNCTION("""COMPUTED_VALUE""")," ")</f>
        <v xml:space="preserve"> </v>
      </c>
      <c r="V316" s="40" t="str">
        <f ca="1">IFERROR(__xludf.DUMMYFUNCTION("""COMPUTED_VALUE""")," ")</f>
        <v xml:space="preserve"> </v>
      </c>
      <c r="W316" s="40" t="str">
        <f t="shared" ca="1" si="42"/>
        <v>,</v>
      </c>
      <c r="X316" s="40" t="s">
        <v>682</v>
      </c>
      <c r="Y316" s="40" t="s">
        <v>683</v>
      </c>
      <c r="Z316" s="264" t="str">
        <f t="shared" ca="1" si="23"/>
        <v xml:space="preserve"> </v>
      </c>
      <c r="AA316" s="40" t="s">
        <v>684</v>
      </c>
      <c r="AB316" s="264" t="str">
        <f t="shared" ca="1" si="24"/>
        <v xml:space="preserve"> </v>
      </c>
      <c r="AC316" s="40" t="s">
        <v>685</v>
      </c>
      <c r="AD316" s="264" t="str">
        <f t="shared" ca="1" si="25"/>
        <v xml:space="preserve"> </v>
      </c>
      <c r="AE316" s="40" t="s">
        <v>684</v>
      </c>
      <c r="AF316" s="264" t="str">
        <f t="shared" ca="1" si="26"/>
        <v xml:space="preserve"> </v>
      </c>
      <c r="AG316" s="40" t="s">
        <v>686</v>
      </c>
      <c r="AH316" s="264" t="str">
        <f t="shared" ca="1" si="27"/>
        <v xml:space="preserve"> </v>
      </c>
      <c r="AI316" s="40" t="s">
        <v>684</v>
      </c>
      <c r="AJ316" s="264" t="str">
        <f t="shared" ca="1" si="28"/>
        <v xml:space="preserve"> </v>
      </c>
      <c r="AK316" s="40" t="s">
        <v>687</v>
      </c>
      <c r="AL316" s="264" t="str">
        <f t="shared" si="29"/>
        <v>dodgerblue</v>
      </c>
      <c r="AM316" s="40" t="s">
        <v>688</v>
      </c>
      <c r="AN316" s="40" t="str">
        <f t="shared" ca="1" si="30"/>
        <v>,{"type":"polygon","latLngs":[ {"lat": ,"lng": }, {"lat": ,"lng": },{"lat": ,"lng": }], "color":"dodgerblue"}</v>
      </c>
      <c r="AO316" s="266" t="s">
        <v>689</v>
      </c>
      <c r="AP316" s="56" t="str">
        <f t="shared" ca="1" si="31"/>
        <v xml:space="preserve"> </v>
      </c>
      <c r="AQ316" s="40" t="s">
        <v>684</v>
      </c>
      <c r="AR316" s="56" t="str">
        <f t="shared" ca="1" si="32"/>
        <v xml:space="preserve"> </v>
      </c>
      <c r="AS316" s="40" t="s">
        <v>686</v>
      </c>
      <c r="AT316" s="56" t="str">
        <f t="shared" ca="1" si="33"/>
        <v xml:space="preserve"> </v>
      </c>
      <c r="AU316" s="40" t="s">
        <v>684</v>
      </c>
      <c r="AV316" s="56" t="str">
        <f t="shared" ca="1" si="34"/>
        <v xml:space="preserve"> </v>
      </c>
      <c r="AW316" s="40" t="s">
        <v>690</v>
      </c>
      <c r="AX316" s="40" t="str">
        <f t="shared" si="35"/>
        <v>dodgerblue</v>
      </c>
      <c r="AY316" s="40" t="s">
        <v>688</v>
      </c>
      <c r="AZ316" s="40" t="str">
        <f t="shared" ca="1" si="36"/>
        <v>,{"type":"polyline","latLngs":[{"lat": ,"lng": },{"lat": ,"lng": }],"color":"dodgerblue"}</v>
      </c>
      <c r="BA316" s="40" t="s">
        <v>691</v>
      </c>
      <c r="BB316" s="56" t="str">
        <f t="shared" ca="1" si="37"/>
        <v xml:space="preserve"> </v>
      </c>
      <c r="BC316" s="40" t="s">
        <v>684</v>
      </c>
      <c r="BD316" s="56" t="str">
        <f t="shared" ca="1" si="38"/>
        <v xml:space="preserve"> </v>
      </c>
      <c r="BE316" s="40" t="s">
        <v>692</v>
      </c>
      <c r="BF316" s="40" t="str">
        <f t="shared" si="39"/>
        <v>dodgerblue</v>
      </c>
      <c r="BG316" s="40" t="s">
        <v>688</v>
      </c>
      <c r="BH316" s="40" t="str">
        <f t="shared" ca="1" si="40"/>
        <v>,{"type":"marker","latLng":{"lat": ,"lng": },"color":"dodgerblue"}</v>
      </c>
      <c r="BI316" s="40" t="s">
        <v>693</v>
      </c>
      <c r="BJ316" s="40" t="s">
        <v>694</v>
      </c>
      <c r="BK316" s="267" t="str">
        <f t="shared" si="41"/>
        <v/>
      </c>
    </row>
    <row r="317" spans="7:63" ht="17.5">
      <c r="G317" s="261"/>
      <c r="H317" s="262"/>
      <c r="I317" s="93" t="s">
        <v>681</v>
      </c>
      <c r="J317" s="93" t="s">
        <v>681</v>
      </c>
      <c r="K317" s="93" t="s">
        <v>681</v>
      </c>
      <c r="L317" s="242" t="s">
        <v>681</v>
      </c>
      <c r="M317" s="263" t="str">
        <f t="shared" si="22"/>
        <v>dodgerblue</v>
      </c>
      <c r="N317" s="264" t="str">
        <f ca="1">IFERROR(__xludf.DUMMYFUNCTION("FILTER(C:E,B:B=J317)")," ")</f>
        <v xml:space="preserve"> </v>
      </c>
      <c r="O317" s="265" t="str">
        <f ca="1">IFERROR(__xludf.DUMMYFUNCTION("""COMPUTED_VALUE""")," ")</f>
        <v xml:space="preserve"> </v>
      </c>
      <c r="P317" s="265" t="str">
        <f ca="1">IFERROR(__xludf.DUMMYFUNCTION("""COMPUTED_VALUE""")," ")</f>
        <v xml:space="preserve"> </v>
      </c>
      <c r="Q317" s="264" t="str">
        <f ca="1">IFERROR(__xludf.DUMMYFUNCTION("FILTER(C:E,B:B=K317)")," ")</f>
        <v xml:space="preserve"> </v>
      </c>
      <c r="R317" s="265" t="str">
        <f ca="1">IFERROR(__xludf.DUMMYFUNCTION("""COMPUTED_VALUE""")," ")</f>
        <v xml:space="preserve"> </v>
      </c>
      <c r="S317" s="265" t="str">
        <f ca="1">IFERROR(__xludf.DUMMYFUNCTION("""COMPUTED_VALUE""")," ")</f>
        <v xml:space="preserve"> </v>
      </c>
      <c r="T317" s="264" t="str">
        <f ca="1">IFERROR(__xludf.DUMMYFUNCTION("FILTER(C:E,B:B=L317)")," ")</f>
        <v xml:space="preserve"> </v>
      </c>
      <c r="U317" s="40" t="str">
        <f ca="1">IFERROR(__xludf.DUMMYFUNCTION("""COMPUTED_VALUE""")," ")</f>
        <v xml:space="preserve"> </v>
      </c>
      <c r="V317" s="40" t="str">
        <f ca="1">IFERROR(__xludf.DUMMYFUNCTION("""COMPUTED_VALUE""")," ")</f>
        <v xml:space="preserve"> </v>
      </c>
      <c r="W317" s="40" t="str">
        <f t="shared" ca="1" si="42"/>
        <v>,</v>
      </c>
      <c r="X317" s="40" t="s">
        <v>682</v>
      </c>
      <c r="Y317" s="40" t="s">
        <v>683</v>
      </c>
      <c r="Z317" s="264" t="str">
        <f t="shared" ca="1" si="23"/>
        <v xml:space="preserve"> </v>
      </c>
      <c r="AA317" s="40" t="s">
        <v>684</v>
      </c>
      <c r="AB317" s="264" t="str">
        <f t="shared" ca="1" si="24"/>
        <v xml:space="preserve"> </v>
      </c>
      <c r="AC317" s="40" t="s">
        <v>685</v>
      </c>
      <c r="AD317" s="264" t="str">
        <f t="shared" ca="1" si="25"/>
        <v xml:space="preserve"> </v>
      </c>
      <c r="AE317" s="40" t="s">
        <v>684</v>
      </c>
      <c r="AF317" s="264" t="str">
        <f t="shared" ca="1" si="26"/>
        <v xml:space="preserve"> </v>
      </c>
      <c r="AG317" s="40" t="s">
        <v>686</v>
      </c>
      <c r="AH317" s="264" t="str">
        <f t="shared" ca="1" si="27"/>
        <v xml:space="preserve"> </v>
      </c>
      <c r="AI317" s="40" t="s">
        <v>684</v>
      </c>
      <c r="AJ317" s="264" t="str">
        <f t="shared" ca="1" si="28"/>
        <v xml:space="preserve"> </v>
      </c>
      <c r="AK317" s="40" t="s">
        <v>687</v>
      </c>
      <c r="AL317" s="264" t="str">
        <f t="shared" si="29"/>
        <v>dodgerblue</v>
      </c>
      <c r="AM317" s="40" t="s">
        <v>688</v>
      </c>
      <c r="AN317" s="40" t="str">
        <f t="shared" ca="1" si="30"/>
        <v>,{"type":"polygon","latLngs":[ {"lat": ,"lng": }, {"lat": ,"lng": },{"lat": ,"lng": }], "color":"dodgerblue"}</v>
      </c>
      <c r="AO317" s="266" t="s">
        <v>689</v>
      </c>
      <c r="AP317" s="56" t="str">
        <f t="shared" ca="1" si="31"/>
        <v xml:space="preserve"> </v>
      </c>
      <c r="AQ317" s="40" t="s">
        <v>684</v>
      </c>
      <c r="AR317" s="56" t="str">
        <f t="shared" ca="1" si="32"/>
        <v xml:space="preserve"> </v>
      </c>
      <c r="AS317" s="40" t="s">
        <v>686</v>
      </c>
      <c r="AT317" s="56" t="str">
        <f t="shared" ca="1" si="33"/>
        <v xml:space="preserve"> </v>
      </c>
      <c r="AU317" s="40" t="s">
        <v>684</v>
      </c>
      <c r="AV317" s="56" t="str">
        <f t="shared" ca="1" si="34"/>
        <v xml:space="preserve"> </v>
      </c>
      <c r="AW317" s="40" t="s">
        <v>690</v>
      </c>
      <c r="AX317" s="40" t="str">
        <f t="shared" si="35"/>
        <v>dodgerblue</v>
      </c>
      <c r="AY317" s="40" t="s">
        <v>688</v>
      </c>
      <c r="AZ317" s="40" t="str">
        <f t="shared" ca="1" si="36"/>
        <v>,{"type":"polyline","latLngs":[{"lat": ,"lng": },{"lat": ,"lng": }],"color":"dodgerblue"}</v>
      </c>
      <c r="BA317" s="40" t="s">
        <v>691</v>
      </c>
      <c r="BB317" s="56" t="str">
        <f t="shared" ca="1" si="37"/>
        <v xml:space="preserve"> </v>
      </c>
      <c r="BC317" s="40" t="s">
        <v>684</v>
      </c>
      <c r="BD317" s="56" t="str">
        <f t="shared" ca="1" si="38"/>
        <v xml:space="preserve"> </v>
      </c>
      <c r="BE317" s="40" t="s">
        <v>692</v>
      </c>
      <c r="BF317" s="40" t="str">
        <f t="shared" si="39"/>
        <v>dodgerblue</v>
      </c>
      <c r="BG317" s="40" t="s">
        <v>688</v>
      </c>
      <c r="BH317" s="40" t="str">
        <f t="shared" ca="1" si="40"/>
        <v>,{"type":"marker","latLng":{"lat": ,"lng": },"color":"dodgerblue"}</v>
      </c>
      <c r="BI317" s="40" t="s">
        <v>693</v>
      </c>
      <c r="BJ317" s="40" t="s">
        <v>694</v>
      </c>
      <c r="BK317" s="267" t="str">
        <f t="shared" si="41"/>
        <v/>
      </c>
    </row>
    <row r="318" spans="7:63" ht="17.5">
      <c r="G318" s="261"/>
      <c r="H318" s="262"/>
      <c r="I318" s="93" t="s">
        <v>681</v>
      </c>
      <c r="J318" s="93" t="s">
        <v>681</v>
      </c>
      <c r="K318" s="93" t="s">
        <v>681</v>
      </c>
      <c r="L318" s="242" t="s">
        <v>681</v>
      </c>
      <c r="M318" s="263" t="str">
        <f t="shared" si="22"/>
        <v>dodgerblue</v>
      </c>
      <c r="N318" s="264" t="str">
        <f ca="1">IFERROR(__xludf.DUMMYFUNCTION("FILTER(C:E,B:B=J318)")," ")</f>
        <v xml:space="preserve"> </v>
      </c>
      <c r="O318" s="265" t="str">
        <f ca="1">IFERROR(__xludf.DUMMYFUNCTION("""COMPUTED_VALUE""")," ")</f>
        <v xml:space="preserve"> </v>
      </c>
      <c r="P318" s="265" t="str">
        <f ca="1">IFERROR(__xludf.DUMMYFUNCTION("""COMPUTED_VALUE""")," ")</f>
        <v xml:space="preserve"> </v>
      </c>
      <c r="Q318" s="264" t="str">
        <f ca="1">IFERROR(__xludf.DUMMYFUNCTION("FILTER(C:E,B:B=K318)")," ")</f>
        <v xml:space="preserve"> </v>
      </c>
      <c r="R318" s="265" t="str">
        <f ca="1">IFERROR(__xludf.DUMMYFUNCTION("""COMPUTED_VALUE""")," ")</f>
        <v xml:space="preserve"> </v>
      </c>
      <c r="S318" s="265" t="str">
        <f ca="1">IFERROR(__xludf.DUMMYFUNCTION("""COMPUTED_VALUE""")," ")</f>
        <v xml:space="preserve"> </v>
      </c>
      <c r="T318" s="264" t="str">
        <f ca="1">IFERROR(__xludf.DUMMYFUNCTION("FILTER(C:E,B:B=L318)")," ")</f>
        <v xml:space="preserve"> </v>
      </c>
      <c r="U318" s="40" t="str">
        <f ca="1">IFERROR(__xludf.DUMMYFUNCTION("""COMPUTED_VALUE""")," ")</f>
        <v xml:space="preserve"> </v>
      </c>
      <c r="V318" s="40" t="str">
        <f ca="1">IFERROR(__xludf.DUMMYFUNCTION("""COMPUTED_VALUE""")," ")</f>
        <v xml:space="preserve"> </v>
      </c>
      <c r="W318" s="40" t="str">
        <f t="shared" ca="1" si="42"/>
        <v>,</v>
      </c>
      <c r="X318" s="40" t="s">
        <v>682</v>
      </c>
      <c r="Y318" s="40" t="s">
        <v>683</v>
      </c>
      <c r="Z318" s="264" t="str">
        <f t="shared" ca="1" si="23"/>
        <v xml:space="preserve"> </v>
      </c>
      <c r="AA318" s="40" t="s">
        <v>684</v>
      </c>
      <c r="AB318" s="264" t="str">
        <f t="shared" ca="1" si="24"/>
        <v xml:space="preserve"> </v>
      </c>
      <c r="AC318" s="40" t="s">
        <v>685</v>
      </c>
      <c r="AD318" s="264" t="str">
        <f t="shared" ca="1" si="25"/>
        <v xml:space="preserve"> </v>
      </c>
      <c r="AE318" s="40" t="s">
        <v>684</v>
      </c>
      <c r="AF318" s="264" t="str">
        <f t="shared" ca="1" si="26"/>
        <v xml:space="preserve"> </v>
      </c>
      <c r="AG318" s="40" t="s">
        <v>686</v>
      </c>
      <c r="AH318" s="264" t="str">
        <f t="shared" ca="1" si="27"/>
        <v xml:space="preserve"> </v>
      </c>
      <c r="AI318" s="40" t="s">
        <v>684</v>
      </c>
      <c r="AJ318" s="264" t="str">
        <f t="shared" ca="1" si="28"/>
        <v xml:space="preserve"> </v>
      </c>
      <c r="AK318" s="40" t="s">
        <v>687</v>
      </c>
      <c r="AL318" s="264" t="str">
        <f t="shared" si="29"/>
        <v>dodgerblue</v>
      </c>
      <c r="AM318" s="40" t="s">
        <v>688</v>
      </c>
      <c r="AN318" s="40" t="str">
        <f t="shared" ca="1" si="30"/>
        <v>,{"type":"polygon","latLngs":[ {"lat": ,"lng": }, {"lat": ,"lng": },{"lat": ,"lng": }], "color":"dodgerblue"}</v>
      </c>
      <c r="AO318" s="266" t="s">
        <v>689</v>
      </c>
      <c r="AP318" s="56" t="str">
        <f t="shared" ca="1" si="31"/>
        <v xml:space="preserve"> </v>
      </c>
      <c r="AQ318" s="40" t="s">
        <v>684</v>
      </c>
      <c r="AR318" s="56" t="str">
        <f t="shared" ca="1" si="32"/>
        <v xml:space="preserve"> </v>
      </c>
      <c r="AS318" s="40" t="s">
        <v>686</v>
      </c>
      <c r="AT318" s="56" t="str">
        <f t="shared" ca="1" si="33"/>
        <v xml:space="preserve"> </v>
      </c>
      <c r="AU318" s="40" t="s">
        <v>684</v>
      </c>
      <c r="AV318" s="56" t="str">
        <f t="shared" ca="1" si="34"/>
        <v xml:space="preserve"> </v>
      </c>
      <c r="AW318" s="40" t="s">
        <v>690</v>
      </c>
      <c r="AX318" s="40" t="str">
        <f t="shared" si="35"/>
        <v>dodgerblue</v>
      </c>
      <c r="AY318" s="40" t="s">
        <v>688</v>
      </c>
      <c r="AZ318" s="40" t="str">
        <f t="shared" ca="1" si="36"/>
        <v>,{"type":"polyline","latLngs":[{"lat": ,"lng": },{"lat": ,"lng": }],"color":"dodgerblue"}</v>
      </c>
      <c r="BA318" s="40" t="s">
        <v>691</v>
      </c>
      <c r="BB318" s="56" t="str">
        <f t="shared" ca="1" si="37"/>
        <v xml:space="preserve"> </v>
      </c>
      <c r="BC318" s="40" t="s">
        <v>684</v>
      </c>
      <c r="BD318" s="56" t="str">
        <f t="shared" ca="1" si="38"/>
        <v xml:space="preserve"> </v>
      </c>
      <c r="BE318" s="40" t="s">
        <v>692</v>
      </c>
      <c r="BF318" s="40" t="str">
        <f t="shared" si="39"/>
        <v>dodgerblue</v>
      </c>
      <c r="BG318" s="40" t="s">
        <v>688</v>
      </c>
      <c r="BH318" s="40" t="str">
        <f t="shared" ca="1" si="40"/>
        <v>,{"type":"marker","latLng":{"lat": ,"lng": },"color":"dodgerblue"}</v>
      </c>
      <c r="BI318" s="40" t="s">
        <v>693</v>
      </c>
      <c r="BJ318" s="40" t="s">
        <v>694</v>
      </c>
      <c r="BK318" s="267" t="str">
        <f t="shared" si="41"/>
        <v/>
      </c>
    </row>
    <row r="319" spans="7:63" ht="17.5">
      <c r="G319" s="261"/>
      <c r="H319" s="262"/>
      <c r="I319" s="93" t="s">
        <v>681</v>
      </c>
      <c r="J319" s="93" t="s">
        <v>681</v>
      </c>
      <c r="K319" s="93" t="s">
        <v>681</v>
      </c>
      <c r="L319" s="242" t="s">
        <v>681</v>
      </c>
      <c r="M319" s="263" t="str">
        <f t="shared" si="22"/>
        <v>dodgerblue</v>
      </c>
      <c r="N319" s="264" t="str">
        <f ca="1">IFERROR(__xludf.DUMMYFUNCTION("FILTER(C:E,B:B=J319)")," ")</f>
        <v xml:space="preserve"> </v>
      </c>
      <c r="O319" s="265" t="str">
        <f ca="1">IFERROR(__xludf.DUMMYFUNCTION("""COMPUTED_VALUE""")," ")</f>
        <v xml:space="preserve"> </v>
      </c>
      <c r="P319" s="265" t="str">
        <f ca="1">IFERROR(__xludf.DUMMYFUNCTION("""COMPUTED_VALUE""")," ")</f>
        <v xml:space="preserve"> </v>
      </c>
      <c r="Q319" s="264" t="str">
        <f ca="1">IFERROR(__xludf.DUMMYFUNCTION("FILTER(C:E,B:B=K319)")," ")</f>
        <v xml:space="preserve"> </v>
      </c>
      <c r="R319" s="265" t="str">
        <f ca="1">IFERROR(__xludf.DUMMYFUNCTION("""COMPUTED_VALUE""")," ")</f>
        <v xml:space="preserve"> </v>
      </c>
      <c r="S319" s="265" t="str">
        <f ca="1">IFERROR(__xludf.DUMMYFUNCTION("""COMPUTED_VALUE""")," ")</f>
        <v xml:space="preserve"> </v>
      </c>
      <c r="T319" s="264" t="str">
        <f ca="1">IFERROR(__xludf.DUMMYFUNCTION("FILTER(C:E,B:B=L319)")," ")</f>
        <v xml:space="preserve"> </v>
      </c>
      <c r="U319" s="40" t="str">
        <f ca="1">IFERROR(__xludf.DUMMYFUNCTION("""COMPUTED_VALUE""")," ")</f>
        <v xml:space="preserve"> </v>
      </c>
      <c r="V319" s="40" t="str">
        <f ca="1">IFERROR(__xludf.DUMMYFUNCTION("""COMPUTED_VALUE""")," ")</f>
        <v xml:space="preserve"> </v>
      </c>
      <c r="W319" s="40" t="str">
        <f t="shared" ca="1" si="42"/>
        <v>,</v>
      </c>
      <c r="X319" s="40" t="s">
        <v>682</v>
      </c>
      <c r="Y319" s="40" t="s">
        <v>683</v>
      </c>
      <c r="Z319" s="264" t="str">
        <f t="shared" ca="1" si="23"/>
        <v xml:space="preserve"> </v>
      </c>
      <c r="AA319" s="40" t="s">
        <v>684</v>
      </c>
      <c r="AB319" s="264" t="str">
        <f t="shared" ca="1" si="24"/>
        <v xml:space="preserve"> </v>
      </c>
      <c r="AC319" s="40" t="s">
        <v>685</v>
      </c>
      <c r="AD319" s="264" t="str">
        <f t="shared" ca="1" si="25"/>
        <v xml:space="preserve"> </v>
      </c>
      <c r="AE319" s="40" t="s">
        <v>684</v>
      </c>
      <c r="AF319" s="264" t="str">
        <f t="shared" ca="1" si="26"/>
        <v xml:space="preserve"> </v>
      </c>
      <c r="AG319" s="40" t="s">
        <v>686</v>
      </c>
      <c r="AH319" s="264" t="str">
        <f t="shared" ca="1" si="27"/>
        <v xml:space="preserve"> </v>
      </c>
      <c r="AI319" s="40" t="s">
        <v>684</v>
      </c>
      <c r="AJ319" s="264" t="str">
        <f t="shared" ca="1" si="28"/>
        <v xml:space="preserve"> </v>
      </c>
      <c r="AK319" s="40" t="s">
        <v>687</v>
      </c>
      <c r="AL319" s="264" t="str">
        <f t="shared" si="29"/>
        <v>dodgerblue</v>
      </c>
      <c r="AM319" s="40" t="s">
        <v>688</v>
      </c>
      <c r="AN319" s="40" t="str">
        <f t="shared" ca="1" si="30"/>
        <v>,{"type":"polygon","latLngs":[ {"lat": ,"lng": }, {"lat": ,"lng": },{"lat": ,"lng": }], "color":"dodgerblue"}</v>
      </c>
      <c r="AO319" s="266" t="s">
        <v>689</v>
      </c>
      <c r="AP319" s="56" t="str">
        <f t="shared" ca="1" si="31"/>
        <v xml:space="preserve"> </v>
      </c>
      <c r="AQ319" s="40" t="s">
        <v>684</v>
      </c>
      <c r="AR319" s="56" t="str">
        <f t="shared" ca="1" si="32"/>
        <v xml:space="preserve"> </v>
      </c>
      <c r="AS319" s="40" t="s">
        <v>686</v>
      </c>
      <c r="AT319" s="56" t="str">
        <f t="shared" ca="1" si="33"/>
        <v xml:space="preserve"> </v>
      </c>
      <c r="AU319" s="40" t="s">
        <v>684</v>
      </c>
      <c r="AV319" s="56" t="str">
        <f t="shared" ca="1" si="34"/>
        <v xml:space="preserve"> </v>
      </c>
      <c r="AW319" s="40" t="s">
        <v>690</v>
      </c>
      <c r="AX319" s="40" t="str">
        <f t="shared" si="35"/>
        <v>dodgerblue</v>
      </c>
      <c r="AY319" s="40" t="s">
        <v>688</v>
      </c>
      <c r="AZ319" s="40" t="str">
        <f t="shared" ca="1" si="36"/>
        <v>,{"type":"polyline","latLngs":[{"lat": ,"lng": },{"lat": ,"lng": }],"color":"dodgerblue"}</v>
      </c>
      <c r="BA319" s="40" t="s">
        <v>691</v>
      </c>
      <c r="BB319" s="56" t="str">
        <f t="shared" ca="1" si="37"/>
        <v xml:space="preserve"> </v>
      </c>
      <c r="BC319" s="40" t="s">
        <v>684</v>
      </c>
      <c r="BD319" s="56" t="str">
        <f t="shared" ca="1" si="38"/>
        <v xml:space="preserve"> </v>
      </c>
      <c r="BE319" s="40" t="s">
        <v>692</v>
      </c>
      <c r="BF319" s="40" t="str">
        <f t="shared" si="39"/>
        <v>dodgerblue</v>
      </c>
      <c r="BG319" s="40" t="s">
        <v>688</v>
      </c>
      <c r="BH319" s="40" t="str">
        <f t="shared" ca="1" si="40"/>
        <v>,{"type":"marker","latLng":{"lat": ,"lng": },"color":"dodgerblue"}</v>
      </c>
      <c r="BI319" s="40" t="s">
        <v>693</v>
      </c>
      <c r="BJ319" s="40" t="s">
        <v>694</v>
      </c>
      <c r="BK319" s="267" t="str">
        <f t="shared" si="41"/>
        <v/>
      </c>
    </row>
    <row r="320" spans="7:63" ht="17.5">
      <c r="G320" s="261"/>
      <c r="H320" s="262"/>
      <c r="I320" s="93" t="s">
        <v>681</v>
      </c>
      <c r="J320" s="93" t="s">
        <v>681</v>
      </c>
      <c r="K320" s="93" t="s">
        <v>681</v>
      </c>
      <c r="L320" s="242" t="s">
        <v>681</v>
      </c>
      <c r="M320" s="263" t="str">
        <f t="shared" si="22"/>
        <v>dodgerblue</v>
      </c>
      <c r="N320" s="264" t="str">
        <f ca="1">IFERROR(__xludf.DUMMYFUNCTION("FILTER(C:E,B:B=J320)")," ")</f>
        <v xml:space="preserve"> </v>
      </c>
      <c r="O320" s="265" t="str">
        <f ca="1">IFERROR(__xludf.DUMMYFUNCTION("""COMPUTED_VALUE""")," ")</f>
        <v xml:space="preserve"> </v>
      </c>
      <c r="P320" s="265" t="str">
        <f ca="1">IFERROR(__xludf.DUMMYFUNCTION("""COMPUTED_VALUE""")," ")</f>
        <v xml:space="preserve"> </v>
      </c>
      <c r="Q320" s="264" t="str">
        <f ca="1">IFERROR(__xludf.DUMMYFUNCTION("FILTER(C:E,B:B=K320)")," ")</f>
        <v xml:space="preserve"> </v>
      </c>
      <c r="R320" s="265" t="str">
        <f ca="1">IFERROR(__xludf.DUMMYFUNCTION("""COMPUTED_VALUE""")," ")</f>
        <v xml:space="preserve"> </v>
      </c>
      <c r="S320" s="265" t="str">
        <f ca="1">IFERROR(__xludf.DUMMYFUNCTION("""COMPUTED_VALUE""")," ")</f>
        <v xml:space="preserve"> </v>
      </c>
      <c r="T320" s="264" t="str">
        <f ca="1">IFERROR(__xludf.DUMMYFUNCTION("FILTER(C:E,B:B=L320)")," ")</f>
        <v xml:space="preserve"> </v>
      </c>
      <c r="U320" s="40" t="str">
        <f ca="1">IFERROR(__xludf.DUMMYFUNCTION("""COMPUTED_VALUE""")," ")</f>
        <v xml:space="preserve"> </v>
      </c>
      <c r="V320" s="40" t="str">
        <f ca="1">IFERROR(__xludf.DUMMYFUNCTION("""COMPUTED_VALUE""")," ")</f>
        <v xml:space="preserve"> </v>
      </c>
      <c r="W320" s="40" t="str">
        <f t="shared" ca="1" si="42"/>
        <v>,</v>
      </c>
      <c r="X320" s="40" t="s">
        <v>682</v>
      </c>
      <c r="Y320" s="40" t="s">
        <v>683</v>
      </c>
      <c r="Z320" s="264" t="str">
        <f t="shared" ca="1" si="23"/>
        <v xml:space="preserve"> </v>
      </c>
      <c r="AA320" s="40" t="s">
        <v>684</v>
      </c>
      <c r="AB320" s="264" t="str">
        <f t="shared" ca="1" si="24"/>
        <v xml:space="preserve"> </v>
      </c>
      <c r="AC320" s="40" t="s">
        <v>685</v>
      </c>
      <c r="AD320" s="264" t="str">
        <f t="shared" ca="1" si="25"/>
        <v xml:space="preserve"> </v>
      </c>
      <c r="AE320" s="40" t="s">
        <v>684</v>
      </c>
      <c r="AF320" s="264" t="str">
        <f t="shared" ca="1" si="26"/>
        <v xml:space="preserve"> </v>
      </c>
      <c r="AG320" s="40" t="s">
        <v>686</v>
      </c>
      <c r="AH320" s="264" t="str">
        <f t="shared" ca="1" si="27"/>
        <v xml:space="preserve"> </v>
      </c>
      <c r="AI320" s="40" t="s">
        <v>684</v>
      </c>
      <c r="AJ320" s="264" t="str">
        <f t="shared" ca="1" si="28"/>
        <v xml:space="preserve"> </v>
      </c>
      <c r="AK320" s="40" t="s">
        <v>687</v>
      </c>
      <c r="AL320" s="264" t="str">
        <f t="shared" si="29"/>
        <v>dodgerblue</v>
      </c>
      <c r="AM320" s="40" t="s">
        <v>688</v>
      </c>
      <c r="AN320" s="40" t="str">
        <f t="shared" ca="1" si="30"/>
        <v>,{"type":"polygon","latLngs":[ {"lat": ,"lng": }, {"lat": ,"lng": },{"lat": ,"lng": }], "color":"dodgerblue"}</v>
      </c>
      <c r="AO320" s="266" t="s">
        <v>689</v>
      </c>
      <c r="AP320" s="56" t="str">
        <f t="shared" ca="1" si="31"/>
        <v xml:space="preserve"> </v>
      </c>
      <c r="AQ320" s="40" t="s">
        <v>684</v>
      </c>
      <c r="AR320" s="56" t="str">
        <f t="shared" ca="1" si="32"/>
        <v xml:space="preserve"> </v>
      </c>
      <c r="AS320" s="40" t="s">
        <v>686</v>
      </c>
      <c r="AT320" s="56" t="str">
        <f t="shared" ca="1" si="33"/>
        <v xml:space="preserve"> </v>
      </c>
      <c r="AU320" s="40" t="s">
        <v>684</v>
      </c>
      <c r="AV320" s="56" t="str">
        <f t="shared" ca="1" si="34"/>
        <v xml:space="preserve"> </v>
      </c>
      <c r="AW320" s="40" t="s">
        <v>690</v>
      </c>
      <c r="AX320" s="40" t="str">
        <f t="shared" si="35"/>
        <v>dodgerblue</v>
      </c>
      <c r="AY320" s="40" t="s">
        <v>688</v>
      </c>
      <c r="AZ320" s="40" t="str">
        <f t="shared" ca="1" si="36"/>
        <v>,{"type":"polyline","latLngs":[{"lat": ,"lng": },{"lat": ,"lng": }],"color":"dodgerblue"}</v>
      </c>
      <c r="BA320" s="40" t="s">
        <v>691</v>
      </c>
      <c r="BB320" s="56" t="str">
        <f t="shared" ca="1" si="37"/>
        <v xml:space="preserve"> </v>
      </c>
      <c r="BC320" s="40" t="s">
        <v>684</v>
      </c>
      <c r="BD320" s="56" t="str">
        <f t="shared" ca="1" si="38"/>
        <v xml:space="preserve"> </v>
      </c>
      <c r="BE320" s="40" t="s">
        <v>692</v>
      </c>
      <c r="BF320" s="40" t="str">
        <f t="shared" si="39"/>
        <v>dodgerblue</v>
      </c>
      <c r="BG320" s="40" t="s">
        <v>688</v>
      </c>
      <c r="BH320" s="40" t="str">
        <f t="shared" ca="1" si="40"/>
        <v>,{"type":"marker","latLng":{"lat": ,"lng": },"color":"dodgerblue"}</v>
      </c>
      <c r="BI320" s="40" t="s">
        <v>693</v>
      </c>
      <c r="BJ320" s="40" t="s">
        <v>694</v>
      </c>
      <c r="BK320" s="267" t="str">
        <f t="shared" si="41"/>
        <v/>
      </c>
    </row>
    <row r="321" spans="7:63" ht="17.5">
      <c r="G321" s="261"/>
      <c r="H321" s="262"/>
      <c r="I321" s="93" t="s">
        <v>681</v>
      </c>
      <c r="J321" s="93" t="s">
        <v>681</v>
      </c>
      <c r="K321" s="93" t="s">
        <v>681</v>
      </c>
      <c r="L321" s="242" t="s">
        <v>681</v>
      </c>
      <c r="M321" s="263" t="str">
        <f t="shared" si="22"/>
        <v>dodgerblue</v>
      </c>
      <c r="N321" s="264" t="str">
        <f ca="1">IFERROR(__xludf.DUMMYFUNCTION("FILTER(C:E,B:B=J321)")," ")</f>
        <v xml:space="preserve"> </v>
      </c>
      <c r="O321" s="265" t="str">
        <f ca="1">IFERROR(__xludf.DUMMYFUNCTION("""COMPUTED_VALUE""")," ")</f>
        <v xml:space="preserve"> </v>
      </c>
      <c r="P321" s="265" t="str">
        <f ca="1">IFERROR(__xludf.DUMMYFUNCTION("""COMPUTED_VALUE""")," ")</f>
        <v xml:space="preserve"> </v>
      </c>
      <c r="Q321" s="264" t="str">
        <f ca="1">IFERROR(__xludf.DUMMYFUNCTION("FILTER(C:E,B:B=K321)")," ")</f>
        <v xml:space="preserve"> </v>
      </c>
      <c r="R321" s="265" t="str">
        <f ca="1">IFERROR(__xludf.DUMMYFUNCTION("""COMPUTED_VALUE""")," ")</f>
        <v xml:space="preserve"> </v>
      </c>
      <c r="S321" s="265" t="str">
        <f ca="1">IFERROR(__xludf.DUMMYFUNCTION("""COMPUTED_VALUE""")," ")</f>
        <v xml:space="preserve"> </v>
      </c>
      <c r="T321" s="264" t="str">
        <f ca="1">IFERROR(__xludf.DUMMYFUNCTION("FILTER(C:E,B:B=L321)")," ")</f>
        <v xml:space="preserve"> </v>
      </c>
      <c r="U321" s="40" t="str">
        <f ca="1">IFERROR(__xludf.DUMMYFUNCTION("""COMPUTED_VALUE""")," ")</f>
        <v xml:space="preserve"> </v>
      </c>
      <c r="V321" s="40" t="str">
        <f ca="1">IFERROR(__xludf.DUMMYFUNCTION("""COMPUTED_VALUE""")," ")</f>
        <v xml:space="preserve"> </v>
      </c>
      <c r="W321" s="40" t="str">
        <f t="shared" ca="1" si="42"/>
        <v>,</v>
      </c>
      <c r="X321" s="40" t="s">
        <v>682</v>
      </c>
      <c r="Y321" s="40" t="s">
        <v>683</v>
      </c>
      <c r="Z321" s="264" t="str">
        <f t="shared" ca="1" si="23"/>
        <v xml:space="preserve"> </v>
      </c>
      <c r="AA321" s="40" t="s">
        <v>684</v>
      </c>
      <c r="AB321" s="264" t="str">
        <f t="shared" ca="1" si="24"/>
        <v xml:space="preserve"> </v>
      </c>
      <c r="AC321" s="40" t="s">
        <v>685</v>
      </c>
      <c r="AD321" s="264" t="str">
        <f t="shared" ca="1" si="25"/>
        <v xml:space="preserve"> </v>
      </c>
      <c r="AE321" s="40" t="s">
        <v>684</v>
      </c>
      <c r="AF321" s="264" t="str">
        <f t="shared" ca="1" si="26"/>
        <v xml:space="preserve"> </v>
      </c>
      <c r="AG321" s="40" t="s">
        <v>686</v>
      </c>
      <c r="AH321" s="264" t="str">
        <f t="shared" ca="1" si="27"/>
        <v xml:space="preserve"> </v>
      </c>
      <c r="AI321" s="40" t="s">
        <v>684</v>
      </c>
      <c r="AJ321" s="264" t="str">
        <f t="shared" ca="1" si="28"/>
        <v xml:space="preserve"> </v>
      </c>
      <c r="AK321" s="40" t="s">
        <v>687</v>
      </c>
      <c r="AL321" s="264" t="str">
        <f t="shared" si="29"/>
        <v>dodgerblue</v>
      </c>
      <c r="AM321" s="40" t="s">
        <v>688</v>
      </c>
      <c r="AN321" s="40" t="str">
        <f t="shared" ca="1" si="30"/>
        <v>,{"type":"polygon","latLngs":[ {"lat": ,"lng": }, {"lat": ,"lng": },{"lat": ,"lng": }], "color":"dodgerblue"}</v>
      </c>
      <c r="AO321" s="266" t="s">
        <v>689</v>
      </c>
      <c r="AP321" s="56" t="str">
        <f t="shared" ca="1" si="31"/>
        <v xml:space="preserve"> </v>
      </c>
      <c r="AQ321" s="40" t="s">
        <v>684</v>
      </c>
      <c r="AR321" s="56" t="str">
        <f t="shared" ca="1" si="32"/>
        <v xml:space="preserve"> </v>
      </c>
      <c r="AS321" s="40" t="s">
        <v>686</v>
      </c>
      <c r="AT321" s="56" t="str">
        <f t="shared" ca="1" si="33"/>
        <v xml:space="preserve"> </v>
      </c>
      <c r="AU321" s="40" t="s">
        <v>684</v>
      </c>
      <c r="AV321" s="56" t="str">
        <f t="shared" ca="1" si="34"/>
        <v xml:space="preserve"> </v>
      </c>
      <c r="AW321" s="40" t="s">
        <v>690</v>
      </c>
      <c r="AX321" s="40" t="str">
        <f t="shared" si="35"/>
        <v>dodgerblue</v>
      </c>
      <c r="AY321" s="40" t="s">
        <v>688</v>
      </c>
      <c r="AZ321" s="40" t="str">
        <f t="shared" ca="1" si="36"/>
        <v>,{"type":"polyline","latLngs":[{"lat": ,"lng": },{"lat": ,"lng": }],"color":"dodgerblue"}</v>
      </c>
      <c r="BA321" s="40" t="s">
        <v>691</v>
      </c>
      <c r="BB321" s="56" t="str">
        <f t="shared" ca="1" si="37"/>
        <v xml:space="preserve"> </v>
      </c>
      <c r="BC321" s="40" t="s">
        <v>684</v>
      </c>
      <c r="BD321" s="56" t="str">
        <f t="shared" ca="1" si="38"/>
        <v xml:space="preserve"> </v>
      </c>
      <c r="BE321" s="40" t="s">
        <v>692</v>
      </c>
      <c r="BF321" s="40" t="str">
        <f t="shared" si="39"/>
        <v>dodgerblue</v>
      </c>
      <c r="BG321" s="40" t="s">
        <v>688</v>
      </c>
      <c r="BH321" s="40" t="str">
        <f t="shared" ca="1" si="40"/>
        <v>,{"type":"marker","latLng":{"lat": ,"lng": },"color":"dodgerblue"}</v>
      </c>
      <c r="BI321" s="40" t="s">
        <v>693</v>
      </c>
      <c r="BJ321" s="40" t="s">
        <v>694</v>
      </c>
      <c r="BK321" s="267" t="str">
        <f t="shared" si="41"/>
        <v/>
      </c>
    </row>
    <row r="322" spans="7:63" ht="17.5">
      <c r="G322" s="261"/>
      <c r="H322" s="262"/>
      <c r="I322" s="93" t="s">
        <v>681</v>
      </c>
      <c r="J322" s="93" t="s">
        <v>681</v>
      </c>
      <c r="K322" s="93" t="s">
        <v>681</v>
      </c>
      <c r="L322" s="242" t="s">
        <v>681</v>
      </c>
      <c r="M322" s="263" t="str">
        <f t="shared" si="22"/>
        <v>dodgerblue</v>
      </c>
      <c r="N322" s="264" t="str">
        <f ca="1">IFERROR(__xludf.DUMMYFUNCTION("FILTER(C:E,B:B=J322)")," ")</f>
        <v xml:space="preserve"> </v>
      </c>
      <c r="O322" s="265" t="str">
        <f ca="1">IFERROR(__xludf.DUMMYFUNCTION("""COMPUTED_VALUE""")," ")</f>
        <v xml:space="preserve"> </v>
      </c>
      <c r="P322" s="265" t="str">
        <f ca="1">IFERROR(__xludf.DUMMYFUNCTION("""COMPUTED_VALUE""")," ")</f>
        <v xml:space="preserve"> </v>
      </c>
      <c r="Q322" s="264" t="str">
        <f ca="1">IFERROR(__xludf.DUMMYFUNCTION("FILTER(C:E,B:B=K322)")," ")</f>
        <v xml:space="preserve"> </v>
      </c>
      <c r="R322" s="265" t="str">
        <f ca="1">IFERROR(__xludf.DUMMYFUNCTION("""COMPUTED_VALUE""")," ")</f>
        <v xml:space="preserve"> </v>
      </c>
      <c r="S322" s="265" t="str">
        <f ca="1">IFERROR(__xludf.DUMMYFUNCTION("""COMPUTED_VALUE""")," ")</f>
        <v xml:space="preserve"> </v>
      </c>
      <c r="T322" s="264" t="str">
        <f ca="1">IFERROR(__xludf.DUMMYFUNCTION("FILTER(C:E,B:B=L322)")," ")</f>
        <v xml:space="preserve"> </v>
      </c>
      <c r="U322" s="40" t="str">
        <f ca="1">IFERROR(__xludf.DUMMYFUNCTION("""COMPUTED_VALUE""")," ")</f>
        <v xml:space="preserve"> </v>
      </c>
      <c r="V322" s="40" t="str">
        <f ca="1">IFERROR(__xludf.DUMMYFUNCTION("""COMPUTED_VALUE""")," ")</f>
        <v xml:space="preserve"> </v>
      </c>
      <c r="W322" s="40" t="str">
        <f t="shared" ca="1" si="42"/>
        <v>,</v>
      </c>
      <c r="X322" s="40" t="s">
        <v>682</v>
      </c>
      <c r="Y322" s="40" t="s">
        <v>683</v>
      </c>
      <c r="Z322" s="264" t="str">
        <f t="shared" ca="1" si="23"/>
        <v xml:space="preserve"> </v>
      </c>
      <c r="AA322" s="40" t="s">
        <v>684</v>
      </c>
      <c r="AB322" s="264" t="str">
        <f t="shared" ca="1" si="24"/>
        <v xml:space="preserve"> </v>
      </c>
      <c r="AC322" s="40" t="s">
        <v>685</v>
      </c>
      <c r="AD322" s="264" t="str">
        <f t="shared" ca="1" si="25"/>
        <v xml:space="preserve"> </v>
      </c>
      <c r="AE322" s="40" t="s">
        <v>684</v>
      </c>
      <c r="AF322" s="264" t="str">
        <f t="shared" ca="1" si="26"/>
        <v xml:space="preserve"> </v>
      </c>
      <c r="AG322" s="40" t="s">
        <v>686</v>
      </c>
      <c r="AH322" s="264" t="str">
        <f t="shared" ca="1" si="27"/>
        <v xml:space="preserve"> </v>
      </c>
      <c r="AI322" s="40" t="s">
        <v>684</v>
      </c>
      <c r="AJ322" s="264" t="str">
        <f t="shared" ca="1" si="28"/>
        <v xml:space="preserve"> </v>
      </c>
      <c r="AK322" s="40" t="s">
        <v>687</v>
      </c>
      <c r="AL322" s="264" t="str">
        <f t="shared" si="29"/>
        <v>dodgerblue</v>
      </c>
      <c r="AM322" s="40" t="s">
        <v>688</v>
      </c>
      <c r="AN322" s="40" t="str">
        <f t="shared" ca="1" si="30"/>
        <v>,{"type":"polygon","latLngs":[ {"lat": ,"lng": }, {"lat": ,"lng": },{"lat": ,"lng": }], "color":"dodgerblue"}</v>
      </c>
      <c r="AO322" s="266" t="s">
        <v>689</v>
      </c>
      <c r="AP322" s="56" t="str">
        <f t="shared" ca="1" si="31"/>
        <v xml:space="preserve"> </v>
      </c>
      <c r="AQ322" s="40" t="s">
        <v>684</v>
      </c>
      <c r="AR322" s="56" t="str">
        <f t="shared" ca="1" si="32"/>
        <v xml:space="preserve"> </v>
      </c>
      <c r="AS322" s="40" t="s">
        <v>686</v>
      </c>
      <c r="AT322" s="56" t="str">
        <f t="shared" ca="1" si="33"/>
        <v xml:space="preserve"> </v>
      </c>
      <c r="AU322" s="40" t="s">
        <v>684</v>
      </c>
      <c r="AV322" s="56" t="str">
        <f t="shared" ca="1" si="34"/>
        <v xml:space="preserve"> </v>
      </c>
      <c r="AW322" s="40" t="s">
        <v>690</v>
      </c>
      <c r="AX322" s="40" t="str">
        <f t="shared" si="35"/>
        <v>dodgerblue</v>
      </c>
      <c r="AY322" s="40" t="s">
        <v>688</v>
      </c>
      <c r="AZ322" s="40" t="str">
        <f t="shared" ca="1" si="36"/>
        <v>,{"type":"polyline","latLngs":[{"lat": ,"lng": },{"lat": ,"lng": }],"color":"dodgerblue"}</v>
      </c>
      <c r="BA322" s="40" t="s">
        <v>691</v>
      </c>
      <c r="BB322" s="56" t="str">
        <f t="shared" ca="1" si="37"/>
        <v xml:space="preserve"> </v>
      </c>
      <c r="BC322" s="40" t="s">
        <v>684</v>
      </c>
      <c r="BD322" s="56" t="str">
        <f t="shared" ca="1" si="38"/>
        <v xml:space="preserve"> </v>
      </c>
      <c r="BE322" s="40" t="s">
        <v>692</v>
      </c>
      <c r="BF322" s="40" t="str">
        <f t="shared" si="39"/>
        <v>dodgerblue</v>
      </c>
      <c r="BG322" s="40" t="s">
        <v>688</v>
      </c>
      <c r="BH322" s="40" t="str">
        <f t="shared" ca="1" si="40"/>
        <v>,{"type":"marker","latLng":{"lat": ,"lng": },"color":"dodgerblue"}</v>
      </c>
      <c r="BI322" s="40" t="s">
        <v>693</v>
      </c>
      <c r="BJ322" s="40" t="s">
        <v>694</v>
      </c>
      <c r="BK322" s="267" t="str">
        <f t="shared" si="41"/>
        <v/>
      </c>
    </row>
    <row r="323" spans="7:63" ht="17.5">
      <c r="G323" s="261"/>
      <c r="H323" s="262"/>
      <c r="I323" s="93" t="s">
        <v>681</v>
      </c>
      <c r="J323" s="93" t="s">
        <v>681</v>
      </c>
      <c r="K323" s="93" t="s">
        <v>681</v>
      </c>
      <c r="L323" s="242" t="s">
        <v>681</v>
      </c>
      <c r="M323" s="263" t="str">
        <f t="shared" si="22"/>
        <v>dodgerblue</v>
      </c>
      <c r="N323" s="264" t="str">
        <f ca="1">IFERROR(__xludf.DUMMYFUNCTION("FILTER(C:E,B:B=J323)")," ")</f>
        <v xml:space="preserve"> </v>
      </c>
      <c r="O323" s="265" t="str">
        <f ca="1">IFERROR(__xludf.DUMMYFUNCTION("""COMPUTED_VALUE""")," ")</f>
        <v xml:space="preserve"> </v>
      </c>
      <c r="P323" s="265" t="str">
        <f ca="1">IFERROR(__xludf.DUMMYFUNCTION("""COMPUTED_VALUE""")," ")</f>
        <v xml:space="preserve"> </v>
      </c>
      <c r="Q323" s="264" t="str">
        <f ca="1">IFERROR(__xludf.DUMMYFUNCTION("FILTER(C:E,B:B=K323)")," ")</f>
        <v xml:space="preserve"> </v>
      </c>
      <c r="R323" s="265" t="str">
        <f ca="1">IFERROR(__xludf.DUMMYFUNCTION("""COMPUTED_VALUE""")," ")</f>
        <v xml:space="preserve"> </v>
      </c>
      <c r="S323" s="265" t="str">
        <f ca="1">IFERROR(__xludf.DUMMYFUNCTION("""COMPUTED_VALUE""")," ")</f>
        <v xml:space="preserve"> </v>
      </c>
      <c r="T323" s="264" t="str">
        <f ca="1">IFERROR(__xludf.DUMMYFUNCTION("FILTER(C:E,B:B=L323)")," ")</f>
        <v xml:space="preserve"> </v>
      </c>
      <c r="U323" s="40" t="str">
        <f ca="1">IFERROR(__xludf.DUMMYFUNCTION("""COMPUTED_VALUE""")," ")</f>
        <v xml:space="preserve"> </v>
      </c>
      <c r="V323" s="40" t="str">
        <f ca="1">IFERROR(__xludf.DUMMYFUNCTION("""COMPUTED_VALUE""")," ")</f>
        <v xml:space="preserve"> </v>
      </c>
      <c r="W323" s="40" t="str">
        <f t="shared" ca="1" si="42"/>
        <v>,</v>
      </c>
      <c r="X323" s="40" t="s">
        <v>682</v>
      </c>
      <c r="Y323" s="40" t="s">
        <v>683</v>
      </c>
      <c r="Z323" s="264" t="str">
        <f t="shared" ca="1" si="23"/>
        <v xml:space="preserve"> </v>
      </c>
      <c r="AA323" s="40" t="s">
        <v>684</v>
      </c>
      <c r="AB323" s="264" t="str">
        <f t="shared" ca="1" si="24"/>
        <v xml:space="preserve"> </v>
      </c>
      <c r="AC323" s="40" t="s">
        <v>685</v>
      </c>
      <c r="AD323" s="264" t="str">
        <f t="shared" ca="1" si="25"/>
        <v xml:space="preserve"> </v>
      </c>
      <c r="AE323" s="40" t="s">
        <v>684</v>
      </c>
      <c r="AF323" s="264" t="str">
        <f t="shared" ca="1" si="26"/>
        <v xml:space="preserve"> </v>
      </c>
      <c r="AG323" s="40" t="s">
        <v>686</v>
      </c>
      <c r="AH323" s="264" t="str">
        <f t="shared" ca="1" si="27"/>
        <v xml:space="preserve"> </v>
      </c>
      <c r="AI323" s="40" t="s">
        <v>684</v>
      </c>
      <c r="AJ323" s="264" t="str">
        <f t="shared" ca="1" si="28"/>
        <v xml:space="preserve"> </v>
      </c>
      <c r="AK323" s="40" t="s">
        <v>687</v>
      </c>
      <c r="AL323" s="264" t="str">
        <f t="shared" si="29"/>
        <v>dodgerblue</v>
      </c>
      <c r="AM323" s="40" t="s">
        <v>688</v>
      </c>
      <c r="AN323" s="40" t="str">
        <f t="shared" ca="1" si="30"/>
        <v>,{"type":"polygon","latLngs":[ {"lat": ,"lng": }, {"lat": ,"lng": },{"lat": ,"lng": }], "color":"dodgerblue"}</v>
      </c>
      <c r="AO323" s="266" t="s">
        <v>689</v>
      </c>
      <c r="AP323" s="56" t="str">
        <f t="shared" ca="1" si="31"/>
        <v xml:space="preserve"> </v>
      </c>
      <c r="AQ323" s="40" t="s">
        <v>684</v>
      </c>
      <c r="AR323" s="56" t="str">
        <f t="shared" ca="1" si="32"/>
        <v xml:space="preserve"> </v>
      </c>
      <c r="AS323" s="40" t="s">
        <v>686</v>
      </c>
      <c r="AT323" s="56" t="str">
        <f t="shared" ca="1" si="33"/>
        <v xml:space="preserve"> </v>
      </c>
      <c r="AU323" s="40" t="s">
        <v>684</v>
      </c>
      <c r="AV323" s="56" t="str">
        <f t="shared" ca="1" si="34"/>
        <v xml:space="preserve"> </v>
      </c>
      <c r="AW323" s="40" t="s">
        <v>690</v>
      </c>
      <c r="AX323" s="40" t="str">
        <f t="shared" si="35"/>
        <v>dodgerblue</v>
      </c>
      <c r="AY323" s="40" t="s">
        <v>688</v>
      </c>
      <c r="AZ323" s="40" t="str">
        <f t="shared" ca="1" si="36"/>
        <v>,{"type":"polyline","latLngs":[{"lat": ,"lng": },{"lat": ,"lng": }],"color":"dodgerblue"}</v>
      </c>
      <c r="BA323" s="40" t="s">
        <v>691</v>
      </c>
      <c r="BB323" s="56" t="str">
        <f t="shared" ca="1" si="37"/>
        <v xml:space="preserve"> </v>
      </c>
      <c r="BC323" s="40" t="s">
        <v>684</v>
      </c>
      <c r="BD323" s="56" t="str">
        <f t="shared" ca="1" si="38"/>
        <v xml:space="preserve"> </v>
      </c>
      <c r="BE323" s="40" t="s">
        <v>692</v>
      </c>
      <c r="BF323" s="40" t="str">
        <f t="shared" si="39"/>
        <v>dodgerblue</v>
      </c>
      <c r="BG323" s="40" t="s">
        <v>688</v>
      </c>
      <c r="BH323" s="40" t="str">
        <f t="shared" ca="1" si="40"/>
        <v>,{"type":"marker","latLng":{"lat": ,"lng": },"color":"dodgerblue"}</v>
      </c>
      <c r="BI323" s="40" t="s">
        <v>693</v>
      </c>
      <c r="BJ323" s="40" t="s">
        <v>694</v>
      </c>
      <c r="BK323" s="267" t="str">
        <f t="shared" si="41"/>
        <v/>
      </c>
    </row>
    <row r="324" spans="7:63" ht="17.5">
      <c r="G324" s="261"/>
      <c r="H324" s="262"/>
      <c r="I324" s="93" t="s">
        <v>681</v>
      </c>
      <c r="J324" s="93" t="s">
        <v>681</v>
      </c>
      <c r="K324" s="93" t="s">
        <v>681</v>
      </c>
      <c r="L324" s="242" t="s">
        <v>681</v>
      </c>
      <c r="M324" s="263" t="str">
        <f t="shared" si="22"/>
        <v>dodgerblue</v>
      </c>
      <c r="N324" s="264" t="str">
        <f ca="1">IFERROR(__xludf.DUMMYFUNCTION("FILTER(C:E,B:B=J324)")," ")</f>
        <v xml:space="preserve"> </v>
      </c>
      <c r="O324" s="265" t="str">
        <f ca="1">IFERROR(__xludf.DUMMYFUNCTION("""COMPUTED_VALUE""")," ")</f>
        <v xml:space="preserve"> </v>
      </c>
      <c r="P324" s="265" t="str">
        <f ca="1">IFERROR(__xludf.DUMMYFUNCTION("""COMPUTED_VALUE""")," ")</f>
        <v xml:space="preserve"> </v>
      </c>
      <c r="Q324" s="264" t="str">
        <f ca="1">IFERROR(__xludf.DUMMYFUNCTION("FILTER(C:E,B:B=K324)")," ")</f>
        <v xml:space="preserve"> </v>
      </c>
      <c r="R324" s="265" t="str">
        <f ca="1">IFERROR(__xludf.DUMMYFUNCTION("""COMPUTED_VALUE""")," ")</f>
        <v xml:space="preserve"> </v>
      </c>
      <c r="S324" s="265" t="str">
        <f ca="1">IFERROR(__xludf.DUMMYFUNCTION("""COMPUTED_VALUE""")," ")</f>
        <v xml:space="preserve"> </v>
      </c>
      <c r="T324" s="264" t="str">
        <f ca="1">IFERROR(__xludf.DUMMYFUNCTION("FILTER(C:E,B:B=L324)")," ")</f>
        <v xml:space="preserve"> </v>
      </c>
      <c r="U324" s="40" t="str">
        <f ca="1">IFERROR(__xludf.DUMMYFUNCTION("""COMPUTED_VALUE""")," ")</f>
        <v xml:space="preserve"> </v>
      </c>
      <c r="V324" s="40" t="str">
        <f ca="1">IFERROR(__xludf.DUMMYFUNCTION("""COMPUTED_VALUE""")," ")</f>
        <v xml:space="preserve"> </v>
      </c>
      <c r="W324" s="40" t="str">
        <f t="shared" ca="1" si="42"/>
        <v>,</v>
      </c>
      <c r="X324" s="40" t="s">
        <v>682</v>
      </c>
      <c r="Y324" s="40" t="s">
        <v>683</v>
      </c>
      <c r="Z324" s="264" t="str">
        <f t="shared" ca="1" si="23"/>
        <v xml:space="preserve"> </v>
      </c>
      <c r="AA324" s="40" t="s">
        <v>684</v>
      </c>
      <c r="AB324" s="264" t="str">
        <f t="shared" ca="1" si="24"/>
        <v xml:space="preserve"> </v>
      </c>
      <c r="AC324" s="40" t="s">
        <v>685</v>
      </c>
      <c r="AD324" s="264" t="str">
        <f t="shared" ca="1" si="25"/>
        <v xml:space="preserve"> </v>
      </c>
      <c r="AE324" s="40" t="s">
        <v>684</v>
      </c>
      <c r="AF324" s="264" t="str">
        <f t="shared" ca="1" si="26"/>
        <v xml:space="preserve"> </v>
      </c>
      <c r="AG324" s="40" t="s">
        <v>686</v>
      </c>
      <c r="AH324" s="264" t="str">
        <f t="shared" ca="1" si="27"/>
        <v xml:space="preserve"> </v>
      </c>
      <c r="AI324" s="40" t="s">
        <v>684</v>
      </c>
      <c r="AJ324" s="264" t="str">
        <f t="shared" ca="1" si="28"/>
        <v xml:space="preserve"> </v>
      </c>
      <c r="AK324" s="40" t="s">
        <v>687</v>
      </c>
      <c r="AL324" s="264" t="str">
        <f t="shared" si="29"/>
        <v>dodgerblue</v>
      </c>
      <c r="AM324" s="40" t="s">
        <v>688</v>
      </c>
      <c r="AN324" s="40" t="str">
        <f t="shared" ca="1" si="30"/>
        <v>,{"type":"polygon","latLngs":[ {"lat": ,"lng": }, {"lat": ,"lng": },{"lat": ,"lng": }], "color":"dodgerblue"}</v>
      </c>
      <c r="AO324" s="266" t="s">
        <v>689</v>
      </c>
      <c r="AP324" s="56" t="str">
        <f t="shared" ca="1" si="31"/>
        <v xml:space="preserve"> </v>
      </c>
      <c r="AQ324" s="40" t="s">
        <v>684</v>
      </c>
      <c r="AR324" s="56" t="str">
        <f t="shared" ca="1" si="32"/>
        <v xml:space="preserve"> </v>
      </c>
      <c r="AS324" s="40" t="s">
        <v>686</v>
      </c>
      <c r="AT324" s="56" t="str">
        <f t="shared" ca="1" si="33"/>
        <v xml:space="preserve"> </v>
      </c>
      <c r="AU324" s="40" t="s">
        <v>684</v>
      </c>
      <c r="AV324" s="56" t="str">
        <f t="shared" ca="1" si="34"/>
        <v xml:space="preserve"> </v>
      </c>
      <c r="AW324" s="40" t="s">
        <v>690</v>
      </c>
      <c r="AX324" s="40" t="str">
        <f t="shared" si="35"/>
        <v>dodgerblue</v>
      </c>
      <c r="AY324" s="40" t="s">
        <v>688</v>
      </c>
      <c r="AZ324" s="40" t="str">
        <f t="shared" ca="1" si="36"/>
        <v>,{"type":"polyline","latLngs":[{"lat": ,"lng": },{"lat": ,"lng": }],"color":"dodgerblue"}</v>
      </c>
      <c r="BA324" s="40" t="s">
        <v>691</v>
      </c>
      <c r="BB324" s="56" t="str">
        <f t="shared" ca="1" si="37"/>
        <v xml:space="preserve"> </v>
      </c>
      <c r="BC324" s="40" t="s">
        <v>684</v>
      </c>
      <c r="BD324" s="56" t="str">
        <f t="shared" ca="1" si="38"/>
        <v xml:space="preserve"> </v>
      </c>
      <c r="BE324" s="40" t="s">
        <v>692</v>
      </c>
      <c r="BF324" s="40" t="str">
        <f t="shared" si="39"/>
        <v>dodgerblue</v>
      </c>
      <c r="BG324" s="40" t="s">
        <v>688</v>
      </c>
      <c r="BH324" s="40" t="str">
        <f t="shared" ca="1" si="40"/>
        <v>,{"type":"marker","latLng":{"lat": ,"lng": },"color":"dodgerblue"}</v>
      </c>
      <c r="BI324" s="40" t="s">
        <v>693</v>
      </c>
      <c r="BJ324" s="40" t="s">
        <v>694</v>
      </c>
      <c r="BK324" s="267" t="str">
        <f t="shared" si="41"/>
        <v/>
      </c>
    </row>
    <row r="325" spans="7:63" ht="17.5">
      <c r="G325" s="261"/>
      <c r="H325" s="262"/>
      <c r="I325" s="93" t="s">
        <v>681</v>
      </c>
      <c r="J325" s="93" t="s">
        <v>681</v>
      </c>
      <c r="K325" s="93" t="s">
        <v>681</v>
      </c>
      <c r="L325" s="242" t="s">
        <v>681</v>
      </c>
      <c r="M325" s="263" t="str">
        <f t="shared" si="22"/>
        <v>dodgerblue</v>
      </c>
      <c r="N325" s="264" t="str">
        <f ca="1">IFERROR(__xludf.DUMMYFUNCTION("FILTER(C:E,B:B=J325)")," ")</f>
        <v xml:space="preserve"> </v>
      </c>
      <c r="O325" s="265" t="str">
        <f ca="1">IFERROR(__xludf.DUMMYFUNCTION("""COMPUTED_VALUE""")," ")</f>
        <v xml:space="preserve"> </v>
      </c>
      <c r="P325" s="265" t="str">
        <f ca="1">IFERROR(__xludf.DUMMYFUNCTION("""COMPUTED_VALUE""")," ")</f>
        <v xml:space="preserve"> </v>
      </c>
      <c r="Q325" s="264" t="str">
        <f ca="1">IFERROR(__xludf.DUMMYFUNCTION("FILTER(C:E,B:B=K325)")," ")</f>
        <v xml:space="preserve"> </v>
      </c>
      <c r="R325" s="265" t="str">
        <f ca="1">IFERROR(__xludf.DUMMYFUNCTION("""COMPUTED_VALUE""")," ")</f>
        <v xml:space="preserve"> </v>
      </c>
      <c r="S325" s="265" t="str">
        <f ca="1">IFERROR(__xludf.DUMMYFUNCTION("""COMPUTED_VALUE""")," ")</f>
        <v xml:space="preserve"> </v>
      </c>
      <c r="T325" s="264" t="str">
        <f ca="1">IFERROR(__xludf.DUMMYFUNCTION("FILTER(C:E,B:B=L325)")," ")</f>
        <v xml:space="preserve"> </v>
      </c>
      <c r="U325" s="40" t="str">
        <f ca="1">IFERROR(__xludf.DUMMYFUNCTION("""COMPUTED_VALUE""")," ")</f>
        <v xml:space="preserve"> </v>
      </c>
      <c r="V325" s="40" t="str">
        <f ca="1">IFERROR(__xludf.DUMMYFUNCTION("""COMPUTED_VALUE""")," ")</f>
        <v xml:space="preserve"> </v>
      </c>
      <c r="W325" s="40" t="str">
        <f t="shared" ca="1" si="42"/>
        <v>,</v>
      </c>
      <c r="X325" s="40" t="s">
        <v>682</v>
      </c>
      <c r="Y325" s="40" t="s">
        <v>683</v>
      </c>
      <c r="Z325" s="264" t="str">
        <f t="shared" ca="1" si="23"/>
        <v xml:space="preserve"> </v>
      </c>
      <c r="AA325" s="40" t="s">
        <v>684</v>
      </c>
      <c r="AB325" s="264" t="str">
        <f t="shared" ca="1" si="24"/>
        <v xml:space="preserve"> </v>
      </c>
      <c r="AC325" s="40" t="s">
        <v>685</v>
      </c>
      <c r="AD325" s="264" t="str">
        <f t="shared" ca="1" si="25"/>
        <v xml:space="preserve"> </v>
      </c>
      <c r="AE325" s="40" t="s">
        <v>684</v>
      </c>
      <c r="AF325" s="264" t="str">
        <f t="shared" ca="1" si="26"/>
        <v xml:space="preserve"> </v>
      </c>
      <c r="AG325" s="40" t="s">
        <v>686</v>
      </c>
      <c r="AH325" s="264" t="str">
        <f t="shared" ca="1" si="27"/>
        <v xml:space="preserve"> </v>
      </c>
      <c r="AI325" s="40" t="s">
        <v>684</v>
      </c>
      <c r="AJ325" s="264" t="str">
        <f t="shared" ca="1" si="28"/>
        <v xml:space="preserve"> </v>
      </c>
      <c r="AK325" s="40" t="s">
        <v>687</v>
      </c>
      <c r="AL325" s="264" t="str">
        <f t="shared" si="29"/>
        <v>dodgerblue</v>
      </c>
      <c r="AM325" s="40" t="s">
        <v>688</v>
      </c>
      <c r="AN325" s="40" t="str">
        <f t="shared" ca="1" si="30"/>
        <v>,{"type":"polygon","latLngs":[ {"lat": ,"lng": }, {"lat": ,"lng": },{"lat": ,"lng": }], "color":"dodgerblue"}</v>
      </c>
      <c r="AO325" s="266" t="s">
        <v>689</v>
      </c>
      <c r="AP325" s="56" t="str">
        <f t="shared" ca="1" si="31"/>
        <v xml:space="preserve"> </v>
      </c>
      <c r="AQ325" s="40" t="s">
        <v>684</v>
      </c>
      <c r="AR325" s="56" t="str">
        <f t="shared" ca="1" si="32"/>
        <v xml:space="preserve"> </v>
      </c>
      <c r="AS325" s="40" t="s">
        <v>686</v>
      </c>
      <c r="AT325" s="56" t="str">
        <f t="shared" ca="1" si="33"/>
        <v xml:space="preserve"> </v>
      </c>
      <c r="AU325" s="40" t="s">
        <v>684</v>
      </c>
      <c r="AV325" s="56" t="str">
        <f t="shared" ca="1" si="34"/>
        <v xml:space="preserve"> </v>
      </c>
      <c r="AW325" s="40" t="s">
        <v>690</v>
      </c>
      <c r="AX325" s="40" t="str">
        <f t="shared" si="35"/>
        <v>dodgerblue</v>
      </c>
      <c r="AY325" s="40" t="s">
        <v>688</v>
      </c>
      <c r="AZ325" s="40" t="str">
        <f t="shared" ca="1" si="36"/>
        <v>,{"type":"polyline","latLngs":[{"lat": ,"lng": },{"lat": ,"lng": }],"color":"dodgerblue"}</v>
      </c>
      <c r="BA325" s="40" t="s">
        <v>691</v>
      </c>
      <c r="BB325" s="56" t="str">
        <f t="shared" ca="1" si="37"/>
        <v xml:space="preserve"> </v>
      </c>
      <c r="BC325" s="40" t="s">
        <v>684</v>
      </c>
      <c r="BD325" s="56" t="str">
        <f t="shared" ca="1" si="38"/>
        <v xml:space="preserve"> </v>
      </c>
      <c r="BE325" s="40" t="s">
        <v>692</v>
      </c>
      <c r="BF325" s="40" t="str">
        <f t="shared" si="39"/>
        <v>dodgerblue</v>
      </c>
      <c r="BG325" s="40" t="s">
        <v>688</v>
      </c>
      <c r="BH325" s="40" t="str">
        <f t="shared" ca="1" si="40"/>
        <v>,{"type":"marker","latLng":{"lat": ,"lng": },"color":"dodgerblue"}</v>
      </c>
      <c r="BI325" s="40" t="s">
        <v>693</v>
      </c>
      <c r="BJ325" s="40" t="s">
        <v>694</v>
      </c>
      <c r="BK325" s="267" t="str">
        <f t="shared" si="41"/>
        <v/>
      </c>
    </row>
    <row r="326" spans="7:63" ht="17.5">
      <c r="G326" s="261"/>
      <c r="H326" s="262"/>
      <c r="I326" s="93" t="s">
        <v>681</v>
      </c>
      <c r="J326" s="93" t="s">
        <v>681</v>
      </c>
      <c r="K326" s="93" t="s">
        <v>681</v>
      </c>
      <c r="L326" s="242" t="s">
        <v>681</v>
      </c>
      <c r="M326" s="263" t="str">
        <f t="shared" si="22"/>
        <v>dodgerblue</v>
      </c>
      <c r="N326" s="264" t="str">
        <f ca="1">IFERROR(__xludf.DUMMYFUNCTION("FILTER(C:E,B:B=J326)")," ")</f>
        <v xml:space="preserve"> </v>
      </c>
      <c r="O326" s="265" t="str">
        <f ca="1">IFERROR(__xludf.DUMMYFUNCTION("""COMPUTED_VALUE""")," ")</f>
        <v xml:space="preserve"> </v>
      </c>
      <c r="P326" s="265" t="str">
        <f ca="1">IFERROR(__xludf.DUMMYFUNCTION("""COMPUTED_VALUE""")," ")</f>
        <v xml:space="preserve"> </v>
      </c>
      <c r="Q326" s="264" t="str">
        <f ca="1">IFERROR(__xludf.DUMMYFUNCTION("FILTER(C:E,B:B=K326)")," ")</f>
        <v xml:space="preserve"> </v>
      </c>
      <c r="R326" s="265" t="str">
        <f ca="1">IFERROR(__xludf.DUMMYFUNCTION("""COMPUTED_VALUE""")," ")</f>
        <v xml:space="preserve"> </v>
      </c>
      <c r="S326" s="265" t="str">
        <f ca="1">IFERROR(__xludf.DUMMYFUNCTION("""COMPUTED_VALUE""")," ")</f>
        <v xml:space="preserve"> </v>
      </c>
      <c r="T326" s="264" t="str">
        <f ca="1">IFERROR(__xludf.DUMMYFUNCTION("FILTER(C:E,B:B=L326)")," ")</f>
        <v xml:space="preserve"> </v>
      </c>
      <c r="U326" s="40" t="str">
        <f ca="1">IFERROR(__xludf.DUMMYFUNCTION("""COMPUTED_VALUE""")," ")</f>
        <v xml:space="preserve"> </v>
      </c>
      <c r="V326" s="40" t="str">
        <f ca="1">IFERROR(__xludf.DUMMYFUNCTION("""COMPUTED_VALUE""")," ")</f>
        <v xml:space="preserve"> </v>
      </c>
      <c r="W326" s="40" t="str">
        <f t="shared" ca="1" si="42"/>
        <v>,</v>
      </c>
      <c r="X326" s="40" t="s">
        <v>682</v>
      </c>
      <c r="Y326" s="40" t="s">
        <v>683</v>
      </c>
      <c r="Z326" s="264" t="str">
        <f t="shared" ca="1" si="23"/>
        <v xml:space="preserve"> </v>
      </c>
      <c r="AA326" s="40" t="s">
        <v>684</v>
      </c>
      <c r="AB326" s="264" t="str">
        <f t="shared" ca="1" si="24"/>
        <v xml:space="preserve"> </v>
      </c>
      <c r="AC326" s="40" t="s">
        <v>685</v>
      </c>
      <c r="AD326" s="264" t="str">
        <f t="shared" ca="1" si="25"/>
        <v xml:space="preserve"> </v>
      </c>
      <c r="AE326" s="40" t="s">
        <v>684</v>
      </c>
      <c r="AF326" s="264" t="str">
        <f t="shared" ca="1" si="26"/>
        <v xml:space="preserve"> </v>
      </c>
      <c r="AG326" s="40" t="s">
        <v>686</v>
      </c>
      <c r="AH326" s="264" t="str">
        <f t="shared" ca="1" si="27"/>
        <v xml:space="preserve"> </v>
      </c>
      <c r="AI326" s="40" t="s">
        <v>684</v>
      </c>
      <c r="AJ326" s="264" t="str">
        <f t="shared" ca="1" si="28"/>
        <v xml:space="preserve"> </v>
      </c>
      <c r="AK326" s="40" t="s">
        <v>687</v>
      </c>
      <c r="AL326" s="264" t="str">
        <f t="shared" si="29"/>
        <v>dodgerblue</v>
      </c>
      <c r="AM326" s="40" t="s">
        <v>688</v>
      </c>
      <c r="AN326" s="40" t="str">
        <f t="shared" ca="1" si="30"/>
        <v>,{"type":"polygon","latLngs":[ {"lat": ,"lng": }, {"lat": ,"lng": },{"lat": ,"lng": }], "color":"dodgerblue"}</v>
      </c>
      <c r="AO326" s="266" t="s">
        <v>689</v>
      </c>
      <c r="AP326" s="56" t="str">
        <f t="shared" ca="1" si="31"/>
        <v xml:space="preserve"> </v>
      </c>
      <c r="AQ326" s="40" t="s">
        <v>684</v>
      </c>
      <c r="AR326" s="56" t="str">
        <f t="shared" ca="1" si="32"/>
        <v xml:space="preserve"> </v>
      </c>
      <c r="AS326" s="40" t="s">
        <v>686</v>
      </c>
      <c r="AT326" s="56" t="str">
        <f t="shared" ca="1" si="33"/>
        <v xml:space="preserve"> </v>
      </c>
      <c r="AU326" s="40" t="s">
        <v>684</v>
      </c>
      <c r="AV326" s="56" t="str">
        <f t="shared" ca="1" si="34"/>
        <v xml:space="preserve"> </v>
      </c>
      <c r="AW326" s="40" t="s">
        <v>690</v>
      </c>
      <c r="AX326" s="40" t="str">
        <f t="shared" si="35"/>
        <v>dodgerblue</v>
      </c>
      <c r="AY326" s="40" t="s">
        <v>688</v>
      </c>
      <c r="AZ326" s="40" t="str">
        <f t="shared" ca="1" si="36"/>
        <v>,{"type":"polyline","latLngs":[{"lat": ,"lng": },{"lat": ,"lng": }],"color":"dodgerblue"}</v>
      </c>
      <c r="BA326" s="40" t="s">
        <v>691</v>
      </c>
      <c r="BB326" s="56" t="str">
        <f t="shared" ca="1" si="37"/>
        <v xml:space="preserve"> </v>
      </c>
      <c r="BC326" s="40" t="s">
        <v>684</v>
      </c>
      <c r="BD326" s="56" t="str">
        <f t="shared" ca="1" si="38"/>
        <v xml:space="preserve"> </v>
      </c>
      <c r="BE326" s="40" t="s">
        <v>692</v>
      </c>
      <c r="BF326" s="40" t="str">
        <f t="shared" si="39"/>
        <v>dodgerblue</v>
      </c>
      <c r="BG326" s="40" t="s">
        <v>688</v>
      </c>
      <c r="BH326" s="40" t="str">
        <f t="shared" ca="1" si="40"/>
        <v>,{"type":"marker","latLng":{"lat": ,"lng": },"color":"dodgerblue"}</v>
      </c>
      <c r="BI326" s="40" t="s">
        <v>693</v>
      </c>
      <c r="BJ326" s="40" t="s">
        <v>694</v>
      </c>
      <c r="BK326" s="267" t="str">
        <f t="shared" si="41"/>
        <v/>
      </c>
    </row>
    <row r="327" spans="7:63" ht="17.5">
      <c r="G327" s="261"/>
      <c r="H327" s="262"/>
      <c r="I327" s="93" t="s">
        <v>681</v>
      </c>
      <c r="J327" s="93" t="s">
        <v>681</v>
      </c>
      <c r="K327" s="93" t="s">
        <v>681</v>
      </c>
      <c r="L327" s="242" t="s">
        <v>681</v>
      </c>
      <c r="M327" s="263" t="str">
        <f t="shared" si="22"/>
        <v>dodgerblue</v>
      </c>
      <c r="N327" s="264" t="str">
        <f ca="1">IFERROR(__xludf.DUMMYFUNCTION("FILTER(C:E,B:B=J327)")," ")</f>
        <v xml:space="preserve"> </v>
      </c>
      <c r="O327" s="265" t="str">
        <f ca="1">IFERROR(__xludf.DUMMYFUNCTION("""COMPUTED_VALUE""")," ")</f>
        <v xml:space="preserve"> </v>
      </c>
      <c r="P327" s="265" t="str">
        <f ca="1">IFERROR(__xludf.DUMMYFUNCTION("""COMPUTED_VALUE""")," ")</f>
        <v xml:space="preserve"> </v>
      </c>
      <c r="Q327" s="264" t="str">
        <f ca="1">IFERROR(__xludf.DUMMYFUNCTION("FILTER(C:E,B:B=K327)")," ")</f>
        <v xml:space="preserve"> </v>
      </c>
      <c r="R327" s="265" t="str">
        <f ca="1">IFERROR(__xludf.DUMMYFUNCTION("""COMPUTED_VALUE""")," ")</f>
        <v xml:space="preserve"> </v>
      </c>
      <c r="S327" s="265" t="str">
        <f ca="1">IFERROR(__xludf.DUMMYFUNCTION("""COMPUTED_VALUE""")," ")</f>
        <v xml:space="preserve"> </v>
      </c>
      <c r="T327" s="264" t="str">
        <f ca="1">IFERROR(__xludf.DUMMYFUNCTION("FILTER(C:E,B:B=L327)")," ")</f>
        <v xml:space="preserve"> </v>
      </c>
      <c r="U327" s="40" t="str">
        <f ca="1">IFERROR(__xludf.DUMMYFUNCTION("""COMPUTED_VALUE""")," ")</f>
        <v xml:space="preserve"> </v>
      </c>
      <c r="V327" s="40" t="str">
        <f ca="1">IFERROR(__xludf.DUMMYFUNCTION("""COMPUTED_VALUE""")," ")</f>
        <v xml:space="preserve"> </v>
      </c>
      <c r="W327" s="40" t="str">
        <f t="shared" ca="1" si="42"/>
        <v>,</v>
      </c>
      <c r="X327" s="40" t="s">
        <v>682</v>
      </c>
      <c r="Y327" s="40" t="s">
        <v>683</v>
      </c>
      <c r="Z327" s="264" t="str">
        <f t="shared" ca="1" si="23"/>
        <v xml:space="preserve"> </v>
      </c>
      <c r="AA327" s="40" t="s">
        <v>684</v>
      </c>
      <c r="AB327" s="264" t="str">
        <f t="shared" ca="1" si="24"/>
        <v xml:space="preserve"> </v>
      </c>
      <c r="AC327" s="40" t="s">
        <v>685</v>
      </c>
      <c r="AD327" s="264" t="str">
        <f t="shared" ca="1" si="25"/>
        <v xml:space="preserve"> </v>
      </c>
      <c r="AE327" s="40" t="s">
        <v>684</v>
      </c>
      <c r="AF327" s="264" t="str">
        <f t="shared" ca="1" si="26"/>
        <v xml:space="preserve"> </v>
      </c>
      <c r="AG327" s="40" t="s">
        <v>686</v>
      </c>
      <c r="AH327" s="264" t="str">
        <f t="shared" ca="1" si="27"/>
        <v xml:space="preserve"> </v>
      </c>
      <c r="AI327" s="40" t="s">
        <v>684</v>
      </c>
      <c r="AJ327" s="264" t="str">
        <f t="shared" ca="1" si="28"/>
        <v xml:space="preserve"> </v>
      </c>
      <c r="AK327" s="40" t="s">
        <v>687</v>
      </c>
      <c r="AL327" s="264" t="str">
        <f t="shared" si="29"/>
        <v>dodgerblue</v>
      </c>
      <c r="AM327" s="40" t="s">
        <v>688</v>
      </c>
      <c r="AN327" s="40" t="str">
        <f t="shared" ca="1" si="30"/>
        <v>,{"type":"polygon","latLngs":[ {"lat": ,"lng": }, {"lat": ,"lng": },{"lat": ,"lng": }], "color":"dodgerblue"}</v>
      </c>
      <c r="AO327" s="266" t="s">
        <v>689</v>
      </c>
      <c r="AP327" s="56" t="str">
        <f t="shared" ca="1" si="31"/>
        <v xml:space="preserve"> </v>
      </c>
      <c r="AQ327" s="40" t="s">
        <v>684</v>
      </c>
      <c r="AR327" s="56" t="str">
        <f t="shared" ca="1" si="32"/>
        <v xml:space="preserve"> </v>
      </c>
      <c r="AS327" s="40" t="s">
        <v>686</v>
      </c>
      <c r="AT327" s="56" t="str">
        <f t="shared" ca="1" si="33"/>
        <v xml:space="preserve"> </v>
      </c>
      <c r="AU327" s="40" t="s">
        <v>684</v>
      </c>
      <c r="AV327" s="56" t="str">
        <f t="shared" ca="1" si="34"/>
        <v xml:space="preserve"> </v>
      </c>
      <c r="AW327" s="40" t="s">
        <v>690</v>
      </c>
      <c r="AX327" s="40" t="str">
        <f t="shared" si="35"/>
        <v>dodgerblue</v>
      </c>
      <c r="AY327" s="40" t="s">
        <v>688</v>
      </c>
      <c r="AZ327" s="40" t="str">
        <f t="shared" ca="1" si="36"/>
        <v>,{"type":"polyline","latLngs":[{"lat": ,"lng": },{"lat": ,"lng": }],"color":"dodgerblue"}</v>
      </c>
      <c r="BA327" s="40" t="s">
        <v>691</v>
      </c>
      <c r="BB327" s="56" t="str">
        <f t="shared" ca="1" si="37"/>
        <v xml:space="preserve"> </v>
      </c>
      <c r="BC327" s="40" t="s">
        <v>684</v>
      </c>
      <c r="BD327" s="56" t="str">
        <f t="shared" ca="1" si="38"/>
        <v xml:space="preserve"> </v>
      </c>
      <c r="BE327" s="40" t="s">
        <v>692</v>
      </c>
      <c r="BF327" s="40" t="str">
        <f t="shared" si="39"/>
        <v>dodgerblue</v>
      </c>
      <c r="BG327" s="40" t="s">
        <v>688</v>
      </c>
      <c r="BH327" s="40" t="str">
        <f t="shared" ca="1" si="40"/>
        <v>,{"type":"marker","latLng":{"lat": ,"lng": },"color":"dodgerblue"}</v>
      </c>
      <c r="BI327" s="40" t="s">
        <v>693</v>
      </c>
      <c r="BJ327" s="40" t="s">
        <v>694</v>
      </c>
      <c r="BK327" s="267" t="str">
        <f t="shared" si="41"/>
        <v/>
      </c>
    </row>
    <row r="328" spans="7:63" ht="17.5">
      <c r="G328" s="261"/>
      <c r="H328" s="262"/>
      <c r="I328" s="93" t="s">
        <v>681</v>
      </c>
      <c r="J328" s="93" t="s">
        <v>681</v>
      </c>
      <c r="K328" s="93" t="s">
        <v>681</v>
      </c>
      <c r="L328" s="242" t="s">
        <v>681</v>
      </c>
      <c r="M328" s="263" t="str">
        <f t="shared" si="22"/>
        <v>dodgerblue</v>
      </c>
      <c r="N328" s="264" t="str">
        <f ca="1">IFERROR(__xludf.DUMMYFUNCTION("FILTER(C:E,B:B=J328)")," ")</f>
        <v xml:space="preserve"> </v>
      </c>
      <c r="O328" s="265" t="str">
        <f ca="1">IFERROR(__xludf.DUMMYFUNCTION("""COMPUTED_VALUE""")," ")</f>
        <v xml:space="preserve"> </v>
      </c>
      <c r="P328" s="265" t="str">
        <f ca="1">IFERROR(__xludf.DUMMYFUNCTION("""COMPUTED_VALUE""")," ")</f>
        <v xml:space="preserve"> </v>
      </c>
      <c r="Q328" s="264" t="str">
        <f ca="1">IFERROR(__xludf.DUMMYFUNCTION("FILTER(C:E,B:B=K328)")," ")</f>
        <v xml:space="preserve"> </v>
      </c>
      <c r="R328" s="265" t="str">
        <f ca="1">IFERROR(__xludf.DUMMYFUNCTION("""COMPUTED_VALUE""")," ")</f>
        <v xml:space="preserve"> </v>
      </c>
      <c r="S328" s="265" t="str">
        <f ca="1">IFERROR(__xludf.DUMMYFUNCTION("""COMPUTED_VALUE""")," ")</f>
        <v xml:space="preserve"> </v>
      </c>
      <c r="T328" s="264" t="str">
        <f ca="1">IFERROR(__xludf.DUMMYFUNCTION("FILTER(C:E,B:B=L328)")," ")</f>
        <v xml:space="preserve"> </v>
      </c>
      <c r="U328" s="40" t="str">
        <f ca="1">IFERROR(__xludf.DUMMYFUNCTION("""COMPUTED_VALUE""")," ")</f>
        <v xml:space="preserve"> </v>
      </c>
      <c r="V328" s="40" t="str">
        <f ca="1">IFERROR(__xludf.DUMMYFUNCTION("""COMPUTED_VALUE""")," ")</f>
        <v xml:space="preserve"> </v>
      </c>
      <c r="W328" s="40" t="str">
        <f t="shared" ca="1" si="42"/>
        <v>,</v>
      </c>
      <c r="X328" s="40" t="s">
        <v>682</v>
      </c>
      <c r="Y328" s="40" t="s">
        <v>683</v>
      </c>
      <c r="Z328" s="264" t="str">
        <f t="shared" ca="1" si="23"/>
        <v xml:space="preserve"> </v>
      </c>
      <c r="AA328" s="40" t="s">
        <v>684</v>
      </c>
      <c r="AB328" s="264" t="str">
        <f t="shared" ca="1" si="24"/>
        <v xml:space="preserve"> </v>
      </c>
      <c r="AC328" s="40" t="s">
        <v>685</v>
      </c>
      <c r="AD328" s="264" t="str">
        <f t="shared" ca="1" si="25"/>
        <v xml:space="preserve"> </v>
      </c>
      <c r="AE328" s="40" t="s">
        <v>684</v>
      </c>
      <c r="AF328" s="264" t="str">
        <f t="shared" ca="1" si="26"/>
        <v xml:space="preserve"> </v>
      </c>
      <c r="AG328" s="40" t="s">
        <v>686</v>
      </c>
      <c r="AH328" s="264" t="str">
        <f t="shared" ca="1" si="27"/>
        <v xml:space="preserve"> </v>
      </c>
      <c r="AI328" s="40" t="s">
        <v>684</v>
      </c>
      <c r="AJ328" s="264" t="str">
        <f t="shared" ca="1" si="28"/>
        <v xml:space="preserve"> </v>
      </c>
      <c r="AK328" s="40" t="s">
        <v>687</v>
      </c>
      <c r="AL328" s="264" t="str">
        <f t="shared" si="29"/>
        <v>dodgerblue</v>
      </c>
      <c r="AM328" s="40" t="s">
        <v>688</v>
      </c>
      <c r="AN328" s="40" t="str">
        <f t="shared" ca="1" si="30"/>
        <v>,{"type":"polygon","latLngs":[ {"lat": ,"lng": }, {"lat": ,"lng": },{"lat": ,"lng": }], "color":"dodgerblue"}</v>
      </c>
      <c r="AO328" s="266" t="s">
        <v>689</v>
      </c>
      <c r="AP328" s="56" t="str">
        <f t="shared" ca="1" si="31"/>
        <v xml:space="preserve"> </v>
      </c>
      <c r="AQ328" s="40" t="s">
        <v>684</v>
      </c>
      <c r="AR328" s="56" t="str">
        <f t="shared" ca="1" si="32"/>
        <v xml:space="preserve"> </v>
      </c>
      <c r="AS328" s="40" t="s">
        <v>686</v>
      </c>
      <c r="AT328" s="56" t="str">
        <f t="shared" ca="1" si="33"/>
        <v xml:space="preserve"> </v>
      </c>
      <c r="AU328" s="40" t="s">
        <v>684</v>
      </c>
      <c r="AV328" s="56" t="str">
        <f t="shared" ca="1" si="34"/>
        <v xml:space="preserve"> </v>
      </c>
      <c r="AW328" s="40" t="s">
        <v>690</v>
      </c>
      <c r="AX328" s="40" t="str">
        <f t="shared" si="35"/>
        <v>dodgerblue</v>
      </c>
      <c r="AY328" s="40" t="s">
        <v>688</v>
      </c>
      <c r="AZ328" s="40" t="str">
        <f t="shared" ca="1" si="36"/>
        <v>,{"type":"polyline","latLngs":[{"lat": ,"lng": },{"lat": ,"lng": }],"color":"dodgerblue"}</v>
      </c>
      <c r="BA328" s="40" t="s">
        <v>691</v>
      </c>
      <c r="BB328" s="56" t="str">
        <f t="shared" ca="1" si="37"/>
        <v xml:space="preserve"> </v>
      </c>
      <c r="BC328" s="40" t="s">
        <v>684</v>
      </c>
      <c r="BD328" s="56" t="str">
        <f t="shared" ca="1" si="38"/>
        <v xml:space="preserve"> </v>
      </c>
      <c r="BE328" s="40" t="s">
        <v>692</v>
      </c>
      <c r="BF328" s="40" t="str">
        <f t="shared" si="39"/>
        <v>dodgerblue</v>
      </c>
      <c r="BG328" s="40" t="s">
        <v>688</v>
      </c>
      <c r="BH328" s="40" t="str">
        <f t="shared" ca="1" si="40"/>
        <v>,{"type":"marker","latLng":{"lat": ,"lng": },"color":"dodgerblue"}</v>
      </c>
      <c r="BI328" s="40" t="s">
        <v>693</v>
      </c>
      <c r="BJ328" s="40" t="s">
        <v>694</v>
      </c>
      <c r="BK328" s="267" t="str">
        <f t="shared" si="41"/>
        <v/>
      </c>
    </row>
    <row r="329" spans="7:63" ht="17.5">
      <c r="G329" s="261"/>
      <c r="H329" s="262"/>
      <c r="I329" s="93" t="s">
        <v>681</v>
      </c>
      <c r="J329" s="93" t="s">
        <v>681</v>
      </c>
      <c r="K329" s="93" t="s">
        <v>681</v>
      </c>
      <c r="L329" s="242" t="s">
        <v>681</v>
      </c>
      <c r="M329" s="263" t="str">
        <f t="shared" si="22"/>
        <v>dodgerblue</v>
      </c>
      <c r="N329" s="264" t="str">
        <f ca="1">IFERROR(__xludf.DUMMYFUNCTION("FILTER(C:E,B:B=J329)")," ")</f>
        <v xml:space="preserve"> </v>
      </c>
      <c r="O329" s="265" t="str">
        <f ca="1">IFERROR(__xludf.DUMMYFUNCTION("""COMPUTED_VALUE""")," ")</f>
        <v xml:space="preserve"> </v>
      </c>
      <c r="P329" s="265" t="str">
        <f ca="1">IFERROR(__xludf.DUMMYFUNCTION("""COMPUTED_VALUE""")," ")</f>
        <v xml:space="preserve"> </v>
      </c>
      <c r="Q329" s="264" t="str">
        <f ca="1">IFERROR(__xludf.DUMMYFUNCTION("FILTER(C:E,B:B=K329)")," ")</f>
        <v xml:space="preserve"> </v>
      </c>
      <c r="R329" s="265" t="str">
        <f ca="1">IFERROR(__xludf.DUMMYFUNCTION("""COMPUTED_VALUE""")," ")</f>
        <v xml:space="preserve"> </v>
      </c>
      <c r="S329" s="265" t="str">
        <f ca="1">IFERROR(__xludf.DUMMYFUNCTION("""COMPUTED_VALUE""")," ")</f>
        <v xml:space="preserve"> </v>
      </c>
      <c r="T329" s="264" t="str">
        <f ca="1">IFERROR(__xludf.DUMMYFUNCTION("FILTER(C:E,B:B=L329)")," ")</f>
        <v xml:space="preserve"> </v>
      </c>
      <c r="U329" s="40" t="str">
        <f ca="1">IFERROR(__xludf.DUMMYFUNCTION("""COMPUTED_VALUE""")," ")</f>
        <v xml:space="preserve"> </v>
      </c>
      <c r="V329" s="40" t="str">
        <f ca="1">IFERROR(__xludf.DUMMYFUNCTION("""COMPUTED_VALUE""")," ")</f>
        <v xml:space="preserve"> </v>
      </c>
      <c r="W329" s="40" t="str">
        <f t="shared" ca="1" si="42"/>
        <v>,</v>
      </c>
      <c r="X329" s="40" t="s">
        <v>682</v>
      </c>
      <c r="Y329" s="40" t="s">
        <v>683</v>
      </c>
      <c r="Z329" s="264" t="str">
        <f t="shared" ca="1" si="23"/>
        <v xml:space="preserve"> </v>
      </c>
      <c r="AA329" s="40" t="s">
        <v>684</v>
      </c>
      <c r="AB329" s="264" t="str">
        <f t="shared" ca="1" si="24"/>
        <v xml:space="preserve"> </v>
      </c>
      <c r="AC329" s="40" t="s">
        <v>685</v>
      </c>
      <c r="AD329" s="264" t="str">
        <f t="shared" ca="1" si="25"/>
        <v xml:space="preserve"> </v>
      </c>
      <c r="AE329" s="40" t="s">
        <v>684</v>
      </c>
      <c r="AF329" s="264" t="str">
        <f t="shared" ca="1" si="26"/>
        <v xml:space="preserve"> </v>
      </c>
      <c r="AG329" s="40" t="s">
        <v>686</v>
      </c>
      <c r="AH329" s="264" t="str">
        <f t="shared" ca="1" si="27"/>
        <v xml:space="preserve"> </v>
      </c>
      <c r="AI329" s="40" t="s">
        <v>684</v>
      </c>
      <c r="AJ329" s="264" t="str">
        <f t="shared" ca="1" si="28"/>
        <v xml:space="preserve"> </v>
      </c>
      <c r="AK329" s="40" t="s">
        <v>687</v>
      </c>
      <c r="AL329" s="264" t="str">
        <f t="shared" si="29"/>
        <v>dodgerblue</v>
      </c>
      <c r="AM329" s="40" t="s">
        <v>688</v>
      </c>
      <c r="AN329" s="40" t="str">
        <f t="shared" ca="1" si="30"/>
        <v>,{"type":"polygon","latLngs":[ {"lat": ,"lng": }, {"lat": ,"lng": },{"lat": ,"lng": }], "color":"dodgerblue"}</v>
      </c>
      <c r="AO329" s="266" t="s">
        <v>689</v>
      </c>
      <c r="AP329" s="56" t="str">
        <f t="shared" ca="1" si="31"/>
        <v xml:space="preserve"> </v>
      </c>
      <c r="AQ329" s="40" t="s">
        <v>684</v>
      </c>
      <c r="AR329" s="56" t="str">
        <f t="shared" ca="1" si="32"/>
        <v xml:space="preserve"> </v>
      </c>
      <c r="AS329" s="40" t="s">
        <v>686</v>
      </c>
      <c r="AT329" s="56" t="str">
        <f t="shared" ca="1" si="33"/>
        <v xml:space="preserve"> </v>
      </c>
      <c r="AU329" s="40" t="s">
        <v>684</v>
      </c>
      <c r="AV329" s="56" t="str">
        <f t="shared" ca="1" si="34"/>
        <v xml:space="preserve"> </v>
      </c>
      <c r="AW329" s="40" t="s">
        <v>690</v>
      </c>
      <c r="AX329" s="40" t="str">
        <f t="shared" si="35"/>
        <v>dodgerblue</v>
      </c>
      <c r="AY329" s="40" t="s">
        <v>688</v>
      </c>
      <c r="AZ329" s="40" t="str">
        <f t="shared" ca="1" si="36"/>
        <v>,{"type":"polyline","latLngs":[{"lat": ,"lng": },{"lat": ,"lng": }],"color":"dodgerblue"}</v>
      </c>
      <c r="BA329" s="40" t="s">
        <v>691</v>
      </c>
      <c r="BB329" s="56" t="str">
        <f t="shared" ca="1" si="37"/>
        <v xml:space="preserve"> </v>
      </c>
      <c r="BC329" s="40" t="s">
        <v>684</v>
      </c>
      <c r="BD329" s="56" t="str">
        <f t="shared" ca="1" si="38"/>
        <v xml:space="preserve"> </v>
      </c>
      <c r="BE329" s="40" t="s">
        <v>692</v>
      </c>
      <c r="BF329" s="40" t="str">
        <f t="shared" si="39"/>
        <v>dodgerblue</v>
      </c>
      <c r="BG329" s="40" t="s">
        <v>688</v>
      </c>
      <c r="BH329" s="40" t="str">
        <f t="shared" ca="1" si="40"/>
        <v>,{"type":"marker","latLng":{"lat": ,"lng": },"color":"dodgerblue"}</v>
      </c>
      <c r="BI329" s="40" t="s">
        <v>693</v>
      </c>
      <c r="BJ329" s="40" t="s">
        <v>694</v>
      </c>
      <c r="BK329" s="267" t="str">
        <f t="shared" si="41"/>
        <v/>
      </c>
    </row>
    <row r="330" spans="7:63" ht="17.5">
      <c r="G330" s="261"/>
      <c r="H330" s="262"/>
      <c r="I330" s="93" t="s">
        <v>681</v>
      </c>
      <c r="J330" s="93" t="s">
        <v>681</v>
      </c>
      <c r="K330" s="93" t="s">
        <v>681</v>
      </c>
      <c r="L330" s="242" t="s">
        <v>681</v>
      </c>
      <c r="M330" s="263" t="str">
        <f t="shared" si="22"/>
        <v>dodgerblue</v>
      </c>
      <c r="N330" s="264" t="str">
        <f ca="1">IFERROR(__xludf.DUMMYFUNCTION("FILTER(C:E,B:B=J330)")," ")</f>
        <v xml:space="preserve"> </v>
      </c>
      <c r="O330" s="265" t="str">
        <f ca="1">IFERROR(__xludf.DUMMYFUNCTION("""COMPUTED_VALUE""")," ")</f>
        <v xml:space="preserve"> </v>
      </c>
      <c r="P330" s="265" t="str">
        <f ca="1">IFERROR(__xludf.DUMMYFUNCTION("""COMPUTED_VALUE""")," ")</f>
        <v xml:space="preserve"> </v>
      </c>
      <c r="Q330" s="264" t="str">
        <f ca="1">IFERROR(__xludf.DUMMYFUNCTION("FILTER(C:E,B:B=K330)")," ")</f>
        <v xml:space="preserve"> </v>
      </c>
      <c r="R330" s="265" t="str">
        <f ca="1">IFERROR(__xludf.DUMMYFUNCTION("""COMPUTED_VALUE""")," ")</f>
        <v xml:space="preserve"> </v>
      </c>
      <c r="S330" s="265" t="str">
        <f ca="1">IFERROR(__xludf.DUMMYFUNCTION("""COMPUTED_VALUE""")," ")</f>
        <v xml:space="preserve"> </v>
      </c>
      <c r="T330" s="264" t="str">
        <f ca="1">IFERROR(__xludf.DUMMYFUNCTION("FILTER(C:E,B:B=L330)")," ")</f>
        <v xml:space="preserve"> </v>
      </c>
      <c r="U330" s="40" t="str">
        <f ca="1">IFERROR(__xludf.DUMMYFUNCTION("""COMPUTED_VALUE""")," ")</f>
        <v xml:space="preserve"> </v>
      </c>
      <c r="V330" s="40" t="str">
        <f ca="1">IFERROR(__xludf.DUMMYFUNCTION("""COMPUTED_VALUE""")," ")</f>
        <v xml:space="preserve"> </v>
      </c>
      <c r="W330" s="40" t="str">
        <f t="shared" ca="1" si="42"/>
        <v>,</v>
      </c>
      <c r="X330" s="40" t="s">
        <v>682</v>
      </c>
      <c r="Y330" s="40" t="s">
        <v>683</v>
      </c>
      <c r="Z330" s="264" t="str">
        <f t="shared" ca="1" si="23"/>
        <v xml:space="preserve"> </v>
      </c>
      <c r="AA330" s="40" t="s">
        <v>684</v>
      </c>
      <c r="AB330" s="264" t="str">
        <f t="shared" ca="1" si="24"/>
        <v xml:space="preserve"> </v>
      </c>
      <c r="AC330" s="40" t="s">
        <v>685</v>
      </c>
      <c r="AD330" s="264" t="str">
        <f t="shared" ca="1" si="25"/>
        <v xml:space="preserve"> </v>
      </c>
      <c r="AE330" s="40" t="s">
        <v>684</v>
      </c>
      <c r="AF330" s="264" t="str">
        <f t="shared" ca="1" si="26"/>
        <v xml:space="preserve"> </v>
      </c>
      <c r="AG330" s="40" t="s">
        <v>686</v>
      </c>
      <c r="AH330" s="264" t="str">
        <f t="shared" ca="1" si="27"/>
        <v xml:space="preserve"> </v>
      </c>
      <c r="AI330" s="40" t="s">
        <v>684</v>
      </c>
      <c r="AJ330" s="264" t="str">
        <f t="shared" ca="1" si="28"/>
        <v xml:space="preserve"> </v>
      </c>
      <c r="AK330" s="40" t="s">
        <v>687</v>
      </c>
      <c r="AL330" s="264" t="str">
        <f t="shared" si="29"/>
        <v>dodgerblue</v>
      </c>
      <c r="AM330" s="40" t="s">
        <v>688</v>
      </c>
      <c r="AN330" s="40" t="str">
        <f t="shared" ca="1" si="30"/>
        <v>,{"type":"polygon","latLngs":[ {"lat": ,"lng": }, {"lat": ,"lng": },{"lat": ,"lng": }], "color":"dodgerblue"}</v>
      </c>
      <c r="AO330" s="266" t="s">
        <v>689</v>
      </c>
      <c r="AP330" s="56" t="str">
        <f t="shared" ca="1" si="31"/>
        <v xml:space="preserve"> </v>
      </c>
      <c r="AQ330" s="40" t="s">
        <v>684</v>
      </c>
      <c r="AR330" s="56" t="str">
        <f t="shared" ca="1" si="32"/>
        <v xml:space="preserve"> </v>
      </c>
      <c r="AS330" s="40" t="s">
        <v>686</v>
      </c>
      <c r="AT330" s="56" t="str">
        <f t="shared" ca="1" si="33"/>
        <v xml:space="preserve"> </v>
      </c>
      <c r="AU330" s="40" t="s">
        <v>684</v>
      </c>
      <c r="AV330" s="56" t="str">
        <f t="shared" ca="1" si="34"/>
        <v xml:space="preserve"> </v>
      </c>
      <c r="AW330" s="40" t="s">
        <v>690</v>
      </c>
      <c r="AX330" s="40" t="str">
        <f t="shared" si="35"/>
        <v>dodgerblue</v>
      </c>
      <c r="AY330" s="40" t="s">
        <v>688</v>
      </c>
      <c r="AZ330" s="40" t="str">
        <f t="shared" ca="1" si="36"/>
        <v>,{"type":"polyline","latLngs":[{"lat": ,"lng": },{"lat": ,"lng": }],"color":"dodgerblue"}</v>
      </c>
      <c r="BA330" s="40" t="s">
        <v>691</v>
      </c>
      <c r="BB330" s="56" t="str">
        <f t="shared" ca="1" si="37"/>
        <v xml:space="preserve"> </v>
      </c>
      <c r="BC330" s="40" t="s">
        <v>684</v>
      </c>
      <c r="BD330" s="56" t="str">
        <f t="shared" ca="1" si="38"/>
        <v xml:space="preserve"> </v>
      </c>
      <c r="BE330" s="40" t="s">
        <v>692</v>
      </c>
      <c r="BF330" s="40" t="str">
        <f t="shared" si="39"/>
        <v>dodgerblue</v>
      </c>
      <c r="BG330" s="40" t="s">
        <v>688</v>
      </c>
      <c r="BH330" s="40" t="str">
        <f t="shared" ca="1" si="40"/>
        <v>,{"type":"marker","latLng":{"lat": ,"lng": },"color":"dodgerblue"}</v>
      </c>
      <c r="BI330" s="40" t="s">
        <v>693</v>
      </c>
      <c r="BJ330" s="40" t="s">
        <v>694</v>
      </c>
      <c r="BK330" s="267" t="str">
        <f t="shared" si="41"/>
        <v/>
      </c>
    </row>
    <row r="331" spans="7:63" ht="17.5">
      <c r="G331" s="261"/>
      <c r="H331" s="262"/>
      <c r="I331" s="93" t="s">
        <v>681</v>
      </c>
      <c r="J331" s="93" t="s">
        <v>681</v>
      </c>
      <c r="K331" s="93" t="s">
        <v>681</v>
      </c>
      <c r="L331" s="242" t="s">
        <v>681</v>
      </c>
      <c r="M331" s="263" t="str">
        <f t="shared" si="22"/>
        <v>dodgerblue</v>
      </c>
      <c r="N331" s="264" t="str">
        <f ca="1">IFERROR(__xludf.DUMMYFUNCTION("FILTER(C:E,B:B=J331)")," ")</f>
        <v xml:space="preserve"> </v>
      </c>
      <c r="O331" s="265" t="str">
        <f ca="1">IFERROR(__xludf.DUMMYFUNCTION("""COMPUTED_VALUE""")," ")</f>
        <v xml:space="preserve"> </v>
      </c>
      <c r="P331" s="265" t="str">
        <f ca="1">IFERROR(__xludf.DUMMYFUNCTION("""COMPUTED_VALUE""")," ")</f>
        <v xml:space="preserve"> </v>
      </c>
      <c r="Q331" s="264" t="str">
        <f ca="1">IFERROR(__xludf.DUMMYFUNCTION("FILTER(C:E,B:B=K331)")," ")</f>
        <v xml:space="preserve"> </v>
      </c>
      <c r="R331" s="265" t="str">
        <f ca="1">IFERROR(__xludf.DUMMYFUNCTION("""COMPUTED_VALUE""")," ")</f>
        <v xml:space="preserve"> </v>
      </c>
      <c r="S331" s="265" t="str">
        <f ca="1">IFERROR(__xludf.DUMMYFUNCTION("""COMPUTED_VALUE""")," ")</f>
        <v xml:space="preserve"> </v>
      </c>
      <c r="T331" s="264" t="str">
        <f ca="1">IFERROR(__xludf.DUMMYFUNCTION("FILTER(C:E,B:B=L331)")," ")</f>
        <v xml:space="preserve"> </v>
      </c>
      <c r="U331" s="40" t="str">
        <f ca="1">IFERROR(__xludf.DUMMYFUNCTION("""COMPUTED_VALUE""")," ")</f>
        <v xml:space="preserve"> </v>
      </c>
      <c r="V331" s="40" t="str">
        <f ca="1">IFERROR(__xludf.DUMMYFUNCTION("""COMPUTED_VALUE""")," ")</f>
        <v xml:space="preserve"> </v>
      </c>
      <c r="W331" s="40" t="str">
        <f t="shared" ca="1" si="42"/>
        <v>,</v>
      </c>
      <c r="X331" s="40" t="s">
        <v>682</v>
      </c>
      <c r="Y331" s="40" t="s">
        <v>683</v>
      </c>
      <c r="Z331" s="264" t="str">
        <f t="shared" ca="1" si="23"/>
        <v xml:space="preserve"> </v>
      </c>
      <c r="AA331" s="40" t="s">
        <v>684</v>
      </c>
      <c r="AB331" s="264" t="str">
        <f t="shared" ca="1" si="24"/>
        <v xml:space="preserve"> </v>
      </c>
      <c r="AC331" s="40" t="s">
        <v>685</v>
      </c>
      <c r="AD331" s="264" t="str">
        <f t="shared" ca="1" si="25"/>
        <v xml:space="preserve"> </v>
      </c>
      <c r="AE331" s="40" t="s">
        <v>684</v>
      </c>
      <c r="AF331" s="264" t="str">
        <f t="shared" ca="1" si="26"/>
        <v xml:space="preserve"> </v>
      </c>
      <c r="AG331" s="40" t="s">
        <v>686</v>
      </c>
      <c r="AH331" s="264" t="str">
        <f t="shared" ca="1" si="27"/>
        <v xml:space="preserve"> </v>
      </c>
      <c r="AI331" s="40" t="s">
        <v>684</v>
      </c>
      <c r="AJ331" s="264" t="str">
        <f t="shared" ca="1" si="28"/>
        <v xml:space="preserve"> </v>
      </c>
      <c r="AK331" s="40" t="s">
        <v>687</v>
      </c>
      <c r="AL331" s="264" t="str">
        <f t="shared" si="29"/>
        <v>dodgerblue</v>
      </c>
      <c r="AM331" s="40" t="s">
        <v>688</v>
      </c>
      <c r="AN331" s="40" t="str">
        <f t="shared" ca="1" si="30"/>
        <v>,{"type":"polygon","latLngs":[ {"lat": ,"lng": }, {"lat": ,"lng": },{"lat": ,"lng": }], "color":"dodgerblue"}</v>
      </c>
      <c r="AO331" s="266" t="s">
        <v>689</v>
      </c>
      <c r="AP331" s="56" t="str">
        <f t="shared" ca="1" si="31"/>
        <v xml:space="preserve"> </v>
      </c>
      <c r="AQ331" s="40" t="s">
        <v>684</v>
      </c>
      <c r="AR331" s="56" t="str">
        <f t="shared" ca="1" si="32"/>
        <v xml:space="preserve"> </v>
      </c>
      <c r="AS331" s="40" t="s">
        <v>686</v>
      </c>
      <c r="AT331" s="56" t="str">
        <f t="shared" ca="1" si="33"/>
        <v xml:space="preserve"> </v>
      </c>
      <c r="AU331" s="40" t="s">
        <v>684</v>
      </c>
      <c r="AV331" s="56" t="str">
        <f t="shared" ca="1" si="34"/>
        <v xml:space="preserve"> </v>
      </c>
      <c r="AW331" s="40" t="s">
        <v>690</v>
      </c>
      <c r="AX331" s="40" t="str">
        <f t="shared" si="35"/>
        <v>dodgerblue</v>
      </c>
      <c r="AY331" s="40" t="s">
        <v>688</v>
      </c>
      <c r="AZ331" s="40" t="str">
        <f t="shared" ca="1" si="36"/>
        <v>,{"type":"polyline","latLngs":[{"lat": ,"lng": },{"lat": ,"lng": }],"color":"dodgerblue"}</v>
      </c>
      <c r="BA331" s="40" t="s">
        <v>691</v>
      </c>
      <c r="BB331" s="56" t="str">
        <f t="shared" ca="1" si="37"/>
        <v xml:space="preserve"> </v>
      </c>
      <c r="BC331" s="40" t="s">
        <v>684</v>
      </c>
      <c r="BD331" s="56" t="str">
        <f t="shared" ca="1" si="38"/>
        <v xml:space="preserve"> </v>
      </c>
      <c r="BE331" s="40" t="s">
        <v>692</v>
      </c>
      <c r="BF331" s="40" t="str">
        <f t="shared" si="39"/>
        <v>dodgerblue</v>
      </c>
      <c r="BG331" s="40" t="s">
        <v>688</v>
      </c>
      <c r="BH331" s="40" t="str">
        <f t="shared" ca="1" si="40"/>
        <v>,{"type":"marker","latLng":{"lat": ,"lng": },"color":"dodgerblue"}</v>
      </c>
      <c r="BI331" s="40" t="s">
        <v>693</v>
      </c>
      <c r="BJ331" s="40" t="s">
        <v>694</v>
      </c>
      <c r="BK331" s="267" t="str">
        <f t="shared" si="41"/>
        <v/>
      </c>
    </row>
    <row r="332" spans="7:63" ht="17.5">
      <c r="G332" s="261"/>
      <c r="H332" s="262"/>
      <c r="I332" s="93" t="s">
        <v>681</v>
      </c>
      <c r="J332" s="93" t="s">
        <v>681</v>
      </c>
      <c r="K332" s="93" t="s">
        <v>681</v>
      </c>
      <c r="L332" s="242" t="s">
        <v>681</v>
      </c>
      <c r="M332" s="263" t="str">
        <f t="shared" si="22"/>
        <v>dodgerblue</v>
      </c>
      <c r="N332" s="264" t="str">
        <f ca="1">IFERROR(__xludf.DUMMYFUNCTION("FILTER(C:E,B:B=J332)")," ")</f>
        <v xml:space="preserve"> </v>
      </c>
      <c r="O332" s="265" t="str">
        <f ca="1">IFERROR(__xludf.DUMMYFUNCTION("""COMPUTED_VALUE""")," ")</f>
        <v xml:space="preserve"> </v>
      </c>
      <c r="P332" s="265" t="str">
        <f ca="1">IFERROR(__xludf.DUMMYFUNCTION("""COMPUTED_VALUE""")," ")</f>
        <v xml:space="preserve"> </v>
      </c>
      <c r="Q332" s="264" t="str">
        <f ca="1">IFERROR(__xludf.DUMMYFUNCTION("FILTER(C:E,B:B=K332)")," ")</f>
        <v xml:space="preserve"> </v>
      </c>
      <c r="R332" s="265" t="str">
        <f ca="1">IFERROR(__xludf.DUMMYFUNCTION("""COMPUTED_VALUE""")," ")</f>
        <v xml:space="preserve"> </v>
      </c>
      <c r="S332" s="265" t="str">
        <f ca="1">IFERROR(__xludf.DUMMYFUNCTION("""COMPUTED_VALUE""")," ")</f>
        <v xml:space="preserve"> </v>
      </c>
      <c r="T332" s="264" t="str">
        <f ca="1">IFERROR(__xludf.DUMMYFUNCTION("FILTER(C:E,B:B=L332)")," ")</f>
        <v xml:space="preserve"> </v>
      </c>
      <c r="U332" s="40" t="str">
        <f ca="1">IFERROR(__xludf.DUMMYFUNCTION("""COMPUTED_VALUE""")," ")</f>
        <v xml:space="preserve"> </v>
      </c>
      <c r="V332" s="40" t="str">
        <f ca="1">IFERROR(__xludf.DUMMYFUNCTION("""COMPUTED_VALUE""")," ")</f>
        <v xml:space="preserve"> </v>
      </c>
      <c r="W332" s="40" t="str">
        <f t="shared" ca="1" si="42"/>
        <v>,</v>
      </c>
      <c r="X332" s="40" t="s">
        <v>682</v>
      </c>
      <c r="Y332" s="40" t="s">
        <v>683</v>
      </c>
      <c r="Z332" s="264" t="str">
        <f t="shared" ca="1" si="23"/>
        <v xml:space="preserve"> </v>
      </c>
      <c r="AA332" s="40" t="s">
        <v>684</v>
      </c>
      <c r="AB332" s="264" t="str">
        <f t="shared" ca="1" si="24"/>
        <v xml:space="preserve"> </v>
      </c>
      <c r="AC332" s="40" t="s">
        <v>685</v>
      </c>
      <c r="AD332" s="264" t="str">
        <f t="shared" ca="1" si="25"/>
        <v xml:space="preserve"> </v>
      </c>
      <c r="AE332" s="40" t="s">
        <v>684</v>
      </c>
      <c r="AF332" s="264" t="str">
        <f t="shared" ca="1" si="26"/>
        <v xml:space="preserve"> </v>
      </c>
      <c r="AG332" s="40" t="s">
        <v>686</v>
      </c>
      <c r="AH332" s="264" t="str">
        <f t="shared" ca="1" si="27"/>
        <v xml:space="preserve"> </v>
      </c>
      <c r="AI332" s="40" t="s">
        <v>684</v>
      </c>
      <c r="AJ332" s="264" t="str">
        <f t="shared" ca="1" si="28"/>
        <v xml:space="preserve"> </v>
      </c>
      <c r="AK332" s="40" t="s">
        <v>687</v>
      </c>
      <c r="AL332" s="264" t="str">
        <f t="shared" si="29"/>
        <v>dodgerblue</v>
      </c>
      <c r="AM332" s="40" t="s">
        <v>688</v>
      </c>
      <c r="AN332" s="40" t="str">
        <f t="shared" ca="1" si="30"/>
        <v>,{"type":"polygon","latLngs":[ {"lat": ,"lng": }, {"lat": ,"lng": },{"lat": ,"lng": }], "color":"dodgerblue"}</v>
      </c>
      <c r="AO332" s="266" t="s">
        <v>689</v>
      </c>
      <c r="AP332" s="56" t="str">
        <f t="shared" ca="1" si="31"/>
        <v xml:space="preserve"> </v>
      </c>
      <c r="AQ332" s="40" t="s">
        <v>684</v>
      </c>
      <c r="AR332" s="56" t="str">
        <f t="shared" ca="1" si="32"/>
        <v xml:space="preserve"> </v>
      </c>
      <c r="AS332" s="40" t="s">
        <v>686</v>
      </c>
      <c r="AT332" s="56" t="str">
        <f t="shared" ca="1" si="33"/>
        <v xml:space="preserve"> </v>
      </c>
      <c r="AU332" s="40" t="s">
        <v>684</v>
      </c>
      <c r="AV332" s="56" t="str">
        <f t="shared" ca="1" si="34"/>
        <v xml:space="preserve"> </v>
      </c>
      <c r="AW332" s="40" t="s">
        <v>690</v>
      </c>
      <c r="AX332" s="40" t="str">
        <f t="shared" si="35"/>
        <v>dodgerblue</v>
      </c>
      <c r="AY332" s="40" t="s">
        <v>688</v>
      </c>
      <c r="AZ332" s="40" t="str">
        <f t="shared" ca="1" si="36"/>
        <v>,{"type":"polyline","latLngs":[{"lat": ,"lng": },{"lat": ,"lng": }],"color":"dodgerblue"}</v>
      </c>
      <c r="BA332" s="40" t="s">
        <v>691</v>
      </c>
      <c r="BB332" s="56" t="str">
        <f t="shared" ca="1" si="37"/>
        <v xml:space="preserve"> </v>
      </c>
      <c r="BC332" s="40" t="s">
        <v>684</v>
      </c>
      <c r="BD332" s="56" t="str">
        <f t="shared" ca="1" si="38"/>
        <v xml:space="preserve"> </v>
      </c>
      <c r="BE332" s="40" t="s">
        <v>692</v>
      </c>
      <c r="BF332" s="40" t="str">
        <f t="shared" si="39"/>
        <v>dodgerblue</v>
      </c>
      <c r="BG332" s="40" t="s">
        <v>688</v>
      </c>
      <c r="BH332" s="40" t="str">
        <f t="shared" ca="1" si="40"/>
        <v>,{"type":"marker","latLng":{"lat": ,"lng": },"color":"dodgerblue"}</v>
      </c>
      <c r="BI332" s="40" t="s">
        <v>693</v>
      </c>
      <c r="BJ332" s="40" t="s">
        <v>694</v>
      </c>
      <c r="BK332" s="267" t="str">
        <f t="shared" si="41"/>
        <v/>
      </c>
    </row>
    <row r="333" spans="7:63" ht="17.5">
      <c r="G333" s="261"/>
      <c r="H333" s="262"/>
      <c r="I333" s="93" t="s">
        <v>681</v>
      </c>
      <c r="J333" s="93" t="s">
        <v>681</v>
      </c>
      <c r="K333" s="93" t="s">
        <v>681</v>
      </c>
      <c r="L333" s="242" t="s">
        <v>681</v>
      </c>
      <c r="M333" s="263" t="str">
        <f t="shared" si="22"/>
        <v>dodgerblue</v>
      </c>
      <c r="N333" s="264" t="str">
        <f ca="1">IFERROR(__xludf.DUMMYFUNCTION("FILTER(C:E,B:B=J333)")," ")</f>
        <v xml:space="preserve"> </v>
      </c>
      <c r="O333" s="265" t="str">
        <f ca="1">IFERROR(__xludf.DUMMYFUNCTION("""COMPUTED_VALUE""")," ")</f>
        <v xml:space="preserve"> </v>
      </c>
      <c r="P333" s="265" t="str">
        <f ca="1">IFERROR(__xludf.DUMMYFUNCTION("""COMPUTED_VALUE""")," ")</f>
        <v xml:space="preserve"> </v>
      </c>
      <c r="Q333" s="264" t="str">
        <f ca="1">IFERROR(__xludf.DUMMYFUNCTION("FILTER(C:E,B:B=K333)")," ")</f>
        <v xml:space="preserve"> </v>
      </c>
      <c r="R333" s="265" t="str">
        <f ca="1">IFERROR(__xludf.DUMMYFUNCTION("""COMPUTED_VALUE""")," ")</f>
        <v xml:space="preserve"> </v>
      </c>
      <c r="S333" s="265" t="str">
        <f ca="1">IFERROR(__xludf.DUMMYFUNCTION("""COMPUTED_VALUE""")," ")</f>
        <v xml:space="preserve"> </v>
      </c>
      <c r="T333" s="264" t="str">
        <f ca="1">IFERROR(__xludf.DUMMYFUNCTION("FILTER(C:E,B:B=L333)")," ")</f>
        <v xml:space="preserve"> </v>
      </c>
      <c r="U333" s="40" t="str">
        <f ca="1">IFERROR(__xludf.DUMMYFUNCTION("""COMPUTED_VALUE""")," ")</f>
        <v xml:space="preserve"> </v>
      </c>
      <c r="V333" s="40" t="str">
        <f ca="1">IFERROR(__xludf.DUMMYFUNCTION("""COMPUTED_VALUE""")," ")</f>
        <v xml:space="preserve"> </v>
      </c>
      <c r="W333" s="40" t="str">
        <f t="shared" ca="1" si="42"/>
        <v>,</v>
      </c>
      <c r="X333" s="40" t="s">
        <v>682</v>
      </c>
      <c r="Y333" s="40" t="s">
        <v>683</v>
      </c>
      <c r="Z333" s="264" t="str">
        <f t="shared" ca="1" si="23"/>
        <v xml:space="preserve"> </v>
      </c>
      <c r="AA333" s="40" t="s">
        <v>684</v>
      </c>
      <c r="AB333" s="264" t="str">
        <f t="shared" ca="1" si="24"/>
        <v xml:space="preserve"> </v>
      </c>
      <c r="AC333" s="40" t="s">
        <v>685</v>
      </c>
      <c r="AD333" s="264" t="str">
        <f t="shared" ca="1" si="25"/>
        <v xml:space="preserve"> </v>
      </c>
      <c r="AE333" s="40" t="s">
        <v>684</v>
      </c>
      <c r="AF333" s="264" t="str">
        <f t="shared" ca="1" si="26"/>
        <v xml:space="preserve"> </v>
      </c>
      <c r="AG333" s="40" t="s">
        <v>686</v>
      </c>
      <c r="AH333" s="264" t="str">
        <f t="shared" ca="1" si="27"/>
        <v xml:space="preserve"> </v>
      </c>
      <c r="AI333" s="40" t="s">
        <v>684</v>
      </c>
      <c r="AJ333" s="264" t="str">
        <f t="shared" ca="1" si="28"/>
        <v xml:space="preserve"> </v>
      </c>
      <c r="AK333" s="40" t="s">
        <v>687</v>
      </c>
      <c r="AL333" s="264" t="str">
        <f t="shared" si="29"/>
        <v>dodgerblue</v>
      </c>
      <c r="AM333" s="40" t="s">
        <v>688</v>
      </c>
      <c r="AN333" s="40" t="str">
        <f t="shared" ca="1" si="30"/>
        <v>,{"type":"polygon","latLngs":[ {"lat": ,"lng": }, {"lat": ,"lng": },{"lat": ,"lng": }], "color":"dodgerblue"}</v>
      </c>
      <c r="AO333" s="266" t="s">
        <v>689</v>
      </c>
      <c r="AP333" s="56" t="str">
        <f t="shared" ca="1" si="31"/>
        <v xml:space="preserve"> </v>
      </c>
      <c r="AQ333" s="40" t="s">
        <v>684</v>
      </c>
      <c r="AR333" s="56" t="str">
        <f t="shared" ca="1" si="32"/>
        <v xml:space="preserve"> </v>
      </c>
      <c r="AS333" s="40" t="s">
        <v>686</v>
      </c>
      <c r="AT333" s="56" t="str">
        <f t="shared" ca="1" si="33"/>
        <v xml:space="preserve"> </v>
      </c>
      <c r="AU333" s="40" t="s">
        <v>684</v>
      </c>
      <c r="AV333" s="56" t="str">
        <f t="shared" ca="1" si="34"/>
        <v xml:space="preserve"> </v>
      </c>
      <c r="AW333" s="40" t="s">
        <v>690</v>
      </c>
      <c r="AX333" s="40" t="str">
        <f t="shared" si="35"/>
        <v>dodgerblue</v>
      </c>
      <c r="AY333" s="40" t="s">
        <v>688</v>
      </c>
      <c r="AZ333" s="40" t="str">
        <f t="shared" ca="1" si="36"/>
        <v>,{"type":"polyline","latLngs":[{"lat": ,"lng": },{"lat": ,"lng": }],"color":"dodgerblue"}</v>
      </c>
      <c r="BA333" s="40" t="s">
        <v>691</v>
      </c>
      <c r="BB333" s="56" t="str">
        <f t="shared" ca="1" si="37"/>
        <v xml:space="preserve"> </v>
      </c>
      <c r="BC333" s="40" t="s">
        <v>684</v>
      </c>
      <c r="BD333" s="56" t="str">
        <f t="shared" ca="1" si="38"/>
        <v xml:space="preserve"> </v>
      </c>
      <c r="BE333" s="40" t="s">
        <v>692</v>
      </c>
      <c r="BF333" s="40" t="str">
        <f t="shared" si="39"/>
        <v>dodgerblue</v>
      </c>
      <c r="BG333" s="40" t="s">
        <v>688</v>
      </c>
      <c r="BH333" s="40" t="str">
        <f t="shared" ca="1" si="40"/>
        <v>,{"type":"marker","latLng":{"lat": ,"lng": },"color":"dodgerblue"}</v>
      </c>
      <c r="BI333" s="40" t="s">
        <v>693</v>
      </c>
      <c r="BJ333" s="40" t="s">
        <v>694</v>
      </c>
      <c r="BK333" s="267" t="str">
        <f t="shared" si="41"/>
        <v/>
      </c>
    </row>
    <row r="334" spans="7:63" ht="17.5">
      <c r="G334" s="261"/>
      <c r="H334" s="262"/>
      <c r="I334" s="93" t="s">
        <v>681</v>
      </c>
      <c r="J334" s="93" t="s">
        <v>681</v>
      </c>
      <c r="K334" s="93" t="s">
        <v>681</v>
      </c>
      <c r="L334" s="242" t="s">
        <v>681</v>
      </c>
      <c r="M334" s="263" t="str">
        <f t="shared" si="22"/>
        <v>dodgerblue</v>
      </c>
      <c r="N334" s="264" t="str">
        <f ca="1">IFERROR(__xludf.DUMMYFUNCTION("FILTER(C:E,B:B=J334)")," ")</f>
        <v xml:space="preserve"> </v>
      </c>
      <c r="O334" s="265" t="str">
        <f ca="1">IFERROR(__xludf.DUMMYFUNCTION("""COMPUTED_VALUE""")," ")</f>
        <v xml:space="preserve"> </v>
      </c>
      <c r="P334" s="265" t="str">
        <f ca="1">IFERROR(__xludf.DUMMYFUNCTION("""COMPUTED_VALUE""")," ")</f>
        <v xml:space="preserve"> </v>
      </c>
      <c r="Q334" s="264" t="str">
        <f ca="1">IFERROR(__xludf.DUMMYFUNCTION("FILTER(C:E,B:B=K334)")," ")</f>
        <v xml:space="preserve"> </v>
      </c>
      <c r="R334" s="265" t="str">
        <f ca="1">IFERROR(__xludf.DUMMYFUNCTION("""COMPUTED_VALUE""")," ")</f>
        <v xml:space="preserve"> </v>
      </c>
      <c r="S334" s="265" t="str">
        <f ca="1">IFERROR(__xludf.DUMMYFUNCTION("""COMPUTED_VALUE""")," ")</f>
        <v xml:space="preserve"> </v>
      </c>
      <c r="T334" s="264" t="str">
        <f ca="1">IFERROR(__xludf.DUMMYFUNCTION("FILTER(C:E,B:B=L334)")," ")</f>
        <v xml:space="preserve"> </v>
      </c>
      <c r="U334" s="40" t="str">
        <f ca="1">IFERROR(__xludf.DUMMYFUNCTION("""COMPUTED_VALUE""")," ")</f>
        <v xml:space="preserve"> </v>
      </c>
      <c r="V334" s="40" t="str">
        <f ca="1">IFERROR(__xludf.DUMMYFUNCTION("""COMPUTED_VALUE""")," ")</f>
        <v xml:space="preserve"> </v>
      </c>
      <c r="W334" s="40" t="str">
        <f t="shared" ca="1" si="42"/>
        <v>,</v>
      </c>
      <c r="X334" s="40" t="s">
        <v>682</v>
      </c>
      <c r="Y334" s="40" t="s">
        <v>683</v>
      </c>
      <c r="Z334" s="264" t="str">
        <f t="shared" ca="1" si="23"/>
        <v xml:space="preserve"> </v>
      </c>
      <c r="AA334" s="40" t="s">
        <v>684</v>
      </c>
      <c r="AB334" s="264" t="str">
        <f t="shared" ca="1" si="24"/>
        <v xml:space="preserve"> </v>
      </c>
      <c r="AC334" s="40" t="s">
        <v>685</v>
      </c>
      <c r="AD334" s="264" t="str">
        <f t="shared" ca="1" si="25"/>
        <v xml:space="preserve"> </v>
      </c>
      <c r="AE334" s="40" t="s">
        <v>684</v>
      </c>
      <c r="AF334" s="264" t="str">
        <f t="shared" ca="1" si="26"/>
        <v xml:space="preserve"> </v>
      </c>
      <c r="AG334" s="40" t="s">
        <v>686</v>
      </c>
      <c r="AH334" s="264" t="str">
        <f t="shared" ca="1" si="27"/>
        <v xml:space="preserve"> </v>
      </c>
      <c r="AI334" s="40" t="s">
        <v>684</v>
      </c>
      <c r="AJ334" s="264" t="str">
        <f t="shared" ca="1" si="28"/>
        <v xml:space="preserve"> </v>
      </c>
      <c r="AK334" s="40" t="s">
        <v>687</v>
      </c>
      <c r="AL334" s="264" t="str">
        <f t="shared" si="29"/>
        <v>dodgerblue</v>
      </c>
      <c r="AM334" s="40" t="s">
        <v>688</v>
      </c>
      <c r="AN334" s="40" t="str">
        <f t="shared" ca="1" si="30"/>
        <v>,{"type":"polygon","latLngs":[ {"lat": ,"lng": }, {"lat": ,"lng": },{"lat": ,"lng": }], "color":"dodgerblue"}</v>
      </c>
      <c r="AO334" s="266" t="s">
        <v>689</v>
      </c>
      <c r="AP334" s="56" t="str">
        <f t="shared" ca="1" si="31"/>
        <v xml:space="preserve"> </v>
      </c>
      <c r="AQ334" s="40" t="s">
        <v>684</v>
      </c>
      <c r="AR334" s="56" t="str">
        <f t="shared" ca="1" si="32"/>
        <v xml:space="preserve"> </v>
      </c>
      <c r="AS334" s="40" t="s">
        <v>686</v>
      </c>
      <c r="AT334" s="56" t="str">
        <f t="shared" ca="1" si="33"/>
        <v xml:space="preserve"> </v>
      </c>
      <c r="AU334" s="40" t="s">
        <v>684</v>
      </c>
      <c r="AV334" s="56" t="str">
        <f t="shared" ca="1" si="34"/>
        <v xml:space="preserve"> </v>
      </c>
      <c r="AW334" s="40" t="s">
        <v>690</v>
      </c>
      <c r="AX334" s="40" t="str">
        <f t="shared" si="35"/>
        <v>dodgerblue</v>
      </c>
      <c r="AY334" s="40" t="s">
        <v>688</v>
      </c>
      <c r="AZ334" s="40" t="str">
        <f t="shared" ca="1" si="36"/>
        <v>,{"type":"polyline","latLngs":[{"lat": ,"lng": },{"lat": ,"lng": }],"color":"dodgerblue"}</v>
      </c>
      <c r="BA334" s="40" t="s">
        <v>691</v>
      </c>
      <c r="BB334" s="56" t="str">
        <f t="shared" ca="1" si="37"/>
        <v xml:space="preserve"> </v>
      </c>
      <c r="BC334" s="40" t="s">
        <v>684</v>
      </c>
      <c r="BD334" s="56" t="str">
        <f t="shared" ca="1" si="38"/>
        <v xml:space="preserve"> </v>
      </c>
      <c r="BE334" s="40" t="s">
        <v>692</v>
      </c>
      <c r="BF334" s="40" t="str">
        <f t="shared" si="39"/>
        <v>dodgerblue</v>
      </c>
      <c r="BG334" s="40" t="s">
        <v>688</v>
      </c>
      <c r="BH334" s="40" t="str">
        <f t="shared" ca="1" si="40"/>
        <v>,{"type":"marker","latLng":{"lat": ,"lng": },"color":"dodgerblue"}</v>
      </c>
      <c r="BI334" s="40" t="s">
        <v>693</v>
      </c>
      <c r="BJ334" s="40" t="s">
        <v>694</v>
      </c>
      <c r="BK334" s="267" t="str">
        <f t="shared" si="41"/>
        <v/>
      </c>
    </row>
    <row r="335" spans="7:63" ht="17.5">
      <c r="G335" s="261"/>
      <c r="H335" s="262"/>
      <c r="I335" s="93" t="s">
        <v>681</v>
      </c>
      <c r="J335" s="93" t="s">
        <v>681</v>
      </c>
      <c r="K335" s="93" t="s">
        <v>681</v>
      </c>
      <c r="L335" s="242" t="s">
        <v>681</v>
      </c>
      <c r="M335" s="263" t="str">
        <f t="shared" si="22"/>
        <v>dodgerblue</v>
      </c>
      <c r="N335" s="264" t="str">
        <f ca="1">IFERROR(__xludf.DUMMYFUNCTION("FILTER(C:E,B:B=J335)")," ")</f>
        <v xml:space="preserve"> </v>
      </c>
      <c r="O335" s="265" t="str">
        <f ca="1">IFERROR(__xludf.DUMMYFUNCTION("""COMPUTED_VALUE""")," ")</f>
        <v xml:space="preserve"> </v>
      </c>
      <c r="P335" s="265" t="str">
        <f ca="1">IFERROR(__xludf.DUMMYFUNCTION("""COMPUTED_VALUE""")," ")</f>
        <v xml:space="preserve"> </v>
      </c>
      <c r="Q335" s="264" t="str">
        <f ca="1">IFERROR(__xludf.DUMMYFUNCTION("FILTER(C:E,B:B=K335)")," ")</f>
        <v xml:space="preserve"> </v>
      </c>
      <c r="R335" s="265" t="str">
        <f ca="1">IFERROR(__xludf.DUMMYFUNCTION("""COMPUTED_VALUE""")," ")</f>
        <v xml:space="preserve"> </v>
      </c>
      <c r="S335" s="265" t="str">
        <f ca="1">IFERROR(__xludf.DUMMYFUNCTION("""COMPUTED_VALUE""")," ")</f>
        <v xml:space="preserve"> </v>
      </c>
      <c r="T335" s="264" t="str">
        <f ca="1">IFERROR(__xludf.DUMMYFUNCTION("FILTER(C:E,B:B=L335)")," ")</f>
        <v xml:space="preserve"> </v>
      </c>
      <c r="U335" s="40" t="str">
        <f ca="1">IFERROR(__xludf.DUMMYFUNCTION("""COMPUTED_VALUE""")," ")</f>
        <v xml:space="preserve"> </v>
      </c>
      <c r="V335" s="40" t="str">
        <f ca="1">IFERROR(__xludf.DUMMYFUNCTION("""COMPUTED_VALUE""")," ")</f>
        <v xml:space="preserve"> </v>
      </c>
      <c r="W335" s="40" t="str">
        <f t="shared" ca="1" si="42"/>
        <v>,</v>
      </c>
      <c r="X335" s="40" t="s">
        <v>682</v>
      </c>
      <c r="Y335" s="40" t="s">
        <v>683</v>
      </c>
      <c r="Z335" s="264" t="str">
        <f t="shared" ca="1" si="23"/>
        <v xml:space="preserve"> </v>
      </c>
      <c r="AA335" s="40" t="s">
        <v>684</v>
      </c>
      <c r="AB335" s="264" t="str">
        <f t="shared" ca="1" si="24"/>
        <v xml:space="preserve"> </v>
      </c>
      <c r="AC335" s="40" t="s">
        <v>685</v>
      </c>
      <c r="AD335" s="264" t="str">
        <f t="shared" ca="1" si="25"/>
        <v xml:space="preserve"> </v>
      </c>
      <c r="AE335" s="40" t="s">
        <v>684</v>
      </c>
      <c r="AF335" s="264" t="str">
        <f t="shared" ca="1" si="26"/>
        <v xml:space="preserve"> </v>
      </c>
      <c r="AG335" s="40" t="s">
        <v>686</v>
      </c>
      <c r="AH335" s="264" t="str">
        <f t="shared" ca="1" si="27"/>
        <v xml:space="preserve"> </v>
      </c>
      <c r="AI335" s="40" t="s">
        <v>684</v>
      </c>
      <c r="AJ335" s="264" t="str">
        <f t="shared" ca="1" si="28"/>
        <v xml:space="preserve"> </v>
      </c>
      <c r="AK335" s="40" t="s">
        <v>687</v>
      </c>
      <c r="AL335" s="264" t="str">
        <f t="shared" si="29"/>
        <v>dodgerblue</v>
      </c>
      <c r="AM335" s="40" t="s">
        <v>688</v>
      </c>
      <c r="AN335" s="40" t="str">
        <f t="shared" ca="1" si="30"/>
        <v>,{"type":"polygon","latLngs":[ {"lat": ,"lng": }, {"lat": ,"lng": },{"lat": ,"lng": }], "color":"dodgerblue"}</v>
      </c>
      <c r="AO335" s="266" t="s">
        <v>689</v>
      </c>
      <c r="AP335" s="56" t="str">
        <f t="shared" ca="1" si="31"/>
        <v xml:space="preserve"> </v>
      </c>
      <c r="AQ335" s="40" t="s">
        <v>684</v>
      </c>
      <c r="AR335" s="56" t="str">
        <f t="shared" ca="1" si="32"/>
        <v xml:space="preserve"> </v>
      </c>
      <c r="AS335" s="40" t="s">
        <v>686</v>
      </c>
      <c r="AT335" s="56" t="str">
        <f t="shared" ca="1" si="33"/>
        <v xml:space="preserve"> </v>
      </c>
      <c r="AU335" s="40" t="s">
        <v>684</v>
      </c>
      <c r="AV335" s="56" t="str">
        <f t="shared" ca="1" si="34"/>
        <v xml:space="preserve"> </v>
      </c>
      <c r="AW335" s="40" t="s">
        <v>690</v>
      </c>
      <c r="AX335" s="40" t="str">
        <f t="shared" si="35"/>
        <v>dodgerblue</v>
      </c>
      <c r="AY335" s="40" t="s">
        <v>688</v>
      </c>
      <c r="AZ335" s="40" t="str">
        <f t="shared" ca="1" si="36"/>
        <v>,{"type":"polyline","latLngs":[{"lat": ,"lng": },{"lat": ,"lng": }],"color":"dodgerblue"}</v>
      </c>
      <c r="BA335" s="40" t="s">
        <v>691</v>
      </c>
      <c r="BB335" s="56" t="str">
        <f t="shared" ca="1" si="37"/>
        <v xml:space="preserve"> </v>
      </c>
      <c r="BC335" s="40" t="s">
        <v>684</v>
      </c>
      <c r="BD335" s="56" t="str">
        <f t="shared" ca="1" si="38"/>
        <v xml:space="preserve"> </v>
      </c>
      <c r="BE335" s="40" t="s">
        <v>692</v>
      </c>
      <c r="BF335" s="40" t="str">
        <f t="shared" si="39"/>
        <v>dodgerblue</v>
      </c>
      <c r="BG335" s="40" t="s">
        <v>688</v>
      </c>
      <c r="BH335" s="40" t="str">
        <f t="shared" ca="1" si="40"/>
        <v>,{"type":"marker","latLng":{"lat": ,"lng": },"color":"dodgerblue"}</v>
      </c>
      <c r="BI335" s="40" t="s">
        <v>693</v>
      </c>
      <c r="BJ335" s="40" t="s">
        <v>694</v>
      </c>
      <c r="BK335" s="267" t="str">
        <f t="shared" si="41"/>
        <v/>
      </c>
    </row>
    <row r="336" spans="7:63" ht="17.5">
      <c r="G336" s="261"/>
      <c r="H336" s="262"/>
      <c r="I336" s="93" t="s">
        <v>681</v>
      </c>
      <c r="J336" s="93" t="s">
        <v>681</v>
      </c>
      <c r="K336" s="93" t="s">
        <v>681</v>
      </c>
      <c r="L336" s="242" t="s">
        <v>681</v>
      </c>
      <c r="M336" s="263" t="str">
        <f t="shared" si="22"/>
        <v>dodgerblue</v>
      </c>
      <c r="N336" s="264" t="str">
        <f ca="1">IFERROR(__xludf.DUMMYFUNCTION("FILTER(C:E,B:B=J336)")," ")</f>
        <v xml:space="preserve"> </v>
      </c>
      <c r="O336" s="265" t="str">
        <f ca="1">IFERROR(__xludf.DUMMYFUNCTION("""COMPUTED_VALUE""")," ")</f>
        <v xml:space="preserve"> </v>
      </c>
      <c r="P336" s="265" t="str">
        <f ca="1">IFERROR(__xludf.DUMMYFUNCTION("""COMPUTED_VALUE""")," ")</f>
        <v xml:space="preserve"> </v>
      </c>
      <c r="Q336" s="264" t="str">
        <f ca="1">IFERROR(__xludf.DUMMYFUNCTION("FILTER(C:E,B:B=K336)")," ")</f>
        <v xml:space="preserve"> </v>
      </c>
      <c r="R336" s="265" t="str">
        <f ca="1">IFERROR(__xludf.DUMMYFUNCTION("""COMPUTED_VALUE""")," ")</f>
        <v xml:space="preserve"> </v>
      </c>
      <c r="S336" s="265" t="str">
        <f ca="1">IFERROR(__xludf.DUMMYFUNCTION("""COMPUTED_VALUE""")," ")</f>
        <v xml:space="preserve"> </v>
      </c>
      <c r="T336" s="264" t="str">
        <f ca="1">IFERROR(__xludf.DUMMYFUNCTION("FILTER(C:E,B:B=L336)")," ")</f>
        <v xml:space="preserve"> </v>
      </c>
      <c r="U336" s="40" t="str">
        <f ca="1">IFERROR(__xludf.DUMMYFUNCTION("""COMPUTED_VALUE""")," ")</f>
        <v xml:space="preserve"> </v>
      </c>
      <c r="V336" s="40" t="str">
        <f ca="1">IFERROR(__xludf.DUMMYFUNCTION("""COMPUTED_VALUE""")," ")</f>
        <v xml:space="preserve"> </v>
      </c>
      <c r="W336" s="40" t="str">
        <f t="shared" ca="1" si="42"/>
        <v>,</v>
      </c>
      <c r="X336" s="40" t="s">
        <v>682</v>
      </c>
      <c r="Y336" s="40" t="s">
        <v>683</v>
      </c>
      <c r="Z336" s="264" t="str">
        <f t="shared" ca="1" si="23"/>
        <v xml:space="preserve"> </v>
      </c>
      <c r="AA336" s="40" t="s">
        <v>684</v>
      </c>
      <c r="AB336" s="264" t="str">
        <f t="shared" ca="1" si="24"/>
        <v xml:space="preserve"> </v>
      </c>
      <c r="AC336" s="40" t="s">
        <v>685</v>
      </c>
      <c r="AD336" s="264" t="str">
        <f t="shared" ca="1" si="25"/>
        <v xml:space="preserve"> </v>
      </c>
      <c r="AE336" s="40" t="s">
        <v>684</v>
      </c>
      <c r="AF336" s="264" t="str">
        <f t="shared" ca="1" si="26"/>
        <v xml:space="preserve"> </v>
      </c>
      <c r="AG336" s="40" t="s">
        <v>686</v>
      </c>
      <c r="AH336" s="264" t="str">
        <f t="shared" ca="1" si="27"/>
        <v xml:space="preserve"> </v>
      </c>
      <c r="AI336" s="40" t="s">
        <v>684</v>
      </c>
      <c r="AJ336" s="264" t="str">
        <f t="shared" ca="1" si="28"/>
        <v xml:space="preserve"> </v>
      </c>
      <c r="AK336" s="40" t="s">
        <v>687</v>
      </c>
      <c r="AL336" s="264" t="str">
        <f t="shared" si="29"/>
        <v>dodgerblue</v>
      </c>
      <c r="AM336" s="40" t="s">
        <v>688</v>
      </c>
      <c r="AN336" s="40" t="str">
        <f t="shared" ca="1" si="30"/>
        <v>,{"type":"polygon","latLngs":[ {"lat": ,"lng": }, {"lat": ,"lng": },{"lat": ,"lng": }], "color":"dodgerblue"}</v>
      </c>
      <c r="AO336" s="266" t="s">
        <v>689</v>
      </c>
      <c r="AP336" s="56" t="str">
        <f t="shared" ca="1" si="31"/>
        <v xml:space="preserve"> </v>
      </c>
      <c r="AQ336" s="40" t="s">
        <v>684</v>
      </c>
      <c r="AR336" s="56" t="str">
        <f t="shared" ca="1" si="32"/>
        <v xml:space="preserve"> </v>
      </c>
      <c r="AS336" s="40" t="s">
        <v>686</v>
      </c>
      <c r="AT336" s="56" t="str">
        <f t="shared" ca="1" si="33"/>
        <v xml:space="preserve"> </v>
      </c>
      <c r="AU336" s="40" t="s">
        <v>684</v>
      </c>
      <c r="AV336" s="56" t="str">
        <f t="shared" ca="1" si="34"/>
        <v xml:space="preserve"> </v>
      </c>
      <c r="AW336" s="40" t="s">
        <v>690</v>
      </c>
      <c r="AX336" s="40" t="str">
        <f t="shared" si="35"/>
        <v>dodgerblue</v>
      </c>
      <c r="AY336" s="40" t="s">
        <v>688</v>
      </c>
      <c r="AZ336" s="40" t="str">
        <f t="shared" ca="1" si="36"/>
        <v>,{"type":"polyline","latLngs":[{"lat": ,"lng": },{"lat": ,"lng": }],"color":"dodgerblue"}</v>
      </c>
      <c r="BA336" s="40" t="s">
        <v>691</v>
      </c>
      <c r="BB336" s="56" t="str">
        <f t="shared" ca="1" si="37"/>
        <v xml:space="preserve"> </v>
      </c>
      <c r="BC336" s="40" t="s">
        <v>684</v>
      </c>
      <c r="BD336" s="56" t="str">
        <f t="shared" ca="1" si="38"/>
        <v xml:space="preserve"> </v>
      </c>
      <c r="BE336" s="40" t="s">
        <v>692</v>
      </c>
      <c r="BF336" s="40" t="str">
        <f t="shared" si="39"/>
        <v>dodgerblue</v>
      </c>
      <c r="BG336" s="40" t="s">
        <v>688</v>
      </c>
      <c r="BH336" s="40" t="str">
        <f t="shared" ca="1" si="40"/>
        <v>,{"type":"marker","latLng":{"lat": ,"lng": },"color":"dodgerblue"}</v>
      </c>
      <c r="BI336" s="40" t="s">
        <v>693</v>
      </c>
      <c r="BJ336" s="40" t="s">
        <v>694</v>
      </c>
      <c r="BK336" s="267" t="str">
        <f t="shared" si="41"/>
        <v/>
      </c>
    </row>
    <row r="337" spans="7:63" ht="17.5">
      <c r="G337" s="261"/>
      <c r="H337" s="262"/>
      <c r="I337" s="93" t="s">
        <v>681</v>
      </c>
      <c r="J337" s="93" t="s">
        <v>681</v>
      </c>
      <c r="K337" s="93" t="s">
        <v>681</v>
      </c>
      <c r="L337" s="242" t="s">
        <v>681</v>
      </c>
      <c r="M337" s="263" t="str">
        <f t="shared" si="22"/>
        <v>dodgerblue</v>
      </c>
      <c r="N337" s="264" t="str">
        <f ca="1">IFERROR(__xludf.DUMMYFUNCTION("FILTER(C:E,B:B=J337)")," ")</f>
        <v xml:space="preserve"> </v>
      </c>
      <c r="O337" s="265" t="str">
        <f ca="1">IFERROR(__xludf.DUMMYFUNCTION("""COMPUTED_VALUE""")," ")</f>
        <v xml:space="preserve"> </v>
      </c>
      <c r="P337" s="265" t="str">
        <f ca="1">IFERROR(__xludf.DUMMYFUNCTION("""COMPUTED_VALUE""")," ")</f>
        <v xml:space="preserve"> </v>
      </c>
      <c r="Q337" s="264" t="str">
        <f ca="1">IFERROR(__xludf.DUMMYFUNCTION("FILTER(C:E,B:B=K337)")," ")</f>
        <v xml:space="preserve"> </v>
      </c>
      <c r="R337" s="265" t="str">
        <f ca="1">IFERROR(__xludf.DUMMYFUNCTION("""COMPUTED_VALUE""")," ")</f>
        <v xml:space="preserve"> </v>
      </c>
      <c r="S337" s="265" t="str">
        <f ca="1">IFERROR(__xludf.DUMMYFUNCTION("""COMPUTED_VALUE""")," ")</f>
        <v xml:space="preserve"> </v>
      </c>
      <c r="T337" s="264" t="str">
        <f ca="1">IFERROR(__xludf.DUMMYFUNCTION("FILTER(C:E,B:B=L337)")," ")</f>
        <v xml:space="preserve"> </v>
      </c>
      <c r="U337" s="40" t="str">
        <f ca="1">IFERROR(__xludf.DUMMYFUNCTION("""COMPUTED_VALUE""")," ")</f>
        <v xml:space="preserve"> </v>
      </c>
      <c r="V337" s="40" t="str">
        <f ca="1">IFERROR(__xludf.DUMMYFUNCTION("""COMPUTED_VALUE""")," ")</f>
        <v xml:space="preserve"> </v>
      </c>
      <c r="W337" s="40" t="str">
        <f t="shared" ca="1" si="42"/>
        <v>,</v>
      </c>
      <c r="X337" s="40" t="s">
        <v>682</v>
      </c>
      <c r="Y337" s="40" t="s">
        <v>683</v>
      </c>
      <c r="Z337" s="264" t="str">
        <f t="shared" ca="1" si="23"/>
        <v xml:space="preserve"> </v>
      </c>
      <c r="AA337" s="40" t="s">
        <v>684</v>
      </c>
      <c r="AB337" s="264" t="str">
        <f t="shared" ca="1" si="24"/>
        <v xml:space="preserve"> </v>
      </c>
      <c r="AC337" s="40" t="s">
        <v>685</v>
      </c>
      <c r="AD337" s="264" t="str">
        <f t="shared" ca="1" si="25"/>
        <v xml:space="preserve"> </v>
      </c>
      <c r="AE337" s="40" t="s">
        <v>684</v>
      </c>
      <c r="AF337" s="264" t="str">
        <f t="shared" ca="1" si="26"/>
        <v xml:space="preserve"> </v>
      </c>
      <c r="AG337" s="40" t="s">
        <v>686</v>
      </c>
      <c r="AH337" s="264" t="str">
        <f t="shared" ca="1" si="27"/>
        <v xml:space="preserve"> </v>
      </c>
      <c r="AI337" s="40" t="s">
        <v>684</v>
      </c>
      <c r="AJ337" s="264" t="str">
        <f t="shared" ca="1" si="28"/>
        <v xml:space="preserve"> </v>
      </c>
      <c r="AK337" s="40" t="s">
        <v>687</v>
      </c>
      <c r="AL337" s="264" t="str">
        <f t="shared" si="29"/>
        <v>dodgerblue</v>
      </c>
      <c r="AM337" s="40" t="s">
        <v>688</v>
      </c>
      <c r="AN337" s="40" t="str">
        <f t="shared" ca="1" si="30"/>
        <v>,{"type":"polygon","latLngs":[ {"lat": ,"lng": }, {"lat": ,"lng": },{"lat": ,"lng": }], "color":"dodgerblue"}</v>
      </c>
      <c r="AO337" s="266" t="s">
        <v>689</v>
      </c>
      <c r="AP337" s="56" t="str">
        <f t="shared" ca="1" si="31"/>
        <v xml:space="preserve"> </v>
      </c>
      <c r="AQ337" s="40" t="s">
        <v>684</v>
      </c>
      <c r="AR337" s="56" t="str">
        <f t="shared" ca="1" si="32"/>
        <v xml:space="preserve"> </v>
      </c>
      <c r="AS337" s="40" t="s">
        <v>686</v>
      </c>
      <c r="AT337" s="56" t="str">
        <f t="shared" ca="1" si="33"/>
        <v xml:space="preserve"> </v>
      </c>
      <c r="AU337" s="40" t="s">
        <v>684</v>
      </c>
      <c r="AV337" s="56" t="str">
        <f t="shared" ca="1" si="34"/>
        <v xml:space="preserve"> </v>
      </c>
      <c r="AW337" s="40" t="s">
        <v>690</v>
      </c>
      <c r="AX337" s="40" t="str">
        <f t="shared" si="35"/>
        <v>dodgerblue</v>
      </c>
      <c r="AY337" s="40" t="s">
        <v>688</v>
      </c>
      <c r="AZ337" s="40" t="str">
        <f t="shared" ca="1" si="36"/>
        <v>,{"type":"polyline","latLngs":[{"lat": ,"lng": },{"lat": ,"lng": }],"color":"dodgerblue"}</v>
      </c>
      <c r="BA337" s="40" t="s">
        <v>691</v>
      </c>
      <c r="BB337" s="56" t="str">
        <f t="shared" ca="1" si="37"/>
        <v xml:space="preserve"> </v>
      </c>
      <c r="BC337" s="40" t="s">
        <v>684</v>
      </c>
      <c r="BD337" s="56" t="str">
        <f t="shared" ca="1" si="38"/>
        <v xml:space="preserve"> </v>
      </c>
      <c r="BE337" s="40" t="s">
        <v>692</v>
      </c>
      <c r="BF337" s="40" t="str">
        <f t="shared" si="39"/>
        <v>dodgerblue</v>
      </c>
      <c r="BG337" s="40" t="s">
        <v>688</v>
      </c>
      <c r="BH337" s="40" t="str">
        <f t="shared" ca="1" si="40"/>
        <v>,{"type":"marker","latLng":{"lat": ,"lng": },"color":"dodgerblue"}</v>
      </c>
      <c r="BI337" s="40" t="s">
        <v>693</v>
      </c>
      <c r="BJ337" s="40" t="s">
        <v>694</v>
      </c>
      <c r="BK337" s="267" t="str">
        <f t="shared" si="41"/>
        <v/>
      </c>
    </row>
    <row r="338" spans="7:63" ht="17.5">
      <c r="G338" s="261"/>
      <c r="H338" s="262"/>
      <c r="I338" s="93" t="s">
        <v>681</v>
      </c>
      <c r="J338" s="93" t="s">
        <v>681</v>
      </c>
      <c r="K338" s="93" t="s">
        <v>681</v>
      </c>
      <c r="L338" s="242" t="s">
        <v>681</v>
      </c>
      <c r="M338" s="263" t="str">
        <f t="shared" si="22"/>
        <v>dodgerblue</v>
      </c>
      <c r="N338" s="264" t="str">
        <f ca="1">IFERROR(__xludf.DUMMYFUNCTION("FILTER(C:E,B:B=J338)")," ")</f>
        <v xml:space="preserve"> </v>
      </c>
      <c r="O338" s="265" t="str">
        <f ca="1">IFERROR(__xludf.DUMMYFUNCTION("""COMPUTED_VALUE""")," ")</f>
        <v xml:space="preserve"> </v>
      </c>
      <c r="P338" s="265" t="str">
        <f ca="1">IFERROR(__xludf.DUMMYFUNCTION("""COMPUTED_VALUE""")," ")</f>
        <v xml:space="preserve"> </v>
      </c>
      <c r="Q338" s="264" t="str">
        <f ca="1">IFERROR(__xludf.DUMMYFUNCTION("FILTER(C:E,B:B=K338)")," ")</f>
        <v xml:space="preserve"> </v>
      </c>
      <c r="R338" s="265" t="str">
        <f ca="1">IFERROR(__xludf.DUMMYFUNCTION("""COMPUTED_VALUE""")," ")</f>
        <v xml:space="preserve"> </v>
      </c>
      <c r="S338" s="265" t="str">
        <f ca="1">IFERROR(__xludf.DUMMYFUNCTION("""COMPUTED_VALUE""")," ")</f>
        <v xml:space="preserve"> </v>
      </c>
      <c r="T338" s="264" t="str">
        <f ca="1">IFERROR(__xludf.DUMMYFUNCTION("FILTER(C:E,B:B=L338)")," ")</f>
        <v xml:space="preserve"> </v>
      </c>
      <c r="U338" s="40" t="str">
        <f ca="1">IFERROR(__xludf.DUMMYFUNCTION("""COMPUTED_VALUE""")," ")</f>
        <v xml:space="preserve"> </v>
      </c>
      <c r="V338" s="40" t="str">
        <f ca="1">IFERROR(__xludf.DUMMYFUNCTION("""COMPUTED_VALUE""")," ")</f>
        <v xml:space="preserve"> </v>
      </c>
      <c r="W338" s="40" t="str">
        <f t="shared" ca="1" si="42"/>
        <v>,</v>
      </c>
      <c r="X338" s="40" t="s">
        <v>682</v>
      </c>
      <c r="Y338" s="40" t="s">
        <v>683</v>
      </c>
      <c r="Z338" s="264" t="str">
        <f t="shared" ca="1" si="23"/>
        <v xml:space="preserve"> </v>
      </c>
      <c r="AA338" s="40" t="s">
        <v>684</v>
      </c>
      <c r="AB338" s="264" t="str">
        <f t="shared" ca="1" si="24"/>
        <v xml:space="preserve"> </v>
      </c>
      <c r="AC338" s="40" t="s">
        <v>685</v>
      </c>
      <c r="AD338" s="264" t="str">
        <f t="shared" ca="1" si="25"/>
        <v xml:space="preserve"> </v>
      </c>
      <c r="AE338" s="40" t="s">
        <v>684</v>
      </c>
      <c r="AF338" s="264" t="str">
        <f t="shared" ca="1" si="26"/>
        <v xml:space="preserve"> </v>
      </c>
      <c r="AG338" s="40" t="s">
        <v>686</v>
      </c>
      <c r="AH338" s="264" t="str">
        <f t="shared" ca="1" si="27"/>
        <v xml:space="preserve"> </v>
      </c>
      <c r="AI338" s="40" t="s">
        <v>684</v>
      </c>
      <c r="AJ338" s="264" t="str">
        <f t="shared" ca="1" si="28"/>
        <v xml:space="preserve"> </v>
      </c>
      <c r="AK338" s="40" t="s">
        <v>687</v>
      </c>
      <c r="AL338" s="264" t="str">
        <f t="shared" si="29"/>
        <v>dodgerblue</v>
      </c>
      <c r="AM338" s="40" t="s">
        <v>688</v>
      </c>
      <c r="AN338" s="40" t="str">
        <f t="shared" ca="1" si="30"/>
        <v>,{"type":"polygon","latLngs":[ {"lat": ,"lng": }, {"lat": ,"lng": },{"lat": ,"lng": }], "color":"dodgerblue"}</v>
      </c>
      <c r="AO338" s="266" t="s">
        <v>689</v>
      </c>
      <c r="AP338" s="56" t="str">
        <f t="shared" ca="1" si="31"/>
        <v xml:space="preserve"> </v>
      </c>
      <c r="AQ338" s="40" t="s">
        <v>684</v>
      </c>
      <c r="AR338" s="56" t="str">
        <f t="shared" ca="1" si="32"/>
        <v xml:space="preserve"> </v>
      </c>
      <c r="AS338" s="40" t="s">
        <v>686</v>
      </c>
      <c r="AT338" s="56" t="str">
        <f t="shared" ca="1" si="33"/>
        <v xml:space="preserve"> </v>
      </c>
      <c r="AU338" s="40" t="s">
        <v>684</v>
      </c>
      <c r="AV338" s="56" t="str">
        <f t="shared" ca="1" si="34"/>
        <v xml:space="preserve"> </v>
      </c>
      <c r="AW338" s="40" t="s">
        <v>690</v>
      </c>
      <c r="AX338" s="40" t="str">
        <f t="shared" si="35"/>
        <v>dodgerblue</v>
      </c>
      <c r="AY338" s="40" t="s">
        <v>688</v>
      </c>
      <c r="AZ338" s="40" t="str">
        <f t="shared" ca="1" si="36"/>
        <v>,{"type":"polyline","latLngs":[{"lat": ,"lng": },{"lat": ,"lng": }],"color":"dodgerblue"}</v>
      </c>
      <c r="BA338" s="40" t="s">
        <v>691</v>
      </c>
      <c r="BB338" s="56" t="str">
        <f t="shared" ca="1" si="37"/>
        <v xml:space="preserve"> </v>
      </c>
      <c r="BC338" s="40" t="s">
        <v>684</v>
      </c>
      <c r="BD338" s="56" t="str">
        <f t="shared" ca="1" si="38"/>
        <v xml:space="preserve"> </v>
      </c>
      <c r="BE338" s="40" t="s">
        <v>692</v>
      </c>
      <c r="BF338" s="40" t="str">
        <f t="shared" si="39"/>
        <v>dodgerblue</v>
      </c>
      <c r="BG338" s="40" t="s">
        <v>688</v>
      </c>
      <c r="BH338" s="40" t="str">
        <f t="shared" ca="1" si="40"/>
        <v>,{"type":"marker","latLng":{"lat": ,"lng": },"color":"dodgerblue"}</v>
      </c>
      <c r="BI338" s="40" t="s">
        <v>693</v>
      </c>
      <c r="BJ338" s="40" t="s">
        <v>694</v>
      </c>
      <c r="BK338" s="267" t="str">
        <f t="shared" si="41"/>
        <v/>
      </c>
    </row>
    <row r="339" spans="7:63" ht="17.5">
      <c r="G339" s="261"/>
      <c r="H339" s="262"/>
      <c r="I339" s="93" t="s">
        <v>681</v>
      </c>
      <c r="J339" s="93" t="s">
        <v>681</v>
      </c>
      <c r="K339" s="93" t="s">
        <v>681</v>
      </c>
      <c r="L339" s="242" t="s">
        <v>681</v>
      </c>
      <c r="M339" s="263" t="str">
        <f t="shared" si="22"/>
        <v>dodgerblue</v>
      </c>
      <c r="N339" s="264" t="str">
        <f ca="1">IFERROR(__xludf.DUMMYFUNCTION("FILTER(C:E,B:B=J339)")," ")</f>
        <v xml:space="preserve"> </v>
      </c>
      <c r="O339" s="265" t="str">
        <f ca="1">IFERROR(__xludf.DUMMYFUNCTION("""COMPUTED_VALUE""")," ")</f>
        <v xml:space="preserve"> </v>
      </c>
      <c r="P339" s="265" t="str">
        <f ca="1">IFERROR(__xludf.DUMMYFUNCTION("""COMPUTED_VALUE""")," ")</f>
        <v xml:space="preserve"> </v>
      </c>
      <c r="Q339" s="264" t="str">
        <f ca="1">IFERROR(__xludf.DUMMYFUNCTION("FILTER(C:E,B:B=K339)")," ")</f>
        <v xml:space="preserve"> </v>
      </c>
      <c r="R339" s="265" t="str">
        <f ca="1">IFERROR(__xludf.DUMMYFUNCTION("""COMPUTED_VALUE""")," ")</f>
        <v xml:space="preserve"> </v>
      </c>
      <c r="S339" s="265" t="str">
        <f ca="1">IFERROR(__xludf.DUMMYFUNCTION("""COMPUTED_VALUE""")," ")</f>
        <v xml:space="preserve"> </v>
      </c>
      <c r="T339" s="264" t="str">
        <f ca="1">IFERROR(__xludf.DUMMYFUNCTION("FILTER(C:E,B:B=L339)")," ")</f>
        <v xml:space="preserve"> </v>
      </c>
      <c r="U339" s="40" t="str">
        <f ca="1">IFERROR(__xludf.DUMMYFUNCTION("""COMPUTED_VALUE""")," ")</f>
        <v xml:space="preserve"> </v>
      </c>
      <c r="V339" s="40" t="str">
        <f ca="1">IFERROR(__xludf.DUMMYFUNCTION("""COMPUTED_VALUE""")," ")</f>
        <v xml:space="preserve"> </v>
      </c>
      <c r="W339" s="40" t="str">
        <f t="shared" ca="1" si="42"/>
        <v>,</v>
      </c>
      <c r="X339" s="40" t="s">
        <v>682</v>
      </c>
      <c r="Y339" s="40" t="s">
        <v>683</v>
      </c>
      <c r="Z339" s="264" t="str">
        <f t="shared" ca="1" si="23"/>
        <v xml:space="preserve"> </v>
      </c>
      <c r="AA339" s="40" t="s">
        <v>684</v>
      </c>
      <c r="AB339" s="264" t="str">
        <f t="shared" ca="1" si="24"/>
        <v xml:space="preserve"> </v>
      </c>
      <c r="AC339" s="40" t="s">
        <v>685</v>
      </c>
      <c r="AD339" s="264" t="str">
        <f t="shared" ca="1" si="25"/>
        <v xml:space="preserve"> </v>
      </c>
      <c r="AE339" s="40" t="s">
        <v>684</v>
      </c>
      <c r="AF339" s="264" t="str">
        <f t="shared" ca="1" si="26"/>
        <v xml:space="preserve"> </v>
      </c>
      <c r="AG339" s="40" t="s">
        <v>686</v>
      </c>
      <c r="AH339" s="264" t="str">
        <f t="shared" ca="1" si="27"/>
        <v xml:space="preserve"> </v>
      </c>
      <c r="AI339" s="40" t="s">
        <v>684</v>
      </c>
      <c r="AJ339" s="264" t="str">
        <f t="shared" ca="1" si="28"/>
        <v xml:space="preserve"> </v>
      </c>
      <c r="AK339" s="40" t="s">
        <v>687</v>
      </c>
      <c r="AL339" s="264" t="str">
        <f t="shared" si="29"/>
        <v>dodgerblue</v>
      </c>
      <c r="AM339" s="40" t="s">
        <v>688</v>
      </c>
      <c r="AN339" s="40" t="str">
        <f t="shared" ca="1" si="30"/>
        <v>,{"type":"polygon","latLngs":[ {"lat": ,"lng": }, {"lat": ,"lng": },{"lat": ,"lng": }], "color":"dodgerblue"}</v>
      </c>
      <c r="AO339" s="266" t="s">
        <v>689</v>
      </c>
      <c r="AP339" s="56" t="str">
        <f t="shared" ca="1" si="31"/>
        <v xml:space="preserve"> </v>
      </c>
      <c r="AQ339" s="40" t="s">
        <v>684</v>
      </c>
      <c r="AR339" s="56" t="str">
        <f t="shared" ca="1" si="32"/>
        <v xml:space="preserve"> </v>
      </c>
      <c r="AS339" s="40" t="s">
        <v>686</v>
      </c>
      <c r="AT339" s="56" t="str">
        <f t="shared" ca="1" si="33"/>
        <v xml:space="preserve"> </v>
      </c>
      <c r="AU339" s="40" t="s">
        <v>684</v>
      </c>
      <c r="AV339" s="56" t="str">
        <f t="shared" ca="1" si="34"/>
        <v xml:space="preserve"> </v>
      </c>
      <c r="AW339" s="40" t="s">
        <v>690</v>
      </c>
      <c r="AX339" s="40" t="str">
        <f t="shared" si="35"/>
        <v>dodgerblue</v>
      </c>
      <c r="AY339" s="40" t="s">
        <v>688</v>
      </c>
      <c r="AZ339" s="40" t="str">
        <f t="shared" ca="1" si="36"/>
        <v>,{"type":"polyline","latLngs":[{"lat": ,"lng": },{"lat": ,"lng": }],"color":"dodgerblue"}</v>
      </c>
      <c r="BA339" s="40" t="s">
        <v>691</v>
      </c>
      <c r="BB339" s="56" t="str">
        <f t="shared" ca="1" si="37"/>
        <v xml:space="preserve"> </v>
      </c>
      <c r="BC339" s="40" t="s">
        <v>684</v>
      </c>
      <c r="BD339" s="56" t="str">
        <f t="shared" ca="1" si="38"/>
        <v xml:space="preserve"> </v>
      </c>
      <c r="BE339" s="40" t="s">
        <v>692</v>
      </c>
      <c r="BF339" s="40" t="str">
        <f t="shared" si="39"/>
        <v>dodgerblue</v>
      </c>
      <c r="BG339" s="40" t="s">
        <v>688</v>
      </c>
      <c r="BH339" s="40" t="str">
        <f t="shared" ca="1" si="40"/>
        <v>,{"type":"marker","latLng":{"lat": ,"lng": },"color":"dodgerblue"}</v>
      </c>
      <c r="BI339" s="40" t="s">
        <v>693</v>
      </c>
      <c r="BJ339" s="40" t="s">
        <v>694</v>
      </c>
      <c r="BK339" s="267" t="str">
        <f t="shared" si="41"/>
        <v/>
      </c>
    </row>
    <row r="340" spans="7:63" ht="17.5">
      <c r="G340" s="261"/>
      <c r="H340" s="262"/>
      <c r="I340" s="93" t="s">
        <v>681</v>
      </c>
      <c r="J340" s="93" t="s">
        <v>681</v>
      </c>
      <c r="K340" s="93" t="s">
        <v>681</v>
      </c>
      <c r="L340" s="242" t="s">
        <v>681</v>
      </c>
      <c r="M340" s="263" t="str">
        <f t="shared" si="22"/>
        <v>dodgerblue</v>
      </c>
      <c r="N340" s="264" t="str">
        <f ca="1">IFERROR(__xludf.DUMMYFUNCTION("FILTER(C:E,B:B=J340)")," ")</f>
        <v xml:space="preserve"> </v>
      </c>
      <c r="O340" s="265" t="str">
        <f ca="1">IFERROR(__xludf.DUMMYFUNCTION("""COMPUTED_VALUE""")," ")</f>
        <v xml:space="preserve"> </v>
      </c>
      <c r="P340" s="265" t="str">
        <f ca="1">IFERROR(__xludf.DUMMYFUNCTION("""COMPUTED_VALUE""")," ")</f>
        <v xml:space="preserve"> </v>
      </c>
      <c r="Q340" s="264" t="str">
        <f ca="1">IFERROR(__xludf.DUMMYFUNCTION("FILTER(C:E,B:B=K340)")," ")</f>
        <v xml:space="preserve"> </v>
      </c>
      <c r="R340" s="265" t="str">
        <f ca="1">IFERROR(__xludf.DUMMYFUNCTION("""COMPUTED_VALUE""")," ")</f>
        <v xml:space="preserve"> </v>
      </c>
      <c r="S340" s="265" t="str">
        <f ca="1">IFERROR(__xludf.DUMMYFUNCTION("""COMPUTED_VALUE""")," ")</f>
        <v xml:space="preserve"> </v>
      </c>
      <c r="T340" s="264" t="str">
        <f ca="1">IFERROR(__xludf.DUMMYFUNCTION("FILTER(C:E,B:B=L340)")," ")</f>
        <v xml:space="preserve"> </v>
      </c>
      <c r="U340" s="40" t="str">
        <f ca="1">IFERROR(__xludf.DUMMYFUNCTION("""COMPUTED_VALUE""")," ")</f>
        <v xml:space="preserve"> </v>
      </c>
      <c r="V340" s="40" t="str">
        <f ca="1">IFERROR(__xludf.DUMMYFUNCTION("""COMPUTED_VALUE""")," ")</f>
        <v xml:space="preserve"> </v>
      </c>
      <c r="W340" s="40" t="str">
        <f t="shared" ca="1" si="42"/>
        <v>,</v>
      </c>
      <c r="X340" s="40" t="s">
        <v>682</v>
      </c>
      <c r="Y340" s="40" t="s">
        <v>683</v>
      </c>
      <c r="Z340" s="264" t="str">
        <f t="shared" ca="1" si="23"/>
        <v xml:space="preserve"> </v>
      </c>
      <c r="AA340" s="40" t="s">
        <v>684</v>
      </c>
      <c r="AB340" s="264" t="str">
        <f t="shared" ca="1" si="24"/>
        <v xml:space="preserve"> </v>
      </c>
      <c r="AC340" s="40" t="s">
        <v>685</v>
      </c>
      <c r="AD340" s="264" t="str">
        <f t="shared" ca="1" si="25"/>
        <v xml:space="preserve"> </v>
      </c>
      <c r="AE340" s="40" t="s">
        <v>684</v>
      </c>
      <c r="AF340" s="264" t="str">
        <f t="shared" ca="1" si="26"/>
        <v xml:space="preserve"> </v>
      </c>
      <c r="AG340" s="40" t="s">
        <v>686</v>
      </c>
      <c r="AH340" s="264" t="str">
        <f t="shared" ca="1" si="27"/>
        <v xml:space="preserve"> </v>
      </c>
      <c r="AI340" s="40" t="s">
        <v>684</v>
      </c>
      <c r="AJ340" s="264" t="str">
        <f t="shared" ca="1" si="28"/>
        <v xml:space="preserve"> </v>
      </c>
      <c r="AK340" s="40" t="s">
        <v>687</v>
      </c>
      <c r="AL340" s="264" t="str">
        <f t="shared" si="29"/>
        <v>dodgerblue</v>
      </c>
      <c r="AM340" s="40" t="s">
        <v>688</v>
      </c>
      <c r="AN340" s="40" t="str">
        <f t="shared" ca="1" si="30"/>
        <v>,{"type":"polygon","latLngs":[ {"lat": ,"lng": }, {"lat": ,"lng": },{"lat": ,"lng": }], "color":"dodgerblue"}</v>
      </c>
      <c r="AO340" s="266" t="s">
        <v>689</v>
      </c>
      <c r="AP340" s="56" t="str">
        <f t="shared" ca="1" si="31"/>
        <v xml:space="preserve"> </v>
      </c>
      <c r="AQ340" s="40" t="s">
        <v>684</v>
      </c>
      <c r="AR340" s="56" t="str">
        <f t="shared" ca="1" si="32"/>
        <v xml:space="preserve"> </v>
      </c>
      <c r="AS340" s="40" t="s">
        <v>686</v>
      </c>
      <c r="AT340" s="56" t="str">
        <f t="shared" ca="1" si="33"/>
        <v xml:space="preserve"> </v>
      </c>
      <c r="AU340" s="40" t="s">
        <v>684</v>
      </c>
      <c r="AV340" s="56" t="str">
        <f t="shared" ca="1" si="34"/>
        <v xml:space="preserve"> </v>
      </c>
      <c r="AW340" s="40" t="s">
        <v>690</v>
      </c>
      <c r="AX340" s="40" t="str">
        <f t="shared" si="35"/>
        <v>dodgerblue</v>
      </c>
      <c r="AY340" s="40" t="s">
        <v>688</v>
      </c>
      <c r="AZ340" s="40" t="str">
        <f t="shared" ca="1" si="36"/>
        <v>,{"type":"polyline","latLngs":[{"lat": ,"lng": },{"lat": ,"lng": }],"color":"dodgerblue"}</v>
      </c>
      <c r="BA340" s="40" t="s">
        <v>691</v>
      </c>
      <c r="BB340" s="56" t="str">
        <f t="shared" ca="1" si="37"/>
        <v xml:space="preserve"> </v>
      </c>
      <c r="BC340" s="40" t="s">
        <v>684</v>
      </c>
      <c r="BD340" s="56" t="str">
        <f t="shared" ca="1" si="38"/>
        <v xml:space="preserve"> </v>
      </c>
      <c r="BE340" s="40" t="s">
        <v>692</v>
      </c>
      <c r="BF340" s="40" t="str">
        <f t="shared" si="39"/>
        <v>dodgerblue</v>
      </c>
      <c r="BG340" s="40" t="s">
        <v>688</v>
      </c>
      <c r="BH340" s="40" t="str">
        <f t="shared" ca="1" si="40"/>
        <v>,{"type":"marker","latLng":{"lat": ,"lng": },"color":"dodgerblue"}</v>
      </c>
      <c r="BI340" s="40" t="s">
        <v>693</v>
      </c>
      <c r="BJ340" s="40" t="s">
        <v>694</v>
      </c>
      <c r="BK340" s="267" t="str">
        <f t="shared" si="41"/>
        <v/>
      </c>
    </row>
    <row r="341" spans="7:63" ht="17.5">
      <c r="G341" s="261"/>
      <c r="H341" s="262"/>
      <c r="I341" s="93" t="s">
        <v>681</v>
      </c>
      <c r="J341" s="93" t="s">
        <v>681</v>
      </c>
      <c r="K341" s="93" t="s">
        <v>681</v>
      </c>
      <c r="L341" s="242" t="s">
        <v>681</v>
      </c>
      <c r="M341" s="263" t="str">
        <f t="shared" si="22"/>
        <v>dodgerblue</v>
      </c>
      <c r="N341" s="264" t="str">
        <f ca="1">IFERROR(__xludf.DUMMYFUNCTION("FILTER(C:E,B:B=J341)")," ")</f>
        <v xml:space="preserve"> </v>
      </c>
      <c r="O341" s="265" t="str">
        <f ca="1">IFERROR(__xludf.DUMMYFUNCTION("""COMPUTED_VALUE""")," ")</f>
        <v xml:space="preserve"> </v>
      </c>
      <c r="P341" s="265" t="str">
        <f ca="1">IFERROR(__xludf.DUMMYFUNCTION("""COMPUTED_VALUE""")," ")</f>
        <v xml:space="preserve"> </v>
      </c>
      <c r="Q341" s="264" t="str">
        <f ca="1">IFERROR(__xludf.DUMMYFUNCTION("FILTER(C:E,B:B=K341)")," ")</f>
        <v xml:space="preserve"> </v>
      </c>
      <c r="R341" s="265" t="str">
        <f ca="1">IFERROR(__xludf.DUMMYFUNCTION("""COMPUTED_VALUE""")," ")</f>
        <v xml:space="preserve"> </v>
      </c>
      <c r="S341" s="265" t="str">
        <f ca="1">IFERROR(__xludf.DUMMYFUNCTION("""COMPUTED_VALUE""")," ")</f>
        <v xml:space="preserve"> </v>
      </c>
      <c r="T341" s="264" t="str">
        <f ca="1">IFERROR(__xludf.DUMMYFUNCTION("FILTER(C:E,B:B=L341)")," ")</f>
        <v xml:space="preserve"> </v>
      </c>
      <c r="U341" s="40" t="str">
        <f ca="1">IFERROR(__xludf.DUMMYFUNCTION("""COMPUTED_VALUE""")," ")</f>
        <v xml:space="preserve"> </v>
      </c>
      <c r="V341" s="40" t="str">
        <f ca="1">IFERROR(__xludf.DUMMYFUNCTION("""COMPUTED_VALUE""")," ")</f>
        <v xml:space="preserve"> </v>
      </c>
      <c r="W341" s="40" t="str">
        <f t="shared" ca="1" si="42"/>
        <v>,</v>
      </c>
      <c r="X341" s="40" t="s">
        <v>682</v>
      </c>
      <c r="Y341" s="40" t="s">
        <v>683</v>
      </c>
      <c r="Z341" s="264" t="str">
        <f t="shared" ca="1" si="23"/>
        <v xml:space="preserve"> </v>
      </c>
      <c r="AA341" s="40" t="s">
        <v>684</v>
      </c>
      <c r="AB341" s="264" t="str">
        <f t="shared" ca="1" si="24"/>
        <v xml:space="preserve"> </v>
      </c>
      <c r="AC341" s="40" t="s">
        <v>685</v>
      </c>
      <c r="AD341" s="264" t="str">
        <f t="shared" ca="1" si="25"/>
        <v xml:space="preserve"> </v>
      </c>
      <c r="AE341" s="40" t="s">
        <v>684</v>
      </c>
      <c r="AF341" s="264" t="str">
        <f t="shared" ca="1" si="26"/>
        <v xml:space="preserve"> </v>
      </c>
      <c r="AG341" s="40" t="s">
        <v>686</v>
      </c>
      <c r="AH341" s="264" t="str">
        <f t="shared" ca="1" si="27"/>
        <v xml:space="preserve"> </v>
      </c>
      <c r="AI341" s="40" t="s">
        <v>684</v>
      </c>
      <c r="AJ341" s="264" t="str">
        <f t="shared" ca="1" si="28"/>
        <v xml:space="preserve"> </v>
      </c>
      <c r="AK341" s="40" t="s">
        <v>687</v>
      </c>
      <c r="AL341" s="264" t="str">
        <f t="shared" si="29"/>
        <v>dodgerblue</v>
      </c>
      <c r="AM341" s="40" t="s">
        <v>688</v>
      </c>
      <c r="AN341" s="40" t="str">
        <f t="shared" ca="1" si="30"/>
        <v>,{"type":"polygon","latLngs":[ {"lat": ,"lng": }, {"lat": ,"lng": },{"lat": ,"lng": }], "color":"dodgerblue"}</v>
      </c>
      <c r="AO341" s="266" t="s">
        <v>689</v>
      </c>
      <c r="AP341" s="56" t="str">
        <f t="shared" ca="1" si="31"/>
        <v xml:space="preserve"> </v>
      </c>
      <c r="AQ341" s="40" t="s">
        <v>684</v>
      </c>
      <c r="AR341" s="56" t="str">
        <f t="shared" ca="1" si="32"/>
        <v xml:space="preserve"> </v>
      </c>
      <c r="AS341" s="40" t="s">
        <v>686</v>
      </c>
      <c r="AT341" s="56" t="str">
        <f t="shared" ca="1" si="33"/>
        <v xml:space="preserve"> </v>
      </c>
      <c r="AU341" s="40" t="s">
        <v>684</v>
      </c>
      <c r="AV341" s="56" t="str">
        <f t="shared" ca="1" si="34"/>
        <v xml:space="preserve"> </v>
      </c>
      <c r="AW341" s="40" t="s">
        <v>690</v>
      </c>
      <c r="AX341" s="40" t="str">
        <f t="shared" si="35"/>
        <v>dodgerblue</v>
      </c>
      <c r="AY341" s="40" t="s">
        <v>688</v>
      </c>
      <c r="AZ341" s="40" t="str">
        <f t="shared" ca="1" si="36"/>
        <v>,{"type":"polyline","latLngs":[{"lat": ,"lng": },{"lat": ,"lng": }],"color":"dodgerblue"}</v>
      </c>
      <c r="BA341" s="40" t="s">
        <v>691</v>
      </c>
      <c r="BB341" s="56" t="str">
        <f t="shared" ca="1" si="37"/>
        <v xml:space="preserve"> </v>
      </c>
      <c r="BC341" s="40" t="s">
        <v>684</v>
      </c>
      <c r="BD341" s="56" t="str">
        <f t="shared" ca="1" si="38"/>
        <v xml:space="preserve"> </v>
      </c>
      <c r="BE341" s="40" t="s">
        <v>692</v>
      </c>
      <c r="BF341" s="40" t="str">
        <f t="shared" si="39"/>
        <v>dodgerblue</v>
      </c>
      <c r="BG341" s="40" t="s">
        <v>688</v>
      </c>
      <c r="BH341" s="40" t="str">
        <f t="shared" ca="1" si="40"/>
        <v>,{"type":"marker","latLng":{"lat": ,"lng": },"color":"dodgerblue"}</v>
      </c>
      <c r="BI341" s="40" t="s">
        <v>693</v>
      </c>
      <c r="BJ341" s="40" t="s">
        <v>694</v>
      </c>
      <c r="BK341" s="267" t="str">
        <f t="shared" si="41"/>
        <v/>
      </c>
    </row>
    <row r="342" spans="7:63" ht="17.5">
      <c r="G342" s="261"/>
      <c r="H342" s="262"/>
      <c r="I342" s="93" t="s">
        <v>681</v>
      </c>
      <c r="J342" s="93" t="s">
        <v>681</v>
      </c>
      <c r="K342" s="93" t="s">
        <v>681</v>
      </c>
      <c r="L342" s="242" t="s">
        <v>681</v>
      </c>
      <c r="M342" s="263" t="str">
        <f t="shared" si="22"/>
        <v>dodgerblue</v>
      </c>
      <c r="N342" s="264" t="str">
        <f ca="1">IFERROR(__xludf.DUMMYFUNCTION("FILTER(C:E,B:B=J342)")," ")</f>
        <v xml:space="preserve"> </v>
      </c>
      <c r="O342" s="265" t="str">
        <f ca="1">IFERROR(__xludf.DUMMYFUNCTION("""COMPUTED_VALUE""")," ")</f>
        <v xml:space="preserve"> </v>
      </c>
      <c r="P342" s="265" t="str">
        <f ca="1">IFERROR(__xludf.DUMMYFUNCTION("""COMPUTED_VALUE""")," ")</f>
        <v xml:space="preserve"> </v>
      </c>
      <c r="Q342" s="264" t="str">
        <f ca="1">IFERROR(__xludf.DUMMYFUNCTION("FILTER(C:E,B:B=K342)")," ")</f>
        <v xml:space="preserve"> </v>
      </c>
      <c r="R342" s="265" t="str">
        <f ca="1">IFERROR(__xludf.DUMMYFUNCTION("""COMPUTED_VALUE""")," ")</f>
        <v xml:space="preserve"> </v>
      </c>
      <c r="S342" s="265" t="str">
        <f ca="1">IFERROR(__xludf.DUMMYFUNCTION("""COMPUTED_VALUE""")," ")</f>
        <v xml:space="preserve"> </v>
      </c>
      <c r="T342" s="264" t="str">
        <f ca="1">IFERROR(__xludf.DUMMYFUNCTION("FILTER(C:E,B:B=L342)")," ")</f>
        <v xml:space="preserve"> </v>
      </c>
      <c r="U342" s="40" t="str">
        <f ca="1">IFERROR(__xludf.DUMMYFUNCTION("""COMPUTED_VALUE""")," ")</f>
        <v xml:space="preserve"> </v>
      </c>
      <c r="V342" s="40" t="str">
        <f ca="1">IFERROR(__xludf.DUMMYFUNCTION("""COMPUTED_VALUE""")," ")</f>
        <v xml:space="preserve"> </v>
      </c>
      <c r="W342" s="40" t="str">
        <f t="shared" ca="1" si="42"/>
        <v>,</v>
      </c>
      <c r="X342" s="40" t="s">
        <v>682</v>
      </c>
      <c r="Y342" s="40" t="s">
        <v>683</v>
      </c>
      <c r="Z342" s="264" t="str">
        <f t="shared" ca="1" si="23"/>
        <v xml:space="preserve"> </v>
      </c>
      <c r="AA342" s="40" t="s">
        <v>684</v>
      </c>
      <c r="AB342" s="264" t="str">
        <f t="shared" ca="1" si="24"/>
        <v xml:space="preserve"> </v>
      </c>
      <c r="AC342" s="40" t="s">
        <v>685</v>
      </c>
      <c r="AD342" s="264" t="str">
        <f t="shared" ca="1" si="25"/>
        <v xml:space="preserve"> </v>
      </c>
      <c r="AE342" s="40" t="s">
        <v>684</v>
      </c>
      <c r="AF342" s="264" t="str">
        <f t="shared" ca="1" si="26"/>
        <v xml:space="preserve"> </v>
      </c>
      <c r="AG342" s="40" t="s">
        <v>686</v>
      </c>
      <c r="AH342" s="264" t="str">
        <f t="shared" ca="1" si="27"/>
        <v xml:space="preserve"> </v>
      </c>
      <c r="AI342" s="40" t="s">
        <v>684</v>
      </c>
      <c r="AJ342" s="264" t="str">
        <f t="shared" ca="1" si="28"/>
        <v xml:space="preserve"> </v>
      </c>
      <c r="AK342" s="40" t="s">
        <v>687</v>
      </c>
      <c r="AL342" s="264" t="str">
        <f t="shared" si="29"/>
        <v>dodgerblue</v>
      </c>
      <c r="AM342" s="40" t="s">
        <v>688</v>
      </c>
      <c r="AN342" s="40" t="str">
        <f t="shared" ca="1" si="30"/>
        <v>,{"type":"polygon","latLngs":[ {"lat": ,"lng": }, {"lat": ,"lng": },{"lat": ,"lng": }], "color":"dodgerblue"}</v>
      </c>
      <c r="AO342" s="266" t="s">
        <v>689</v>
      </c>
      <c r="AP342" s="56" t="str">
        <f t="shared" ca="1" si="31"/>
        <v xml:space="preserve"> </v>
      </c>
      <c r="AQ342" s="40" t="s">
        <v>684</v>
      </c>
      <c r="AR342" s="56" t="str">
        <f t="shared" ca="1" si="32"/>
        <v xml:space="preserve"> </v>
      </c>
      <c r="AS342" s="40" t="s">
        <v>686</v>
      </c>
      <c r="AT342" s="56" t="str">
        <f t="shared" ca="1" si="33"/>
        <v xml:space="preserve"> </v>
      </c>
      <c r="AU342" s="40" t="s">
        <v>684</v>
      </c>
      <c r="AV342" s="56" t="str">
        <f t="shared" ca="1" si="34"/>
        <v xml:space="preserve"> </v>
      </c>
      <c r="AW342" s="40" t="s">
        <v>690</v>
      </c>
      <c r="AX342" s="40" t="str">
        <f t="shared" si="35"/>
        <v>dodgerblue</v>
      </c>
      <c r="AY342" s="40" t="s">
        <v>688</v>
      </c>
      <c r="AZ342" s="40" t="str">
        <f t="shared" ca="1" si="36"/>
        <v>,{"type":"polyline","latLngs":[{"lat": ,"lng": },{"lat": ,"lng": }],"color":"dodgerblue"}</v>
      </c>
      <c r="BA342" s="40" t="s">
        <v>691</v>
      </c>
      <c r="BB342" s="56" t="str">
        <f t="shared" ca="1" si="37"/>
        <v xml:space="preserve"> </v>
      </c>
      <c r="BC342" s="40" t="s">
        <v>684</v>
      </c>
      <c r="BD342" s="56" t="str">
        <f t="shared" ca="1" si="38"/>
        <v xml:space="preserve"> </v>
      </c>
      <c r="BE342" s="40" t="s">
        <v>692</v>
      </c>
      <c r="BF342" s="40" t="str">
        <f t="shared" si="39"/>
        <v>dodgerblue</v>
      </c>
      <c r="BG342" s="40" t="s">
        <v>688</v>
      </c>
      <c r="BH342" s="40" t="str">
        <f t="shared" ca="1" si="40"/>
        <v>,{"type":"marker","latLng":{"lat": ,"lng": },"color":"dodgerblue"}</v>
      </c>
      <c r="BI342" s="40" t="s">
        <v>693</v>
      </c>
      <c r="BJ342" s="40" t="s">
        <v>694</v>
      </c>
      <c r="BK342" s="267" t="str">
        <f t="shared" si="41"/>
        <v/>
      </c>
    </row>
    <row r="343" spans="7:63" ht="17.5">
      <c r="G343" s="261"/>
      <c r="H343" s="262"/>
      <c r="I343" s="93" t="s">
        <v>681</v>
      </c>
      <c r="J343" s="93" t="s">
        <v>681</v>
      </c>
      <c r="K343" s="93" t="s">
        <v>681</v>
      </c>
      <c r="L343" s="242" t="s">
        <v>681</v>
      </c>
      <c r="M343" s="263" t="str">
        <f t="shared" si="22"/>
        <v>dodgerblue</v>
      </c>
      <c r="N343" s="264" t="str">
        <f ca="1">IFERROR(__xludf.DUMMYFUNCTION("FILTER(C:E,B:B=J343)")," ")</f>
        <v xml:space="preserve"> </v>
      </c>
      <c r="O343" s="265" t="str">
        <f ca="1">IFERROR(__xludf.DUMMYFUNCTION("""COMPUTED_VALUE""")," ")</f>
        <v xml:space="preserve"> </v>
      </c>
      <c r="P343" s="265" t="str">
        <f ca="1">IFERROR(__xludf.DUMMYFUNCTION("""COMPUTED_VALUE""")," ")</f>
        <v xml:space="preserve"> </v>
      </c>
      <c r="Q343" s="264" t="str">
        <f ca="1">IFERROR(__xludf.DUMMYFUNCTION("FILTER(C:E,B:B=K343)")," ")</f>
        <v xml:space="preserve"> </v>
      </c>
      <c r="R343" s="265" t="str">
        <f ca="1">IFERROR(__xludf.DUMMYFUNCTION("""COMPUTED_VALUE""")," ")</f>
        <v xml:space="preserve"> </v>
      </c>
      <c r="S343" s="265" t="str">
        <f ca="1">IFERROR(__xludf.DUMMYFUNCTION("""COMPUTED_VALUE""")," ")</f>
        <v xml:space="preserve"> </v>
      </c>
      <c r="T343" s="264" t="str">
        <f ca="1">IFERROR(__xludf.DUMMYFUNCTION("FILTER(C:E,B:B=L343)")," ")</f>
        <v xml:space="preserve"> </v>
      </c>
      <c r="U343" s="40" t="str">
        <f ca="1">IFERROR(__xludf.DUMMYFUNCTION("""COMPUTED_VALUE""")," ")</f>
        <v xml:space="preserve"> </v>
      </c>
      <c r="V343" s="40" t="str">
        <f ca="1">IFERROR(__xludf.DUMMYFUNCTION("""COMPUTED_VALUE""")," ")</f>
        <v xml:space="preserve"> </v>
      </c>
      <c r="W343" s="40" t="str">
        <f t="shared" ca="1" si="42"/>
        <v>,</v>
      </c>
      <c r="X343" s="40" t="s">
        <v>682</v>
      </c>
      <c r="Y343" s="40" t="s">
        <v>683</v>
      </c>
      <c r="Z343" s="264" t="str">
        <f t="shared" ca="1" si="23"/>
        <v xml:space="preserve"> </v>
      </c>
      <c r="AA343" s="40" t="s">
        <v>684</v>
      </c>
      <c r="AB343" s="264" t="str">
        <f t="shared" ca="1" si="24"/>
        <v xml:space="preserve"> </v>
      </c>
      <c r="AC343" s="40" t="s">
        <v>685</v>
      </c>
      <c r="AD343" s="264" t="str">
        <f t="shared" ca="1" si="25"/>
        <v xml:space="preserve"> </v>
      </c>
      <c r="AE343" s="40" t="s">
        <v>684</v>
      </c>
      <c r="AF343" s="264" t="str">
        <f t="shared" ca="1" si="26"/>
        <v xml:space="preserve"> </v>
      </c>
      <c r="AG343" s="40" t="s">
        <v>686</v>
      </c>
      <c r="AH343" s="264" t="str">
        <f t="shared" ca="1" si="27"/>
        <v xml:space="preserve"> </v>
      </c>
      <c r="AI343" s="40" t="s">
        <v>684</v>
      </c>
      <c r="AJ343" s="264" t="str">
        <f t="shared" ca="1" si="28"/>
        <v xml:space="preserve"> </v>
      </c>
      <c r="AK343" s="40" t="s">
        <v>687</v>
      </c>
      <c r="AL343" s="264" t="str">
        <f t="shared" si="29"/>
        <v>dodgerblue</v>
      </c>
      <c r="AM343" s="40" t="s">
        <v>688</v>
      </c>
      <c r="AN343" s="40" t="str">
        <f t="shared" ca="1" si="30"/>
        <v>,{"type":"polygon","latLngs":[ {"lat": ,"lng": }, {"lat": ,"lng": },{"lat": ,"lng": }], "color":"dodgerblue"}</v>
      </c>
      <c r="AO343" s="266" t="s">
        <v>689</v>
      </c>
      <c r="AP343" s="56" t="str">
        <f t="shared" ca="1" si="31"/>
        <v xml:space="preserve"> </v>
      </c>
      <c r="AQ343" s="40" t="s">
        <v>684</v>
      </c>
      <c r="AR343" s="56" t="str">
        <f t="shared" ca="1" si="32"/>
        <v xml:space="preserve"> </v>
      </c>
      <c r="AS343" s="40" t="s">
        <v>686</v>
      </c>
      <c r="AT343" s="56" t="str">
        <f t="shared" ca="1" si="33"/>
        <v xml:space="preserve"> </v>
      </c>
      <c r="AU343" s="40" t="s">
        <v>684</v>
      </c>
      <c r="AV343" s="56" t="str">
        <f t="shared" ca="1" si="34"/>
        <v xml:space="preserve"> </v>
      </c>
      <c r="AW343" s="40" t="s">
        <v>690</v>
      </c>
      <c r="AX343" s="40" t="str">
        <f t="shared" si="35"/>
        <v>dodgerblue</v>
      </c>
      <c r="AY343" s="40" t="s">
        <v>688</v>
      </c>
      <c r="AZ343" s="40" t="str">
        <f t="shared" ca="1" si="36"/>
        <v>,{"type":"polyline","latLngs":[{"lat": ,"lng": },{"lat": ,"lng": }],"color":"dodgerblue"}</v>
      </c>
      <c r="BA343" s="40" t="s">
        <v>691</v>
      </c>
      <c r="BB343" s="56" t="str">
        <f t="shared" ca="1" si="37"/>
        <v xml:space="preserve"> </v>
      </c>
      <c r="BC343" s="40" t="s">
        <v>684</v>
      </c>
      <c r="BD343" s="56" t="str">
        <f t="shared" ca="1" si="38"/>
        <v xml:space="preserve"> </v>
      </c>
      <c r="BE343" s="40" t="s">
        <v>692</v>
      </c>
      <c r="BF343" s="40" t="str">
        <f t="shared" si="39"/>
        <v>dodgerblue</v>
      </c>
      <c r="BG343" s="40" t="s">
        <v>688</v>
      </c>
      <c r="BH343" s="40" t="str">
        <f t="shared" ca="1" si="40"/>
        <v>,{"type":"marker","latLng":{"lat": ,"lng": },"color":"dodgerblue"}</v>
      </c>
      <c r="BI343" s="40" t="s">
        <v>693</v>
      </c>
      <c r="BJ343" s="40" t="s">
        <v>694</v>
      </c>
      <c r="BK343" s="267" t="str">
        <f t="shared" si="41"/>
        <v/>
      </c>
    </row>
    <row r="344" spans="7:63" ht="17.5">
      <c r="G344" s="261"/>
      <c r="H344" s="262"/>
      <c r="I344" s="93" t="s">
        <v>681</v>
      </c>
      <c r="J344" s="93" t="s">
        <v>681</v>
      </c>
      <c r="K344" s="93" t="s">
        <v>681</v>
      </c>
      <c r="L344" s="242" t="s">
        <v>681</v>
      </c>
      <c r="M344" s="263" t="str">
        <f t="shared" si="22"/>
        <v>dodgerblue</v>
      </c>
      <c r="N344" s="264" t="str">
        <f ca="1">IFERROR(__xludf.DUMMYFUNCTION("FILTER(C:E,B:B=J344)")," ")</f>
        <v xml:space="preserve"> </v>
      </c>
      <c r="O344" s="265" t="str">
        <f ca="1">IFERROR(__xludf.DUMMYFUNCTION("""COMPUTED_VALUE""")," ")</f>
        <v xml:space="preserve"> </v>
      </c>
      <c r="P344" s="265" t="str">
        <f ca="1">IFERROR(__xludf.DUMMYFUNCTION("""COMPUTED_VALUE""")," ")</f>
        <v xml:space="preserve"> </v>
      </c>
      <c r="Q344" s="264" t="str">
        <f ca="1">IFERROR(__xludf.DUMMYFUNCTION("FILTER(C:E,B:B=K344)")," ")</f>
        <v xml:space="preserve"> </v>
      </c>
      <c r="R344" s="265" t="str">
        <f ca="1">IFERROR(__xludf.DUMMYFUNCTION("""COMPUTED_VALUE""")," ")</f>
        <v xml:space="preserve"> </v>
      </c>
      <c r="S344" s="265" t="str">
        <f ca="1">IFERROR(__xludf.DUMMYFUNCTION("""COMPUTED_VALUE""")," ")</f>
        <v xml:space="preserve"> </v>
      </c>
      <c r="T344" s="264" t="str">
        <f ca="1">IFERROR(__xludf.DUMMYFUNCTION("FILTER(C:E,B:B=L344)")," ")</f>
        <v xml:space="preserve"> </v>
      </c>
      <c r="U344" s="40" t="str">
        <f ca="1">IFERROR(__xludf.DUMMYFUNCTION("""COMPUTED_VALUE""")," ")</f>
        <v xml:space="preserve"> </v>
      </c>
      <c r="V344" s="40" t="str">
        <f ca="1">IFERROR(__xludf.DUMMYFUNCTION("""COMPUTED_VALUE""")," ")</f>
        <v xml:space="preserve"> </v>
      </c>
      <c r="W344" s="40" t="str">
        <f t="shared" ca="1" si="42"/>
        <v>,</v>
      </c>
      <c r="X344" s="40" t="s">
        <v>682</v>
      </c>
      <c r="Y344" s="40" t="s">
        <v>683</v>
      </c>
      <c r="Z344" s="264" t="str">
        <f t="shared" ca="1" si="23"/>
        <v xml:space="preserve"> </v>
      </c>
      <c r="AA344" s="40" t="s">
        <v>684</v>
      </c>
      <c r="AB344" s="264" t="str">
        <f t="shared" ca="1" si="24"/>
        <v xml:space="preserve"> </v>
      </c>
      <c r="AC344" s="40" t="s">
        <v>685</v>
      </c>
      <c r="AD344" s="264" t="str">
        <f t="shared" ca="1" si="25"/>
        <v xml:space="preserve"> </v>
      </c>
      <c r="AE344" s="40" t="s">
        <v>684</v>
      </c>
      <c r="AF344" s="264" t="str">
        <f t="shared" ca="1" si="26"/>
        <v xml:space="preserve"> </v>
      </c>
      <c r="AG344" s="40" t="s">
        <v>686</v>
      </c>
      <c r="AH344" s="264" t="str">
        <f t="shared" ca="1" si="27"/>
        <v xml:space="preserve"> </v>
      </c>
      <c r="AI344" s="40" t="s">
        <v>684</v>
      </c>
      <c r="AJ344" s="264" t="str">
        <f t="shared" ca="1" si="28"/>
        <v xml:space="preserve"> </v>
      </c>
      <c r="AK344" s="40" t="s">
        <v>687</v>
      </c>
      <c r="AL344" s="264" t="str">
        <f t="shared" si="29"/>
        <v>dodgerblue</v>
      </c>
      <c r="AM344" s="40" t="s">
        <v>688</v>
      </c>
      <c r="AN344" s="40" t="str">
        <f t="shared" ca="1" si="30"/>
        <v>,{"type":"polygon","latLngs":[ {"lat": ,"lng": }, {"lat": ,"lng": },{"lat": ,"lng": }], "color":"dodgerblue"}</v>
      </c>
      <c r="AO344" s="266" t="s">
        <v>689</v>
      </c>
      <c r="AP344" s="56" t="str">
        <f t="shared" ca="1" si="31"/>
        <v xml:space="preserve"> </v>
      </c>
      <c r="AQ344" s="40" t="s">
        <v>684</v>
      </c>
      <c r="AR344" s="56" t="str">
        <f t="shared" ca="1" si="32"/>
        <v xml:space="preserve"> </v>
      </c>
      <c r="AS344" s="40" t="s">
        <v>686</v>
      </c>
      <c r="AT344" s="56" t="str">
        <f t="shared" ca="1" si="33"/>
        <v xml:space="preserve"> </v>
      </c>
      <c r="AU344" s="40" t="s">
        <v>684</v>
      </c>
      <c r="AV344" s="56" t="str">
        <f t="shared" ca="1" si="34"/>
        <v xml:space="preserve"> </v>
      </c>
      <c r="AW344" s="40" t="s">
        <v>690</v>
      </c>
      <c r="AX344" s="40" t="str">
        <f t="shared" si="35"/>
        <v>dodgerblue</v>
      </c>
      <c r="AY344" s="40" t="s">
        <v>688</v>
      </c>
      <c r="AZ344" s="40" t="str">
        <f t="shared" ca="1" si="36"/>
        <v>,{"type":"polyline","latLngs":[{"lat": ,"lng": },{"lat": ,"lng": }],"color":"dodgerblue"}</v>
      </c>
      <c r="BA344" s="40" t="s">
        <v>691</v>
      </c>
      <c r="BB344" s="56" t="str">
        <f t="shared" ca="1" si="37"/>
        <v xml:space="preserve"> </v>
      </c>
      <c r="BC344" s="40" t="s">
        <v>684</v>
      </c>
      <c r="BD344" s="56" t="str">
        <f t="shared" ca="1" si="38"/>
        <v xml:space="preserve"> </v>
      </c>
      <c r="BE344" s="40" t="s">
        <v>692</v>
      </c>
      <c r="BF344" s="40" t="str">
        <f t="shared" si="39"/>
        <v>dodgerblue</v>
      </c>
      <c r="BG344" s="40" t="s">
        <v>688</v>
      </c>
      <c r="BH344" s="40" t="str">
        <f t="shared" ca="1" si="40"/>
        <v>,{"type":"marker","latLng":{"lat": ,"lng": },"color":"dodgerblue"}</v>
      </c>
      <c r="BI344" s="40" t="s">
        <v>693</v>
      </c>
      <c r="BJ344" s="40" t="s">
        <v>694</v>
      </c>
      <c r="BK344" s="267" t="str">
        <f t="shared" si="41"/>
        <v/>
      </c>
    </row>
    <row r="345" spans="7:63" ht="17.5">
      <c r="G345" s="261"/>
      <c r="H345" s="262"/>
      <c r="I345" s="93" t="s">
        <v>681</v>
      </c>
      <c r="J345" s="93" t="s">
        <v>681</v>
      </c>
      <c r="K345" s="93" t="s">
        <v>681</v>
      </c>
      <c r="L345" s="242" t="s">
        <v>681</v>
      </c>
      <c r="M345" s="263" t="str">
        <f t="shared" si="22"/>
        <v>dodgerblue</v>
      </c>
      <c r="N345" s="264" t="str">
        <f ca="1">IFERROR(__xludf.DUMMYFUNCTION("FILTER(C:E,B:B=J345)")," ")</f>
        <v xml:space="preserve"> </v>
      </c>
      <c r="O345" s="265" t="str">
        <f ca="1">IFERROR(__xludf.DUMMYFUNCTION("""COMPUTED_VALUE""")," ")</f>
        <v xml:space="preserve"> </v>
      </c>
      <c r="P345" s="265" t="str">
        <f ca="1">IFERROR(__xludf.DUMMYFUNCTION("""COMPUTED_VALUE""")," ")</f>
        <v xml:space="preserve"> </v>
      </c>
      <c r="Q345" s="264" t="str">
        <f ca="1">IFERROR(__xludf.DUMMYFUNCTION("FILTER(C:E,B:B=K345)")," ")</f>
        <v xml:space="preserve"> </v>
      </c>
      <c r="R345" s="265" t="str">
        <f ca="1">IFERROR(__xludf.DUMMYFUNCTION("""COMPUTED_VALUE""")," ")</f>
        <v xml:space="preserve"> </v>
      </c>
      <c r="S345" s="265" t="str">
        <f ca="1">IFERROR(__xludf.DUMMYFUNCTION("""COMPUTED_VALUE""")," ")</f>
        <v xml:space="preserve"> </v>
      </c>
      <c r="T345" s="264" t="str">
        <f ca="1">IFERROR(__xludf.DUMMYFUNCTION("FILTER(C:E,B:B=L345)")," ")</f>
        <v xml:space="preserve"> </v>
      </c>
      <c r="U345" s="40" t="str">
        <f ca="1">IFERROR(__xludf.DUMMYFUNCTION("""COMPUTED_VALUE""")," ")</f>
        <v xml:space="preserve"> </v>
      </c>
      <c r="V345" s="40" t="str">
        <f ca="1">IFERROR(__xludf.DUMMYFUNCTION("""COMPUTED_VALUE""")," ")</f>
        <v xml:space="preserve"> </v>
      </c>
      <c r="W345" s="40" t="str">
        <f t="shared" ca="1" si="42"/>
        <v>,</v>
      </c>
      <c r="X345" s="40" t="s">
        <v>682</v>
      </c>
      <c r="Y345" s="40" t="s">
        <v>683</v>
      </c>
      <c r="Z345" s="264" t="str">
        <f t="shared" ca="1" si="23"/>
        <v xml:space="preserve"> </v>
      </c>
      <c r="AA345" s="40" t="s">
        <v>684</v>
      </c>
      <c r="AB345" s="264" t="str">
        <f t="shared" ca="1" si="24"/>
        <v xml:space="preserve"> </v>
      </c>
      <c r="AC345" s="40" t="s">
        <v>685</v>
      </c>
      <c r="AD345" s="264" t="str">
        <f t="shared" ca="1" si="25"/>
        <v xml:space="preserve"> </v>
      </c>
      <c r="AE345" s="40" t="s">
        <v>684</v>
      </c>
      <c r="AF345" s="264" t="str">
        <f t="shared" ca="1" si="26"/>
        <v xml:space="preserve"> </v>
      </c>
      <c r="AG345" s="40" t="s">
        <v>686</v>
      </c>
      <c r="AH345" s="264" t="str">
        <f t="shared" ca="1" si="27"/>
        <v xml:space="preserve"> </v>
      </c>
      <c r="AI345" s="40" t="s">
        <v>684</v>
      </c>
      <c r="AJ345" s="264" t="str">
        <f t="shared" ca="1" si="28"/>
        <v xml:space="preserve"> </v>
      </c>
      <c r="AK345" s="40" t="s">
        <v>687</v>
      </c>
      <c r="AL345" s="264" t="str">
        <f t="shared" si="29"/>
        <v>dodgerblue</v>
      </c>
      <c r="AM345" s="40" t="s">
        <v>688</v>
      </c>
      <c r="AN345" s="40" t="str">
        <f t="shared" ca="1" si="30"/>
        <v>,{"type":"polygon","latLngs":[ {"lat": ,"lng": }, {"lat": ,"lng": },{"lat": ,"lng": }], "color":"dodgerblue"}</v>
      </c>
      <c r="AO345" s="266" t="s">
        <v>689</v>
      </c>
      <c r="AP345" s="56" t="str">
        <f t="shared" ca="1" si="31"/>
        <v xml:space="preserve"> </v>
      </c>
      <c r="AQ345" s="40" t="s">
        <v>684</v>
      </c>
      <c r="AR345" s="56" t="str">
        <f t="shared" ca="1" si="32"/>
        <v xml:space="preserve"> </v>
      </c>
      <c r="AS345" s="40" t="s">
        <v>686</v>
      </c>
      <c r="AT345" s="56" t="str">
        <f t="shared" ca="1" si="33"/>
        <v xml:space="preserve"> </v>
      </c>
      <c r="AU345" s="40" t="s">
        <v>684</v>
      </c>
      <c r="AV345" s="56" t="str">
        <f t="shared" ca="1" si="34"/>
        <v xml:space="preserve"> </v>
      </c>
      <c r="AW345" s="40" t="s">
        <v>690</v>
      </c>
      <c r="AX345" s="40" t="str">
        <f t="shared" si="35"/>
        <v>dodgerblue</v>
      </c>
      <c r="AY345" s="40" t="s">
        <v>688</v>
      </c>
      <c r="AZ345" s="40" t="str">
        <f t="shared" ca="1" si="36"/>
        <v>,{"type":"polyline","latLngs":[{"lat": ,"lng": },{"lat": ,"lng": }],"color":"dodgerblue"}</v>
      </c>
      <c r="BA345" s="40" t="s">
        <v>691</v>
      </c>
      <c r="BB345" s="56" t="str">
        <f t="shared" ca="1" si="37"/>
        <v xml:space="preserve"> </v>
      </c>
      <c r="BC345" s="40" t="s">
        <v>684</v>
      </c>
      <c r="BD345" s="56" t="str">
        <f t="shared" ca="1" si="38"/>
        <v xml:space="preserve"> </v>
      </c>
      <c r="BE345" s="40" t="s">
        <v>692</v>
      </c>
      <c r="BF345" s="40" t="str">
        <f t="shared" si="39"/>
        <v>dodgerblue</v>
      </c>
      <c r="BG345" s="40" t="s">
        <v>688</v>
      </c>
      <c r="BH345" s="40" t="str">
        <f t="shared" ca="1" si="40"/>
        <v>,{"type":"marker","latLng":{"lat": ,"lng": },"color":"dodgerblue"}</v>
      </c>
      <c r="BI345" s="40" t="s">
        <v>693</v>
      </c>
      <c r="BJ345" s="40" t="s">
        <v>694</v>
      </c>
      <c r="BK345" s="267" t="str">
        <f t="shared" si="41"/>
        <v/>
      </c>
    </row>
    <row r="346" spans="7:63" ht="17.5">
      <c r="G346" s="261"/>
      <c r="H346" s="262"/>
      <c r="I346" s="93" t="s">
        <v>681</v>
      </c>
      <c r="J346" s="93" t="s">
        <v>681</v>
      </c>
      <c r="K346" s="93" t="s">
        <v>681</v>
      </c>
      <c r="L346" s="242" t="s">
        <v>681</v>
      </c>
      <c r="M346" s="263" t="str">
        <f t="shared" si="22"/>
        <v>dodgerblue</v>
      </c>
      <c r="N346" s="264" t="str">
        <f ca="1">IFERROR(__xludf.DUMMYFUNCTION("FILTER(C:E,B:B=J346)")," ")</f>
        <v xml:space="preserve"> </v>
      </c>
      <c r="O346" s="265" t="str">
        <f ca="1">IFERROR(__xludf.DUMMYFUNCTION("""COMPUTED_VALUE""")," ")</f>
        <v xml:space="preserve"> </v>
      </c>
      <c r="P346" s="265" t="str">
        <f ca="1">IFERROR(__xludf.DUMMYFUNCTION("""COMPUTED_VALUE""")," ")</f>
        <v xml:space="preserve"> </v>
      </c>
      <c r="Q346" s="264" t="str">
        <f ca="1">IFERROR(__xludf.DUMMYFUNCTION("FILTER(C:E,B:B=K346)")," ")</f>
        <v xml:space="preserve"> </v>
      </c>
      <c r="R346" s="265" t="str">
        <f ca="1">IFERROR(__xludf.DUMMYFUNCTION("""COMPUTED_VALUE""")," ")</f>
        <v xml:space="preserve"> </v>
      </c>
      <c r="S346" s="265" t="str">
        <f ca="1">IFERROR(__xludf.DUMMYFUNCTION("""COMPUTED_VALUE""")," ")</f>
        <v xml:space="preserve"> </v>
      </c>
      <c r="T346" s="264" t="str">
        <f ca="1">IFERROR(__xludf.DUMMYFUNCTION("FILTER(C:E,B:B=L346)")," ")</f>
        <v xml:space="preserve"> </v>
      </c>
      <c r="U346" s="40" t="str">
        <f ca="1">IFERROR(__xludf.DUMMYFUNCTION("""COMPUTED_VALUE""")," ")</f>
        <v xml:space="preserve"> </v>
      </c>
      <c r="V346" s="40" t="str">
        <f ca="1">IFERROR(__xludf.DUMMYFUNCTION("""COMPUTED_VALUE""")," ")</f>
        <v xml:space="preserve"> </v>
      </c>
      <c r="W346" s="40" t="str">
        <f t="shared" ca="1" si="42"/>
        <v>,</v>
      </c>
      <c r="X346" s="40" t="s">
        <v>682</v>
      </c>
      <c r="Y346" s="40" t="s">
        <v>683</v>
      </c>
      <c r="Z346" s="264" t="str">
        <f t="shared" ca="1" si="23"/>
        <v xml:space="preserve"> </v>
      </c>
      <c r="AA346" s="40" t="s">
        <v>684</v>
      </c>
      <c r="AB346" s="264" t="str">
        <f t="shared" ca="1" si="24"/>
        <v xml:space="preserve"> </v>
      </c>
      <c r="AC346" s="40" t="s">
        <v>685</v>
      </c>
      <c r="AD346" s="264" t="str">
        <f t="shared" ca="1" si="25"/>
        <v xml:space="preserve"> </v>
      </c>
      <c r="AE346" s="40" t="s">
        <v>684</v>
      </c>
      <c r="AF346" s="264" t="str">
        <f t="shared" ca="1" si="26"/>
        <v xml:space="preserve"> </v>
      </c>
      <c r="AG346" s="40" t="s">
        <v>686</v>
      </c>
      <c r="AH346" s="264" t="str">
        <f t="shared" ca="1" si="27"/>
        <v xml:space="preserve"> </v>
      </c>
      <c r="AI346" s="40" t="s">
        <v>684</v>
      </c>
      <c r="AJ346" s="264" t="str">
        <f t="shared" ca="1" si="28"/>
        <v xml:space="preserve"> </v>
      </c>
      <c r="AK346" s="40" t="s">
        <v>687</v>
      </c>
      <c r="AL346" s="264" t="str">
        <f t="shared" si="29"/>
        <v>dodgerblue</v>
      </c>
      <c r="AM346" s="40" t="s">
        <v>688</v>
      </c>
      <c r="AN346" s="40" t="str">
        <f t="shared" ca="1" si="30"/>
        <v>,{"type":"polygon","latLngs":[ {"lat": ,"lng": }, {"lat": ,"lng": },{"lat": ,"lng": }], "color":"dodgerblue"}</v>
      </c>
      <c r="AO346" s="266" t="s">
        <v>689</v>
      </c>
      <c r="AP346" s="56" t="str">
        <f t="shared" ca="1" si="31"/>
        <v xml:space="preserve"> </v>
      </c>
      <c r="AQ346" s="40" t="s">
        <v>684</v>
      </c>
      <c r="AR346" s="56" t="str">
        <f t="shared" ca="1" si="32"/>
        <v xml:space="preserve"> </v>
      </c>
      <c r="AS346" s="40" t="s">
        <v>686</v>
      </c>
      <c r="AT346" s="56" t="str">
        <f t="shared" ca="1" si="33"/>
        <v xml:space="preserve"> </v>
      </c>
      <c r="AU346" s="40" t="s">
        <v>684</v>
      </c>
      <c r="AV346" s="56" t="str">
        <f t="shared" ca="1" si="34"/>
        <v xml:space="preserve"> </v>
      </c>
      <c r="AW346" s="40" t="s">
        <v>690</v>
      </c>
      <c r="AX346" s="40" t="str">
        <f t="shared" si="35"/>
        <v>dodgerblue</v>
      </c>
      <c r="AY346" s="40" t="s">
        <v>688</v>
      </c>
      <c r="AZ346" s="40" t="str">
        <f t="shared" ca="1" si="36"/>
        <v>,{"type":"polyline","latLngs":[{"lat": ,"lng": },{"lat": ,"lng": }],"color":"dodgerblue"}</v>
      </c>
      <c r="BA346" s="40" t="s">
        <v>691</v>
      </c>
      <c r="BB346" s="56" t="str">
        <f t="shared" ca="1" si="37"/>
        <v xml:space="preserve"> </v>
      </c>
      <c r="BC346" s="40" t="s">
        <v>684</v>
      </c>
      <c r="BD346" s="56" t="str">
        <f t="shared" ca="1" si="38"/>
        <v xml:space="preserve"> </v>
      </c>
      <c r="BE346" s="40" t="s">
        <v>692</v>
      </c>
      <c r="BF346" s="40" t="str">
        <f t="shared" si="39"/>
        <v>dodgerblue</v>
      </c>
      <c r="BG346" s="40" t="s">
        <v>688</v>
      </c>
      <c r="BH346" s="40" t="str">
        <f t="shared" ca="1" si="40"/>
        <v>,{"type":"marker","latLng":{"lat": ,"lng": },"color":"dodgerblue"}</v>
      </c>
      <c r="BI346" s="40" t="s">
        <v>693</v>
      </c>
      <c r="BJ346" s="40" t="s">
        <v>694</v>
      </c>
      <c r="BK346" s="267" t="str">
        <f t="shared" si="41"/>
        <v/>
      </c>
    </row>
    <row r="347" spans="7:63" ht="17.5">
      <c r="G347" s="261"/>
      <c r="H347" s="262"/>
      <c r="I347" s="93" t="s">
        <v>681</v>
      </c>
      <c r="J347" s="93" t="s">
        <v>681</v>
      </c>
      <c r="K347" s="93" t="s">
        <v>681</v>
      </c>
      <c r="L347" s="242" t="s">
        <v>681</v>
      </c>
      <c r="M347" s="263" t="str">
        <f t="shared" si="22"/>
        <v>dodgerblue</v>
      </c>
      <c r="N347" s="264" t="str">
        <f ca="1">IFERROR(__xludf.DUMMYFUNCTION("FILTER(C:E,B:B=J347)")," ")</f>
        <v xml:space="preserve"> </v>
      </c>
      <c r="O347" s="265" t="str">
        <f ca="1">IFERROR(__xludf.DUMMYFUNCTION("""COMPUTED_VALUE""")," ")</f>
        <v xml:space="preserve"> </v>
      </c>
      <c r="P347" s="265" t="str">
        <f ca="1">IFERROR(__xludf.DUMMYFUNCTION("""COMPUTED_VALUE""")," ")</f>
        <v xml:space="preserve"> </v>
      </c>
      <c r="Q347" s="264" t="str">
        <f ca="1">IFERROR(__xludf.DUMMYFUNCTION("FILTER(C:E,B:B=K347)")," ")</f>
        <v xml:space="preserve"> </v>
      </c>
      <c r="R347" s="265" t="str">
        <f ca="1">IFERROR(__xludf.DUMMYFUNCTION("""COMPUTED_VALUE""")," ")</f>
        <v xml:space="preserve"> </v>
      </c>
      <c r="S347" s="265" t="str">
        <f ca="1">IFERROR(__xludf.DUMMYFUNCTION("""COMPUTED_VALUE""")," ")</f>
        <v xml:space="preserve"> </v>
      </c>
      <c r="T347" s="264" t="str">
        <f ca="1">IFERROR(__xludf.DUMMYFUNCTION("FILTER(C:E,B:B=L347)")," ")</f>
        <v xml:space="preserve"> </v>
      </c>
      <c r="U347" s="40" t="str">
        <f ca="1">IFERROR(__xludf.DUMMYFUNCTION("""COMPUTED_VALUE""")," ")</f>
        <v xml:space="preserve"> </v>
      </c>
      <c r="V347" s="40" t="str">
        <f ca="1">IFERROR(__xludf.DUMMYFUNCTION("""COMPUTED_VALUE""")," ")</f>
        <v xml:space="preserve"> </v>
      </c>
      <c r="W347" s="40" t="str">
        <f t="shared" ca="1" si="42"/>
        <v>,</v>
      </c>
      <c r="X347" s="40" t="s">
        <v>682</v>
      </c>
      <c r="Y347" s="40" t="s">
        <v>683</v>
      </c>
      <c r="Z347" s="264" t="str">
        <f t="shared" ca="1" si="23"/>
        <v xml:space="preserve"> </v>
      </c>
      <c r="AA347" s="40" t="s">
        <v>684</v>
      </c>
      <c r="AB347" s="264" t="str">
        <f t="shared" ca="1" si="24"/>
        <v xml:space="preserve"> </v>
      </c>
      <c r="AC347" s="40" t="s">
        <v>685</v>
      </c>
      <c r="AD347" s="264" t="str">
        <f t="shared" ca="1" si="25"/>
        <v xml:space="preserve"> </v>
      </c>
      <c r="AE347" s="40" t="s">
        <v>684</v>
      </c>
      <c r="AF347" s="264" t="str">
        <f t="shared" ca="1" si="26"/>
        <v xml:space="preserve"> </v>
      </c>
      <c r="AG347" s="40" t="s">
        <v>686</v>
      </c>
      <c r="AH347" s="264" t="str">
        <f t="shared" ca="1" si="27"/>
        <v xml:space="preserve"> </v>
      </c>
      <c r="AI347" s="40" t="s">
        <v>684</v>
      </c>
      <c r="AJ347" s="264" t="str">
        <f t="shared" ca="1" si="28"/>
        <v xml:space="preserve"> </v>
      </c>
      <c r="AK347" s="40" t="s">
        <v>687</v>
      </c>
      <c r="AL347" s="264" t="str">
        <f t="shared" si="29"/>
        <v>dodgerblue</v>
      </c>
      <c r="AM347" s="40" t="s">
        <v>688</v>
      </c>
      <c r="AN347" s="40" t="str">
        <f t="shared" ca="1" si="30"/>
        <v>,{"type":"polygon","latLngs":[ {"lat": ,"lng": }, {"lat": ,"lng": },{"lat": ,"lng": }], "color":"dodgerblue"}</v>
      </c>
      <c r="AO347" s="266" t="s">
        <v>689</v>
      </c>
      <c r="AP347" s="56" t="str">
        <f t="shared" ca="1" si="31"/>
        <v xml:space="preserve"> </v>
      </c>
      <c r="AQ347" s="40" t="s">
        <v>684</v>
      </c>
      <c r="AR347" s="56" t="str">
        <f t="shared" ca="1" si="32"/>
        <v xml:space="preserve"> </v>
      </c>
      <c r="AS347" s="40" t="s">
        <v>686</v>
      </c>
      <c r="AT347" s="56" t="str">
        <f t="shared" ca="1" si="33"/>
        <v xml:space="preserve"> </v>
      </c>
      <c r="AU347" s="40" t="s">
        <v>684</v>
      </c>
      <c r="AV347" s="56" t="str">
        <f t="shared" ca="1" si="34"/>
        <v xml:space="preserve"> </v>
      </c>
      <c r="AW347" s="40" t="s">
        <v>690</v>
      </c>
      <c r="AX347" s="40" t="str">
        <f t="shared" si="35"/>
        <v>dodgerblue</v>
      </c>
      <c r="AY347" s="40" t="s">
        <v>688</v>
      </c>
      <c r="AZ347" s="40" t="str">
        <f t="shared" ca="1" si="36"/>
        <v>,{"type":"polyline","latLngs":[{"lat": ,"lng": },{"lat": ,"lng": }],"color":"dodgerblue"}</v>
      </c>
      <c r="BA347" s="40" t="s">
        <v>691</v>
      </c>
      <c r="BB347" s="56" t="str">
        <f t="shared" ca="1" si="37"/>
        <v xml:space="preserve"> </v>
      </c>
      <c r="BC347" s="40" t="s">
        <v>684</v>
      </c>
      <c r="BD347" s="56" t="str">
        <f t="shared" ca="1" si="38"/>
        <v xml:space="preserve"> </v>
      </c>
      <c r="BE347" s="40" t="s">
        <v>692</v>
      </c>
      <c r="BF347" s="40" t="str">
        <f t="shared" si="39"/>
        <v>dodgerblue</v>
      </c>
      <c r="BG347" s="40" t="s">
        <v>688</v>
      </c>
      <c r="BH347" s="40" t="str">
        <f t="shared" ca="1" si="40"/>
        <v>,{"type":"marker","latLng":{"lat": ,"lng": },"color":"dodgerblue"}</v>
      </c>
      <c r="BI347" s="40" t="s">
        <v>693</v>
      </c>
      <c r="BJ347" s="40" t="s">
        <v>694</v>
      </c>
      <c r="BK347" s="267" t="str">
        <f t="shared" si="41"/>
        <v/>
      </c>
    </row>
    <row r="348" spans="7:63" ht="17.5">
      <c r="G348" s="261"/>
      <c r="H348" s="262"/>
      <c r="I348" s="93" t="s">
        <v>681</v>
      </c>
      <c r="J348" s="93" t="s">
        <v>681</v>
      </c>
      <c r="K348" s="93" t="s">
        <v>681</v>
      </c>
      <c r="L348" s="242" t="s">
        <v>681</v>
      </c>
      <c r="M348" s="263" t="str">
        <f t="shared" si="22"/>
        <v>dodgerblue</v>
      </c>
      <c r="N348" s="264" t="str">
        <f ca="1">IFERROR(__xludf.DUMMYFUNCTION("FILTER(C:E,B:B=J348)")," ")</f>
        <v xml:space="preserve"> </v>
      </c>
      <c r="O348" s="265" t="str">
        <f ca="1">IFERROR(__xludf.DUMMYFUNCTION("""COMPUTED_VALUE""")," ")</f>
        <v xml:space="preserve"> </v>
      </c>
      <c r="P348" s="265" t="str">
        <f ca="1">IFERROR(__xludf.DUMMYFUNCTION("""COMPUTED_VALUE""")," ")</f>
        <v xml:space="preserve"> </v>
      </c>
      <c r="Q348" s="264" t="str">
        <f ca="1">IFERROR(__xludf.DUMMYFUNCTION("FILTER(C:E,B:B=K348)")," ")</f>
        <v xml:space="preserve"> </v>
      </c>
      <c r="R348" s="265" t="str">
        <f ca="1">IFERROR(__xludf.DUMMYFUNCTION("""COMPUTED_VALUE""")," ")</f>
        <v xml:space="preserve"> </v>
      </c>
      <c r="S348" s="265" t="str">
        <f ca="1">IFERROR(__xludf.DUMMYFUNCTION("""COMPUTED_VALUE""")," ")</f>
        <v xml:space="preserve"> </v>
      </c>
      <c r="T348" s="264" t="str">
        <f ca="1">IFERROR(__xludf.DUMMYFUNCTION("FILTER(C:E,B:B=L348)")," ")</f>
        <v xml:space="preserve"> </v>
      </c>
      <c r="U348" s="40" t="str">
        <f ca="1">IFERROR(__xludf.DUMMYFUNCTION("""COMPUTED_VALUE""")," ")</f>
        <v xml:space="preserve"> </v>
      </c>
      <c r="V348" s="40" t="str">
        <f ca="1">IFERROR(__xludf.DUMMYFUNCTION("""COMPUTED_VALUE""")," ")</f>
        <v xml:space="preserve"> </v>
      </c>
      <c r="W348" s="40" t="str">
        <f t="shared" ca="1" si="42"/>
        <v>,</v>
      </c>
      <c r="X348" s="40" t="s">
        <v>682</v>
      </c>
      <c r="Y348" s="40" t="s">
        <v>683</v>
      </c>
      <c r="Z348" s="264" t="str">
        <f t="shared" ca="1" si="23"/>
        <v xml:space="preserve"> </v>
      </c>
      <c r="AA348" s="40" t="s">
        <v>684</v>
      </c>
      <c r="AB348" s="264" t="str">
        <f t="shared" ca="1" si="24"/>
        <v xml:space="preserve"> </v>
      </c>
      <c r="AC348" s="40" t="s">
        <v>685</v>
      </c>
      <c r="AD348" s="264" t="str">
        <f t="shared" ca="1" si="25"/>
        <v xml:space="preserve"> </v>
      </c>
      <c r="AE348" s="40" t="s">
        <v>684</v>
      </c>
      <c r="AF348" s="264" t="str">
        <f t="shared" ca="1" si="26"/>
        <v xml:space="preserve"> </v>
      </c>
      <c r="AG348" s="40" t="s">
        <v>686</v>
      </c>
      <c r="AH348" s="264" t="str">
        <f t="shared" ca="1" si="27"/>
        <v xml:space="preserve"> </v>
      </c>
      <c r="AI348" s="40" t="s">
        <v>684</v>
      </c>
      <c r="AJ348" s="264" t="str">
        <f t="shared" ca="1" si="28"/>
        <v xml:space="preserve"> </v>
      </c>
      <c r="AK348" s="40" t="s">
        <v>687</v>
      </c>
      <c r="AL348" s="264" t="str">
        <f t="shared" si="29"/>
        <v>dodgerblue</v>
      </c>
      <c r="AM348" s="40" t="s">
        <v>688</v>
      </c>
      <c r="AN348" s="40" t="str">
        <f t="shared" ca="1" si="30"/>
        <v>,{"type":"polygon","latLngs":[ {"lat": ,"lng": }, {"lat": ,"lng": },{"lat": ,"lng": }], "color":"dodgerblue"}</v>
      </c>
      <c r="AO348" s="266" t="s">
        <v>689</v>
      </c>
      <c r="AP348" s="56" t="str">
        <f t="shared" ca="1" si="31"/>
        <v xml:space="preserve"> </v>
      </c>
      <c r="AQ348" s="40" t="s">
        <v>684</v>
      </c>
      <c r="AR348" s="56" t="str">
        <f t="shared" ca="1" si="32"/>
        <v xml:space="preserve"> </v>
      </c>
      <c r="AS348" s="40" t="s">
        <v>686</v>
      </c>
      <c r="AT348" s="56" t="str">
        <f t="shared" ca="1" si="33"/>
        <v xml:space="preserve"> </v>
      </c>
      <c r="AU348" s="40" t="s">
        <v>684</v>
      </c>
      <c r="AV348" s="56" t="str">
        <f t="shared" ca="1" si="34"/>
        <v xml:space="preserve"> </v>
      </c>
      <c r="AW348" s="40" t="s">
        <v>690</v>
      </c>
      <c r="AX348" s="40" t="str">
        <f t="shared" si="35"/>
        <v>dodgerblue</v>
      </c>
      <c r="AY348" s="40" t="s">
        <v>688</v>
      </c>
      <c r="AZ348" s="40" t="str">
        <f t="shared" ca="1" si="36"/>
        <v>,{"type":"polyline","latLngs":[{"lat": ,"lng": },{"lat": ,"lng": }],"color":"dodgerblue"}</v>
      </c>
      <c r="BA348" s="40" t="s">
        <v>691</v>
      </c>
      <c r="BB348" s="56" t="str">
        <f t="shared" ca="1" si="37"/>
        <v xml:space="preserve"> </v>
      </c>
      <c r="BC348" s="40" t="s">
        <v>684</v>
      </c>
      <c r="BD348" s="56" t="str">
        <f t="shared" ca="1" si="38"/>
        <v xml:space="preserve"> </v>
      </c>
      <c r="BE348" s="40" t="s">
        <v>692</v>
      </c>
      <c r="BF348" s="40" t="str">
        <f t="shared" si="39"/>
        <v>dodgerblue</v>
      </c>
      <c r="BG348" s="40" t="s">
        <v>688</v>
      </c>
      <c r="BH348" s="40" t="str">
        <f t="shared" ca="1" si="40"/>
        <v>,{"type":"marker","latLng":{"lat": ,"lng": },"color":"dodgerblue"}</v>
      </c>
      <c r="BI348" s="40" t="s">
        <v>693</v>
      </c>
      <c r="BJ348" s="40" t="s">
        <v>694</v>
      </c>
      <c r="BK348" s="267" t="str">
        <f t="shared" si="41"/>
        <v/>
      </c>
    </row>
    <row r="349" spans="7:63" ht="17.5">
      <c r="G349" s="261"/>
      <c r="H349" s="262"/>
      <c r="I349" s="93" t="s">
        <v>681</v>
      </c>
      <c r="J349" s="93" t="s">
        <v>681</v>
      </c>
      <c r="K349" s="93" t="s">
        <v>681</v>
      </c>
      <c r="L349" s="242" t="s">
        <v>681</v>
      </c>
      <c r="M349" s="263" t="str">
        <f t="shared" si="22"/>
        <v>dodgerblue</v>
      </c>
      <c r="N349" s="264" t="str">
        <f ca="1">IFERROR(__xludf.DUMMYFUNCTION("FILTER(C:E,B:B=J349)")," ")</f>
        <v xml:space="preserve"> </v>
      </c>
      <c r="O349" s="265" t="str">
        <f ca="1">IFERROR(__xludf.DUMMYFUNCTION("""COMPUTED_VALUE""")," ")</f>
        <v xml:space="preserve"> </v>
      </c>
      <c r="P349" s="265" t="str">
        <f ca="1">IFERROR(__xludf.DUMMYFUNCTION("""COMPUTED_VALUE""")," ")</f>
        <v xml:space="preserve"> </v>
      </c>
      <c r="Q349" s="264" t="str">
        <f ca="1">IFERROR(__xludf.DUMMYFUNCTION("FILTER(C:E,B:B=K349)")," ")</f>
        <v xml:space="preserve"> </v>
      </c>
      <c r="R349" s="265" t="str">
        <f ca="1">IFERROR(__xludf.DUMMYFUNCTION("""COMPUTED_VALUE""")," ")</f>
        <v xml:space="preserve"> </v>
      </c>
      <c r="S349" s="265" t="str">
        <f ca="1">IFERROR(__xludf.DUMMYFUNCTION("""COMPUTED_VALUE""")," ")</f>
        <v xml:space="preserve"> </v>
      </c>
      <c r="T349" s="264" t="str">
        <f ca="1">IFERROR(__xludf.DUMMYFUNCTION("FILTER(C:E,B:B=L349)")," ")</f>
        <v xml:space="preserve"> </v>
      </c>
      <c r="U349" s="40" t="str">
        <f ca="1">IFERROR(__xludf.DUMMYFUNCTION("""COMPUTED_VALUE""")," ")</f>
        <v xml:space="preserve"> </v>
      </c>
      <c r="V349" s="40" t="str">
        <f ca="1">IFERROR(__xludf.DUMMYFUNCTION("""COMPUTED_VALUE""")," ")</f>
        <v xml:space="preserve"> </v>
      </c>
      <c r="W349" s="40" t="str">
        <f t="shared" ca="1" si="42"/>
        <v>,</v>
      </c>
      <c r="X349" s="40" t="s">
        <v>682</v>
      </c>
      <c r="Y349" s="40" t="s">
        <v>683</v>
      </c>
      <c r="Z349" s="264" t="str">
        <f t="shared" ca="1" si="23"/>
        <v xml:space="preserve"> </v>
      </c>
      <c r="AA349" s="40" t="s">
        <v>684</v>
      </c>
      <c r="AB349" s="264" t="str">
        <f t="shared" ca="1" si="24"/>
        <v xml:space="preserve"> </v>
      </c>
      <c r="AC349" s="40" t="s">
        <v>685</v>
      </c>
      <c r="AD349" s="264" t="str">
        <f t="shared" ca="1" si="25"/>
        <v xml:space="preserve"> </v>
      </c>
      <c r="AE349" s="40" t="s">
        <v>684</v>
      </c>
      <c r="AF349" s="264" t="str">
        <f t="shared" ca="1" si="26"/>
        <v xml:space="preserve"> </v>
      </c>
      <c r="AG349" s="40" t="s">
        <v>686</v>
      </c>
      <c r="AH349" s="264" t="str">
        <f t="shared" ca="1" si="27"/>
        <v xml:space="preserve"> </v>
      </c>
      <c r="AI349" s="40" t="s">
        <v>684</v>
      </c>
      <c r="AJ349" s="264" t="str">
        <f t="shared" ca="1" si="28"/>
        <v xml:space="preserve"> </v>
      </c>
      <c r="AK349" s="40" t="s">
        <v>687</v>
      </c>
      <c r="AL349" s="264" t="str">
        <f t="shared" si="29"/>
        <v>dodgerblue</v>
      </c>
      <c r="AM349" s="40" t="s">
        <v>688</v>
      </c>
      <c r="AN349" s="40" t="str">
        <f t="shared" ca="1" si="30"/>
        <v>,{"type":"polygon","latLngs":[ {"lat": ,"lng": }, {"lat": ,"lng": },{"lat": ,"lng": }], "color":"dodgerblue"}</v>
      </c>
      <c r="AO349" s="266" t="s">
        <v>689</v>
      </c>
      <c r="AP349" s="56" t="str">
        <f t="shared" ca="1" si="31"/>
        <v xml:space="preserve"> </v>
      </c>
      <c r="AQ349" s="40" t="s">
        <v>684</v>
      </c>
      <c r="AR349" s="56" t="str">
        <f t="shared" ca="1" si="32"/>
        <v xml:space="preserve"> </v>
      </c>
      <c r="AS349" s="40" t="s">
        <v>686</v>
      </c>
      <c r="AT349" s="56" t="str">
        <f t="shared" ca="1" si="33"/>
        <v xml:space="preserve"> </v>
      </c>
      <c r="AU349" s="40" t="s">
        <v>684</v>
      </c>
      <c r="AV349" s="56" t="str">
        <f t="shared" ca="1" si="34"/>
        <v xml:space="preserve"> </v>
      </c>
      <c r="AW349" s="40" t="s">
        <v>690</v>
      </c>
      <c r="AX349" s="40" t="str">
        <f t="shared" si="35"/>
        <v>dodgerblue</v>
      </c>
      <c r="AY349" s="40" t="s">
        <v>688</v>
      </c>
      <c r="AZ349" s="40" t="str">
        <f t="shared" ca="1" si="36"/>
        <v>,{"type":"polyline","latLngs":[{"lat": ,"lng": },{"lat": ,"lng": }],"color":"dodgerblue"}</v>
      </c>
      <c r="BA349" s="40" t="s">
        <v>691</v>
      </c>
      <c r="BB349" s="56" t="str">
        <f t="shared" ca="1" si="37"/>
        <v xml:space="preserve"> </v>
      </c>
      <c r="BC349" s="40" t="s">
        <v>684</v>
      </c>
      <c r="BD349" s="56" t="str">
        <f t="shared" ca="1" si="38"/>
        <v xml:space="preserve"> </v>
      </c>
      <c r="BE349" s="40" t="s">
        <v>692</v>
      </c>
      <c r="BF349" s="40" t="str">
        <f t="shared" si="39"/>
        <v>dodgerblue</v>
      </c>
      <c r="BG349" s="40" t="s">
        <v>688</v>
      </c>
      <c r="BH349" s="40" t="str">
        <f t="shared" ca="1" si="40"/>
        <v>,{"type":"marker","latLng":{"lat": ,"lng": },"color":"dodgerblue"}</v>
      </c>
      <c r="BI349" s="40" t="s">
        <v>693</v>
      </c>
      <c r="BJ349" s="40" t="s">
        <v>694</v>
      </c>
      <c r="BK349" s="267" t="str">
        <f t="shared" si="41"/>
        <v/>
      </c>
    </row>
    <row r="350" spans="7:63" ht="17.5">
      <c r="G350" s="261"/>
      <c r="H350" s="262"/>
      <c r="I350" s="93" t="s">
        <v>681</v>
      </c>
      <c r="J350" s="93" t="s">
        <v>681</v>
      </c>
      <c r="K350" s="93" t="s">
        <v>681</v>
      </c>
      <c r="L350" s="242" t="s">
        <v>681</v>
      </c>
      <c r="M350" s="263" t="str">
        <f t="shared" si="22"/>
        <v>dodgerblue</v>
      </c>
      <c r="N350" s="264" t="str">
        <f ca="1">IFERROR(__xludf.DUMMYFUNCTION("FILTER(C:E,B:B=J350)")," ")</f>
        <v xml:space="preserve"> </v>
      </c>
      <c r="O350" s="265" t="str">
        <f ca="1">IFERROR(__xludf.DUMMYFUNCTION("""COMPUTED_VALUE""")," ")</f>
        <v xml:space="preserve"> </v>
      </c>
      <c r="P350" s="265" t="str">
        <f ca="1">IFERROR(__xludf.DUMMYFUNCTION("""COMPUTED_VALUE""")," ")</f>
        <v xml:space="preserve"> </v>
      </c>
      <c r="Q350" s="264" t="str">
        <f ca="1">IFERROR(__xludf.DUMMYFUNCTION("FILTER(C:E,B:B=K350)")," ")</f>
        <v xml:space="preserve"> </v>
      </c>
      <c r="R350" s="265" t="str">
        <f ca="1">IFERROR(__xludf.DUMMYFUNCTION("""COMPUTED_VALUE""")," ")</f>
        <v xml:space="preserve"> </v>
      </c>
      <c r="S350" s="265" t="str">
        <f ca="1">IFERROR(__xludf.DUMMYFUNCTION("""COMPUTED_VALUE""")," ")</f>
        <v xml:space="preserve"> </v>
      </c>
      <c r="T350" s="264" t="str">
        <f ca="1">IFERROR(__xludf.DUMMYFUNCTION("FILTER(C:E,B:B=L350)")," ")</f>
        <v xml:space="preserve"> </v>
      </c>
      <c r="U350" s="40" t="str">
        <f ca="1">IFERROR(__xludf.DUMMYFUNCTION("""COMPUTED_VALUE""")," ")</f>
        <v xml:space="preserve"> </v>
      </c>
      <c r="V350" s="40" t="str">
        <f ca="1">IFERROR(__xludf.DUMMYFUNCTION("""COMPUTED_VALUE""")," ")</f>
        <v xml:space="preserve"> </v>
      </c>
      <c r="W350" s="40" t="str">
        <f t="shared" ca="1" si="42"/>
        <v>,</v>
      </c>
      <c r="X350" s="40" t="s">
        <v>682</v>
      </c>
      <c r="Y350" s="40" t="s">
        <v>683</v>
      </c>
      <c r="Z350" s="264" t="str">
        <f t="shared" ca="1" si="23"/>
        <v xml:space="preserve"> </v>
      </c>
      <c r="AA350" s="40" t="s">
        <v>684</v>
      </c>
      <c r="AB350" s="264" t="str">
        <f t="shared" ca="1" si="24"/>
        <v xml:space="preserve"> </v>
      </c>
      <c r="AC350" s="40" t="s">
        <v>685</v>
      </c>
      <c r="AD350" s="264" t="str">
        <f t="shared" ca="1" si="25"/>
        <v xml:space="preserve"> </v>
      </c>
      <c r="AE350" s="40" t="s">
        <v>684</v>
      </c>
      <c r="AF350" s="264" t="str">
        <f t="shared" ca="1" si="26"/>
        <v xml:space="preserve"> </v>
      </c>
      <c r="AG350" s="40" t="s">
        <v>686</v>
      </c>
      <c r="AH350" s="264" t="str">
        <f t="shared" ca="1" si="27"/>
        <v xml:space="preserve"> </v>
      </c>
      <c r="AI350" s="40" t="s">
        <v>684</v>
      </c>
      <c r="AJ350" s="264" t="str">
        <f t="shared" ca="1" si="28"/>
        <v xml:space="preserve"> </v>
      </c>
      <c r="AK350" s="40" t="s">
        <v>687</v>
      </c>
      <c r="AL350" s="264" t="str">
        <f t="shared" si="29"/>
        <v>dodgerblue</v>
      </c>
      <c r="AM350" s="40" t="s">
        <v>688</v>
      </c>
      <c r="AN350" s="40" t="str">
        <f t="shared" ca="1" si="30"/>
        <v>,{"type":"polygon","latLngs":[ {"lat": ,"lng": }, {"lat": ,"lng": },{"lat": ,"lng": }], "color":"dodgerblue"}</v>
      </c>
      <c r="AO350" s="266" t="s">
        <v>689</v>
      </c>
      <c r="AP350" s="56" t="str">
        <f t="shared" ca="1" si="31"/>
        <v xml:space="preserve"> </v>
      </c>
      <c r="AQ350" s="40" t="s">
        <v>684</v>
      </c>
      <c r="AR350" s="56" t="str">
        <f t="shared" ca="1" si="32"/>
        <v xml:space="preserve"> </v>
      </c>
      <c r="AS350" s="40" t="s">
        <v>686</v>
      </c>
      <c r="AT350" s="56" t="str">
        <f t="shared" ca="1" si="33"/>
        <v xml:space="preserve"> </v>
      </c>
      <c r="AU350" s="40" t="s">
        <v>684</v>
      </c>
      <c r="AV350" s="56" t="str">
        <f t="shared" ca="1" si="34"/>
        <v xml:space="preserve"> </v>
      </c>
      <c r="AW350" s="40" t="s">
        <v>690</v>
      </c>
      <c r="AX350" s="40" t="str">
        <f t="shared" si="35"/>
        <v>dodgerblue</v>
      </c>
      <c r="AY350" s="40" t="s">
        <v>688</v>
      </c>
      <c r="AZ350" s="40" t="str">
        <f t="shared" ca="1" si="36"/>
        <v>,{"type":"polyline","latLngs":[{"lat": ,"lng": },{"lat": ,"lng": }],"color":"dodgerblue"}</v>
      </c>
      <c r="BA350" s="40" t="s">
        <v>691</v>
      </c>
      <c r="BB350" s="56" t="str">
        <f t="shared" ca="1" si="37"/>
        <v xml:space="preserve"> </v>
      </c>
      <c r="BC350" s="40" t="s">
        <v>684</v>
      </c>
      <c r="BD350" s="56" t="str">
        <f t="shared" ca="1" si="38"/>
        <v xml:space="preserve"> </v>
      </c>
      <c r="BE350" s="40" t="s">
        <v>692</v>
      </c>
      <c r="BF350" s="40" t="str">
        <f t="shared" si="39"/>
        <v>dodgerblue</v>
      </c>
      <c r="BG350" s="40" t="s">
        <v>688</v>
      </c>
      <c r="BH350" s="40" t="str">
        <f t="shared" ca="1" si="40"/>
        <v>,{"type":"marker","latLng":{"lat": ,"lng": },"color":"dodgerblue"}</v>
      </c>
      <c r="BI350" s="40" t="s">
        <v>693</v>
      </c>
      <c r="BJ350" s="40" t="s">
        <v>694</v>
      </c>
      <c r="BK350" s="267" t="str">
        <f t="shared" si="41"/>
        <v/>
      </c>
    </row>
    <row r="351" spans="7:63" ht="17.5">
      <c r="G351" s="261"/>
      <c r="H351" s="262"/>
      <c r="I351" s="93" t="s">
        <v>681</v>
      </c>
      <c r="J351" s="93" t="s">
        <v>681</v>
      </c>
      <c r="K351" s="93" t="s">
        <v>681</v>
      </c>
      <c r="L351" s="242" t="s">
        <v>681</v>
      </c>
      <c r="M351" s="263" t="str">
        <f t="shared" si="22"/>
        <v>dodgerblue</v>
      </c>
      <c r="N351" s="264" t="str">
        <f ca="1">IFERROR(__xludf.DUMMYFUNCTION("FILTER(C:E,B:B=J351)")," ")</f>
        <v xml:space="preserve"> </v>
      </c>
      <c r="O351" s="265" t="str">
        <f ca="1">IFERROR(__xludf.DUMMYFUNCTION("""COMPUTED_VALUE""")," ")</f>
        <v xml:space="preserve"> </v>
      </c>
      <c r="P351" s="265" t="str">
        <f ca="1">IFERROR(__xludf.DUMMYFUNCTION("""COMPUTED_VALUE""")," ")</f>
        <v xml:space="preserve"> </v>
      </c>
      <c r="Q351" s="264" t="str">
        <f ca="1">IFERROR(__xludf.DUMMYFUNCTION("FILTER(C:E,B:B=K351)")," ")</f>
        <v xml:space="preserve"> </v>
      </c>
      <c r="R351" s="265" t="str">
        <f ca="1">IFERROR(__xludf.DUMMYFUNCTION("""COMPUTED_VALUE""")," ")</f>
        <v xml:space="preserve"> </v>
      </c>
      <c r="S351" s="265" t="str">
        <f ca="1">IFERROR(__xludf.DUMMYFUNCTION("""COMPUTED_VALUE""")," ")</f>
        <v xml:space="preserve"> </v>
      </c>
      <c r="T351" s="264" t="str">
        <f ca="1">IFERROR(__xludf.DUMMYFUNCTION("FILTER(C:E,B:B=L351)")," ")</f>
        <v xml:space="preserve"> </v>
      </c>
      <c r="U351" s="40" t="str">
        <f ca="1">IFERROR(__xludf.DUMMYFUNCTION("""COMPUTED_VALUE""")," ")</f>
        <v xml:space="preserve"> </v>
      </c>
      <c r="V351" s="40" t="str">
        <f ca="1">IFERROR(__xludf.DUMMYFUNCTION("""COMPUTED_VALUE""")," ")</f>
        <v xml:space="preserve"> </v>
      </c>
      <c r="W351" s="40" t="str">
        <f t="shared" ca="1" si="42"/>
        <v>,</v>
      </c>
      <c r="X351" s="40" t="s">
        <v>682</v>
      </c>
      <c r="Y351" s="40" t="s">
        <v>683</v>
      </c>
      <c r="Z351" s="264" t="str">
        <f t="shared" ca="1" si="23"/>
        <v xml:space="preserve"> </v>
      </c>
      <c r="AA351" s="40" t="s">
        <v>684</v>
      </c>
      <c r="AB351" s="264" t="str">
        <f t="shared" ca="1" si="24"/>
        <v xml:space="preserve"> </v>
      </c>
      <c r="AC351" s="40" t="s">
        <v>685</v>
      </c>
      <c r="AD351" s="264" t="str">
        <f t="shared" ca="1" si="25"/>
        <v xml:space="preserve"> </v>
      </c>
      <c r="AE351" s="40" t="s">
        <v>684</v>
      </c>
      <c r="AF351" s="264" t="str">
        <f t="shared" ca="1" si="26"/>
        <v xml:space="preserve"> </v>
      </c>
      <c r="AG351" s="40" t="s">
        <v>686</v>
      </c>
      <c r="AH351" s="264" t="str">
        <f t="shared" ca="1" si="27"/>
        <v xml:space="preserve"> </v>
      </c>
      <c r="AI351" s="40" t="s">
        <v>684</v>
      </c>
      <c r="AJ351" s="264" t="str">
        <f t="shared" ca="1" si="28"/>
        <v xml:space="preserve"> </v>
      </c>
      <c r="AK351" s="40" t="s">
        <v>687</v>
      </c>
      <c r="AL351" s="264" t="str">
        <f t="shared" si="29"/>
        <v>dodgerblue</v>
      </c>
      <c r="AM351" s="40" t="s">
        <v>688</v>
      </c>
      <c r="AN351" s="40" t="str">
        <f t="shared" ca="1" si="30"/>
        <v>,{"type":"polygon","latLngs":[ {"lat": ,"lng": }, {"lat": ,"lng": },{"lat": ,"lng": }], "color":"dodgerblue"}</v>
      </c>
      <c r="AO351" s="266" t="s">
        <v>689</v>
      </c>
      <c r="AP351" s="56" t="str">
        <f t="shared" ca="1" si="31"/>
        <v xml:space="preserve"> </v>
      </c>
      <c r="AQ351" s="40" t="s">
        <v>684</v>
      </c>
      <c r="AR351" s="56" t="str">
        <f t="shared" ca="1" si="32"/>
        <v xml:space="preserve"> </v>
      </c>
      <c r="AS351" s="40" t="s">
        <v>686</v>
      </c>
      <c r="AT351" s="56" t="str">
        <f t="shared" ca="1" si="33"/>
        <v xml:space="preserve"> </v>
      </c>
      <c r="AU351" s="40" t="s">
        <v>684</v>
      </c>
      <c r="AV351" s="56" t="str">
        <f t="shared" ca="1" si="34"/>
        <v xml:space="preserve"> </v>
      </c>
      <c r="AW351" s="40" t="s">
        <v>690</v>
      </c>
      <c r="AX351" s="40" t="str">
        <f t="shared" si="35"/>
        <v>dodgerblue</v>
      </c>
      <c r="AY351" s="40" t="s">
        <v>688</v>
      </c>
      <c r="AZ351" s="40" t="str">
        <f t="shared" ca="1" si="36"/>
        <v>,{"type":"polyline","latLngs":[{"lat": ,"lng": },{"lat": ,"lng": }],"color":"dodgerblue"}</v>
      </c>
      <c r="BA351" s="40" t="s">
        <v>691</v>
      </c>
      <c r="BB351" s="56" t="str">
        <f t="shared" ca="1" si="37"/>
        <v xml:space="preserve"> </v>
      </c>
      <c r="BC351" s="40" t="s">
        <v>684</v>
      </c>
      <c r="BD351" s="56" t="str">
        <f t="shared" ca="1" si="38"/>
        <v xml:space="preserve"> </v>
      </c>
      <c r="BE351" s="40" t="s">
        <v>692</v>
      </c>
      <c r="BF351" s="40" t="str">
        <f t="shared" si="39"/>
        <v>dodgerblue</v>
      </c>
      <c r="BG351" s="40" t="s">
        <v>688</v>
      </c>
      <c r="BH351" s="40" t="str">
        <f t="shared" ca="1" si="40"/>
        <v>,{"type":"marker","latLng":{"lat": ,"lng": },"color":"dodgerblue"}</v>
      </c>
      <c r="BI351" s="40" t="s">
        <v>693</v>
      </c>
      <c r="BJ351" s="40" t="s">
        <v>694</v>
      </c>
      <c r="BK351" s="267" t="str">
        <f t="shared" si="41"/>
        <v/>
      </c>
    </row>
    <row r="352" spans="7:63" ht="17.5">
      <c r="G352" s="261"/>
      <c r="H352" s="262"/>
      <c r="I352" s="93" t="s">
        <v>681</v>
      </c>
      <c r="J352" s="93" t="s">
        <v>681</v>
      </c>
      <c r="K352" s="93" t="s">
        <v>681</v>
      </c>
      <c r="L352" s="242" t="s">
        <v>681</v>
      </c>
      <c r="M352" s="263" t="str">
        <f t="shared" si="22"/>
        <v>dodgerblue</v>
      </c>
      <c r="N352" s="264" t="str">
        <f ca="1">IFERROR(__xludf.DUMMYFUNCTION("FILTER(C:E,B:B=J352)")," ")</f>
        <v xml:space="preserve"> </v>
      </c>
      <c r="O352" s="265" t="str">
        <f ca="1">IFERROR(__xludf.DUMMYFUNCTION("""COMPUTED_VALUE""")," ")</f>
        <v xml:space="preserve"> </v>
      </c>
      <c r="P352" s="265" t="str">
        <f ca="1">IFERROR(__xludf.DUMMYFUNCTION("""COMPUTED_VALUE""")," ")</f>
        <v xml:space="preserve"> </v>
      </c>
      <c r="Q352" s="264" t="str">
        <f ca="1">IFERROR(__xludf.DUMMYFUNCTION("FILTER(C:E,B:B=K352)")," ")</f>
        <v xml:space="preserve"> </v>
      </c>
      <c r="R352" s="265" t="str">
        <f ca="1">IFERROR(__xludf.DUMMYFUNCTION("""COMPUTED_VALUE""")," ")</f>
        <v xml:space="preserve"> </v>
      </c>
      <c r="S352" s="265" t="str">
        <f ca="1">IFERROR(__xludf.DUMMYFUNCTION("""COMPUTED_VALUE""")," ")</f>
        <v xml:space="preserve"> </v>
      </c>
      <c r="T352" s="264" t="str">
        <f ca="1">IFERROR(__xludf.DUMMYFUNCTION("FILTER(C:E,B:B=L352)")," ")</f>
        <v xml:space="preserve"> </v>
      </c>
      <c r="U352" s="40" t="str">
        <f ca="1">IFERROR(__xludf.DUMMYFUNCTION("""COMPUTED_VALUE""")," ")</f>
        <v xml:space="preserve"> </v>
      </c>
      <c r="V352" s="40" t="str">
        <f ca="1">IFERROR(__xludf.DUMMYFUNCTION("""COMPUTED_VALUE""")," ")</f>
        <v xml:space="preserve"> </v>
      </c>
      <c r="W352" s="40" t="str">
        <f t="shared" ca="1" si="42"/>
        <v>,</v>
      </c>
      <c r="X352" s="40" t="s">
        <v>682</v>
      </c>
      <c r="Y352" s="40" t="s">
        <v>683</v>
      </c>
      <c r="Z352" s="264" t="str">
        <f t="shared" ca="1" si="23"/>
        <v xml:space="preserve"> </v>
      </c>
      <c r="AA352" s="40" t="s">
        <v>684</v>
      </c>
      <c r="AB352" s="264" t="str">
        <f t="shared" ca="1" si="24"/>
        <v xml:space="preserve"> </v>
      </c>
      <c r="AC352" s="40" t="s">
        <v>685</v>
      </c>
      <c r="AD352" s="264" t="str">
        <f t="shared" ca="1" si="25"/>
        <v xml:space="preserve"> </v>
      </c>
      <c r="AE352" s="40" t="s">
        <v>684</v>
      </c>
      <c r="AF352" s="264" t="str">
        <f t="shared" ca="1" si="26"/>
        <v xml:space="preserve"> </v>
      </c>
      <c r="AG352" s="40" t="s">
        <v>686</v>
      </c>
      <c r="AH352" s="264" t="str">
        <f t="shared" ca="1" si="27"/>
        <v xml:space="preserve"> </v>
      </c>
      <c r="AI352" s="40" t="s">
        <v>684</v>
      </c>
      <c r="AJ352" s="264" t="str">
        <f t="shared" ca="1" si="28"/>
        <v xml:space="preserve"> </v>
      </c>
      <c r="AK352" s="40" t="s">
        <v>687</v>
      </c>
      <c r="AL352" s="264" t="str">
        <f t="shared" si="29"/>
        <v>dodgerblue</v>
      </c>
      <c r="AM352" s="40" t="s">
        <v>688</v>
      </c>
      <c r="AN352" s="40" t="str">
        <f t="shared" ca="1" si="30"/>
        <v>,{"type":"polygon","latLngs":[ {"lat": ,"lng": }, {"lat": ,"lng": },{"lat": ,"lng": }], "color":"dodgerblue"}</v>
      </c>
      <c r="AO352" s="266" t="s">
        <v>689</v>
      </c>
      <c r="AP352" s="56" t="str">
        <f t="shared" ca="1" si="31"/>
        <v xml:space="preserve"> </v>
      </c>
      <c r="AQ352" s="40" t="s">
        <v>684</v>
      </c>
      <c r="AR352" s="56" t="str">
        <f t="shared" ca="1" si="32"/>
        <v xml:space="preserve"> </v>
      </c>
      <c r="AS352" s="40" t="s">
        <v>686</v>
      </c>
      <c r="AT352" s="56" t="str">
        <f t="shared" ca="1" si="33"/>
        <v xml:space="preserve"> </v>
      </c>
      <c r="AU352" s="40" t="s">
        <v>684</v>
      </c>
      <c r="AV352" s="56" t="str">
        <f t="shared" ca="1" si="34"/>
        <v xml:space="preserve"> </v>
      </c>
      <c r="AW352" s="40" t="s">
        <v>690</v>
      </c>
      <c r="AX352" s="40" t="str">
        <f t="shared" si="35"/>
        <v>dodgerblue</v>
      </c>
      <c r="AY352" s="40" t="s">
        <v>688</v>
      </c>
      <c r="AZ352" s="40" t="str">
        <f t="shared" ca="1" si="36"/>
        <v>,{"type":"polyline","latLngs":[{"lat": ,"lng": },{"lat": ,"lng": }],"color":"dodgerblue"}</v>
      </c>
      <c r="BA352" s="40" t="s">
        <v>691</v>
      </c>
      <c r="BB352" s="56" t="str">
        <f t="shared" ca="1" si="37"/>
        <v xml:space="preserve"> </v>
      </c>
      <c r="BC352" s="40" t="s">
        <v>684</v>
      </c>
      <c r="BD352" s="56" t="str">
        <f t="shared" ca="1" si="38"/>
        <v xml:space="preserve"> </v>
      </c>
      <c r="BE352" s="40" t="s">
        <v>692</v>
      </c>
      <c r="BF352" s="40" t="str">
        <f t="shared" si="39"/>
        <v>dodgerblue</v>
      </c>
      <c r="BG352" s="40" t="s">
        <v>688</v>
      </c>
      <c r="BH352" s="40" t="str">
        <f t="shared" ca="1" si="40"/>
        <v>,{"type":"marker","latLng":{"lat": ,"lng": },"color":"dodgerblue"}</v>
      </c>
      <c r="BI352" s="40" t="s">
        <v>693</v>
      </c>
      <c r="BJ352" s="40" t="s">
        <v>694</v>
      </c>
      <c r="BK352" s="267" t="str">
        <f t="shared" si="41"/>
        <v/>
      </c>
    </row>
    <row r="353" spans="7:63" ht="17.5">
      <c r="G353" s="261"/>
      <c r="H353" s="262"/>
      <c r="I353" s="93" t="s">
        <v>681</v>
      </c>
      <c r="J353" s="93" t="s">
        <v>681</v>
      </c>
      <c r="K353" s="93" t="s">
        <v>681</v>
      </c>
      <c r="L353" s="242" t="s">
        <v>681</v>
      </c>
      <c r="M353" s="263" t="str">
        <f t="shared" si="22"/>
        <v>dodgerblue</v>
      </c>
      <c r="N353" s="264" t="str">
        <f ca="1">IFERROR(__xludf.DUMMYFUNCTION("FILTER(C:E,B:B=J353)")," ")</f>
        <v xml:space="preserve"> </v>
      </c>
      <c r="O353" s="265" t="str">
        <f ca="1">IFERROR(__xludf.DUMMYFUNCTION("""COMPUTED_VALUE""")," ")</f>
        <v xml:space="preserve"> </v>
      </c>
      <c r="P353" s="265" t="str">
        <f ca="1">IFERROR(__xludf.DUMMYFUNCTION("""COMPUTED_VALUE""")," ")</f>
        <v xml:space="preserve"> </v>
      </c>
      <c r="Q353" s="264" t="str">
        <f ca="1">IFERROR(__xludf.DUMMYFUNCTION("FILTER(C:E,B:B=K353)")," ")</f>
        <v xml:space="preserve"> </v>
      </c>
      <c r="R353" s="265" t="str">
        <f ca="1">IFERROR(__xludf.DUMMYFUNCTION("""COMPUTED_VALUE""")," ")</f>
        <v xml:space="preserve"> </v>
      </c>
      <c r="S353" s="265" t="str">
        <f ca="1">IFERROR(__xludf.DUMMYFUNCTION("""COMPUTED_VALUE""")," ")</f>
        <v xml:space="preserve"> </v>
      </c>
      <c r="T353" s="264" t="str">
        <f ca="1">IFERROR(__xludf.DUMMYFUNCTION("FILTER(C:E,B:B=L353)")," ")</f>
        <v xml:space="preserve"> </v>
      </c>
      <c r="U353" s="40" t="str">
        <f ca="1">IFERROR(__xludf.DUMMYFUNCTION("""COMPUTED_VALUE""")," ")</f>
        <v xml:space="preserve"> </v>
      </c>
      <c r="V353" s="40" t="str">
        <f ca="1">IFERROR(__xludf.DUMMYFUNCTION("""COMPUTED_VALUE""")," ")</f>
        <v xml:space="preserve"> </v>
      </c>
      <c r="W353" s="40" t="str">
        <f t="shared" ca="1" si="42"/>
        <v>,</v>
      </c>
      <c r="X353" s="40" t="s">
        <v>682</v>
      </c>
      <c r="Y353" s="40" t="s">
        <v>683</v>
      </c>
      <c r="Z353" s="264" t="str">
        <f t="shared" ca="1" si="23"/>
        <v xml:space="preserve"> </v>
      </c>
      <c r="AA353" s="40" t="s">
        <v>684</v>
      </c>
      <c r="AB353" s="264" t="str">
        <f t="shared" ca="1" si="24"/>
        <v xml:space="preserve"> </v>
      </c>
      <c r="AC353" s="40" t="s">
        <v>685</v>
      </c>
      <c r="AD353" s="264" t="str">
        <f t="shared" ca="1" si="25"/>
        <v xml:space="preserve"> </v>
      </c>
      <c r="AE353" s="40" t="s">
        <v>684</v>
      </c>
      <c r="AF353" s="264" t="str">
        <f t="shared" ca="1" si="26"/>
        <v xml:space="preserve"> </v>
      </c>
      <c r="AG353" s="40" t="s">
        <v>686</v>
      </c>
      <c r="AH353" s="264" t="str">
        <f t="shared" ca="1" si="27"/>
        <v xml:space="preserve"> </v>
      </c>
      <c r="AI353" s="40" t="s">
        <v>684</v>
      </c>
      <c r="AJ353" s="264" t="str">
        <f t="shared" ca="1" si="28"/>
        <v xml:space="preserve"> </v>
      </c>
      <c r="AK353" s="40" t="s">
        <v>687</v>
      </c>
      <c r="AL353" s="264" t="str">
        <f t="shared" si="29"/>
        <v>dodgerblue</v>
      </c>
      <c r="AM353" s="40" t="s">
        <v>688</v>
      </c>
      <c r="AN353" s="40" t="str">
        <f t="shared" ca="1" si="30"/>
        <v>,{"type":"polygon","latLngs":[ {"lat": ,"lng": }, {"lat": ,"lng": },{"lat": ,"lng": }], "color":"dodgerblue"}</v>
      </c>
      <c r="AO353" s="266" t="s">
        <v>689</v>
      </c>
      <c r="AP353" s="56" t="str">
        <f t="shared" ca="1" si="31"/>
        <v xml:space="preserve"> </v>
      </c>
      <c r="AQ353" s="40" t="s">
        <v>684</v>
      </c>
      <c r="AR353" s="56" t="str">
        <f t="shared" ca="1" si="32"/>
        <v xml:space="preserve"> </v>
      </c>
      <c r="AS353" s="40" t="s">
        <v>686</v>
      </c>
      <c r="AT353" s="56" t="str">
        <f t="shared" ca="1" si="33"/>
        <v xml:space="preserve"> </v>
      </c>
      <c r="AU353" s="40" t="s">
        <v>684</v>
      </c>
      <c r="AV353" s="56" t="str">
        <f t="shared" ca="1" si="34"/>
        <v xml:space="preserve"> </v>
      </c>
      <c r="AW353" s="40" t="s">
        <v>690</v>
      </c>
      <c r="AX353" s="40" t="str">
        <f t="shared" si="35"/>
        <v>dodgerblue</v>
      </c>
      <c r="AY353" s="40" t="s">
        <v>688</v>
      </c>
      <c r="AZ353" s="40" t="str">
        <f t="shared" ca="1" si="36"/>
        <v>,{"type":"polyline","latLngs":[{"lat": ,"lng": },{"lat": ,"lng": }],"color":"dodgerblue"}</v>
      </c>
      <c r="BA353" s="40" t="s">
        <v>691</v>
      </c>
      <c r="BB353" s="56" t="str">
        <f t="shared" ca="1" si="37"/>
        <v xml:space="preserve"> </v>
      </c>
      <c r="BC353" s="40" t="s">
        <v>684</v>
      </c>
      <c r="BD353" s="56" t="str">
        <f t="shared" ca="1" si="38"/>
        <v xml:space="preserve"> </v>
      </c>
      <c r="BE353" s="40" t="s">
        <v>692</v>
      </c>
      <c r="BF353" s="40" t="str">
        <f t="shared" si="39"/>
        <v>dodgerblue</v>
      </c>
      <c r="BG353" s="40" t="s">
        <v>688</v>
      </c>
      <c r="BH353" s="40" t="str">
        <f t="shared" ca="1" si="40"/>
        <v>,{"type":"marker","latLng":{"lat": ,"lng": },"color":"dodgerblue"}</v>
      </c>
      <c r="BI353" s="40" t="s">
        <v>693</v>
      </c>
      <c r="BJ353" s="40" t="s">
        <v>694</v>
      </c>
      <c r="BK353" s="267" t="str">
        <f t="shared" si="41"/>
        <v/>
      </c>
    </row>
    <row r="354" spans="7:63" ht="17.5">
      <c r="G354" s="261"/>
      <c r="H354" s="262"/>
      <c r="I354" s="93" t="s">
        <v>681</v>
      </c>
      <c r="J354" s="93" t="s">
        <v>681</v>
      </c>
      <c r="K354" s="93" t="s">
        <v>681</v>
      </c>
      <c r="L354" s="242" t="s">
        <v>681</v>
      </c>
      <c r="M354" s="263" t="str">
        <f t="shared" si="22"/>
        <v>dodgerblue</v>
      </c>
      <c r="N354" s="264" t="str">
        <f ca="1">IFERROR(__xludf.DUMMYFUNCTION("FILTER(C:E,B:B=J354)")," ")</f>
        <v xml:space="preserve"> </v>
      </c>
      <c r="O354" s="265" t="str">
        <f ca="1">IFERROR(__xludf.DUMMYFUNCTION("""COMPUTED_VALUE""")," ")</f>
        <v xml:space="preserve"> </v>
      </c>
      <c r="P354" s="265" t="str">
        <f ca="1">IFERROR(__xludf.DUMMYFUNCTION("""COMPUTED_VALUE""")," ")</f>
        <v xml:space="preserve"> </v>
      </c>
      <c r="Q354" s="264" t="str">
        <f ca="1">IFERROR(__xludf.DUMMYFUNCTION("FILTER(C:E,B:B=K354)")," ")</f>
        <v xml:space="preserve"> </v>
      </c>
      <c r="R354" s="265" t="str">
        <f ca="1">IFERROR(__xludf.DUMMYFUNCTION("""COMPUTED_VALUE""")," ")</f>
        <v xml:space="preserve"> </v>
      </c>
      <c r="S354" s="265" t="str">
        <f ca="1">IFERROR(__xludf.DUMMYFUNCTION("""COMPUTED_VALUE""")," ")</f>
        <v xml:space="preserve"> </v>
      </c>
      <c r="T354" s="264" t="str">
        <f ca="1">IFERROR(__xludf.DUMMYFUNCTION("FILTER(C:E,B:B=L354)")," ")</f>
        <v xml:space="preserve"> </v>
      </c>
      <c r="U354" s="40" t="str">
        <f ca="1">IFERROR(__xludf.DUMMYFUNCTION("""COMPUTED_VALUE""")," ")</f>
        <v xml:space="preserve"> </v>
      </c>
      <c r="V354" s="40" t="str">
        <f ca="1">IFERROR(__xludf.DUMMYFUNCTION("""COMPUTED_VALUE""")," ")</f>
        <v xml:space="preserve"> </v>
      </c>
      <c r="W354" s="40" t="str">
        <f t="shared" ca="1" si="42"/>
        <v>,</v>
      </c>
      <c r="X354" s="40" t="s">
        <v>682</v>
      </c>
      <c r="Y354" s="40" t="s">
        <v>683</v>
      </c>
      <c r="Z354" s="264" t="str">
        <f t="shared" ca="1" si="23"/>
        <v xml:space="preserve"> </v>
      </c>
      <c r="AA354" s="40" t="s">
        <v>684</v>
      </c>
      <c r="AB354" s="264" t="str">
        <f t="shared" ca="1" si="24"/>
        <v xml:space="preserve"> </v>
      </c>
      <c r="AC354" s="40" t="s">
        <v>685</v>
      </c>
      <c r="AD354" s="264" t="str">
        <f t="shared" ca="1" si="25"/>
        <v xml:space="preserve"> </v>
      </c>
      <c r="AE354" s="40" t="s">
        <v>684</v>
      </c>
      <c r="AF354" s="264" t="str">
        <f t="shared" ca="1" si="26"/>
        <v xml:space="preserve"> </v>
      </c>
      <c r="AG354" s="40" t="s">
        <v>686</v>
      </c>
      <c r="AH354" s="264" t="str">
        <f t="shared" ca="1" si="27"/>
        <v xml:space="preserve"> </v>
      </c>
      <c r="AI354" s="40" t="s">
        <v>684</v>
      </c>
      <c r="AJ354" s="264" t="str">
        <f t="shared" ca="1" si="28"/>
        <v xml:space="preserve"> </v>
      </c>
      <c r="AK354" s="40" t="s">
        <v>687</v>
      </c>
      <c r="AL354" s="264" t="str">
        <f t="shared" si="29"/>
        <v>dodgerblue</v>
      </c>
      <c r="AM354" s="40" t="s">
        <v>688</v>
      </c>
      <c r="AN354" s="40" t="str">
        <f t="shared" ca="1" si="30"/>
        <v>,{"type":"polygon","latLngs":[ {"lat": ,"lng": }, {"lat": ,"lng": },{"lat": ,"lng": }], "color":"dodgerblue"}</v>
      </c>
      <c r="AO354" s="266" t="s">
        <v>689</v>
      </c>
      <c r="AP354" s="56" t="str">
        <f t="shared" ca="1" si="31"/>
        <v xml:space="preserve"> </v>
      </c>
      <c r="AQ354" s="40" t="s">
        <v>684</v>
      </c>
      <c r="AR354" s="56" t="str">
        <f t="shared" ca="1" si="32"/>
        <v xml:space="preserve"> </v>
      </c>
      <c r="AS354" s="40" t="s">
        <v>686</v>
      </c>
      <c r="AT354" s="56" t="str">
        <f t="shared" ca="1" si="33"/>
        <v xml:space="preserve"> </v>
      </c>
      <c r="AU354" s="40" t="s">
        <v>684</v>
      </c>
      <c r="AV354" s="56" t="str">
        <f t="shared" ca="1" si="34"/>
        <v xml:space="preserve"> </v>
      </c>
      <c r="AW354" s="40" t="s">
        <v>690</v>
      </c>
      <c r="AX354" s="40" t="str">
        <f t="shared" si="35"/>
        <v>dodgerblue</v>
      </c>
      <c r="AY354" s="40" t="s">
        <v>688</v>
      </c>
      <c r="AZ354" s="40" t="str">
        <f t="shared" ca="1" si="36"/>
        <v>,{"type":"polyline","latLngs":[{"lat": ,"lng": },{"lat": ,"lng": }],"color":"dodgerblue"}</v>
      </c>
      <c r="BA354" s="40" t="s">
        <v>691</v>
      </c>
      <c r="BB354" s="56" t="str">
        <f t="shared" ca="1" si="37"/>
        <v xml:space="preserve"> </v>
      </c>
      <c r="BC354" s="40" t="s">
        <v>684</v>
      </c>
      <c r="BD354" s="56" t="str">
        <f t="shared" ca="1" si="38"/>
        <v xml:space="preserve"> </v>
      </c>
      <c r="BE354" s="40" t="s">
        <v>692</v>
      </c>
      <c r="BF354" s="40" t="str">
        <f t="shared" si="39"/>
        <v>dodgerblue</v>
      </c>
      <c r="BG354" s="40" t="s">
        <v>688</v>
      </c>
      <c r="BH354" s="40" t="str">
        <f t="shared" ca="1" si="40"/>
        <v>,{"type":"marker","latLng":{"lat": ,"lng": },"color":"dodgerblue"}</v>
      </c>
      <c r="BI354" s="40" t="s">
        <v>693</v>
      </c>
      <c r="BJ354" s="40" t="s">
        <v>694</v>
      </c>
      <c r="BK354" s="267" t="str">
        <f t="shared" si="41"/>
        <v/>
      </c>
    </row>
    <row r="355" spans="7:63" ht="17.5">
      <c r="G355" s="261"/>
      <c r="H355" s="262"/>
      <c r="I355" s="93" t="s">
        <v>681</v>
      </c>
      <c r="J355" s="93" t="s">
        <v>681</v>
      </c>
      <c r="K355" s="93" t="s">
        <v>681</v>
      </c>
      <c r="L355" s="242" t="s">
        <v>681</v>
      </c>
      <c r="M355" s="263" t="str">
        <f t="shared" si="22"/>
        <v>dodgerblue</v>
      </c>
      <c r="N355" s="264" t="str">
        <f ca="1">IFERROR(__xludf.DUMMYFUNCTION("FILTER(C:E,B:B=J355)")," ")</f>
        <v xml:space="preserve"> </v>
      </c>
      <c r="O355" s="265" t="str">
        <f ca="1">IFERROR(__xludf.DUMMYFUNCTION("""COMPUTED_VALUE""")," ")</f>
        <v xml:space="preserve"> </v>
      </c>
      <c r="P355" s="265" t="str">
        <f ca="1">IFERROR(__xludf.DUMMYFUNCTION("""COMPUTED_VALUE""")," ")</f>
        <v xml:space="preserve"> </v>
      </c>
      <c r="Q355" s="264" t="str">
        <f ca="1">IFERROR(__xludf.DUMMYFUNCTION("FILTER(C:E,B:B=K355)")," ")</f>
        <v xml:space="preserve"> </v>
      </c>
      <c r="R355" s="265" t="str">
        <f ca="1">IFERROR(__xludf.DUMMYFUNCTION("""COMPUTED_VALUE""")," ")</f>
        <v xml:space="preserve"> </v>
      </c>
      <c r="S355" s="265" t="str">
        <f ca="1">IFERROR(__xludf.DUMMYFUNCTION("""COMPUTED_VALUE""")," ")</f>
        <v xml:space="preserve"> </v>
      </c>
      <c r="T355" s="264" t="str">
        <f ca="1">IFERROR(__xludf.DUMMYFUNCTION("FILTER(C:E,B:B=L355)")," ")</f>
        <v xml:space="preserve"> </v>
      </c>
      <c r="U355" s="40" t="str">
        <f ca="1">IFERROR(__xludf.DUMMYFUNCTION("""COMPUTED_VALUE""")," ")</f>
        <v xml:space="preserve"> </v>
      </c>
      <c r="V355" s="40" t="str">
        <f ca="1">IFERROR(__xludf.DUMMYFUNCTION("""COMPUTED_VALUE""")," ")</f>
        <v xml:space="preserve"> </v>
      </c>
      <c r="W355" s="40" t="str">
        <f t="shared" ca="1" si="42"/>
        <v>,</v>
      </c>
      <c r="X355" s="40" t="s">
        <v>682</v>
      </c>
      <c r="Y355" s="40" t="s">
        <v>683</v>
      </c>
      <c r="Z355" s="264" t="str">
        <f t="shared" ca="1" si="23"/>
        <v xml:space="preserve"> </v>
      </c>
      <c r="AA355" s="40" t="s">
        <v>684</v>
      </c>
      <c r="AB355" s="264" t="str">
        <f t="shared" ca="1" si="24"/>
        <v xml:space="preserve"> </v>
      </c>
      <c r="AC355" s="40" t="s">
        <v>685</v>
      </c>
      <c r="AD355" s="264" t="str">
        <f t="shared" ca="1" si="25"/>
        <v xml:space="preserve"> </v>
      </c>
      <c r="AE355" s="40" t="s">
        <v>684</v>
      </c>
      <c r="AF355" s="264" t="str">
        <f t="shared" ca="1" si="26"/>
        <v xml:space="preserve"> </v>
      </c>
      <c r="AG355" s="40" t="s">
        <v>686</v>
      </c>
      <c r="AH355" s="264" t="str">
        <f t="shared" ca="1" si="27"/>
        <v xml:space="preserve"> </v>
      </c>
      <c r="AI355" s="40" t="s">
        <v>684</v>
      </c>
      <c r="AJ355" s="264" t="str">
        <f t="shared" ca="1" si="28"/>
        <v xml:space="preserve"> </v>
      </c>
      <c r="AK355" s="40" t="s">
        <v>687</v>
      </c>
      <c r="AL355" s="264" t="str">
        <f t="shared" si="29"/>
        <v>dodgerblue</v>
      </c>
      <c r="AM355" s="40" t="s">
        <v>688</v>
      </c>
      <c r="AN355" s="40" t="str">
        <f t="shared" ca="1" si="30"/>
        <v>,{"type":"polygon","latLngs":[ {"lat": ,"lng": }, {"lat": ,"lng": },{"lat": ,"lng": }], "color":"dodgerblue"}</v>
      </c>
      <c r="AO355" s="266" t="s">
        <v>689</v>
      </c>
      <c r="AP355" s="56" t="str">
        <f t="shared" ca="1" si="31"/>
        <v xml:space="preserve"> </v>
      </c>
      <c r="AQ355" s="40" t="s">
        <v>684</v>
      </c>
      <c r="AR355" s="56" t="str">
        <f t="shared" ca="1" si="32"/>
        <v xml:space="preserve"> </v>
      </c>
      <c r="AS355" s="40" t="s">
        <v>686</v>
      </c>
      <c r="AT355" s="56" t="str">
        <f t="shared" ca="1" si="33"/>
        <v xml:space="preserve"> </v>
      </c>
      <c r="AU355" s="40" t="s">
        <v>684</v>
      </c>
      <c r="AV355" s="56" t="str">
        <f t="shared" ca="1" si="34"/>
        <v xml:space="preserve"> </v>
      </c>
      <c r="AW355" s="40" t="s">
        <v>690</v>
      </c>
      <c r="AX355" s="40" t="str">
        <f t="shared" si="35"/>
        <v>dodgerblue</v>
      </c>
      <c r="AY355" s="40" t="s">
        <v>688</v>
      </c>
      <c r="AZ355" s="40" t="str">
        <f t="shared" ca="1" si="36"/>
        <v>,{"type":"polyline","latLngs":[{"lat": ,"lng": },{"lat": ,"lng": }],"color":"dodgerblue"}</v>
      </c>
      <c r="BA355" s="40" t="s">
        <v>691</v>
      </c>
      <c r="BB355" s="56" t="str">
        <f t="shared" ca="1" si="37"/>
        <v xml:space="preserve"> </v>
      </c>
      <c r="BC355" s="40" t="s">
        <v>684</v>
      </c>
      <c r="BD355" s="56" t="str">
        <f t="shared" ca="1" si="38"/>
        <v xml:space="preserve"> </v>
      </c>
      <c r="BE355" s="40" t="s">
        <v>692</v>
      </c>
      <c r="BF355" s="40" t="str">
        <f t="shared" si="39"/>
        <v>dodgerblue</v>
      </c>
      <c r="BG355" s="40" t="s">
        <v>688</v>
      </c>
      <c r="BH355" s="40" t="str">
        <f t="shared" ca="1" si="40"/>
        <v>,{"type":"marker","latLng":{"lat": ,"lng": },"color":"dodgerblue"}</v>
      </c>
      <c r="BI355" s="40" t="s">
        <v>693</v>
      </c>
      <c r="BJ355" s="40" t="s">
        <v>694</v>
      </c>
      <c r="BK355" s="267" t="str">
        <f t="shared" si="41"/>
        <v/>
      </c>
    </row>
    <row r="356" spans="7:63" ht="16">
      <c r="I356" s="93"/>
      <c r="J356" s="93"/>
      <c r="K356" s="93"/>
      <c r="L356" s="242"/>
    </row>
    <row r="357" spans="7:63" ht="16">
      <c r="I357" s="93"/>
      <c r="J357" s="93"/>
      <c r="K357" s="93"/>
      <c r="L357" s="242"/>
    </row>
    <row r="358" spans="7:63" ht="16">
      <c r="I358" s="93"/>
      <c r="J358" s="93"/>
      <c r="K358" s="93"/>
      <c r="L358" s="242"/>
    </row>
    <row r="359" spans="7:63" ht="16">
      <c r="I359" s="93"/>
      <c r="J359" s="93"/>
      <c r="K359" s="93"/>
      <c r="L359" s="242"/>
    </row>
    <row r="360" spans="7:63" ht="16">
      <c r="I360" s="93"/>
      <c r="J360" s="93"/>
      <c r="K360" s="93"/>
      <c r="L360" s="242"/>
    </row>
    <row r="361" spans="7:63" ht="16">
      <c r="I361" s="93"/>
      <c r="J361" s="93"/>
      <c r="K361" s="93"/>
      <c r="L361" s="242"/>
    </row>
    <row r="362" spans="7:63" ht="16">
      <c r="I362" s="93"/>
      <c r="J362" s="93"/>
      <c r="K362" s="93"/>
      <c r="L362" s="242"/>
    </row>
    <row r="363" spans="7:63" ht="16">
      <c r="I363" s="93"/>
      <c r="J363" s="93"/>
      <c r="K363" s="93"/>
      <c r="L363" s="242"/>
    </row>
    <row r="364" spans="7:63" ht="16">
      <c r="I364" s="93"/>
      <c r="J364" s="93"/>
      <c r="K364" s="93"/>
      <c r="L364" s="242"/>
    </row>
    <row r="365" spans="7:63" ht="16">
      <c r="I365" s="93"/>
      <c r="J365" s="93"/>
      <c r="K365" s="93"/>
      <c r="L365" s="242"/>
    </row>
    <row r="366" spans="7:63" ht="16">
      <c r="I366" s="93"/>
      <c r="J366" s="93"/>
      <c r="K366" s="93"/>
      <c r="L366" s="242"/>
    </row>
    <row r="367" spans="7:63" ht="16">
      <c r="I367" s="93"/>
      <c r="J367" s="93"/>
      <c r="K367" s="93"/>
      <c r="L367" s="242"/>
    </row>
    <row r="368" spans="7:63" ht="16">
      <c r="I368" s="93"/>
      <c r="J368" s="93"/>
      <c r="K368" s="93"/>
      <c r="L368" s="242"/>
    </row>
    <row r="369" spans="9:12" ht="16">
      <c r="I369" s="93"/>
      <c r="J369" s="93"/>
      <c r="K369" s="93"/>
      <c r="L369" s="242"/>
    </row>
    <row r="370" spans="9:12" ht="16">
      <c r="I370" s="93"/>
      <c r="J370" s="93"/>
      <c r="K370" s="93"/>
      <c r="L370" s="242"/>
    </row>
    <row r="371" spans="9:12" ht="16">
      <c r="I371" s="93"/>
      <c r="J371" s="93"/>
      <c r="K371" s="93"/>
      <c r="L371" s="242"/>
    </row>
    <row r="372" spans="9:12" ht="16">
      <c r="I372" s="93"/>
      <c r="J372" s="93"/>
      <c r="K372" s="93"/>
      <c r="L372" s="242"/>
    </row>
    <row r="373" spans="9:12" ht="16">
      <c r="I373" s="93"/>
      <c r="J373" s="93"/>
      <c r="K373" s="93"/>
      <c r="L373" s="242"/>
    </row>
    <row r="374" spans="9:12" ht="16">
      <c r="I374" s="93"/>
      <c r="J374" s="93"/>
      <c r="K374" s="93"/>
      <c r="L374" s="242"/>
    </row>
    <row r="375" spans="9:12" ht="16">
      <c r="I375" s="93"/>
      <c r="J375" s="93"/>
      <c r="K375" s="93"/>
      <c r="L375" s="242"/>
    </row>
    <row r="376" spans="9:12" ht="16">
      <c r="I376" s="93"/>
      <c r="J376" s="93"/>
      <c r="K376" s="93"/>
      <c r="L376" s="242"/>
    </row>
    <row r="377" spans="9:12" ht="16">
      <c r="I377" s="93"/>
      <c r="J377" s="93"/>
      <c r="K377" s="93"/>
      <c r="L377" s="242"/>
    </row>
    <row r="378" spans="9:12" ht="16">
      <c r="I378" s="93"/>
      <c r="J378" s="93"/>
      <c r="K378" s="93"/>
      <c r="L378" s="242"/>
    </row>
    <row r="379" spans="9:12" ht="16">
      <c r="I379" s="93"/>
      <c r="J379" s="93"/>
      <c r="K379" s="93"/>
      <c r="L379" s="242"/>
    </row>
    <row r="380" spans="9:12" ht="16">
      <c r="I380" s="93"/>
      <c r="J380" s="93"/>
      <c r="K380" s="93"/>
      <c r="L380" s="242"/>
    </row>
    <row r="381" spans="9:12" ht="16">
      <c r="I381" s="93"/>
      <c r="J381" s="93"/>
      <c r="K381" s="93"/>
      <c r="L381" s="242"/>
    </row>
    <row r="382" spans="9:12" ht="16">
      <c r="I382" s="93"/>
      <c r="J382" s="93"/>
      <c r="K382" s="93"/>
      <c r="L382" s="242"/>
    </row>
    <row r="383" spans="9:12" ht="16">
      <c r="I383" s="93"/>
      <c r="J383" s="93"/>
      <c r="K383" s="93"/>
      <c r="L383" s="242"/>
    </row>
    <row r="384" spans="9:12" ht="16">
      <c r="I384" s="93"/>
      <c r="J384" s="93"/>
      <c r="K384" s="93"/>
      <c r="L384" s="242"/>
    </row>
    <row r="385" spans="9:12" ht="16">
      <c r="I385" s="93"/>
      <c r="J385" s="93"/>
      <c r="K385" s="93"/>
      <c r="L385" s="242"/>
    </row>
    <row r="386" spans="9:12" ht="16">
      <c r="I386" s="93"/>
      <c r="J386" s="93"/>
      <c r="K386" s="93"/>
      <c r="L386" s="242"/>
    </row>
    <row r="387" spans="9:12" ht="16">
      <c r="I387" s="93"/>
      <c r="J387" s="93"/>
      <c r="K387" s="93"/>
      <c r="L387" s="242"/>
    </row>
    <row r="388" spans="9:12" ht="16">
      <c r="I388" s="93"/>
      <c r="J388" s="93"/>
      <c r="K388" s="93"/>
      <c r="L388" s="242"/>
    </row>
    <row r="389" spans="9:12" ht="16">
      <c r="I389" s="93"/>
      <c r="J389" s="93"/>
      <c r="K389" s="93"/>
      <c r="L389" s="242"/>
    </row>
    <row r="390" spans="9:12" ht="16">
      <c r="I390" s="93"/>
      <c r="J390" s="93"/>
      <c r="K390" s="93"/>
      <c r="L390" s="242"/>
    </row>
    <row r="391" spans="9:12" ht="16">
      <c r="I391" s="93"/>
      <c r="J391" s="93"/>
      <c r="K391" s="93"/>
      <c r="L391" s="242"/>
    </row>
    <row r="392" spans="9:12" ht="16">
      <c r="I392" s="93"/>
      <c r="J392" s="93"/>
      <c r="K392" s="93"/>
      <c r="L392" s="242"/>
    </row>
    <row r="393" spans="9:12" ht="16">
      <c r="I393" s="93"/>
      <c r="J393" s="93"/>
      <c r="K393" s="93"/>
      <c r="L393" s="242"/>
    </row>
    <row r="394" spans="9:12" ht="16">
      <c r="I394" s="93"/>
      <c r="J394" s="93"/>
      <c r="K394" s="93"/>
      <c r="L394" s="242"/>
    </row>
    <row r="395" spans="9:12" ht="16">
      <c r="I395" s="93"/>
      <c r="J395" s="93"/>
      <c r="K395" s="93"/>
      <c r="L395" s="242"/>
    </row>
    <row r="396" spans="9:12" ht="16">
      <c r="I396" s="93"/>
      <c r="J396" s="93"/>
      <c r="K396" s="93"/>
      <c r="L396" s="242"/>
    </row>
    <row r="397" spans="9:12" ht="16">
      <c r="I397" s="93"/>
      <c r="J397" s="93"/>
      <c r="K397" s="93"/>
      <c r="L397" s="242"/>
    </row>
    <row r="398" spans="9:12" ht="16">
      <c r="I398" s="93"/>
      <c r="J398" s="93"/>
      <c r="K398" s="93"/>
      <c r="L398" s="242"/>
    </row>
    <row r="399" spans="9:12" ht="16">
      <c r="I399" s="93"/>
      <c r="J399" s="93"/>
      <c r="K399" s="93"/>
      <c r="L399" s="242"/>
    </row>
    <row r="400" spans="9:12" ht="16">
      <c r="I400" s="93"/>
      <c r="J400" s="93"/>
      <c r="K400" s="93"/>
      <c r="L400" s="242"/>
    </row>
    <row r="401" spans="9:12" ht="16">
      <c r="I401" s="93"/>
      <c r="J401" s="93"/>
      <c r="K401" s="93"/>
      <c r="L401" s="242"/>
    </row>
    <row r="402" spans="9:12" ht="16">
      <c r="I402" s="93"/>
      <c r="J402" s="93"/>
      <c r="K402" s="93"/>
      <c r="L402" s="242"/>
    </row>
    <row r="403" spans="9:12" ht="16">
      <c r="I403" s="93"/>
      <c r="J403" s="93"/>
      <c r="K403" s="93"/>
      <c r="L403" s="242"/>
    </row>
    <row r="404" spans="9:12" ht="16">
      <c r="I404" s="93"/>
      <c r="J404" s="93"/>
      <c r="K404" s="93"/>
      <c r="L404" s="242"/>
    </row>
    <row r="405" spans="9:12" ht="16">
      <c r="I405" s="93"/>
      <c r="J405" s="93"/>
      <c r="K405" s="93"/>
      <c r="L405" s="242"/>
    </row>
    <row r="406" spans="9:12" ht="16">
      <c r="I406" s="93"/>
      <c r="J406" s="93"/>
      <c r="K406" s="93"/>
      <c r="L406" s="242"/>
    </row>
    <row r="407" spans="9:12" ht="16">
      <c r="I407" s="93"/>
      <c r="J407" s="93"/>
      <c r="K407" s="93"/>
      <c r="L407" s="242"/>
    </row>
    <row r="408" spans="9:12" ht="16">
      <c r="I408" s="93"/>
      <c r="J408" s="93"/>
      <c r="K408" s="93"/>
      <c r="L408" s="242"/>
    </row>
    <row r="409" spans="9:12" ht="16">
      <c r="I409" s="93"/>
      <c r="J409" s="93"/>
      <c r="K409" s="93"/>
      <c r="L409" s="242"/>
    </row>
    <row r="410" spans="9:12" ht="16">
      <c r="I410" s="93"/>
      <c r="J410" s="93"/>
      <c r="K410" s="93"/>
      <c r="L410" s="242"/>
    </row>
    <row r="411" spans="9:12" ht="16">
      <c r="I411" s="93"/>
      <c r="J411" s="93"/>
      <c r="K411" s="93"/>
      <c r="L411" s="242"/>
    </row>
    <row r="412" spans="9:12" ht="16">
      <c r="I412" s="93"/>
      <c r="J412" s="93"/>
      <c r="K412" s="93"/>
      <c r="L412" s="242"/>
    </row>
    <row r="413" spans="9:12" ht="16">
      <c r="I413" s="93"/>
      <c r="J413" s="93"/>
      <c r="K413" s="93"/>
      <c r="L413" s="242"/>
    </row>
    <row r="414" spans="9:12" ht="16">
      <c r="I414" s="93"/>
      <c r="J414" s="93"/>
      <c r="K414" s="93"/>
      <c r="L414" s="242"/>
    </row>
    <row r="415" spans="9:12" ht="16">
      <c r="I415" s="93"/>
      <c r="J415" s="93"/>
      <c r="K415" s="93"/>
      <c r="L415" s="242"/>
    </row>
    <row r="416" spans="9:12" ht="16">
      <c r="I416" s="93"/>
      <c r="J416" s="93"/>
      <c r="K416" s="93"/>
      <c r="L416" s="242"/>
    </row>
    <row r="417" spans="9:12" ht="16">
      <c r="I417" s="93"/>
      <c r="J417" s="93"/>
      <c r="K417" s="93"/>
      <c r="L417" s="242"/>
    </row>
    <row r="418" spans="9:12" ht="16">
      <c r="I418" s="93"/>
      <c r="J418" s="93"/>
      <c r="K418" s="93"/>
      <c r="L418" s="242"/>
    </row>
    <row r="419" spans="9:12" ht="16">
      <c r="I419" s="93"/>
      <c r="J419" s="93"/>
      <c r="K419" s="93"/>
      <c r="L419" s="242"/>
    </row>
    <row r="420" spans="9:12" ht="16">
      <c r="I420" s="93"/>
      <c r="J420" s="93"/>
      <c r="K420" s="93"/>
      <c r="L420" s="242"/>
    </row>
    <row r="421" spans="9:12" ht="16">
      <c r="I421" s="93"/>
      <c r="J421" s="93"/>
      <c r="K421" s="93"/>
      <c r="L421" s="242"/>
    </row>
    <row r="422" spans="9:12" ht="16">
      <c r="I422" s="93"/>
      <c r="J422" s="93"/>
      <c r="K422" s="93"/>
      <c r="L422" s="242"/>
    </row>
    <row r="423" spans="9:12" ht="16">
      <c r="I423" s="93"/>
      <c r="J423" s="93"/>
      <c r="K423" s="93"/>
      <c r="L423" s="242"/>
    </row>
    <row r="424" spans="9:12" ht="16">
      <c r="I424" s="93"/>
      <c r="J424" s="93"/>
      <c r="K424" s="93"/>
      <c r="L424" s="242"/>
    </row>
    <row r="425" spans="9:12" ht="16">
      <c r="I425" s="93"/>
      <c r="J425" s="93"/>
      <c r="K425" s="93"/>
      <c r="L425" s="242"/>
    </row>
    <row r="426" spans="9:12" ht="16">
      <c r="I426" s="93"/>
      <c r="J426" s="93"/>
      <c r="K426" s="93"/>
      <c r="L426" s="242"/>
    </row>
    <row r="427" spans="9:12" ht="16">
      <c r="I427" s="93"/>
      <c r="J427" s="93"/>
      <c r="K427" s="93"/>
      <c r="L427" s="242"/>
    </row>
    <row r="428" spans="9:12" ht="16">
      <c r="I428" s="93"/>
      <c r="J428" s="93"/>
      <c r="K428" s="93"/>
      <c r="L428" s="242"/>
    </row>
    <row r="429" spans="9:12" ht="16">
      <c r="I429" s="93"/>
      <c r="J429" s="93"/>
      <c r="K429" s="93"/>
      <c r="L429" s="242"/>
    </row>
    <row r="430" spans="9:12" ht="16">
      <c r="I430" s="93"/>
      <c r="J430" s="93"/>
      <c r="K430" s="93"/>
      <c r="L430" s="242"/>
    </row>
    <row r="431" spans="9:12" ht="16">
      <c r="I431" s="93"/>
      <c r="J431" s="93"/>
      <c r="K431" s="93"/>
      <c r="L431" s="242"/>
    </row>
    <row r="432" spans="9:12" ht="16">
      <c r="I432" s="93"/>
      <c r="J432" s="93"/>
      <c r="K432" s="93"/>
      <c r="L432" s="242"/>
    </row>
    <row r="433" spans="9:12" ht="16">
      <c r="I433" s="93"/>
      <c r="J433" s="93"/>
      <c r="K433" s="93"/>
      <c r="L433" s="242"/>
    </row>
    <row r="434" spans="9:12" ht="16">
      <c r="I434" s="93"/>
      <c r="J434" s="93"/>
      <c r="K434" s="93"/>
      <c r="L434" s="242"/>
    </row>
    <row r="435" spans="9:12" ht="16">
      <c r="I435" s="93"/>
      <c r="J435" s="93"/>
      <c r="K435" s="93"/>
      <c r="L435" s="242"/>
    </row>
    <row r="436" spans="9:12" ht="16">
      <c r="I436" s="93"/>
      <c r="J436" s="93"/>
      <c r="K436" s="93"/>
      <c r="L436" s="242"/>
    </row>
    <row r="437" spans="9:12" ht="16">
      <c r="I437" s="93"/>
      <c r="J437" s="93"/>
      <c r="K437" s="93"/>
      <c r="L437" s="242"/>
    </row>
    <row r="438" spans="9:12" ht="16">
      <c r="I438" s="93"/>
      <c r="J438" s="93"/>
      <c r="K438" s="93"/>
      <c r="L438" s="242"/>
    </row>
    <row r="439" spans="9:12" ht="16">
      <c r="I439" s="93"/>
      <c r="J439" s="93"/>
      <c r="K439" s="93"/>
      <c r="L439" s="242"/>
    </row>
    <row r="440" spans="9:12" ht="16">
      <c r="I440" s="93"/>
      <c r="J440" s="93"/>
      <c r="K440" s="93"/>
      <c r="L440" s="242"/>
    </row>
    <row r="441" spans="9:12" ht="16">
      <c r="I441" s="93"/>
      <c r="J441" s="93"/>
      <c r="K441" s="93"/>
      <c r="L441" s="242"/>
    </row>
    <row r="442" spans="9:12" ht="16">
      <c r="I442" s="93"/>
      <c r="J442" s="93"/>
      <c r="K442" s="93"/>
      <c r="L442" s="242"/>
    </row>
    <row r="443" spans="9:12" ht="16">
      <c r="I443" s="93"/>
      <c r="J443" s="93"/>
      <c r="K443" s="93"/>
      <c r="L443" s="242"/>
    </row>
    <row r="444" spans="9:12" ht="16">
      <c r="I444" s="93"/>
      <c r="J444" s="93"/>
      <c r="K444" s="93"/>
      <c r="L444" s="242"/>
    </row>
    <row r="445" spans="9:12" ht="16">
      <c r="I445" s="93"/>
      <c r="J445" s="93"/>
      <c r="K445" s="93"/>
      <c r="L445" s="242"/>
    </row>
    <row r="446" spans="9:12" ht="16">
      <c r="I446" s="93"/>
      <c r="J446" s="93"/>
      <c r="K446" s="93"/>
      <c r="L446" s="242"/>
    </row>
    <row r="447" spans="9:12" ht="16">
      <c r="I447" s="93"/>
      <c r="J447" s="93"/>
      <c r="K447" s="93"/>
      <c r="L447" s="242"/>
    </row>
    <row r="448" spans="9:12" ht="16">
      <c r="I448" s="93"/>
      <c r="J448" s="93"/>
      <c r="K448" s="93"/>
      <c r="L448" s="242"/>
    </row>
    <row r="449" spans="9:12" ht="16">
      <c r="I449" s="93"/>
      <c r="J449" s="93"/>
      <c r="K449" s="93"/>
      <c r="L449" s="242"/>
    </row>
    <row r="450" spans="9:12" ht="16">
      <c r="I450" s="93"/>
      <c r="J450" s="93"/>
      <c r="K450" s="93"/>
      <c r="L450" s="242"/>
    </row>
    <row r="451" spans="9:12" ht="16">
      <c r="I451" s="93"/>
      <c r="J451" s="93"/>
      <c r="K451" s="93"/>
      <c r="L451" s="242"/>
    </row>
    <row r="452" spans="9:12" ht="16">
      <c r="I452" s="93"/>
      <c r="J452" s="93"/>
      <c r="K452" s="93"/>
      <c r="L452" s="242"/>
    </row>
    <row r="453" spans="9:12" ht="16">
      <c r="I453" s="93"/>
      <c r="J453" s="93"/>
      <c r="K453" s="93"/>
      <c r="L453" s="242"/>
    </row>
    <row r="454" spans="9:12" ht="16">
      <c r="I454" s="93"/>
      <c r="J454" s="93"/>
      <c r="K454" s="93"/>
      <c r="L454" s="242"/>
    </row>
    <row r="455" spans="9:12" ht="16">
      <c r="I455" s="93"/>
      <c r="J455" s="93"/>
      <c r="K455" s="93"/>
      <c r="L455" s="242"/>
    </row>
    <row r="456" spans="9:12" ht="16">
      <c r="I456" s="93"/>
      <c r="J456" s="93"/>
      <c r="K456" s="93"/>
      <c r="L456" s="242"/>
    </row>
    <row r="457" spans="9:12" ht="16">
      <c r="I457" s="93"/>
      <c r="J457" s="93"/>
      <c r="K457" s="93"/>
      <c r="L457" s="242"/>
    </row>
    <row r="458" spans="9:12" ht="16">
      <c r="I458" s="93"/>
      <c r="J458" s="93"/>
      <c r="K458" s="93"/>
      <c r="L458" s="242"/>
    </row>
    <row r="459" spans="9:12" ht="16">
      <c r="I459" s="93"/>
      <c r="J459" s="93"/>
      <c r="K459" s="93"/>
      <c r="L459" s="242"/>
    </row>
    <row r="460" spans="9:12" ht="16">
      <c r="I460" s="93"/>
      <c r="J460" s="93"/>
      <c r="K460" s="93"/>
      <c r="L460" s="242"/>
    </row>
    <row r="461" spans="9:12" ht="16">
      <c r="I461" s="93"/>
      <c r="J461" s="93"/>
      <c r="K461" s="93"/>
      <c r="L461" s="242"/>
    </row>
    <row r="462" spans="9:12" ht="16">
      <c r="I462" s="93"/>
      <c r="J462" s="93"/>
      <c r="K462" s="93"/>
      <c r="L462" s="242"/>
    </row>
    <row r="463" spans="9:12" ht="16">
      <c r="I463" s="93"/>
      <c r="J463" s="93"/>
      <c r="K463" s="93"/>
      <c r="L463" s="242"/>
    </row>
    <row r="464" spans="9:12" ht="16">
      <c r="I464" s="93"/>
      <c r="J464" s="93"/>
      <c r="K464" s="93"/>
      <c r="L464" s="242"/>
    </row>
    <row r="465" spans="9:12" ht="16">
      <c r="I465" s="93"/>
      <c r="J465" s="93"/>
      <c r="K465" s="93"/>
      <c r="L465" s="242"/>
    </row>
    <row r="466" spans="9:12" ht="16">
      <c r="I466" s="93"/>
      <c r="J466" s="93"/>
      <c r="K466" s="93"/>
      <c r="L466" s="242"/>
    </row>
    <row r="467" spans="9:12" ht="16">
      <c r="I467" s="93"/>
      <c r="J467" s="93"/>
      <c r="K467" s="93"/>
      <c r="L467" s="242"/>
    </row>
    <row r="468" spans="9:12" ht="16">
      <c r="I468" s="93"/>
      <c r="J468" s="93"/>
      <c r="K468" s="93"/>
      <c r="L468" s="242"/>
    </row>
    <row r="469" spans="9:12" ht="16">
      <c r="I469" s="93"/>
      <c r="J469" s="93"/>
      <c r="K469" s="93"/>
      <c r="L469" s="242"/>
    </row>
    <row r="470" spans="9:12" ht="16">
      <c r="I470" s="93"/>
      <c r="J470" s="93"/>
      <c r="K470" s="93"/>
      <c r="L470" s="242"/>
    </row>
    <row r="471" spans="9:12" ht="16">
      <c r="I471" s="93"/>
      <c r="J471" s="93"/>
      <c r="K471" s="93"/>
      <c r="L471" s="242"/>
    </row>
    <row r="472" spans="9:12" ht="16">
      <c r="I472" s="93"/>
      <c r="J472" s="93"/>
      <c r="K472" s="93"/>
      <c r="L472" s="242"/>
    </row>
    <row r="473" spans="9:12" ht="16">
      <c r="I473" s="93"/>
      <c r="J473" s="93"/>
      <c r="K473" s="93"/>
      <c r="L473" s="242"/>
    </row>
    <row r="474" spans="9:12" ht="16">
      <c r="I474" s="93"/>
      <c r="J474" s="93"/>
      <c r="K474" s="93"/>
      <c r="L474" s="242"/>
    </row>
    <row r="475" spans="9:12" ht="16">
      <c r="I475" s="93"/>
      <c r="J475" s="93"/>
      <c r="K475" s="93"/>
      <c r="L475" s="242"/>
    </row>
    <row r="476" spans="9:12" ht="16">
      <c r="I476" s="93"/>
      <c r="J476" s="93"/>
      <c r="K476" s="93"/>
      <c r="L476" s="242"/>
    </row>
    <row r="477" spans="9:12" ht="16">
      <c r="I477" s="93"/>
      <c r="J477" s="93"/>
      <c r="K477" s="93"/>
      <c r="L477" s="242"/>
    </row>
    <row r="478" spans="9:12" ht="16">
      <c r="I478" s="93"/>
      <c r="J478" s="93"/>
      <c r="K478" s="93"/>
      <c r="L478" s="242"/>
    </row>
    <row r="479" spans="9:12" ht="16">
      <c r="I479" s="93"/>
      <c r="J479" s="93"/>
      <c r="K479" s="93"/>
      <c r="L479" s="242"/>
    </row>
    <row r="480" spans="9:12" ht="16">
      <c r="I480" s="93"/>
      <c r="J480" s="93"/>
      <c r="K480" s="93"/>
      <c r="L480" s="242"/>
    </row>
    <row r="481" spans="9:12" ht="16">
      <c r="I481" s="93"/>
      <c r="J481" s="93"/>
      <c r="K481" s="93"/>
      <c r="L481" s="242"/>
    </row>
    <row r="482" spans="9:12" ht="16">
      <c r="I482" s="93"/>
      <c r="J482" s="93"/>
      <c r="K482" s="93"/>
      <c r="L482" s="242"/>
    </row>
    <row r="483" spans="9:12" ht="16">
      <c r="I483" s="93"/>
      <c r="J483" s="93"/>
      <c r="K483" s="93"/>
      <c r="L483" s="242"/>
    </row>
    <row r="484" spans="9:12" ht="16">
      <c r="I484" s="93"/>
      <c r="J484" s="93"/>
      <c r="K484" s="93"/>
      <c r="L484" s="242"/>
    </row>
    <row r="485" spans="9:12" ht="16">
      <c r="I485" s="93"/>
      <c r="J485" s="93"/>
      <c r="K485" s="93"/>
      <c r="L485" s="242"/>
    </row>
    <row r="486" spans="9:12" ht="16">
      <c r="I486" s="93"/>
      <c r="J486" s="93"/>
      <c r="K486" s="93"/>
      <c r="L486" s="242"/>
    </row>
    <row r="487" spans="9:12" ht="16">
      <c r="I487" s="93"/>
      <c r="J487" s="93"/>
      <c r="K487" s="93"/>
      <c r="L487" s="242"/>
    </row>
    <row r="488" spans="9:12" ht="16">
      <c r="I488" s="93"/>
      <c r="J488" s="93"/>
      <c r="K488" s="93"/>
      <c r="L488" s="242"/>
    </row>
    <row r="489" spans="9:12" ht="16">
      <c r="I489" s="93"/>
      <c r="J489" s="93"/>
      <c r="K489" s="93"/>
      <c r="L489" s="242"/>
    </row>
    <row r="490" spans="9:12" ht="16">
      <c r="I490" s="93"/>
      <c r="J490" s="93"/>
      <c r="K490" s="93"/>
      <c r="L490" s="242"/>
    </row>
    <row r="491" spans="9:12" ht="16">
      <c r="I491" s="93"/>
      <c r="J491" s="93"/>
      <c r="K491" s="93"/>
      <c r="L491" s="242"/>
    </row>
    <row r="492" spans="9:12" ht="16">
      <c r="I492" s="93"/>
      <c r="J492" s="93"/>
      <c r="K492" s="93"/>
      <c r="L492" s="242"/>
    </row>
    <row r="493" spans="9:12" ht="16">
      <c r="I493" s="93"/>
      <c r="J493" s="93"/>
      <c r="K493" s="93"/>
      <c r="L493" s="242"/>
    </row>
    <row r="494" spans="9:12" ht="16">
      <c r="I494" s="93"/>
      <c r="J494" s="93"/>
      <c r="K494" s="93"/>
      <c r="L494" s="242"/>
    </row>
    <row r="495" spans="9:12" ht="16">
      <c r="I495" s="93"/>
      <c r="J495" s="93"/>
      <c r="K495" s="93"/>
      <c r="L495" s="242"/>
    </row>
    <row r="496" spans="9:12" ht="16">
      <c r="I496" s="93"/>
      <c r="J496" s="93"/>
      <c r="K496" s="93"/>
      <c r="L496" s="242"/>
    </row>
    <row r="497" spans="9:12" ht="16">
      <c r="I497" s="93"/>
      <c r="J497" s="93"/>
      <c r="K497" s="93"/>
      <c r="L497" s="242"/>
    </row>
    <row r="498" spans="9:12" ht="16">
      <c r="I498" s="93"/>
      <c r="J498" s="93"/>
      <c r="K498" s="93"/>
      <c r="L498" s="242"/>
    </row>
    <row r="499" spans="9:12" ht="16">
      <c r="I499" s="93"/>
      <c r="J499" s="93"/>
      <c r="K499" s="93"/>
      <c r="L499" s="242"/>
    </row>
    <row r="500" spans="9:12" ht="16">
      <c r="I500" s="93"/>
      <c r="J500" s="93"/>
      <c r="K500" s="93"/>
      <c r="L500" s="242"/>
    </row>
    <row r="501" spans="9:12" ht="16">
      <c r="I501" s="93"/>
      <c r="J501" s="93"/>
      <c r="K501" s="93"/>
      <c r="L501" s="242"/>
    </row>
    <row r="502" spans="9:12" ht="16">
      <c r="I502" s="93"/>
      <c r="J502" s="93"/>
      <c r="K502" s="93"/>
      <c r="L502" s="242"/>
    </row>
    <row r="503" spans="9:12" ht="16">
      <c r="I503" s="93"/>
      <c r="J503" s="93"/>
      <c r="K503" s="93"/>
      <c r="L503" s="242"/>
    </row>
    <row r="504" spans="9:12" ht="16">
      <c r="I504" s="93"/>
      <c r="J504" s="93"/>
      <c r="K504" s="93"/>
      <c r="L504" s="242"/>
    </row>
    <row r="505" spans="9:12" ht="16">
      <c r="I505" s="93"/>
      <c r="J505" s="93"/>
      <c r="K505" s="93"/>
      <c r="L505" s="242"/>
    </row>
    <row r="506" spans="9:12" ht="16">
      <c r="I506" s="93"/>
      <c r="J506" s="93"/>
      <c r="K506" s="93"/>
      <c r="L506" s="242"/>
    </row>
    <row r="507" spans="9:12" ht="16">
      <c r="I507" s="93"/>
      <c r="J507" s="93"/>
      <c r="K507" s="93"/>
      <c r="L507" s="242"/>
    </row>
    <row r="508" spans="9:12" ht="16">
      <c r="I508" s="93"/>
      <c r="J508" s="93"/>
      <c r="K508" s="93"/>
      <c r="L508" s="242"/>
    </row>
    <row r="509" spans="9:12" ht="16">
      <c r="I509" s="93"/>
      <c r="J509" s="93"/>
      <c r="K509" s="93"/>
      <c r="L509" s="242"/>
    </row>
    <row r="510" spans="9:12" ht="16">
      <c r="I510" s="93"/>
      <c r="J510" s="93"/>
      <c r="K510" s="93"/>
      <c r="L510" s="242"/>
    </row>
    <row r="511" spans="9:12" ht="16">
      <c r="I511" s="93"/>
      <c r="J511" s="93"/>
      <c r="K511" s="93"/>
      <c r="L511" s="242"/>
    </row>
    <row r="512" spans="9:12" ht="16">
      <c r="I512" s="93"/>
      <c r="J512" s="93"/>
      <c r="K512" s="93"/>
      <c r="L512" s="242"/>
    </row>
    <row r="513" spans="9:12" ht="16">
      <c r="I513" s="93"/>
      <c r="J513" s="93"/>
      <c r="K513" s="93"/>
      <c r="L513" s="242"/>
    </row>
    <row r="514" spans="9:12" ht="16">
      <c r="I514" s="93"/>
      <c r="J514" s="93"/>
      <c r="K514" s="93"/>
      <c r="L514" s="242"/>
    </row>
    <row r="515" spans="9:12" ht="16">
      <c r="I515" s="93"/>
      <c r="J515" s="93"/>
      <c r="K515" s="93"/>
      <c r="L515" s="242"/>
    </row>
    <row r="516" spans="9:12" ht="16">
      <c r="I516" s="93"/>
      <c r="J516" s="93"/>
      <c r="K516" s="93"/>
      <c r="L516" s="242"/>
    </row>
    <row r="517" spans="9:12" ht="16">
      <c r="I517" s="93"/>
      <c r="J517" s="93"/>
      <c r="K517" s="93"/>
      <c r="L517" s="242"/>
    </row>
    <row r="518" spans="9:12" ht="16">
      <c r="I518" s="93"/>
      <c r="J518" s="93"/>
      <c r="K518" s="93"/>
      <c r="L518" s="242"/>
    </row>
    <row r="519" spans="9:12" ht="16">
      <c r="I519" s="93"/>
      <c r="J519" s="93"/>
      <c r="K519" s="93"/>
      <c r="L519" s="242"/>
    </row>
    <row r="520" spans="9:12" ht="16">
      <c r="I520" s="93"/>
      <c r="J520" s="93"/>
      <c r="K520" s="93"/>
      <c r="L520" s="242"/>
    </row>
    <row r="521" spans="9:12" ht="16">
      <c r="I521" s="93"/>
      <c r="J521" s="93"/>
      <c r="K521" s="93"/>
      <c r="L521" s="242"/>
    </row>
    <row r="522" spans="9:12" ht="16">
      <c r="I522" s="93"/>
      <c r="J522" s="93"/>
      <c r="K522" s="93"/>
      <c r="L522" s="242"/>
    </row>
    <row r="523" spans="9:12" ht="16">
      <c r="I523" s="93"/>
      <c r="J523" s="93"/>
      <c r="K523" s="93"/>
      <c r="L523" s="242"/>
    </row>
    <row r="524" spans="9:12" ht="16">
      <c r="I524" s="93"/>
      <c r="J524" s="93"/>
      <c r="K524" s="93"/>
      <c r="L524" s="242"/>
    </row>
    <row r="525" spans="9:12" ht="16">
      <c r="I525" s="93"/>
      <c r="J525" s="93"/>
      <c r="K525" s="93"/>
      <c r="L525" s="242"/>
    </row>
    <row r="526" spans="9:12" ht="16">
      <c r="I526" s="93"/>
      <c r="J526" s="93"/>
      <c r="K526" s="93"/>
      <c r="L526" s="242"/>
    </row>
    <row r="527" spans="9:12" ht="16">
      <c r="I527" s="93"/>
      <c r="J527" s="93"/>
      <c r="K527" s="93"/>
      <c r="L527" s="242"/>
    </row>
    <row r="528" spans="9:12" ht="16">
      <c r="I528" s="93"/>
      <c r="J528" s="93"/>
      <c r="K528" s="93"/>
      <c r="L528" s="242"/>
    </row>
    <row r="529" spans="9:12" ht="16">
      <c r="I529" s="93"/>
      <c r="J529" s="93"/>
      <c r="K529" s="93"/>
      <c r="L529" s="242"/>
    </row>
    <row r="530" spans="9:12" ht="16">
      <c r="I530" s="93"/>
      <c r="J530" s="93"/>
      <c r="K530" s="93"/>
      <c r="L530" s="242"/>
    </row>
    <row r="531" spans="9:12" ht="16">
      <c r="I531" s="93"/>
      <c r="J531" s="93"/>
      <c r="K531" s="93"/>
      <c r="L531" s="242"/>
    </row>
    <row r="532" spans="9:12" ht="16">
      <c r="I532" s="93"/>
      <c r="J532" s="93"/>
      <c r="K532" s="93"/>
      <c r="L532" s="242"/>
    </row>
    <row r="533" spans="9:12" ht="16">
      <c r="I533" s="93"/>
      <c r="J533" s="93"/>
      <c r="K533" s="93"/>
      <c r="L533" s="242"/>
    </row>
    <row r="534" spans="9:12" ht="16">
      <c r="I534" s="93"/>
      <c r="J534" s="93"/>
      <c r="K534" s="93"/>
      <c r="L534" s="242"/>
    </row>
    <row r="535" spans="9:12" ht="16">
      <c r="I535" s="93"/>
      <c r="J535" s="93"/>
      <c r="K535" s="93"/>
      <c r="L535" s="242"/>
    </row>
    <row r="536" spans="9:12" ht="16">
      <c r="I536" s="93"/>
      <c r="J536" s="93"/>
      <c r="K536" s="93"/>
      <c r="L536" s="242"/>
    </row>
    <row r="537" spans="9:12" ht="16">
      <c r="I537" s="93"/>
      <c r="J537" s="93"/>
      <c r="K537" s="93"/>
      <c r="L537" s="242"/>
    </row>
    <row r="538" spans="9:12" ht="16">
      <c r="I538" s="93"/>
      <c r="J538" s="93"/>
      <c r="K538" s="93"/>
      <c r="L538" s="242"/>
    </row>
    <row r="539" spans="9:12" ht="16">
      <c r="I539" s="93"/>
      <c r="J539" s="93"/>
      <c r="K539" s="93"/>
      <c r="L539" s="242"/>
    </row>
    <row r="540" spans="9:12" ht="16">
      <c r="I540" s="93"/>
      <c r="J540" s="93"/>
      <c r="K540" s="93"/>
      <c r="L540" s="242"/>
    </row>
    <row r="541" spans="9:12" ht="16">
      <c r="I541" s="93"/>
      <c r="J541" s="93"/>
      <c r="K541" s="93"/>
      <c r="L541" s="242"/>
    </row>
    <row r="542" spans="9:12" ht="16">
      <c r="I542" s="93"/>
      <c r="J542" s="93"/>
      <c r="K542" s="93"/>
      <c r="L542" s="242"/>
    </row>
    <row r="543" spans="9:12" ht="16">
      <c r="I543" s="93"/>
      <c r="J543" s="93"/>
      <c r="K543" s="93"/>
      <c r="L543" s="242"/>
    </row>
    <row r="544" spans="9:12" ht="16">
      <c r="I544" s="93"/>
      <c r="J544" s="93"/>
      <c r="K544" s="93"/>
      <c r="L544" s="242"/>
    </row>
    <row r="545" spans="9:12" ht="16">
      <c r="I545" s="93"/>
      <c r="J545" s="93"/>
      <c r="K545" s="93"/>
      <c r="L545" s="242"/>
    </row>
    <row r="546" spans="9:12" ht="16">
      <c r="I546" s="93"/>
      <c r="J546" s="93"/>
      <c r="K546" s="93"/>
      <c r="L546" s="242"/>
    </row>
    <row r="547" spans="9:12" ht="16">
      <c r="I547" s="93"/>
      <c r="J547" s="93"/>
      <c r="K547" s="93"/>
      <c r="L547" s="242"/>
    </row>
    <row r="548" spans="9:12" ht="16">
      <c r="I548" s="93"/>
      <c r="J548" s="93"/>
      <c r="K548" s="93"/>
      <c r="L548" s="242"/>
    </row>
    <row r="549" spans="9:12" ht="16">
      <c r="I549" s="93"/>
      <c r="J549" s="93"/>
      <c r="K549" s="93"/>
      <c r="L549" s="242"/>
    </row>
    <row r="550" spans="9:12" ht="16">
      <c r="I550" s="93"/>
      <c r="J550" s="93"/>
      <c r="K550" s="93"/>
      <c r="L550" s="242"/>
    </row>
    <row r="551" spans="9:12" ht="16">
      <c r="I551" s="93"/>
      <c r="J551" s="93"/>
      <c r="K551" s="93"/>
      <c r="L551" s="242"/>
    </row>
    <row r="552" spans="9:12" ht="16">
      <c r="I552" s="93"/>
      <c r="J552" s="93"/>
      <c r="K552" s="93"/>
      <c r="L552" s="242"/>
    </row>
    <row r="553" spans="9:12" ht="16">
      <c r="I553" s="93"/>
      <c r="J553" s="93"/>
      <c r="K553" s="93"/>
      <c r="L553" s="242"/>
    </row>
    <row r="554" spans="9:12" ht="16">
      <c r="I554" s="93"/>
      <c r="J554" s="93"/>
      <c r="K554" s="93"/>
      <c r="L554" s="242"/>
    </row>
    <row r="555" spans="9:12" ht="16">
      <c r="I555" s="93"/>
      <c r="J555" s="93"/>
      <c r="K555" s="93"/>
      <c r="L555" s="242"/>
    </row>
    <row r="556" spans="9:12" ht="16">
      <c r="I556" s="93"/>
      <c r="J556" s="93"/>
      <c r="K556" s="93"/>
      <c r="L556" s="242"/>
    </row>
    <row r="557" spans="9:12" ht="16">
      <c r="I557" s="93"/>
      <c r="J557" s="93"/>
      <c r="K557" s="93"/>
      <c r="L557" s="242"/>
    </row>
    <row r="558" spans="9:12" ht="16">
      <c r="I558" s="93"/>
      <c r="J558" s="93"/>
      <c r="K558" s="93"/>
      <c r="L558" s="242"/>
    </row>
    <row r="559" spans="9:12" ht="16">
      <c r="I559" s="93"/>
      <c r="J559" s="93"/>
      <c r="K559" s="93"/>
      <c r="L559" s="242"/>
    </row>
    <row r="560" spans="9:12" ht="16">
      <c r="I560" s="93"/>
      <c r="J560" s="93"/>
      <c r="K560" s="93"/>
      <c r="L560" s="242"/>
    </row>
    <row r="561" spans="9:12" ht="16">
      <c r="I561" s="93"/>
      <c r="J561" s="93"/>
      <c r="K561" s="93"/>
      <c r="L561" s="242"/>
    </row>
    <row r="562" spans="9:12" ht="16">
      <c r="I562" s="93"/>
      <c r="J562" s="93"/>
      <c r="K562" s="93"/>
      <c r="L562" s="242"/>
    </row>
    <row r="563" spans="9:12" ht="16">
      <c r="I563" s="93"/>
      <c r="J563" s="93"/>
      <c r="K563" s="93"/>
      <c r="L563" s="242"/>
    </row>
    <row r="564" spans="9:12" ht="16">
      <c r="I564" s="93"/>
      <c r="J564" s="93"/>
      <c r="K564" s="93"/>
      <c r="L564" s="242"/>
    </row>
    <row r="565" spans="9:12" ht="16">
      <c r="I565" s="93"/>
      <c r="J565" s="93"/>
      <c r="K565" s="93"/>
      <c r="L565" s="242"/>
    </row>
    <row r="566" spans="9:12" ht="16">
      <c r="I566" s="93"/>
      <c r="J566" s="93"/>
      <c r="K566" s="93"/>
      <c r="L566" s="242"/>
    </row>
    <row r="567" spans="9:12" ht="16">
      <c r="I567" s="93"/>
      <c r="J567" s="93"/>
      <c r="K567" s="93"/>
      <c r="L567" s="242"/>
    </row>
    <row r="568" spans="9:12" ht="16">
      <c r="I568" s="93"/>
      <c r="J568" s="93"/>
      <c r="K568" s="93"/>
      <c r="L568" s="242"/>
    </row>
    <row r="569" spans="9:12" ht="16">
      <c r="I569" s="93"/>
      <c r="J569" s="93"/>
      <c r="K569" s="93"/>
      <c r="L569" s="242"/>
    </row>
    <row r="570" spans="9:12" ht="16">
      <c r="I570" s="93"/>
      <c r="J570" s="93"/>
      <c r="K570" s="93"/>
      <c r="L570" s="242"/>
    </row>
    <row r="571" spans="9:12" ht="16">
      <c r="I571" s="93"/>
      <c r="J571" s="93"/>
      <c r="K571" s="93"/>
      <c r="L571" s="242"/>
    </row>
    <row r="572" spans="9:12" ht="16">
      <c r="I572" s="93"/>
      <c r="J572" s="93"/>
      <c r="K572" s="93"/>
      <c r="L572" s="242"/>
    </row>
    <row r="573" spans="9:12" ht="16">
      <c r="I573" s="93"/>
      <c r="J573" s="93"/>
      <c r="K573" s="93"/>
      <c r="L573" s="242"/>
    </row>
    <row r="574" spans="9:12" ht="16">
      <c r="I574" s="93"/>
      <c r="J574" s="93"/>
      <c r="K574" s="93"/>
      <c r="L574" s="242"/>
    </row>
    <row r="575" spans="9:12" ht="16">
      <c r="I575" s="93"/>
      <c r="J575" s="93"/>
      <c r="K575" s="93"/>
      <c r="L575" s="242"/>
    </row>
    <row r="576" spans="9:12" ht="16">
      <c r="I576" s="93"/>
      <c r="J576" s="93"/>
      <c r="K576" s="93"/>
      <c r="L576" s="242"/>
    </row>
    <row r="577" spans="9:12" ht="16">
      <c r="I577" s="93"/>
      <c r="J577" s="93"/>
      <c r="K577" s="93"/>
      <c r="L577" s="242"/>
    </row>
    <row r="578" spans="9:12" ht="16">
      <c r="I578" s="93"/>
      <c r="J578" s="93"/>
      <c r="K578" s="93"/>
      <c r="L578" s="242"/>
    </row>
    <row r="579" spans="9:12" ht="16">
      <c r="I579" s="93"/>
      <c r="J579" s="93"/>
      <c r="K579" s="93"/>
      <c r="L579" s="242"/>
    </row>
    <row r="580" spans="9:12" ht="16">
      <c r="I580" s="93"/>
      <c r="J580" s="93"/>
      <c r="K580" s="93"/>
      <c r="L580" s="242"/>
    </row>
    <row r="581" spans="9:12" ht="16">
      <c r="I581" s="93"/>
      <c r="J581" s="93"/>
      <c r="K581" s="93"/>
      <c r="L581" s="242"/>
    </row>
    <row r="582" spans="9:12" ht="16">
      <c r="I582" s="93"/>
      <c r="J582" s="93"/>
      <c r="K582" s="93"/>
      <c r="L582" s="242"/>
    </row>
    <row r="583" spans="9:12" ht="16">
      <c r="I583" s="93"/>
      <c r="J583" s="93"/>
      <c r="K583" s="93"/>
      <c r="L583" s="242"/>
    </row>
    <row r="584" spans="9:12" ht="16">
      <c r="I584" s="93"/>
      <c r="J584" s="93"/>
      <c r="K584" s="93"/>
      <c r="L584" s="242"/>
    </row>
    <row r="585" spans="9:12" ht="16">
      <c r="I585" s="93"/>
      <c r="J585" s="93"/>
      <c r="K585" s="93"/>
      <c r="L585" s="242"/>
    </row>
    <row r="586" spans="9:12" ht="16">
      <c r="I586" s="93"/>
      <c r="J586" s="93"/>
      <c r="K586" s="93"/>
      <c r="L586" s="242"/>
    </row>
    <row r="587" spans="9:12" ht="16">
      <c r="I587" s="93"/>
      <c r="J587" s="93"/>
      <c r="K587" s="93"/>
      <c r="L587" s="242"/>
    </row>
    <row r="588" spans="9:12" ht="16">
      <c r="I588" s="93"/>
      <c r="J588" s="93"/>
      <c r="K588" s="93"/>
      <c r="L588" s="242"/>
    </row>
    <row r="589" spans="9:12" ht="16">
      <c r="I589" s="93"/>
      <c r="J589" s="93"/>
      <c r="K589" s="93"/>
      <c r="L589" s="242"/>
    </row>
    <row r="590" spans="9:12" ht="16">
      <c r="I590" s="93"/>
      <c r="J590" s="93"/>
      <c r="K590" s="93"/>
      <c r="L590" s="242"/>
    </row>
    <row r="591" spans="9:12" ht="16">
      <c r="I591" s="93"/>
      <c r="J591" s="93"/>
      <c r="K591" s="93"/>
      <c r="L591" s="242"/>
    </row>
    <row r="592" spans="9:12" ht="16">
      <c r="I592" s="93"/>
      <c r="J592" s="93"/>
      <c r="K592" s="93"/>
      <c r="L592" s="242"/>
    </row>
    <row r="593" spans="9:12" ht="16">
      <c r="I593" s="93"/>
      <c r="J593" s="93"/>
      <c r="K593" s="93"/>
      <c r="L593" s="242"/>
    </row>
    <row r="594" spans="9:12" ht="16">
      <c r="I594" s="93"/>
      <c r="J594" s="93"/>
      <c r="K594" s="93"/>
      <c r="L594" s="242"/>
    </row>
    <row r="595" spans="9:12" ht="16">
      <c r="I595" s="93"/>
      <c r="J595" s="93"/>
      <c r="K595" s="93"/>
      <c r="L595" s="242"/>
    </row>
    <row r="596" spans="9:12" ht="16">
      <c r="I596" s="93"/>
      <c r="J596" s="93"/>
      <c r="K596" s="93"/>
      <c r="L596" s="242"/>
    </row>
    <row r="597" spans="9:12" ht="16">
      <c r="I597" s="93"/>
      <c r="J597" s="93"/>
      <c r="K597" s="93"/>
      <c r="L597" s="242"/>
    </row>
    <row r="598" spans="9:12" ht="16">
      <c r="I598" s="93"/>
      <c r="J598" s="93"/>
      <c r="K598" s="93"/>
      <c r="L598" s="242"/>
    </row>
    <row r="599" spans="9:12" ht="16">
      <c r="I599" s="93"/>
      <c r="J599" s="93"/>
      <c r="K599" s="93"/>
      <c r="L599" s="242"/>
    </row>
    <row r="600" spans="9:12" ht="16">
      <c r="I600" s="93"/>
      <c r="J600" s="93"/>
      <c r="K600" s="93"/>
      <c r="L600" s="242"/>
    </row>
    <row r="601" spans="9:12" ht="16">
      <c r="I601" s="93"/>
      <c r="J601" s="93"/>
      <c r="K601" s="93"/>
      <c r="L601" s="242"/>
    </row>
    <row r="602" spans="9:12" ht="16">
      <c r="I602" s="93"/>
      <c r="J602" s="93"/>
      <c r="K602" s="93"/>
      <c r="L602" s="242"/>
    </row>
    <row r="603" spans="9:12" ht="16">
      <c r="I603" s="93"/>
      <c r="J603" s="93"/>
      <c r="K603" s="93"/>
      <c r="L603" s="242"/>
    </row>
    <row r="604" spans="9:12" ht="16">
      <c r="I604" s="93"/>
      <c r="J604" s="93"/>
      <c r="K604" s="93"/>
      <c r="L604" s="242"/>
    </row>
    <row r="605" spans="9:12" ht="16">
      <c r="I605" s="93"/>
      <c r="J605" s="93"/>
      <c r="K605" s="93"/>
      <c r="L605" s="242"/>
    </row>
    <row r="606" spans="9:12" ht="16">
      <c r="I606" s="93"/>
      <c r="J606" s="93"/>
      <c r="K606" s="93"/>
      <c r="L606" s="242"/>
    </row>
    <row r="607" spans="9:12" ht="16">
      <c r="I607" s="93"/>
      <c r="J607" s="93"/>
      <c r="K607" s="93"/>
      <c r="L607" s="242"/>
    </row>
    <row r="608" spans="9:12" ht="16">
      <c r="I608" s="93"/>
      <c r="J608" s="93"/>
      <c r="K608" s="93"/>
      <c r="L608" s="242"/>
    </row>
    <row r="609" spans="9:12" ht="16">
      <c r="I609" s="93"/>
      <c r="J609" s="93"/>
      <c r="K609" s="93"/>
      <c r="L609" s="242"/>
    </row>
    <row r="610" spans="9:12" ht="16">
      <c r="I610" s="93"/>
      <c r="J610" s="93"/>
      <c r="K610" s="93"/>
      <c r="L610" s="242"/>
    </row>
    <row r="611" spans="9:12" ht="16">
      <c r="I611" s="93"/>
      <c r="J611" s="93"/>
      <c r="K611" s="93"/>
      <c r="L611" s="242"/>
    </row>
    <row r="612" spans="9:12" ht="16">
      <c r="I612" s="93"/>
      <c r="J612" s="93"/>
      <c r="K612" s="93"/>
      <c r="L612" s="242"/>
    </row>
    <row r="613" spans="9:12" ht="16">
      <c r="I613" s="93"/>
      <c r="J613" s="93"/>
      <c r="K613" s="93"/>
      <c r="L613" s="242"/>
    </row>
    <row r="614" spans="9:12" ht="16">
      <c r="I614" s="93"/>
      <c r="J614" s="93"/>
      <c r="K614" s="93"/>
      <c r="L614" s="242"/>
    </row>
    <row r="615" spans="9:12" ht="16">
      <c r="I615" s="93"/>
      <c r="J615" s="93"/>
      <c r="K615" s="93"/>
      <c r="L615" s="242"/>
    </row>
    <row r="616" spans="9:12" ht="16">
      <c r="I616" s="93"/>
      <c r="J616" s="93"/>
      <c r="K616" s="93"/>
      <c r="L616" s="242"/>
    </row>
    <row r="617" spans="9:12" ht="16">
      <c r="I617" s="93"/>
      <c r="J617" s="93"/>
      <c r="K617" s="93"/>
      <c r="L617" s="242"/>
    </row>
    <row r="618" spans="9:12" ht="16">
      <c r="I618" s="93"/>
      <c r="J618" s="93"/>
      <c r="K618" s="93"/>
      <c r="L618" s="242"/>
    </row>
    <row r="619" spans="9:12" ht="16">
      <c r="I619" s="93"/>
      <c r="J619" s="93"/>
      <c r="K619" s="93"/>
      <c r="L619" s="242"/>
    </row>
    <row r="620" spans="9:12" ht="16">
      <c r="I620" s="93"/>
      <c r="J620" s="93"/>
      <c r="K620" s="93"/>
      <c r="L620" s="242"/>
    </row>
    <row r="621" spans="9:12" ht="16">
      <c r="I621" s="93"/>
      <c r="J621" s="93"/>
      <c r="K621" s="93"/>
      <c r="L621" s="242"/>
    </row>
    <row r="622" spans="9:12" ht="16">
      <c r="I622" s="93"/>
      <c r="J622" s="93"/>
      <c r="K622" s="93"/>
      <c r="L622" s="242"/>
    </row>
    <row r="623" spans="9:12" ht="16">
      <c r="I623" s="93"/>
      <c r="J623" s="93"/>
      <c r="K623" s="93"/>
      <c r="L623" s="242"/>
    </row>
    <row r="624" spans="9:12" ht="16">
      <c r="I624" s="93"/>
      <c r="J624" s="93"/>
      <c r="K624" s="93"/>
      <c r="L624" s="242"/>
    </row>
    <row r="625" spans="9:12" ht="16">
      <c r="I625" s="93"/>
      <c r="J625" s="93"/>
      <c r="K625" s="93"/>
      <c r="L625" s="242"/>
    </row>
    <row r="626" spans="9:12" ht="16">
      <c r="I626" s="93"/>
      <c r="J626" s="93"/>
      <c r="K626" s="93"/>
      <c r="L626" s="242"/>
    </row>
    <row r="627" spans="9:12" ht="16">
      <c r="I627" s="93"/>
      <c r="J627" s="93"/>
      <c r="K627" s="93"/>
      <c r="L627" s="242"/>
    </row>
    <row r="628" spans="9:12" ht="16">
      <c r="I628" s="93"/>
      <c r="J628" s="93"/>
      <c r="K628" s="93"/>
      <c r="L628" s="242"/>
    </row>
    <row r="629" spans="9:12" ht="16">
      <c r="I629" s="93"/>
      <c r="J629" s="93"/>
      <c r="K629" s="93"/>
      <c r="L629" s="242"/>
    </row>
    <row r="630" spans="9:12" ht="16">
      <c r="I630" s="93"/>
      <c r="J630" s="93"/>
      <c r="K630" s="93"/>
      <c r="L630" s="242"/>
    </row>
    <row r="631" spans="9:12" ht="16">
      <c r="I631" s="93"/>
      <c r="J631" s="93"/>
      <c r="K631" s="93"/>
      <c r="L631" s="242"/>
    </row>
    <row r="632" spans="9:12" ht="16">
      <c r="I632" s="93"/>
      <c r="J632" s="93"/>
      <c r="K632" s="93"/>
      <c r="L632" s="242"/>
    </row>
    <row r="633" spans="9:12" ht="16">
      <c r="I633" s="93"/>
      <c r="J633" s="93"/>
      <c r="K633" s="93"/>
      <c r="L633" s="242"/>
    </row>
    <row r="634" spans="9:12" ht="16">
      <c r="I634" s="93"/>
      <c r="J634" s="93"/>
      <c r="K634" s="93"/>
      <c r="L634" s="242"/>
    </row>
    <row r="635" spans="9:12" ht="16">
      <c r="I635" s="93"/>
      <c r="J635" s="93"/>
      <c r="K635" s="93"/>
      <c r="L635" s="242"/>
    </row>
    <row r="636" spans="9:12" ht="16">
      <c r="I636" s="93"/>
      <c r="J636" s="93"/>
      <c r="K636" s="93"/>
      <c r="L636" s="242"/>
    </row>
    <row r="637" spans="9:12" ht="16">
      <c r="I637" s="93"/>
      <c r="J637" s="93"/>
      <c r="K637" s="93"/>
      <c r="L637" s="242"/>
    </row>
    <row r="638" spans="9:12" ht="16">
      <c r="I638" s="93"/>
      <c r="J638" s="93"/>
      <c r="K638" s="93"/>
      <c r="L638" s="242"/>
    </row>
    <row r="639" spans="9:12" ht="16">
      <c r="I639" s="93"/>
      <c r="J639" s="93"/>
      <c r="K639" s="93"/>
      <c r="L639" s="242"/>
    </row>
    <row r="640" spans="9:12" ht="16">
      <c r="I640" s="93"/>
      <c r="J640" s="93"/>
      <c r="K640" s="93"/>
      <c r="L640" s="242"/>
    </row>
    <row r="641" spans="9:12" ht="16">
      <c r="I641" s="93"/>
      <c r="J641" s="93"/>
      <c r="K641" s="93"/>
      <c r="L641" s="242"/>
    </row>
    <row r="642" spans="9:12" ht="16">
      <c r="I642" s="93"/>
      <c r="J642" s="93"/>
      <c r="K642" s="93"/>
      <c r="L642" s="242"/>
    </row>
    <row r="643" spans="9:12" ht="16">
      <c r="I643" s="93"/>
      <c r="J643" s="93"/>
      <c r="K643" s="93"/>
      <c r="L643" s="242"/>
    </row>
    <row r="644" spans="9:12" ht="16">
      <c r="I644" s="93"/>
      <c r="J644" s="93"/>
      <c r="K644" s="93"/>
      <c r="L644" s="242"/>
    </row>
    <row r="645" spans="9:12" ht="16">
      <c r="I645" s="93"/>
      <c r="J645" s="93"/>
      <c r="K645" s="93"/>
      <c r="L645" s="242"/>
    </row>
    <row r="646" spans="9:12" ht="16">
      <c r="I646" s="93"/>
      <c r="J646" s="93"/>
      <c r="K646" s="93"/>
      <c r="L646" s="242"/>
    </row>
    <row r="647" spans="9:12" ht="16">
      <c r="I647" s="93"/>
      <c r="J647" s="93"/>
      <c r="K647" s="93"/>
      <c r="L647" s="242"/>
    </row>
    <row r="648" spans="9:12" ht="16">
      <c r="I648" s="93"/>
      <c r="J648" s="93"/>
      <c r="K648" s="93"/>
      <c r="L648" s="242"/>
    </row>
    <row r="649" spans="9:12" ht="16">
      <c r="I649" s="93"/>
      <c r="J649" s="93"/>
      <c r="K649" s="93"/>
      <c r="L649" s="242"/>
    </row>
    <row r="650" spans="9:12" ht="16">
      <c r="I650" s="93"/>
      <c r="J650" s="93"/>
      <c r="K650" s="93"/>
      <c r="L650" s="242"/>
    </row>
    <row r="651" spans="9:12" ht="16">
      <c r="I651" s="93"/>
      <c r="J651" s="93"/>
      <c r="K651" s="93"/>
      <c r="L651" s="242"/>
    </row>
    <row r="652" spans="9:12" ht="16">
      <c r="I652" s="93"/>
      <c r="J652" s="93"/>
      <c r="K652" s="93"/>
      <c r="L652" s="242"/>
    </row>
    <row r="653" spans="9:12" ht="16">
      <c r="I653" s="93"/>
      <c r="J653" s="93"/>
      <c r="K653" s="93"/>
      <c r="L653" s="242"/>
    </row>
    <row r="654" spans="9:12" ht="16">
      <c r="I654" s="93"/>
      <c r="J654" s="93"/>
      <c r="K654" s="93"/>
      <c r="L654" s="242"/>
    </row>
    <row r="655" spans="9:12" ht="16">
      <c r="I655" s="93"/>
      <c r="J655" s="93"/>
      <c r="K655" s="93"/>
      <c r="L655" s="242"/>
    </row>
    <row r="656" spans="9:12" ht="16">
      <c r="I656" s="93"/>
      <c r="J656" s="93"/>
      <c r="K656" s="93"/>
      <c r="L656" s="242"/>
    </row>
    <row r="657" spans="9:12" ht="16">
      <c r="I657" s="93"/>
      <c r="J657" s="93"/>
      <c r="K657" s="93"/>
      <c r="L657" s="242"/>
    </row>
    <row r="658" spans="9:12" ht="16">
      <c r="I658" s="93"/>
      <c r="J658" s="93"/>
      <c r="K658" s="93"/>
      <c r="L658" s="242"/>
    </row>
    <row r="659" spans="9:12" ht="16">
      <c r="I659" s="93"/>
      <c r="J659" s="93"/>
      <c r="K659" s="93"/>
      <c r="L659" s="242"/>
    </row>
    <row r="660" spans="9:12" ht="16">
      <c r="I660" s="93"/>
      <c r="J660" s="93"/>
      <c r="K660" s="93"/>
      <c r="L660" s="242"/>
    </row>
    <row r="661" spans="9:12" ht="16">
      <c r="I661" s="93"/>
      <c r="J661" s="93"/>
      <c r="K661" s="93"/>
      <c r="L661" s="242"/>
    </row>
    <row r="662" spans="9:12" ht="16">
      <c r="I662" s="93"/>
      <c r="J662" s="93"/>
      <c r="K662" s="93"/>
      <c r="L662" s="242"/>
    </row>
    <row r="663" spans="9:12" ht="16">
      <c r="I663" s="93"/>
      <c r="J663" s="93"/>
      <c r="K663" s="93"/>
      <c r="L663" s="242"/>
    </row>
    <row r="664" spans="9:12" ht="16">
      <c r="I664" s="93"/>
      <c r="J664" s="93"/>
      <c r="K664" s="93"/>
      <c r="L664" s="242"/>
    </row>
    <row r="665" spans="9:12" ht="16">
      <c r="I665" s="93"/>
      <c r="J665" s="93"/>
      <c r="K665" s="93"/>
      <c r="L665" s="242"/>
    </row>
    <row r="666" spans="9:12" ht="16">
      <c r="I666" s="93"/>
      <c r="J666" s="93"/>
      <c r="K666" s="93"/>
      <c r="L666" s="242"/>
    </row>
    <row r="667" spans="9:12" ht="16">
      <c r="I667" s="93"/>
      <c r="J667" s="93"/>
      <c r="K667" s="93"/>
      <c r="L667" s="242"/>
    </row>
    <row r="668" spans="9:12" ht="16">
      <c r="I668" s="93"/>
      <c r="J668" s="93"/>
      <c r="K668" s="93"/>
      <c r="L668" s="242"/>
    </row>
    <row r="669" spans="9:12" ht="16">
      <c r="I669" s="93"/>
      <c r="J669" s="93"/>
      <c r="K669" s="93"/>
      <c r="L669" s="242"/>
    </row>
    <row r="670" spans="9:12" ht="16">
      <c r="I670" s="93"/>
      <c r="J670" s="93"/>
      <c r="K670" s="93"/>
      <c r="L670" s="242"/>
    </row>
    <row r="671" spans="9:12" ht="16">
      <c r="I671" s="93"/>
      <c r="J671" s="93"/>
      <c r="K671" s="93"/>
      <c r="L671" s="242"/>
    </row>
    <row r="672" spans="9:12" ht="16">
      <c r="I672" s="93"/>
      <c r="J672" s="93"/>
      <c r="K672" s="93"/>
      <c r="L672" s="242"/>
    </row>
    <row r="673" spans="9:12" ht="16">
      <c r="I673" s="93"/>
      <c r="J673" s="93"/>
      <c r="K673" s="93"/>
      <c r="L673" s="242"/>
    </row>
    <row r="674" spans="9:12" ht="16">
      <c r="I674" s="93"/>
      <c r="J674" s="93"/>
      <c r="K674" s="93"/>
      <c r="L674" s="242"/>
    </row>
    <row r="675" spans="9:12" ht="16">
      <c r="I675" s="93"/>
      <c r="J675" s="93"/>
      <c r="K675" s="93"/>
      <c r="L675" s="242"/>
    </row>
    <row r="676" spans="9:12" ht="16">
      <c r="I676" s="93"/>
      <c r="J676" s="93"/>
      <c r="K676" s="93"/>
      <c r="L676" s="242"/>
    </row>
    <row r="677" spans="9:12" ht="16">
      <c r="I677" s="93"/>
      <c r="J677" s="93"/>
      <c r="K677" s="93"/>
      <c r="L677" s="242"/>
    </row>
    <row r="678" spans="9:12" ht="16">
      <c r="I678" s="93"/>
      <c r="J678" s="93"/>
      <c r="K678" s="93"/>
      <c r="L678" s="242"/>
    </row>
    <row r="679" spans="9:12" ht="16">
      <c r="I679" s="93"/>
      <c r="J679" s="93"/>
      <c r="K679" s="93"/>
      <c r="L679" s="242"/>
    </row>
    <row r="680" spans="9:12" ht="16">
      <c r="I680" s="93"/>
      <c r="J680" s="93"/>
      <c r="K680" s="93"/>
      <c r="L680" s="242"/>
    </row>
    <row r="681" spans="9:12" ht="16">
      <c r="I681" s="93"/>
      <c r="J681" s="93"/>
      <c r="K681" s="93"/>
      <c r="L681" s="242"/>
    </row>
    <row r="682" spans="9:12" ht="16">
      <c r="I682" s="93"/>
      <c r="J682" s="93"/>
      <c r="K682" s="93"/>
      <c r="L682" s="242"/>
    </row>
    <row r="683" spans="9:12" ht="16">
      <c r="I683" s="93"/>
      <c r="J683" s="93"/>
      <c r="K683" s="93"/>
      <c r="L683" s="242"/>
    </row>
    <row r="684" spans="9:12" ht="16">
      <c r="I684" s="93"/>
      <c r="J684" s="93"/>
      <c r="K684" s="93"/>
      <c r="L684" s="242"/>
    </row>
    <row r="685" spans="9:12" ht="16">
      <c r="I685" s="93"/>
      <c r="J685" s="93"/>
      <c r="K685" s="93"/>
      <c r="L685" s="242"/>
    </row>
    <row r="686" spans="9:12" ht="16">
      <c r="I686" s="93"/>
      <c r="J686" s="93"/>
      <c r="K686" s="93"/>
      <c r="L686" s="242"/>
    </row>
    <row r="687" spans="9:12" ht="16">
      <c r="I687" s="93"/>
      <c r="J687" s="93"/>
      <c r="K687" s="93"/>
      <c r="L687" s="242"/>
    </row>
    <row r="688" spans="9:12" ht="16">
      <c r="I688" s="93"/>
      <c r="J688" s="93"/>
      <c r="K688" s="93"/>
      <c r="L688" s="242"/>
    </row>
    <row r="689" spans="9:12" ht="16">
      <c r="I689" s="93"/>
      <c r="J689" s="93"/>
      <c r="K689" s="93"/>
      <c r="L689" s="242"/>
    </row>
    <row r="690" spans="9:12" ht="16">
      <c r="I690" s="93"/>
      <c r="J690" s="93"/>
      <c r="K690" s="93"/>
      <c r="L690" s="242"/>
    </row>
    <row r="691" spans="9:12" ht="16">
      <c r="I691" s="93"/>
      <c r="J691" s="93"/>
      <c r="K691" s="93"/>
      <c r="L691" s="242"/>
    </row>
    <row r="692" spans="9:12" ht="16">
      <c r="I692" s="93"/>
      <c r="J692" s="93"/>
      <c r="K692" s="93"/>
      <c r="L692" s="242"/>
    </row>
    <row r="693" spans="9:12" ht="16">
      <c r="I693" s="93"/>
      <c r="J693" s="93"/>
      <c r="K693" s="93"/>
      <c r="L693" s="242"/>
    </row>
    <row r="694" spans="9:12" ht="16">
      <c r="I694" s="93"/>
      <c r="J694" s="93"/>
      <c r="K694" s="93"/>
      <c r="L694" s="242"/>
    </row>
    <row r="695" spans="9:12" ht="16">
      <c r="I695" s="93"/>
      <c r="J695" s="93"/>
      <c r="K695" s="93"/>
      <c r="L695" s="242"/>
    </row>
    <row r="696" spans="9:12" ht="16">
      <c r="I696" s="93"/>
      <c r="J696" s="93"/>
      <c r="K696" s="93"/>
      <c r="L696" s="242"/>
    </row>
    <row r="697" spans="9:12" ht="16">
      <c r="I697" s="93"/>
      <c r="J697" s="93"/>
      <c r="K697" s="93"/>
      <c r="L697" s="242"/>
    </row>
    <row r="698" spans="9:12" ht="16">
      <c r="I698" s="93"/>
      <c r="J698" s="93"/>
      <c r="K698" s="93"/>
      <c r="L698" s="242"/>
    </row>
    <row r="699" spans="9:12" ht="16">
      <c r="I699" s="93"/>
      <c r="J699" s="93"/>
      <c r="K699" s="93"/>
      <c r="L699" s="242"/>
    </row>
    <row r="700" spans="9:12" ht="16">
      <c r="I700" s="93"/>
      <c r="J700" s="93"/>
      <c r="K700" s="93"/>
      <c r="L700" s="242"/>
    </row>
    <row r="701" spans="9:12" ht="16">
      <c r="I701" s="93"/>
      <c r="J701" s="93"/>
      <c r="K701" s="93"/>
      <c r="L701" s="242"/>
    </row>
    <row r="702" spans="9:12" ht="16">
      <c r="I702" s="93"/>
      <c r="J702" s="93"/>
      <c r="K702" s="93"/>
      <c r="L702" s="242"/>
    </row>
    <row r="703" spans="9:12" ht="16">
      <c r="I703" s="93"/>
      <c r="J703" s="93"/>
      <c r="K703" s="93"/>
      <c r="L703" s="242"/>
    </row>
    <row r="704" spans="9:12" ht="16">
      <c r="I704" s="93"/>
      <c r="J704" s="93"/>
      <c r="K704" s="93"/>
      <c r="L704" s="242"/>
    </row>
    <row r="705" spans="9:12" ht="16">
      <c r="I705" s="93"/>
      <c r="J705" s="93"/>
      <c r="K705" s="93"/>
      <c r="L705" s="242"/>
    </row>
    <row r="706" spans="9:12" ht="16">
      <c r="I706" s="93"/>
      <c r="J706" s="93"/>
      <c r="K706" s="93"/>
      <c r="L706" s="242"/>
    </row>
    <row r="707" spans="9:12" ht="16">
      <c r="I707" s="93"/>
      <c r="J707" s="93"/>
      <c r="K707" s="93"/>
      <c r="L707" s="242"/>
    </row>
    <row r="708" spans="9:12" ht="16">
      <c r="I708" s="93"/>
      <c r="J708" s="93"/>
      <c r="K708" s="93"/>
      <c r="L708" s="242"/>
    </row>
    <row r="709" spans="9:12" ht="16">
      <c r="I709" s="93"/>
      <c r="J709" s="93"/>
      <c r="K709" s="93"/>
      <c r="L709" s="242"/>
    </row>
    <row r="710" spans="9:12" ht="16">
      <c r="I710" s="93"/>
      <c r="J710" s="93"/>
      <c r="K710" s="93"/>
      <c r="L710" s="242"/>
    </row>
    <row r="711" spans="9:12" ht="16">
      <c r="I711" s="93"/>
      <c r="J711" s="93"/>
      <c r="K711" s="93"/>
      <c r="L711" s="242"/>
    </row>
    <row r="712" spans="9:12" ht="16">
      <c r="I712" s="93"/>
      <c r="J712" s="93"/>
      <c r="K712" s="93"/>
      <c r="L712" s="242"/>
    </row>
    <row r="713" spans="9:12" ht="16">
      <c r="I713" s="93"/>
      <c r="J713" s="93"/>
      <c r="K713" s="93"/>
      <c r="L713" s="242"/>
    </row>
    <row r="714" spans="9:12" ht="16">
      <c r="I714" s="93"/>
      <c r="J714" s="93"/>
      <c r="K714" s="93"/>
      <c r="L714" s="242"/>
    </row>
    <row r="715" spans="9:12" ht="16">
      <c r="I715" s="93"/>
      <c r="J715" s="93"/>
      <c r="K715" s="93"/>
      <c r="L715" s="242"/>
    </row>
    <row r="716" spans="9:12" ht="16">
      <c r="I716" s="93"/>
      <c r="J716" s="93"/>
      <c r="K716" s="93"/>
      <c r="L716" s="242"/>
    </row>
    <row r="717" spans="9:12" ht="16">
      <c r="I717" s="93"/>
      <c r="J717" s="93"/>
      <c r="K717" s="93"/>
      <c r="L717" s="242"/>
    </row>
    <row r="718" spans="9:12" ht="16">
      <c r="I718" s="93"/>
      <c r="J718" s="93"/>
      <c r="K718" s="93"/>
      <c r="L718" s="242"/>
    </row>
    <row r="719" spans="9:12" ht="16">
      <c r="I719" s="93"/>
      <c r="J719" s="93"/>
      <c r="K719" s="93"/>
      <c r="L719" s="242"/>
    </row>
    <row r="720" spans="9:12" ht="16">
      <c r="I720" s="93"/>
      <c r="J720" s="93"/>
      <c r="K720" s="93"/>
      <c r="L720" s="242"/>
    </row>
    <row r="721" spans="9:12" ht="16">
      <c r="I721" s="93"/>
      <c r="J721" s="93"/>
      <c r="K721" s="93"/>
      <c r="L721" s="242"/>
    </row>
    <row r="722" spans="9:12" ht="16">
      <c r="I722" s="93"/>
      <c r="J722" s="93"/>
      <c r="K722" s="93"/>
      <c r="L722" s="242"/>
    </row>
    <row r="723" spans="9:12" ht="16">
      <c r="I723" s="93"/>
      <c r="J723" s="93"/>
      <c r="K723" s="93"/>
      <c r="L723" s="242"/>
    </row>
    <row r="724" spans="9:12" ht="16">
      <c r="I724" s="93"/>
      <c r="J724" s="93"/>
      <c r="K724" s="93"/>
      <c r="L724" s="242"/>
    </row>
    <row r="725" spans="9:12" ht="16">
      <c r="I725" s="93"/>
      <c r="J725" s="93"/>
      <c r="K725" s="93"/>
      <c r="L725" s="242"/>
    </row>
    <row r="726" spans="9:12" ht="16">
      <c r="I726" s="93"/>
      <c r="J726" s="93"/>
      <c r="K726" s="93"/>
      <c r="L726" s="242"/>
    </row>
    <row r="727" spans="9:12" ht="16">
      <c r="I727" s="93"/>
      <c r="J727" s="93"/>
      <c r="K727" s="93"/>
      <c r="L727" s="242"/>
    </row>
    <row r="728" spans="9:12" ht="16">
      <c r="I728" s="93"/>
      <c r="J728" s="93"/>
      <c r="K728" s="93"/>
      <c r="L728" s="242"/>
    </row>
    <row r="729" spans="9:12" ht="16">
      <c r="I729" s="93"/>
      <c r="J729" s="93"/>
      <c r="K729" s="93"/>
      <c r="L729" s="242"/>
    </row>
    <row r="730" spans="9:12" ht="16">
      <c r="I730" s="93"/>
      <c r="J730" s="93"/>
      <c r="K730" s="93"/>
      <c r="L730" s="242"/>
    </row>
    <row r="731" spans="9:12" ht="16">
      <c r="I731" s="93"/>
      <c r="J731" s="93"/>
      <c r="K731" s="93"/>
      <c r="L731" s="242"/>
    </row>
    <row r="732" spans="9:12" ht="16">
      <c r="I732" s="93"/>
      <c r="J732" s="93"/>
      <c r="K732" s="93"/>
      <c r="L732" s="242"/>
    </row>
    <row r="733" spans="9:12" ht="16">
      <c r="I733" s="93"/>
      <c r="J733" s="93"/>
      <c r="K733" s="93"/>
      <c r="L733" s="242"/>
    </row>
    <row r="734" spans="9:12" ht="16">
      <c r="I734" s="93"/>
      <c r="J734" s="93"/>
      <c r="K734" s="93"/>
      <c r="L734" s="242"/>
    </row>
    <row r="735" spans="9:12" ht="16">
      <c r="I735" s="93"/>
      <c r="J735" s="93"/>
      <c r="K735" s="93"/>
      <c r="L735" s="242"/>
    </row>
    <row r="736" spans="9:12" ht="16">
      <c r="I736" s="93"/>
      <c r="J736" s="93"/>
      <c r="K736" s="93"/>
      <c r="L736" s="242"/>
    </row>
    <row r="737" spans="9:12" ht="16">
      <c r="I737" s="93"/>
      <c r="J737" s="93"/>
      <c r="K737" s="93"/>
      <c r="L737" s="242"/>
    </row>
    <row r="738" spans="9:12" ht="16">
      <c r="I738" s="93"/>
      <c r="J738" s="93"/>
      <c r="K738" s="93"/>
      <c r="L738" s="242"/>
    </row>
    <row r="739" spans="9:12" ht="16">
      <c r="I739" s="93"/>
      <c r="J739" s="93"/>
      <c r="K739" s="93"/>
      <c r="L739" s="242"/>
    </row>
    <row r="740" spans="9:12" ht="16">
      <c r="I740" s="93"/>
      <c r="J740" s="93"/>
      <c r="K740" s="93"/>
      <c r="L740" s="242"/>
    </row>
    <row r="741" spans="9:12" ht="16">
      <c r="I741" s="93"/>
      <c r="J741" s="93"/>
      <c r="K741" s="93"/>
      <c r="L741" s="242"/>
    </row>
    <row r="742" spans="9:12" ht="16">
      <c r="I742" s="93"/>
      <c r="J742" s="93"/>
      <c r="K742" s="93"/>
      <c r="L742" s="242"/>
    </row>
    <row r="743" spans="9:12" ht="16">
      <c r="I743" s="93"/>
      <c r="J743" s="93"/>
      <c r="K743" s="93"/>
      <c r="L743" s="242"/>
    </row>
    <row r="744" spans="9:12" ht="16">
      <c r="I744" s="93"/>
      <c r="J744" s="93"/>
      <c r="K744" s="93"/>
      <c r="L744" s="242"/>
    </row>
    <row r="745" spans="9:12" ht="16">
      <c r="I745" s="93"/>
      <c r="J745" s="93"/>
      <c r="K745" s="93"/>
      <c r="L745" s="242"/>
    </row>
    <row r="746" spans="9:12" ht="16">
      <c r="I746" s="93"/>
      <c r="J746" s="93"/>
      <c r="K746" s="93"/>
      <c r="L746" s="242"/>
    </row>
    <row r="747" spans="9:12" ht="16">
      <c r="I747" s="93"/>
      <c r="J747" s="93"/>
      <c r="K747" s="93"/>
      <c r="L747" s="242"/>
    </row>
    <row r="748" spans="9:12" ht="16">
      <c r="I748" s="93"/>
      <c r="J748" s="93"/>
      <c r="K748" s="93"/>
      <c r="L748" s="242"/>
    </row>
    <row r="749" spans="9:12" ht="16">
      <c r="I749" s="93"/>
      <c r="J749" s="93"/>
      <c r="K749" s="93"/>
      <c r="L749" s="242"/>
    </row>
    <row r="750" spans="9:12" ht="16">
      <c r="I750" s="93"/>
      <c r="J750" s="93"/>
      <c r="K750" s="93"/>
      <c r="L750" s="242"/>
    </row>
    <row r="751" spans="9:12" ht="16">
      <c r="I751" s="93"/>
      <c r="J751" s="93"/>
      <c r="K751" s="93"/>
      <c r="L751" s="242"/>
    </row>
    <row r="752" spans="9:12" ht="16">
      <c r="I752" s="93"/>
      <c r="J752" s="93"/>
      <c r="K752" s="93"/>
      <c r="L752" s="242"/>
    </row>
    <row r="753" spans="9:12" ht="16">
      <c r="I753" s="93"/>
      <c r="J753" s="93"/>
      <c r="K753" s="93"/>
      <c r="L753" s="242"/>
    </row>
    <row r="754" spans="9:12" ht="16">
      <c r="I754" s="93"/>
      <c r="J754" s="93"/>
      <c r="K754" s="93"/>
      <c r="L754" s="242"/>
    </row>
    <row r="755" spans="9:12" ht="16">
      <c r="I755" s="93"/>
      <c r="J755" s="93"/>
      <c r="K755" s="93"/>
      <c r="L755" s="242"/>
    </row>
    <row r="756" spans="9:12" ht="16">
      <c r="I756" s="93"/>
      <c r="J756" s="93"/>
      <c r="K756" s="93"/>
      <c r="L756" s="242"/>
    </row>
    <row r="757" spans="9:12" ht="16">
      <c r="I757" s="93"/>
      <c r="J757" s="93"/>
      <c r="K757" s="93"/>
      <c r="L757" s="242"/>
    </row>
    <row r="758" spans="9:12" ht="16">
      <c r="I758" s="93"/>
      <c r="J758" s="93"/>
      <c r="K758" s="93"/>
      <c r="L758" s="242"/>
    </row>
    <row r="759" spans="9:12" ht="16">
      <c r="I759" s="93"/>
      <c r="J759" s="93"/>
      <c r="K759" s="93"/>
      <c r="L759" s="242"/>
    </row>
    <row r="760" spans="9:12" ht="16">
      <c r="I760" s="93"/>
      <c r="J760" s="93"/>
      <c r="K760" s="93"/>
      <c r="L760" s="242"/>
    </row>
    <row r="761" spans="9:12" ht="16">
      <c r="I761" s="93"/>
      <c r="J761" s="93"/>
      <c r="K761" s="93"/>
      <c r="L761" s="242"/>
    </row>
    <row r="762" spans="9:12" ht="16">
      <c r="I762" s="93"/>
      <c r="J762" s="93"/>
      <c r="K762" s="93"/>
      <c r="L762" s="242"/>
    </row>
    <row r="763" spans="9:12" ht="16">
      <c r="I763" s="93"/>
      <c r="J763" s="93"/>
      <c r="K763" s="93"/>
      <c r="L763" s="242"/>
    </row>
    <row r="764" spans="9:12" ht="16">
      <c r="I764" s="93"/>
      <c r="J764" s="93"/>
      <c r="K764" s="93"/>
      <c r="L764" s="242"/>
    </row>
    <row r="765" spans="9:12" ht="16">
      <c r="I765" s="93"/>
      <c r="J765" s="93"/>
      <c r="K765" s="93"/>
      <c r="L765" s="242"/>
    </row>
    <row r="766" spans="9:12" ht="16">
      <c r="I766" s="93"/>
      <c r="J766" s="93"/>
      <c r="K766" s="93"/>
      <c r="L766" s="242"/>
    </row>
    <row r="767" spans="9:12" ht="16">
      <c r="I767" s="93"/>
      <c r="J767" s="93"/>
      <c r="K767" s="93"/>
      <c r="L767" s="242"/>
    </row>
    <row r="768" spans="9:12" ht="16">
      <c r="I768" s="93"/>
      <c r="J768" s="93"/>
      <c r="K768" s="93"/>
      <c r="L768" s="242"/>
    </row>
    <row r="769" spans="9:12" ht="16">
      <c r="I769" s="93"/>
      <c r="J769" s="93"/>
      <c r="K769" s="93"/>
      <c r="L769" s="242"/>
    </row>
    <row r="770" spans="9:12" ht="16">
      <c r="I770" s="93"/>
      <c r="J770" s="93"/>
      <c r="K770" s="93"/>
      <c r="L770" s="242"/>
    </row>
    <row r="771" spans="9:12" ht="16">
      <c r="I771" s="93"/>
      <c r="J771" s="93"/>
      <c r="K771" s="93"/>
      <c r="L771" s="242"/>
    </row>
    <row r="772" spans="9:12" ht="16">
      <c r="I772" s="93"/>
      <c r="J772" s="93"/>
      <c r="K772" s="93"/>
      <c r="L772" s="242"/>
    </row>
    <row r="773" spans="9:12" ht="16">
      <c r="I773" s="93"/>
      <c r="J773" s="93"/>
      <c r="K773" s="93"/>
      <c r="L773" s="242"/>
    </row>
    <row r="774" spans="9:12" ht="16">
      <c r="I774" s="93"/>
      <c r="J774" s="93"/>
      <c r="K774" s="93"/>
      <c r="L774" s="242"/>
    </row>
    <row r="775" spans="9:12" ht="16">
      <c r="I775" s="93"/>
      <c r="J775" s="93"/>
      <c r="K775" s="93"/>
      <c r="L775" s="242"/>
    </row>
    <row r="776" spans="9:12" ht="16">
      <c r="I776" s="93"/>
      <c r="J776" s="93"/>
      <c r="K776" s="93"/>
      <c r="L776" s="242"/>
    </row>
    <row r="777" spans="9:12" ht="16">
      <c r="I777" s="93"/>
      <c r="J777" s="93"/>
      <c r="K777" s="93"/>
      <c r="L777" s="242"/>
    </row>
    <row r="778" spans="9:12" ht="16">
      <c r="I778" s="93"/>
      <c r="J778" s="93"/>
      <c r="K778" s="93"/>
      <c r="L778" s="242"/>
    </row>
    <row r="779" spans="9:12" ht="16">
      <c r="I779" s="93"/>
      <c r="J779" s="93"/>
      <c r="K779" s="93"/>
      <c r="L779" s="242"/>
    </row>
    <row r="780" spans="9:12" ht="16">
      <c r="I780" s="93"/>
      <c r="J780" s="93"/>
      <c r="K780" s="93"/>
      <c r="L780" s="242"/>
    </row>
    <row r="781" spans="9:12" ht="16">
      <c r="I781" s="93"/>
      <c r="J781" s="93"/>
      <c r="K781" s="93"/>
      <c r="L781" s="242"/>
    </row>
    <row r="782" spans="9:12" ht="16">
      <c r="I782" s="93"/>
      <c r="J782" s="93"/>
      <c r="K782" s="93"/>
      <c r="L782" s="242"/>
    </row>
    <row r="783" spans="9:12" ht="16">
      <c r="I783" s="93"/>
      <c r="J783" s="93"/>
      <c r="K783" s="93"/>
      <c r="L783" s="242"/>
    </row>
    <row r="784" spans="9:12" ht="16">
      <c r="I784" s="93"/>
      <c r="J784" s="93"/>
      <c r="K784" s="93"/>
      <c r="L784" s="242"/>
    </row>
    <row r="785" spans="9:12" ht="16">
      <c r="I785" s="93"/>
      <c r="J785" s="93"/>
      <c r="K785" s="93"/>
      <c r="L785" s="242"/>
    </row>
    <row r="786" spans="9:12" ht="16">
      <c r="I786" s="93"/>
      <c r="J786" s="93"/>
      <c r="K786" s="93"/>
      <c r="L786" s="242"/>
    </row>
    <row r="787" spans="9:12" ht="16">
      <c r="I787" s="93"/>
      <c r="J787" s="93"/>
      <c r="K787" s="93"/>
      <c r="L787" s="242"/>
    </row>
    <row r="788" spans="9:12" ht="16">
      <c r="I788" s="93"/>
      <c r="J788" s="93"/>
      <c r="K788" s="93"/>
      <c r="L788" s="242"/>
    </row>
    <row r="789" spans="9:12" ht="16">
      <c r="I789" s="93"/>
      <c r="J789" s="93"/>
      <c r="K789" s="93"/>
      <c r="L789" s="242"/>
    </row>
    <row r="790" spans="9:12" ht="16">
      <c r="I790" s="93"/>
      <c r="J790" s="93"/>
      <c r="K790" s="93"/>
      <c r="L790" s="242"/>
    </row>
    <row r="791" spans="9:12" ht="16">
      <c r="I791" s="93"/>
      <c r="J791" s="93"/>
      <c r="K791" s="93"/>
      <c r="L791" s="242"/>
    </row>
    <row r="792" spans="9:12" ht="16">
      <c r="I792" s="93"/>
      <c r="J792" s="93"/>
      <c r="K792" s="93"/>
      <c r="L792" s="242"/>
    </row>
    <row r="793" spans="9:12" ht="16">
      <c r="I793" s="93"/>
      <c r="J793" s="93"/>
      <c r="K793" s="93"/>
      <c r="L793" s="242"/>
    </row>
    <row r="794" spans="9:12" ht="16">
      <c r="I794" s="93"/>
      <c r="J794" s="93"/>
      <c r="K794" s="93"/>
      <c r="L794" s="242"/>
    </row>
    <row r="795" spans="9:12" ht="16">
      <c r="I795" s="93"/>
      <c r="J795" s="93"/>
      <c r="K795" s="93"/>
      <c r="L795" s="242"/>
    </row>
    <row r="796" spans="9:12" ht="16">
      <c r="I796" s="93"/>
      <c r="J796" s="93"/>
      <c r="K796" s="93"/>
      <c r="L796" s="242"/>
    </row>
    <row r="797" spans="9:12" ht="16">
      <c r="I797" s="93"/>
      <c r="J797" s="93"/>
      <c r="K797" s="93"/>
      <c r="L797" s="242"/>
    </row>
    <row r="798" spans="9:12" ht="16">
      <c r="I798" s="93"/>
      <c r="J798" s="93"/>
      <c r="K798" s="93"/>
      <c r="L798" s="242"/>
    </row>
    <row r="799" spans="9:12" ht="16">
      <c r="I799" s="93"/>
      <c r="J799" s="93"/>
      <c r="K799" s="93"/>
      <c r="L799" s="242"/>
    </row>
    <row r="800" spans="9:12" ht="16">
      <c r="I800" s="93"/>
      <c r="J800" s="93"/>
      <c r="K800" s="93"/>
      <c r="L800" s="242"/>
    </row>
    <row r="801" spans="9:12" ht="16">
      <c r="I801" s="93"/>
      <c r="J801" s="93"/>
      <c r="K801" s="93"/>
      <c r="L801" s="242"/>
    </row>
    <row r="802" spans="9:12" ht="16">
      <c r="I802" s="93"/>
      <c r="J802" s="93"/>
      <c r="K802" s="93"/>
      <c r="L802" s="242"/>
    </row>
    <row r="803" spans="9:12" ht="16">
      <c r="I803" s="93"/>
      <c r="J803" s="93"/>
      <c r="K803" s="93"/>
      <c r="L803" s="242"/>
    </row>
    <row r="804" spans="9:12" ht="16">
      <c r="I804" s="93"/>
      <c r="J804" s="93"/>
      <c r="K804" s="93"/>
      <c r="L804" s="242"/>
    </row>
    <row r="805" spans="9:12" ht="16">
      <c r="I805" s="93"/>
      <c r="J805" s="93"/>
      <c r="K805" s="93"/>
      <c r="L805" s="242"/>
    </row>
    <row r="806" spans="9:12" ht="16">
      <c r="I806" s="93"/>
      <c r="J806" s="93"/>
      <c r="K806" s="93"/>
      <c r="L806" s="242"/>
    </row>
    <row r="807" spans="9:12" ht="16">
      <c r="I807" s="93"/>
      <c r="J807" s="93"/>
      <c r="K807" s="93"/>
      <c r="L807" s="242"/>
    </row>
    <row r="808" spans="9:12" ht="16">
      <c r="I808" s="93"/>
      <c r="J808" s="93"/>
      <c r="K808" s="93"/>
      <c r="L808" s="242"/>
    </row>
    <row r="809" spans="9:12" ht="16">
      <c r="I809" s="93"/>
      <c r="J809" s="93"/>
      <c r="K809" s="93"/>
      <c r="L809" s="242"/>
    </row>
    <row r="810" spans="9:12" ht="16">
      <c r="I810" s="93"/>
      <c r="J810" s="93"/>
      <c r="K810" s="93"/>
      <c r="L810" s="242"/>
    </row>
    <row r="811" spans="9:12" ht="16">
      <c r="I811" s="93"/>
      <c r="J811" s="93"/>
      <c r="K811" s="93"/>
      <c r="L811" s="242"/>
    </row>
    <row r="812" spans="9:12" ht="16">
      <c r="I812" s="93"/>
      <c r="J812" s="93"/>
      <c r="K812" s="93"/>
      <c r="L812" s="242"/>
    </row>
    <row r="813" spans="9:12" ht="16">
      <c r="I813" s="93"/>
      <c r="J813" s="93"/>
      <c r="K813" s="93"/>
      <c r="L813" s="242"/>
    </row>
    <row r="814" spans="9:12" ht="16">
      <c r="I814" s="93"/>
      <c r="J814" s="93"/>
      <c r="K814" s="93"/>
      <c r="L814" s="242"/>
    </row>
    <row r="815" spans="9:12" ht="16">
      <c r="I815" s="93"/>
      <c r="J815" s="93"/>
      <c r="K815" s="93"/>
      <c r="L815" s="242"/>
    </row>
    <row r="816" spans="9:12" ht="16">
      <c r="I816" s="93"/>
      <c r="J816" s="93"/>
      <c r="K816" s="93"/>
      <c r="L816" s="242"/>
    </row>
    <row r="817" spans="9:12" ht="16">
      <c r="I817" s="93"/>
      <c r="J817" s="93"/>
      <c r="K817" s="93"/>
      <c r="L817" s="242"/>
    </row>
    <row r="818" spans="9:12" ht="16">
      <c r="I818" s="93"/>
      <c r="J818" s="93"/>
      <c r="K818" s="93"/>
      <c r="L818" s="242"/>
    </row>
    <row r="819" spans="9:12" ht="16">
      <c r="I819" s="93"/>
      <c r="J819" s="93"/>
      <c r="K819" s="93"/>
      <c r="L819" s="242"/>
    </row>
    <row r="820" spans="9:12" ht="16">
      <c r="I820" s="93"/>
      <c r="J820" s="93"/>
      <c r="K820" s="93"/>
      <c r="L820" s="242"/>
    </row>
    <row r="821" spans="9:12" ht="16">
      <c r="I821" s="93"/>
      <c r="J821" s="93"/>
      <c r="K821" s="93"/>
      <c r="L821" s="242"/>
    </row>
    <row r="822" spans="9:12" ht="16">
      <c r="I822" s="93"/>
      <c r="J822" s="93"/>
      <c r="K822" s="93"/>
      <c r="L822" s="242"/>
    </row>
    <row r="823" spans="9:12" ht="16">
      <c r="I823" s="93"/>
      <c r="J823" s="93"/>
      <c r="K823" s="93"/>
      <c r="L823" s="242"/>
    </row>
    <row r="824" spans="9:12" ht="16">
      <c r="I824" s="93"/>
      <c r="J824" s="93"/>
      <c r="K824" s="93"/>
      <c r="L824" s="242"/>
    </row>
    <row r="825" spans="9:12" ht="16">
      <c r="I825" s="93"/>
      <c r="J825" s="93"/>
      <c r="K825" s="93"/>
      <c r="L825" s="242"/>
    </row>
    <row r="826" spans="9:12" ht="16">
      <c r="I826" s="93"/>
      <c r="J826" s="93"/>
      <c r="K826" s="93"/>
      <c r="L826" s="242"/>
    </row>
    <row r="827" spans="9:12" ht="16">
      <c r="I827" s="93"/>
      <c r="J827" s="93"/>
      <c r="K827" s="93"/>
      <c r="L827" s="242"/>
    </row>
    <row r="828" spans="9:12" ht="16">
      <c r="I828" s="93"/>
      <c r="J828" s="93"/>
      <c r="K828" s="93"/>
      <c r="L828" s="242"/>
    </row>
    <row r="829" spans="9:12" ht="16">
      <c r="I829" s="93"/>
      <c r="J829" s="93"/>
      <c r="K829" s="93"/>
      <c r="L829" s="242"/>
    </row>
    <row r="830" spans="9:12" ht="16">
      <c r="I830" s="93"/>
      <c r="J830" s="93"/>
      <c r="K830" s="93"/>
      <c r="L830" s="242"/>
    </row>
    <row r="831" spans="9:12" ht="16">
      <c r="I831" s="93"/>
      <c r="J831" s="93"/>
      <c r="K831" s="93"/>
      <c r="L831" s="242"/>
    </row>
    <row r="832" spans="9:12" ht="16">
      <c r="I832" s="93"/>
      <c r="J832" s="93"/>
      <c r="K832" s="93"/>
      <c r="L832" s="242"/>
    </row>
    <row r="833" spans="9:12" ht="16">
      <c r="I833" s="93"/>
      <c r="J833" s="93"/>
      <c r="K833" s="93"/>
      <c r="L833" s="242"/>
    </row>
    <row r="834" spans="9:12" ht="16">
      <c r="I834" s="93"/>
      <c r="J834" s="93"/>
      <c r="K834" s="93"/>
      <c r="L834" s="242"/>
    </row>
    <row r="835" spans="9:12" ht="16">
      <c r="I835" s="93"/>
      <c r="J835" s="93"/>
      <c r="K835" s="93"/>
      <c r="L835" s="242"/>
    </row>
    <row r="836" spans="9:12" ht="16">
      <c r="I836" s="93"/>
      <c r="J836" s="93"/>
      <c r="K836" s="93"/>
      <c r="L836" s="242"/>
    </row>
    <row r="837" spans="9:12" ht="16">
      <c r="I837" s="93"/>
      <c r="J837" s="93"/>
      <c r="K837" s="93"/>
      <c r="L837" s="242"/>
    </row>
    <row r="838" spans="9:12" ht="16">
      <c r="I838" s="93"/>
      <c r="J838" s="93"/>
      <c r="K838" s="93"/>
      <c r="L838" s="242"/>
    </row>
    <row r="839" spans="9:12" ht="16">
      <c r="I839" s="93"/>
      <c r="J839" s="93"/>
      <c r="K839" s="93"/>
      <c r="L839" s="242"/>
    </row>
    <row r="840" spans="9:12" ht="16">
      <c r="I840" s="93"/>
      <c r="J840" s="93"/>
      <c r="K840" s="93"/>
      <c r="L840" s="242"/>
    </row>
    <row r="841" spans="9:12" ht="16">
      <c r="I841" s="93"/>
      <c r="J841" s="93"/>
      <c r="K841" s="93"/>
      <c r="L841" s="242"/>
    </row>
    <row r="842" spans="9:12" ht="16">
      <c r="I842" s="93"/>
      <c r="J842" s="93"/>
      <c r="K842" s="93"/>
      <c r="L842" s="242"/>
    </row>
    <row r="843" spans="9:12" ht="16">
      <c r="I843" s="93"/>
      <c r="J843" s="93"/>
      <c r="K843" s="93"/>
      <c r="L843" s="242"/>
    </row>
    <row r="844" spans="9:12" ht="16">
      <c r="I844" s="93"/>
      <c r="J844" s="93"/>
      <c r="K844" s="93"/>
      <c r="L844" s="242"/>
    </row>
    <row r="845" spans="9:12" ht="16">
      <c r="I845" s="93"/>
      <c r="J845" s="93"/>
      <c r="K845" s="93"/>
      <c r="L845" s="242"/>
    </row>
    <row r="846" spans="9:12" ht="16">
      <c r="I846" s="93"/>
      <c r="J846" s="93"/>
      <c r="K846" s="93"/>
      <c r="L846" s="242"/>
    </row>
    <row r="847" spans="9:12" ht="16">
      <c r="I847" s="93"/>
      <c r="J847" s="93"/>
      <c r="K847" s="93"/>
      <c r="L847" s="242"/>
    </row>
    <row r="848" spans="9:12" ht="16">
      <c r="I848" s="93"/>
      <c r="J848" s="93"/>
      <c r="K848" s="93"/>
      <c r="L848" s="242"/>
    </row>
    <row r="849" spans="9:12" ht="16">
      <c r="I849" s="93"/>
      <c r="J849" s="93"/>
      <c r="K849" s="93"/>
      <c r="L849" s="242"/>
    </row>
    <row r="850" spans="9:12" ht="16">
      <c r="I850" s="93"/>
      <c r="J850" s="93"/>
      <c r="K850" s="93"/>
      <c r="L850" s="242"/>
    </row>
    <row r="851" spans="9:12" ht="16">
      <c r="I851" s="93"/>
      <c r="J851" s="93"/>
      <c r="K851" s="93"/>
      <c r="L851" s="242"/>
    </row>
    <row r="852" spans="9:12" ht="16">
      <c r="I852" s="93"/>
      <c r="J852" s="93"/>
      <c r="K852" s="93"/>
      <c r="L852" s="242"/>
    </row>
    <row r="853" spans="9:12" ht="16">
      <c r="I853" s="93"/>
      <c r="J853" s="93"/>
      <c r="K853" s="93"/>
      <c r="L853" s="242"/>
    </row>
    <row r="854" spans="9:12" ht="16">
      <c r="I854" s="93"/>
      <c r="J854" s="93"/>
      <c r="K854" s="93"/>
      <c r="L854" s="242"/>
    </row>
    <row r="855" spans="9:12" ht="16">
      <c r="I855" s="93"/>
      <c r="J855" s="93"/>
      <c r="K855" s="93"/>
      <c r="L855" s="242"/>
    </row>
    <row r="856" spans="9:12" ht="16">
      <c r="I856" s="93"/>
      <c r="J856" s="93"/>
      <c r="K856" s="93"/>
      <c r="L856" s="242"/>
    </row>
    <row r="857" spans="9:12" ht="16">
      <c r="I857" s="93"/>
      <c r="J857" s="93"/>
      <c r="K857" s="93"/>
      <c r="L857" s="242"/>
    </row>
    <row r="858" spans="9:12" ht="16">
      <c r="I858" s="93"/>
      <c r="J858" s="93"/>
      <c r="K858" s="93"/>
      <c r="L858" s="242"/>
    </row>
    <row r="859" spans="9:12" ht="16">
      <c r="I859" s="93"/>
      <c r="J859" s="93"/>
      <c r="K859" s="93"/>
      <c r="L859" s="242"/>
    </row>
    <row r="860" spans="9:12" ht="16">
      <c r="I860" s="93"/>
      <c r="J860" s="93"/>
      <c r="K860" s="93"/>
      <c r="L860" s="242"/>
    </row>
    <row r="861" spans="9:12" ht="16">
      <c r="I861" s="93"/>
      <c r="J861" s="93"/>
      <c r="K861" s="93"/>
      <c r="L861" s="242"/>
    </row>
    <row r="862" spans="9:12" ht="16">
      <c r="I862" s="93"/>
      <c r="J862" s="93"/>
      <c r="K862" s="93"/>
      <c r="L862" s="242"/>
    </row>
    <row r="863" spans="9:12" ht="16">
      <c r="I863" s="93"/>
      <c r="J863" s="93"/>
      <c r="K863" s="93"/>
      <c r="L863" s="242"/>
    </row>
    <row r="864" spans="9:12" ht="16">
      <c r="I864" s="93"/>
      <c r="J864" s="93"/>
      <c r="K864" s="93"/>
      <c r="L864" s="242"/>
    </row>
    <row r="865" spans="9:12" ht="16">
      <c r="I865" s="93"/>
      <c r="J865" s="93"/>
      <c r="K865" s="93"/>
      <c r="L865" s="242"/>
    </row>
    <row r="866" spans="9:12" ht="16">
      <c r="I866" s="93"/>
      <c r="J866" s="93"/>
      <c r="K866" s="93"/>
      <c r="L866" s="242"/>
    </row>
    <row r="867" spans="9:12" ht="16">
      <c r="I867" s="93"/>
      <c r="J867" s="93"/>
      <c r="K867" s="93"/>
      <c r="L867" s="242"/>
    </row>
    <row r="868" spans="9:12" ht="16">
      <c r="I868" s="93"/>
      <c r="J868" s="93"/>
      <c r="K868" s="93"/>
      <c r="L868" s="242"/>
    </row>
    <row r="869" spans="9:12" ht="16">
      <c r="I869" s="93"/>
      <c r="J869" s="93"/>
      <c r="K869" s="93"/>
      <c r="L869" s="242"/>
    </row>
    <row r="870" spans="9:12" ht="16">
      <c r="I870" s="93"/>
      <c r="J870" s="93"/>
      <c r="K870" s="93"/>
      <c r="L870" s="242"/>
    </row>
    <row r="871" spans="9:12" ht="16">
      <c r="I871" s="93"/>
      <c r="J871" s="93"/>
      <c r="K871" s="93"/>
      <c r="L871" s="242"/>
    </row>
    <row r="872" spans="9:12" ht="16">
      <c r="I872" s="93"/>
      <c r="J872" s="93"/>
      <c r="K872" s="93"/>
      <c r="L872" s="242"/>
    </row>
    <row r="873" spans="9:12" ht="16">
      <c r="I873" s="93"/>
      <c r="J873" s="93"/>
      <c r="K873" s="93"/>
      <c r="L873" s="242"/>
    </row>
    <row r="874" spans="9:12" ht="16">
      <c r="I874" s="93"/>
      <c r="J874" s="93"/>
      <c r="K874" s="93"/>
      <c r="L874" s="242"/>
    </row>
    <row r="875" spans="9:12" ht="16">
      <c r="I875" s="93"/>
      <c r="J875" s="93"/>
      <c r="K875" s="93"/>
      <c r="L875" s="242"/>
    </row>
    <row r="876" spans="9:12" ht="16">
      <c r="I876" s="93"/>
      <c r="J876" s="93"/>
      <c r="K876" s="93"/>
      <c r="L876" s="242"/>
    </row>
    <row r="877" spans="9:12" ht="16">
      <c r="I877" s="93"/>
      <c r="J877" s="93"/>
      <c r="K877" s="93"/>
      <c r="L877" s="242"/>
    </row>
    <row r="878" spans="9:12" ht="16">
      <c r="I878" s="93"/>
      <c r="J878" s="93"/>
      <c r="K878" s="93"/>
      <c r="L878" s="242"/>
    </row>
    <row r="879" spans="9:12" ht="16">
      <c r="I879" s="93"/>
      <c r="J879" s="93"/>
      <c r="K879" s="93"/>
      <c r="L879" s="242"/>
    </row>
    <row r="880" spans="9:12" ht="16">
      <c r="I880" s="93"/>
      <c r="J880" s="93"/>
      <c r="K880" s="93"/>
      <c r="L880" s="242"/>
    </row>
    <row r="881" spans="9:12" ht="16">
      <c r="I881" s="93"/>
      <c r="J881" s="93"/>
      <c r="K881" s="93"/>
      <c r="L881" s="242"/>
    </row>
    <row r="882" spans="9:12" ht="16">
      <c r="I882" s="93"/>
      <c r="J882" s="93"/>
      <c r="K882" s="93"/>
      <c r="L882" s="242"/>
    </row>
    <row r="883" spans="9:12" ht="16">
      <c r="I883" s="93"/>
      <c r="J883" s="93"/>
      <c r="K883" s="93"/>
      <c r="L883" s="242"/>
    </row>
    <row r="884" spans="9:12" ht="16">
      <c r="I884" s="93"/>
      <c r="J884" s="93"/>
      <c r="K884" s="93"/>
      <c r="L884" s="242"/>
    </row>
    <row r="885" spans="9:12" ht="16">
      <c r="I885" s="93"/>
      <c r="J885" s="93"/>
      <c r="K885" s="93"/>
      <c r="L885" s="242"/>
    </row>
    <row r="886" spans="9:12" ht="16">
      <c r="I886" s="93"/>
      <c r="J886" s="93"/>
      <c r="K886" s="93"/>
      <c r="L886" s="242"/>
    </row>
    <row r="887" spans="9:12" ht="16">
      <c r="I887" s="93"/>
      <c r="J887" s="93"/>
      <c r="K887" s="93"/>
      <c r="L887" s="242"/>
    </row>
    <row r="888" spans="9:12" ht="16">
      <c r="I888" s="93"/>
      <c r="J888" s="93"/>
      <c r="K888" s="93"/>
      <c r="L888" s="242"/>
    </row>
    <row r="889" spans="9:12" ht="16">
      <c r="I889" s="93"/>
      <c r="J889" s="93"/>
      <c r="K889" s="93"/>
      <c r="L889" s="242"/>
    </row>
    <row r="890" spans="9:12" ht="16">
      <c r="I890" s="93"/>
      <c r="J890" s="93"/>
      <c r="K890" s="93"/>
      <c r="L890" s="242"/>
    </row>
    <row r="891" spans="9:12" ht="16">
      <c r="I891" s="93"/>
      <c r="J891" s="93"/>
      <c r="K891" s="93"/>
      <c r="L891" s="242"/>
    </row>
    <row r="892" spans="9:12" ht="16">
      <c r="I892" s="93"/>
      <c r="J892" s="93"/>
      <c r="K892" s="93"/>
      <c r="L892" s="242"/>
    </row>
    <row r="893" spans="9:12" ht="16">
      <c r="I893" s="93"/>
      <c r="J893" s="93"/>
      <c r="K893" s="93"/>
      <c r="L893" s="242"/>
    </row>
    <row r="894" spans="9:12" ht="16">
      <c r="I894" s="93"/>
      <c r="J894" s="93"/>
      <c r="K894" s="93"/>
      <c r="L894" s="242"/>
    </row>
    <row r="895" spans="9:12" ht="16">
      <c r="I895" s="93"/>
      <c r="J895" s="93"/>
      <c r="K895" s="93"/>
      <c r="L895" s="242"/>
    </row>
    <row r="896" spans="9:12" ht="16">
      <c r="I896" s="93"/>
      <c r="J896" s="93"/>
      <c r="K896" s="93"/>
      <c r="L896" s="242"/>
    </row>
    <row r="897" spans="9:12" ht="16">
      <c r="I897" s="93"/>
      <c r="J897" s="93"/>
      <c r="K897" s="93"/>
      <c r="L897" s="242"/>
    </row>
    <row r="898" spans="9:12" ht="16">
      <c r="I898" s="93"/>
      <c r="J898" s="93"/>
      <c r="K898" s="93"/>
      <c r="L898" s="242"/>
    </row>
    <row r="899" spans="9:12" ht="16">
      <c r="I899" s="93"/>
      <c r="J899" s="93"/>
      <c r="K899" s="93"/>
      <c r="L899" s="242"/>
    </row>
    <row r="900" spans="9:12" ht="16">
      <c r="I900" s="93"/>
      <c r="J900" s="93"/>
      <c r="K900" s="93"/>
      <c r="L900" s="242"/>
    </row>
    <row r="901" spans="9:12" ht="16">
      <c r="I901" s="93"/>
      <c r="J901" s="93"/>
      <c r="K901" s="93"/>
      <c r="L901" s="242"/>
    </row>
    <row r="902" spans="9:12" ht="16">
      <c r="I902" s="93"/>
      <c r="J902" s="93"/>
      <c r="K902" s="93"/>
      <c r="L902" s="242"/>
    </row>
    <row r="903" spans="9:12" ht="16">
      <c r="I903" s="93"/>
      <c r="J903" s="93"/>
      <c r="K903" s="93"/>
      <c r="L903" s="242"/>
    </row>
    <row r="904" spans="9:12" ht="16">
      <c r="I904" s="93"/>
      <c r="J904" s="93"/>
      <c r="K904" s="93"/>
      <c r="L904" s="242"/>
    </row>
    <row r="905" spans="9:12" ht="16">
      <c r="I905" s="93"/>
      <c r="J905" s="93"/>
      <c r="K905" s="93"/>
      <c r="L905" s="242"/>
    </row>
    <row r="906" spans="9:12" ht="16">
      <c r="I906" s="93"/>
      <c r="J906" s="93"/>
      <c r="K906" s="93"/>
      <c r="L906" s="242"/>
    </row>
    <row r="907" spans="9:12" ht="16">
      <c r="I907" s="93"/>
      <c r="J907" s="93"/>
      <c r="K907" s="93"/>
      <c r="L907" s="242"/>
    </row>
    <row r="908" spans="9:12" ht="16">
      <c r="I908" s="93"/>
      <c r="J908" s="93"/>
      <c r="K908" s="93"/>
      <c r="L908" s="242"/>
    </row>
    <row r="909" spans="9:12" ht="16">
      <c r="I909" s="93"/>
      <c r="J909" s="93"/>
      <c r="K909" s="93"/>
      <c r="L909" s="242"/>
    </row>
    <row r="910" spans="9:12" ht="16">
      <c r="I910" s="93"/>
      <c r="J910" s="93"/>
      <c r="K910" s="93"/>
      <c r="L910" s="242"/>
    </row>
    <row r="911" spans="9:12" ht="16">
      <c r="I911" s="93"/>
      <c r="J911" s="93"/>
      <c r="K911" s="93"/>
      <c r="L911" s="242"/>
    </row>
    <row r="912" spans="9:12" ht="16">
      <c r="I912" s="93"/>
      <c r="J912" s="93"/>
      <c r="K912" s="93"/>
      <c r="L912" s="242"/>
    </row>
    <row r="913" spans="9:12" ht="16">
      <c r="I913" s="93"/>
      <c r="J913" s="93"/>
      <c r="K913" s="93"/>
      <c r="L913" s="242"/>
    </row>
    <row r="914" spans="9:12" ht="16">
      <c r="I914" s="93"/>
      <c r="J914" s="93"/>
      <c r="K914" s="93"/>
      <c r="L914" s="242"/>
    </row>
    <row r="915" spans="9:12" ht="16">
      <c r="I915" s="93"/>
      <c r="J915" s="93"/>
      <c r="K915" s="93"/>
      <c r="L915" s="242"/>
    </row>
    <row r="916" spans="9:12" ht="16">
      <c r="I916" s="93"/>
      <c r="J916" s="93"/>
      <c r="K916" s="93"/>
      <c r="L916" s="242"/>
    </row>
    <row r="917" spans="9:12" ht="16">
      <c r="I917" s="93"/>
      <c r="J917" s="93"/>
      <c r="K917" s="93"/>
      <c r="L917" s="242"/>
    </row>
    <row r="918" spans="9:12" ht="16">
      <c r="I918" s="93"/>
      <c r="J918" s="93"/>
      <c r="K918" s="93"/>
      <c r="L918" s="242"/>
    </row>
    <row r="919" spans="9:12" ht="16">
      <c r="I919" s="93"/>
      <c r="J919" s="93"/>
      <c r="K919" s="93"/>
      <c r="L919" s="242"/>
    </row>
    <row r="920" spans="9:12" ht="16">
      <c r="I920" s="93"/>
      <c r="J920" s="93"/>
      <c r="K920" s="93"/>
      <c r="L920" s="242"/>
    </row>
    <row r="921" spans="9:12" ht="16">
      <c r="I921" s="93"/>
      <c r="J921" s="93"/>
      <c r="K921" s="93"/>
      <c r="L921" s="242"/>
    </row>
    <row r="922" spans="9:12" ht="16">
      <c r="I922" s="93"/>
      <c r="J922" s="93"/>
      <c r="K922" s="93"/>
      <c r="L922" s="242"/>
    </row>
    <row r="923" spans="9:12" ht="16">
      <c r="I923" s="93"/>
      <c r="J923" s="93"/>
      <c r="K923" s="93"/>
      <c r="L923" s="242"/>
    </row>
    <row r="924" spans="9:12" ht="16">
      <c r="I924" s="93"/>
      <c r="J924" s="93"/>
      <c r="K924" s="93"/>
      <c r="L924" s="242"/>
    </row>
    <row r="925" spans="9:12" ht="16">
      <c r="I925" s="93"/>
      <c r="J925" s="93"/>
      <c r="K925" s="93"/>
      <c r="L925" s="242"/>
    </row>
    <row r="926" spans="9:12" ht="16">
      <c r="I926" s="93"/>
      <c r="J926" s="93"/>
      <c r="K926" s="93"/>
      <c r="L926" s="242"/>
    </row>
    <row r="927" spans="9:12" ht="16">
      <c r="I927" s="93"/>
      <c r="J927" s="93"/>
      <c r="K927" s="93"/>
      <c r="L927" s="242"/>
    </row>
    <row r="928" spans="9:12" ht="16">
      <c r="I928" s="93"/>
      <c r="J928" s="93"/>
      <c r="K928" s="93"/>
      <c r="L928" s="242"/>
    </row>
    <row r="929" spans="9:12" ht="16">
      <c r="I929" s="93"/>
      <c r="J929" s="93"/>
      <c r="K929" s="93"/>
      <c r="L929" s="242"/>
    </row>
    <row r="930" spans="9:12" ht="16">
      <c r="I930" s="93"/>
      <c r="J930" s="93"/>
      <c r="K930" s="93"/>
      <c r="L930" s="242"/>
    </row>
    <row r="931" spans="9:12" ht="16">
      <c r="I931" s="93"/>
      <c r="J931" s="93"/>
      <c r="K931" s="93"/>
      <c r="L931" s="242"/>
    </row>
    <row r="932" spans="9:12" ht="16">
      <c r="I932" s="93"/>
      <c r="J932" s="93"/>
      <c r="K932" s="93"/>
      <c r="L932" s="242"/>
    </row>
    <row r="933" spans="9:12" ht="16">
      <c r="I933" s="93"/>
      <c r="J933" s="93"/>
      <c r="K933" s="93"/>
      <c r="L933" s="242"/>
    </row>
    <row r="934" spans="9:12" ht="16">
      <c r="I934" s="93"/>
      <c r="J934" s="93"/>
      <c r="K934" s="93"/>
      <c r="L934" s="242"/>
    </row>
    <row r="935" spans="9:12" ht="16">
      <c r="I935" s="93"/>
      <c r="J935" s="93"/>
      <c r="K935" s="93"/>
      <c r="L935" s="242"/>
    </row>
    <row r="936" spans="9:12" ht="16">
      <c r="I936" s="93"/>
      <c r="J936" s="93"/>
      <c r="K936" s="93"/>
      <c r="L936" s="242"/>
    </row>
    <row r="937" spans="9:12" ht="16">
      <c r="I937" s="93"/>
      <c r="J937" s="93"/>
      <c r="K937" s="93"/>
      <c r="L937" s="242"/>
    </row>
    <row r="938" spans="9:12" ht="16">
      <c r="I938" s="93"/>
      <c r="J938" s="93"/>
      <c r="K938" s="93"/>
      <c r="L938" s="242"/>
    </row>
    <row r="939" spans="9:12" ht="16">
      <c r="I939" s="93"/>
      <c r="J939" s="93"/>
      <c r="K939" s="93"/>
      <c r="L939" s="242"/>
    </row>
    <row r="940" spans="9:12" ht="16">
      <c r="I940" s="93"/>
      <c r="J940" s="93"/>
      <c r="K940" s="93"/>
      <c r="L940" s="242"/>
    </row>
    <row r="941" spans="9:12" ht="16">
      <c r="I941" s="93"/>
      <c r="J941" s="93"/>
      <c r="K941" s="93"/>
      <c r="L941" s="242"/>
    </row>
    <row r="942" spans="9:12" ht="16">
      <c r="I942" s="93"/>
      <c r="J942" s="93"/>
      <c r="K942" s="93"/>
      <c r="L942" s="242"/>
    </row>
    <row r="943" spans="9:12" ht="16">
      <c r="I943" s="93"/>
      <c r="J943" s="93"/>
      <c r="K943" s="93"/>
      <c r="L943" s="242"/>
    </row>
    <row r="944" spans="9:12" ht="16">
      <c r="I944" s="93"/>
      <c r="J944" s="93"/>
      <c r="K944" s="93"/>
      <c r="L944" s="242"/>
    </row>
    <row r="945" spans="9:12" ht="16">
      <c r="I945" s="93"/>
      <c r="J945" s="93"/>
      <c r="K945" s="93"/>
      <c r="L945" s="242"/>
    </row>
    <row r="946" spans="9:12" ht="16">
      <c r="I946" s="93"/>
      <c r="J946" s="93"/>
      <c r="K946" s="93"/>
      <c r="L946" s="242"/>
    </row>
    <row r="947" spans="9:12" ht="16">
      <c r="I947" s="93"/>
      <c r="J947" s="93"/>
      <c r="K947" s="93"/>
      <c r="L947" s="242"/>
    </row>
    <row r="948" spans="9:12" ht="16">
      <c r="I948" s="93"/>
      <c r="J948" s="93"/>
      <c r="K948" s="93"/>
      <c r="L948" s="242"/>
    </row>
    <row r="949" spans="9:12" ht="16">
      <c r="I949" s="93"/>
      <c r="J949" s="93"/>
      <c r="K949" s="93"/>
      <c r="L949" s="242"/>
    </row>
    <row r="950" spans="9:12" ht="16">
      <c r="I950" s="93"/>
      <c r="J950" s="93"/>
      <c r="K950" s="93"/>
      <c r="L950" s="242"/>
    </row>
    <row r="951" spans="9:12" ht="16">
      <c r="I951" s="93"/>
      <c r="J951" s="93"/>
      <c r="K951" s="93"/>
      <c r="L951" s="242"/>
    </row>
    <row r="952" spans="9:12" ht="16">
      <c r="I952" s="93"/>
      <c r="J952" s="93"/>
      <c r="K952" s="93"/>
      <c r="L952" s="242"/>
    </row>
    <row r="953" spans="9:12" ht="16">
      <c r="I953" s="93"/>
      <c r="J953" s="93"/>
      <c r="K953" s="93"/>
      <c r="L953" s="242"/>
    </row>
    <row r="954" spans="9:12" ht="16">
      <c r="I954" s="93"/>
      <c r="J954" s="93"/>
      <c r="K954" s="93"/>
      <c r="L954" s="242"/>
    </row>
    <row r="955" spans="9:12" ht="16">
      <c r="I955" s="93"/>
      <c r="J955" s="93"/>
      <c r="K955" s="93"/>
      <c r="L955" s="242"/>
    </row>
    <row r="956" spans="9:12" ht="16">
      <c r="I956" s="93"/>
      <c r="J956" s="93"/>
      <c r="K956" s="93"/>
      <c r="L956" s="242"/>
    </row>
    <row r="957" spans="9:12" ht="16">
      <c r="I957" s="93"/>
      <c r="J957" s="93"/>
      <c r="K957" s="93"/>
      <c r="L957" s="242"/>
    </row>
    <row r="958" spans="9:12" ht="16">
      <c r="I958" s="93"/>
      <c r="J958" s="93"/>
      <c r="K958" s="93"/>
      <c r="L958" s="242"/>
    </row>
    <row r="959" spans="9:12" ht="16">
      <c r="I959" s="93"/>
      <c r="J959" s="93"/>
      <c r="K959" s="93"/>
      <c r="L959" s="242"/>
    </row>
    <row r="960" spans="9:12" ht="16">
      <c r="I960" s="93"/>
      <c r="J960" s="93"/>
      <c r="K960" s="93"/>
      <c r="L960" s="242"/>
    </row>
    <row r="961" spans="9:12" ht="16">
      <c r="I961" s="93"/>
      <c r="J961" s="93"/>
      <c r="K961" s="93"/>
      <c r="L961" s="242"/>
    </row>
    <row r="962" spans="9:12" ht="16">
      <c r="I962" s="93"/>
      <c r="J962" s="93"/>
      <c r="K962" s="93"/>
      <c r="L962" s="242"/>
    </row>
    <row r="963" spans="9:12" ht="16">
      <c r="I963" s="93"/>
      <c r="J963" s="93"/>
      <c r="K963" s="93"/>
      <c r="L963" s="242"/>
    </row>
    <row r="964" spans="9:12" ht="16">
      <c r="I964" s="93"/>
      <c r="J964" s="93"/>
      <c r="K964" s="93"/>
      <c r="L964" s="242"/>
    </row>
    <row r="965" spans="9:12" ht="16">
      <c r="I965" s="93"/>
      <c r="J965" s="93"/>
      <c r="K965" s="93"/>
      <c r="L965" s="242"/>
    </row>
    <row r="966" spans="9:12" ht="16">
      <c r="I966" s="93"/>
      <c r="J966" s="93"/>
      <c r="K966" s="93"/>
      <c r="L966" s="242"/>
    </row>
    <row r="967" spans="9:12" ht="16">
      <c r="I967" s="93"/>
      <c r="J967" s="93"/>
      <c r="K967" s="93"/>
      <c r="L967" s="242"/>
    </row>
    <row r="968" spans="9:12" ht="16">
      <c r="I968" s="93"/>
      <c r="J968" s="93"/>
      <c r="K968" s="93"/>
      <c r="L968" s="242"/>
    </row>
    <row r="969" spans="9:12" ht="16">
      <c r="I969" s="93"/>
      <c r="J969" s="93"/>
      <c r="K969" s="93"/>
      <c r="L969" s="242"/>
    </row>
    <row r="970" spans="9:12" ht="16">
      <c r="I970" s="93"/>
      <c r="J970" s="93"/>
      <c r="K970" s="93"/>
      <c r="L970" s="242"/>
    </row>
    <row r="971" spans="9:12" ht="16">
      <c r="I971" s="93"/>
      <c r="J971" s="93"/>
      <c r="K971" s="93"/>
      <c r="L971" s="242"/>
    </row>
    <row r="972" spans="9:12" ht="16">
      <c r="I972" s="93"/>
      <c r="J972" s="93"/>
      <c r="K972" s="93"/>
      <c r="L972" s="242"/>
    </row>
    <row r="973" spans="9:12" ht="16">
      <c r="I973" s="93"/>
      <c r="J973" s="93"/>
      <c r="K973" s="93"/>
      <c r="L973" s="242"/>
    </row>
    <row r="974" spans="9:12" ht="16">
      <c r="I974" s="93"/>
      <c r="J974" s="93"/>
      <c r="K974" s="93"/>
      <c r="L974" s="242"/>
    </row>
    <row r="975" spans="9:12" ht="16">
      <c r="I975" s="93"/>
      <c r="J975" s="93"/>
      <c r="K975" s="93"/>
      <c r="L975" s="242"/>
    </row>
    <row r="976" spans="9:12" ht="16">
      <c r="I976" s="93"/>
      <c r="J976" s="93"/>
      <c r="K976" s="93"/>
      <c r="L976" s="242"/>
    </row>
    <row r="977" spans="9:12" ht="16">
      <c r="I977" s="93"/>
      <c r="J977" s="93"/>
      <c r="K977" s="93"/>
      <c r="L977" s="242"/>
    </row>
    <row r="978" spans="9:12" ht="16">
      <c r="I978" s="93"/>
      <c r="J978" s="93"/>
      <c r="K978" s="93"/>
      <c r="L978" s="242"/>
    </row>
    <row r="979" spans="9:12" ht="16">
      <c r="I979" s="93"/>
      <c r="J979" s="93"/>
      <c r="K979" s="93"/>
      <c r="L979" s="242"/>
    </row>
    <row r="980" spans="9:12" ht="16">
      <c r="I980" s="93"/>
      <c r="J980" s="93"/>
      <c r="K980" s="93"/>
      <c r="L980" s="242"/>
    </row>
    <row r="981" spans="9:12" ht="16">
      <c r="I981" s="93"/>
      <c r="J981" s="93"/>
      <c r="K981" s="93"/>
      <c r="L981" s="242"/>
    </row>
    <row r="982" spans="9:12" ht="16">
      <c r="I982" s="93"/>
      <c r="J982" s="93"/>
      <c r="K982" s="93"/>
      <c r="L982" s="242"/>
    </row>
    <row r="983" spans="9:12" ht="16">
      <c r="I983" s="93"/>
      <c r="J983" s="93"/>
      <c r="K983" s="93"/>
      <c r="L983" s="242"/>
    </row>
    <row r="984" spans="9:12" ht="16">
      <c r="I984" s="93"/>
      <c r="J984" s="93"/>
      <c r="K984" s="93"/>
      <c r="L984" s="242"/>
    </row>
    <row r="985" spans="9:12" ht="16">
      <c r="I985" s="93"/>
      <c r="J985" s="93"/>
      <c r="K985" s="93"/>
      <c r="L985" s="242"/>
    </row>
    <row r="986" spans="9:12" ht="16">
      <c r="I986" s="93"/>
      <c r="J986" s="93"/>
      <c r="K986" s="93"/>
      <c r="L986" s="242"/>
    </row>
    <row r="987" spans="9:12" ht="16">
      <c r="I987" s="93"/>
      <c r="J987" s="93"/>
      <c r="K987" s="93"/>
      <c r="L987" s="242"/>
    </row>
    <row r="988" spans="9:12" ht="16">
      <c r="I988" s="93"/>
      <c r="J988" s="93"/>
      <c r="K988" s="93"/>
      <c r="L988" s="242"/>
    </row>
    <row r="989" spans="9:12" ht="16">
      <c r="I989" s="93"/>
      <c r="J989" s="93"/>
      <c r="K989" s="93"/>
      <c r="L989" s="242"/>
    </row>
    <row r="990" spans="9:12" ht="16">
      <c r="I990" s="93"/>
      <c r="J990" s="93"/>
      <c r="K990" s="93"/>
      <c r="L990" s="242"/>
    </row>
    <row r="991" spans="9:12" ht="16">
      <c r="I991" s="93"/>
      <c r="J991" s="93"/>
      <c r="K991" s="93"/>
      <c r="L991" s="242"/>
    </row>
    <row r="992" spans="9:12" ht="16">
      <c r="I992" s="93"/>
      <c r="J992" s="93"/>
      <c r="K992" s="93"/>
      <c r="L992" s="242"/>
    </row>
    <row r="993" spans="9:12" ht="16">
      <c r="I993" s="93"/>
      <c r="J993" s="93"/>
      <c r="K993" s="93"/>
      <c r="L993" s="242"/>
    </row>
    <row r="994" spans="9:12" ht="16">
      <c r="I994" s="93"/>
      <c r="J994" s="93"/>
      <c r="K994" s="93"/>
      <c r="L994" s="242"/>
    </row>
    <row r="995" spans="9:12" ht="16">
      <c r="I995" s="93"/>
      <c r="J995" s="93"/>
      <c r="K995" s="93"/>
      <c r="L995" s="242"/>
    </row>
    <row r="996" spans="9:12" ht="16">
      <c r="I996" s="93"/>
      <c r="J996" s="93"/>
      <c r="K996" s="93"/>
      <c r="L996" s="242"/>
    </row>
    <row r="997" spans="9:12" ht="16">
      <c r="I997" s="93"/>
      <c r="J997" s="93"/>
      <c r="K997" s="93"/>
      <c r="L997" s="242"/>
    </row>
    <row r="998" spans="9:12" ht="16">
      <c r="I998" s="93"/>
      <c r="J998" s="93"/>
      <c r="K998" s="93"/>
      <c r="L998" s="242"/>
    </row>
    <row r="999" spans="9:12" ht="16">
      <c r="I999" s="93"/>
      <c r="J999" s="93"/>
      <c r="K999" s="93"/>
      <c r="L999" s="242"/>
    </row>
    <row r="1000" spans="9:12" ht="16">
      <c r="I1000" s="93"/>
      <c r="J1000" s="93"/>
      <c r="K1000" s="93"/>
      <c r="L1000" s="242"/>
    </row>
    <row r="1001" spans="9:12" ht="16">
      <c r="I1001" s="93"/>
      <c r="J1001" s="93"/>
      <c r="K1001" s="93"/>
      <c r="L1001" s="242"/>
    </row>
  </sheetData>
  <phoneticPr fontId="70"/>
  <dataValidations count="1">
    <dataValidation type="list" allowBlank="1" sqref="H7:H355" xr:uid="{00000000-0002-0000-0600-000000000000}">
      <formula1>$BN$7:$BN$11</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vt:i4>
      </vt:variant>
      <vt:variant>
        <vt:lpstr>名前付き一覧</vt:lpstr>
      </vt:variant>
      <vt:variant>
        <vt:i4>1</vt:i4>
      </vt:variant>
    </vt:vector>
  </HeadingPairs>
  <TitlesOfParts>
    <vt:vector size="9" baseType="lpstr">
      <vt:lpstr>手順書</vt:lpstr>
      <vt:lpstr>概要 </vt:lpstr>
      <vt:lpstr>1.参加者</vt:lpstr>
      <vt:lpstr>2.ポータル</vt:lpstr>
      <vt:lpstr>3.手順</vt:lpstr>
      <vt:lpstr>4．ポータルキー配布一覧</vt:lpstr>
      <vt:lpstr>98.難読ポータル</vt:lpstr>
      <vt:lpstr>99.手順Draw</vt:lpstr>
      <vt:lpstr>手順書!Print_Area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Katsuaki Tajika</cp:lastModifiedBy>
  <cp:lastPrinted>2024-10-18T12:54:08Z</cp:lastPrinted>
  <dcterms:created xsi:type="dcterms:W3CDTF">2024-10-18T12:49:20Z</dcterms:created>
  <dcterms:modified xsi:type="dcterms:W3CDTF">2024-10-18T12:54:21Z</dcterms:modified>
</cp:coreProperties>
</file>