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15" windowWidth="14640" windowHeight="7815" tabRatio="682" activeTab="9"/>
  </bookViews>
  <sheets>
    <sheet name="Light" sheetId="1" r:id="rId1"/>
    <sheet name="Heavy" sheetId="2" r:id="rId2"/>
    <sheet name="EMM" sheetId="3" r:id="rId3"/>
    <sheet name="Elec" sheetId="4" r:id="rId4"/>
    <sheet name="Weld" sheetId="5" r:id="rId5"/>
    <sheet name="Body" sheetId="6" r:id="rId6"/>
    <sheet name="Machine" sheetId="7" r:id="rId7"/>
    <sheet name="Project Part Only" sheetId="8" r:id="rId8"/>
    <sheet name="Out Source" sheetId="9" r:id="rId9"/>
    <sheet name="Frequency" sheetId="10" r:id="rId10"/>
    <sheet name="Reason" sheetId="11" r:id="rId11"/>
    <sheet name="Sun Sisters" sheetId="12" r:id="rId12"/>
    <sheet name="OT Night" sheetId="14" r:id="rId13"/>
    <sheet name="OT Sun" sheetId="13" r:id="rId14"/>
    <sheet name="Canibalization" sheetId="15" r:id="rId15"/>
  </sheets>
  <definedNames>
    <definedName name="_xlnm._FilterDatabase" localSheetId="6" hidden="1">Machine!#REF!</definedName>
  </definedNames>
  <calcPr calcId="144525"/>
</workbook>
</file>

<file path=xl/calcChain.xml><?xml version="1.0" encoding="utf-8"?>
<calcChain xmlns="http://schemas.openxmlformats.org/spreadsheetml/2006/main">
  <c r="G18" i="12" l="1"/>
  <c r="D10" i="9" l="1"/>
  <c r="K12" i="9"/>
  <c r="L12" i="9"/>
  <c r="M12" i="9"/>
  <c r="N12" i="9"/>
  <c r="J12" i="9"/>
  <c r="H15" i="3" l="1"/>
  <c r="J15" i="3"/>
  <c r="F43" i="13"/>
  <c r="F42" i="13"/>
  <c r="F41" i="13"/>
  <c r="F40" i="13"/>
  <c r="F39" i="13"/>
  <c r="F38" i="13"/>
  <c r="F33" i="13"/>
  <c r="F32" i="13"/>
  <c r="F22" i="13"/>
  <c r="F23" i="13"/>
  <c r="F31" i="13"/>
  <c r="F30" i="13"/>
  <c r="F29" i="13"/>
  <c r="F28" i="13"/>
  <c r="F27" i="13"/>
  <c r="F26" i="13"/>
  <c r="F25" i="13"/>
  <c r="F24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16" i="14"/>
  <c r="F15" i="14"/>
  <c r="F12" i="14"/>
  <c r="F13" i="14"/>
  <c r="F14" i="14"/>
  <c r="F11" i="14"/>
  <c r="F9" i="14"/>
  <c r="F10" i="14"/>
  <c r="F8" i="14"/>
  <c r="F5" i="14"/>
  <c r="F6" i="14"/>
  <c r="F7" i="14"/>
  <c r="F4" i="14"/>
  <c r="F3" i="14"/>
  <c r="G20" i="8" l="1"/>
  <c r="H20" i="8"/>
  <c r="J20" i="8"/>
  <c r="F20" i="8"/>
  <c r="I19" i="8"/>
  <c r="K19" i="8" s="1"/>
  <c r="I18" i="8"/>
  <c r="K18" i="8" s="1"/>
  <c r="I17" i="8"/>
  <c r="K17" i="8" s="1"/>
  <c r="H15" i="8"/>
  <c r="J15" i="8"/>
  <c r="F15" i="8"/>
  <c r="I14" i="8"/>
  <c r="G14" i="8"/>
  <c r="I13" i="8"/>
  <c r="K13" i="8" s="1"/>
  <c r="I12" i="8"/>
  <c r="K12" i="8" s="1"/>
  <c r="G10" i="8"/>
  <c r="H10" i="8"/>
  <c r="J10" i="8"/>
  <c r="F10" i="8"/>
  <c r="I9" i="8"/>
  <c r="I8" i="8"/>
  <c r="I7" i="8"/>
  <c r="H5" i="8"/>
  <c r="J5" i="8"/>
  <c r="F5" i="8"/>
  <c r="I4" i="8"/>
  <c r="I5" i="8" s="1"/>
  <c r="G4" i="8"/>
  <c r="G5" i="8" s="1"/>
  <c r="F44" i="13"/>
  <c r="F34" i="13"/>
  <c r="J62" i="2"/>
  <c r="H57" i="2"/>
  <c r="K57" i="2" s="1"/>
  <c r="I57" i="2"/>
  <c r="H56" i="2"/>
  <c r="K56" i="2" s="1"/>
  <c r="I56" i="2"/>
  <c r="H55" i="2"/>
  <c r="I55" i="2"/>
  <c r="H68" i="1"/>
  <c r="I68" i="1"/>
  <c r="H67" i="1"/>
  <c r="I67" i="1"/>
  <c r="I20" i="8" l="1"/>
  <c r="K14" i="8"/>
  <c r="I15" i="8"/>
  <c r="K55" i="2"/>
  <c r="K68" i="1"/>
  <c r="K67" i="1"/>
  <c r="G15" i="8"/>
  <c r="I10" i="8"/>
  <c r="K5" i="8"/>
  <c r="K4" i="8"/>
  <c r="K18" i="12"/>
  <c r="K10" i="12"/>
  <c r="K17" i="12"/>
  <c r="K16" i="12"/>
  <c r="K15" i="12"/>
  <c r="K14" i="12"/>
  <c r="K13" i="12"/>
  <c r="K12" i="12"/>
  <c r="K11" i="12"/>
  <c r="K9" i="12"/>
  <c r="K8" i="12"/>
  <c r="K7" i="12"/>
  <c r="K6" i="12"/>
  <c r="K5" i="12"/>
  <c r="K4" i="12"/>
  <c r="K3" i="12"/>
  <c r="H56" i="4"/>
  <c r="F56" i="4"/>
  <c r="G18" i="7"/>
  <c r="H18" i="7"/>
  <c r="F18" i="7"/>
  <c r="I16" i="7"/>
  <c r="K16" i="7" s="1"/>
  <c r="G54" i="2"/>
  <c r="I54" i="2"/>
  <c r="H53" i="2"/>
  <c r="I53" i="2"/>
  <c r="G54" i="4"/>
  <c r="I54" i="4"/>
  <c r="G53" i="4"/>
  <c r="I53" i="4"/>
  <c r="K54" i="2" l="1"/>
  <c r="K53" i="2"/>
  <c r="H24" i="6"/>
  <c r="J24" i="6"/>
  <c r="F24" i="6"/>
  <c r="H27" i="5"/>
  <c r="F27" i="5"/>
  <c r="K53" i="4"/>
  <c r="K54" i="4"/>
  <c r="J55" i="4"/>
  <c r="J56" i="4" s="1"/>
  <c r="K55" i="4" l="1"/>
  <c r="H64" i="1"/>
  <c r="H73" i="1" s="1"/>
  <c r="H50" i="2"/>
  <c r="J73" i="1"/>
  <c r="J17" i="7"/>
  <c r="H62" i="2" l="1"/>
  <c r="K17" i="7"/>
  <c r="J18" i="7"/>
  <c r="G9" i="3"/>
  <c r="G6" i="3"/>
  <c r="G4" i="3"/>
  <c r="G15" i="3" l="1"/>
  <c r="G24" i="4"/>
  <c r="G37" i="4"/>
  <c r="G22" i="5"/>
  <c r="G25" i="5"/>
  <c r="G22" i="2"/>
  <c r="G29" i="2"/>
  <c r="G33" i="2"/>
  <c r="G14" i="2"/>
  <c r="G15" i="2"/>
  <c r="G28" i="2"/>
  <c r="G26" i="2"/>
  <c r="G3" i="2"/>
  <c r="G21" i="2"/>
  <c r="G9" i="2"/>
  <c r="G34" i="2"/>
  <c r="G20" i="2"/>
  <c r="G13" i="2"/>
  <c r="G24" i="2"/>
  <c r="G36" i="2"/>
  <c r="G35" i="2"/>
  <c r="G31" i="2"/>
  <c r="G40" i="2"/>
  <c r="G17" i="2"/>
  <c r="G23" i="2"/>
  <c r="G12" i="1"/>
  <c r="G24" i="1"/>
  <c r="G29" i="1"/>
  <c r="G26" i="1"/>
  <c r="G47" i="1"/>
  <c r="I14" i="3"/>
  <c r="K14" i="3" s="1"/>
  <c r="I13" i="3"/>
  <c r="K13" i="3" s="1"/>
  <c r="I12" i="3"/>
  <c r="K12" i="3" s="1"/>
  <c r="I52" i="2"/>
  <c r="K52" i="2" s="1"/>
  <c r="I51" i="2"/>
  <c r="K51" i="2" s="1"/>
  <c r="I50" i="2"/>
  <c r="K50" i="2" s="1"/>
  <c r="I49" i="2"/>
  <c r="K49" i="2" s="1"/>
  <c r="I48" i="2"/>
  <c r="K48" i="2" s="1"/>
  <c r="I47" i="2"/>
  <c r="K47" i="2" s="1"/>
  <c r="I59" i="2"/>
  <c r="K59" i="2" s="1"/>
  <c r="I46" i="2"/>
  <c r="K46" i="2" s="1"/>
  <c r="I45" i="2"/>
  <c r="K45" i="2" s="1"/>
  <c r="I61" i="2"/>
  <c r="K61" i="2" s="1"/>
  <c r="I60" i="2"/>
  <c r="K60" i="2" s="1"/>
  <c r="I58" i="2"/>
  <c r="K58" i="2" s="1"/>
  <c r="I44" i="2"/>
  <c r="K44" i="2" s="1"/>
  <c r="I66" i="1"/>
  <c r="K66" i="1" s="1"/>
  <c r="I70" i="1"/>
  <c r="K70" i="1" s="1"/>
  <c r="I65" i="1"/>
  <c r="K65" i="1" s="1"/>
  <c r="I72" i="1"/>
  <c r="K72" i="1" s="1"/>
  <c r="I64" i="1"/>
  <c r="K64" i="1" s="1"/>
  <c r="I63" i="1"/>
  <c r="K63" i="1" s="1"/>
  <c r="I62" i="1"/>
  <c r="K62" i="1" s="1"/>
  <c r="I61" i="1"/>
  <c r="K61" i="1" s="1"/>
  <c r="I60" i="1"/>
  <c r="K60" i="1" s="1"/>
  <c r="I59" i="1"/>
  <c r="K59" i="1" s="1"/>
  <c r="I71" i="1"/>
  <c r="K71" i="1" s="1"/>
  <c r="I69" i="1"/>
  <c r="K69" i="1" s="1"/>
  <c r="I58" i="1"/>
  <c r="K58" i="1" s="1"/>
  <c r="I57" i="1"/>
  <c r="K57" i="1" s="1"/>
  <c r="I56" i="1"/>
  <c r="K56" i="1" s="1"/>
  <c r="G52" i="4" l="1"/>
  <c r="I39" i="2" l="1"/>
  <c r="K39" i="2" s="1"/>
  <c r="F38" i="2"/>
  <c r="I38" i="2"/>
  <c r="I15" i="7"/>
  <c r="K15" i="7" s="1"/>
  <c r="I14" i="7"/>
  <c r="K14" i="7" s="1"/>
  <c r="I13" i="7"/>
  <c r="K13" i="7" s="1"/>
  <c r="I12" i="7"/>
  <c r="K12" i="7" s="1"/>
  <c r="I11" i="7"/>
  <c r="K11" i="7" s="1"/>
  <c r="I10" i="7"/>
  <c r="K10" i="7" s="1"/>
  <c r="I9" i="7"/>
  <c r="K9" i="7" s="1"/>
  <c r="I8" i="7"/>
  <c r="K8" i="7" s="1"/>
  <c r="I7" i="7"/>
  <c r="K7" i="7" s="1"/>
  <c r="I6" i="7"/>
  <c r="K6" i="7" s="1"/>
  <c r="I5" i="7"/>
  <c r="K5" i="7" s="1"/>
  <c r="I4" i="7"/>
  <c r="K4" i="7" s="1"/>
  <c r="I3" i="7"/>
  <c r="I52" i="4"/>
  <c r="K52" i="4" s="1"/>
  <c r="K38" i="2" l="1"/>
  <c r="I18" i="7"/>
  <c r="K18" i="7" s="1"/>
  <c r="K3" i="7"/>
  <c r="G10" i="5"/>
  <c r="J26" i="5"/>
  <c r="G23" i="6"/>
  <c r="G11" i="2"/>
  <c r="G7" i="2"/>
  <c r="G24" i="6" l="1"/>
  <c r="G27" i="5"/>
  <c r="J27" i="5"/>
  <c r="K26" i="5"/>
  <c r="G27" i="2"/>
  <c r="G5" i="2"/>
  <c r="G62" i="2" l="1"/>
  <c r="G48" i="4"/>
  <c r="G49" i="1"/>
  <c r="G54" i="1"/>
  <c r="G6" i="1"/>
  <c r="G42" i="1"/>
  <c r="G10" i="1"/>
  <c r="G56" i="4" l="1"/>
  <c r="G73" i="1"/>
  <c r="I37" i="2"/>
  <c r="K37" i="2" s="1"/>
  <c r="F49" i="1"/>
  <c r="F34" i="1"/>
  <c r="F32" i="1"/>
  <c r="F31" i="1"/>
  <c r="K31" i="1" s="1"/>
  <c r="F30" i="1"/>
  <c r="I37" i="1"/>
  <c r="K37" i="1" s="1"/>
  <c r="I36" i="1"/>
  <c r="K36" i="1" s="1"/>
  <c r="I35" i="1"/>
  <c r="K35" i="1" s="1"/>
  <c r="I49" i="1"/>
  <c r="I34" i="1"/>
  <c r="I33" i="1"/>
  <c r="K33" i="1" s="1"/>
  <c r="I32" i="1"/>
  <c r="I52" i="1"/>
  <c r="K52" i="1" s="1"/>
  <c r="I31" i="1"/>
  <c r="I30" i="1"/>
  <c r="I4" i="3"/>
  <c r="K4" i="3" s="1"/>
  <c r="F29" i="1"/>
  <c r="F28" i="1"/>
  <c r="F47" i="1"/>
  <c r="K47" i="1" s="1"/>
  <c r="F26" i="1"/>
  <c r="K26" i="1" s="1"/>
  <c r="F25" i="1"/>
  <c r="F24" i="1"/>
  <c r="F41" i="1"/>
  <c r="F45" i="1"/>
  <c r="F38" i="1"/>
  <c r="F23" i="1"/>
  <c r="F22" i="1"/>
  <c r="F54" i="1"/>
  <c r="K54" i="1" s="1"/>
  <c r="F20" i="1"/>
  <c r="F51" i="1"/>
  <c r="F19" i="1"/>
  <c r="K19" i="1" s="1"/>
  <c r="F18" i="1"/>
  <c r="K18" i="1" s="1"/>
  <c r="F17" i="1"/>
  <c r="F16" i="1"/>
  <c r="F15" i="1"/>
  <c r="F14" i="1"/>
  <c r="F13" i="1"/>
  <c r="F10" i="1"/>
  <c r="F9" i="1"/>
  <c r="F8" i="1"/>
  <c r="F6" i="1"/>
  <c r="F5" i="1"/>
  <c r="F42" i="1"/>
  <c r="F4" i="1"/>
  <c r="F3" i="1"/>
  <c r="F50" i="1"/>
  <c r="I29" i="1"/>
  <c r="I28" i="1"/>
  <c r="I27" i="1"/>
  <c r="K27" i="1" s="1"/>
  <c r="I47" i="1"/>
  <c r="I26" i="1"/>
  <c r="I25" i="1"/>
  <c r="I24" i="1"/>
  <c r="I39" i="1"/>
  <c r="K39" i="1" s="1"/>
  <c r="I41" i="1"/>
  <c r="I45" i="1"/>
  <c r="I38" i="1"/>
  <c r="I23" i="1"/>
  <c r="I55" i="1"/>
  <c r="K55" i="1" s="1"/>
  <c r="I22" i="1"/>
  <c r="I43" i="1"/>
  <c r="K43" i="1" s="1"/>
  <c r="I21" i="1"/>
  <c r="K21" i="1" s="1"/>
  <c r="I54" i="1"/>
  <c r="I20" i="1"/>
  <c r="I51" i="1"/>
  <c r="I19" i="1"/>
  <c r="I18" i="1"/>
  <c r="I17" i="1"/>
  <c r="K17" i="1" l="1"/>
  <c r="K20" i="1"/>
  <c r="K25" i="1"/>
  <c r="K29" i="1"/>
  <c r="K30" i="1"/>
  <c r="F73" i="1"/>
  <c r="K38" i="1"/>
  <c r="K49" i="1"/>
  <c r="K45" i="1"/>
  <c r="K22" i="1"/>
  <c r="K41" i="1"/>
  <c r="K32" i="1"/>
  <c r="K51" i="1"/>
  <c r="K23" i="1"/>
  <c r="K24" i="1"/>
  <c r="K28" i="1"/>
  <c r="K34" i="1"/>
  <c r="I16" i="1"/>
  <c r="K16" i="1" s="1"/>
  <c r="I15" i="1"/>
  <c r="K15" i="1" s="1"/>
  <c r="I14" i="1"/>
  <c r="K14" i="1" s="1"/>
  <c r="I13" i="1"/>
  <c r="K13" i="1" s="1"/>
  <c r="I53" i="1"/>
  <c r="K53" i="1" s="1"/>
  <c r="I12" i="1"/>
  <c r="K12" i="1" s="1"/>
  <c r="I40" i="1"/>
  <c r="K40" i="1" s="1"/>
  <c r="I11" i="1"/>
  <c r="K11" i="1" s="1"/>
  <c r="I10" i="1"/>
  <c r="K10" i="1" s="1"/>
  <c r="I9" i="1"/>
  <c r="K9" i="1" s="1"/>
  <c r="I8" i="1"/>
  <c r="K8" i="1" s="1"/>
  <c r="I7" i="1"/>
  <c r="K7" i="1" s="1"/>
  <c r="I6" i="1"/>
  <c r="K6" i="1" s="1"/>
  <c r="I5" i="1"/>
  <c r="K5" i="1" s="1"/>
  <c r="I42" i="1"/>
  <c r="K42" i="1" s="1"/>
  <c r="I4" i="1"/>
  <c r="K4" i="1" s="1"/>
  <c r="I46" i="1"/>
  <c r="K46" i="1" s="1"/>
  <c r="I44" i="1"/>
  <c r="K44" i="1" s="1"/>
  <c r="I3" i="1"/>
  <c r="K3" i="1" s="1"/>
  <c r="I48" i="1"/>
  <c r="K48" i="1" s="1"/>
  <c r="I50" i="1"/>
  <c r="K50" i="1" s="1"/>
  <c r="F6" i="3"/>
  <c r="I11" i="3"/>
  <c r="K11" i="3" s="1"/>
  <c r="I10" i="3"/>
  <c r="K10" i="3" s="1"/>
  <c r="I9" i="3"/>
  <c r="K9" i="3" s="1"/>
  <c r="I8" i="3"/>
  <c r="K8" i="3" s="1"/>
  <c r="I7" i="3"/>
  <c r="K7" i="3" s="1"/>
  <c r="I6" i="3"/>
  <c r="I5" i="3"/>
  <c r="K5" i="3" s="1"/>
  <c r="I3" i="3"/>
  <c r="F36" i="2"/>
  <c r="F35" i="2"/>
  <c r="F34" i="2"/>
  <c r="K34" i="2" s="1"/>
  <c r="F33" i="2"/>
  <c r="F32" i="2"/>
  <c r="F43" i="2"/>
  <c r="F41" i="2"/>
  <c r="K41" i="2" s="1"/>
  <c r="F31" i="2"/>
  <c r="F30" i="2"/>
  <c r="F29" i="2"/>
  <c r="F28" i="2"/>
  <c r="K28" i="2" s="1"/>
  <c r="I36" i="2"/>
  <c r="I35" i="2"/>
  <c r="I34" i="2"/>
  <c r="I33" i="2"/>
  <c r="I32" i="2"/>
  <c r="I43" i="2"/>
  <c r="I41" i="2"/>
  <c r="I31" i="2"/>
  <c r="I30" i="2"/>
  <c r="I29" i="2"/>
  <c r="I28" i="2"/>
  <c r="F26" i="2"/>
  <c r="K26" i="2" s="1"/>
  <c r="F22" i="2"/>
  <c r="F21" i="2"/>
  <c r="F18" i="2"/>
  <c r="F17" i="2"/>
  <c r="F16" i="2"/>
  <c r="F13" i="2"/>
  <c r="F11" i="2"/>
  <c r="F9" i="2"/>
  <c r="F8" i="2"/>
  <c r="I27" i="2"/>
  <c r="K27" i="2" s="1"/>
  <c r="I26" i="2"/>
  <c r="I42" i="2"/>
  <c r="K42" i="2" s="1"/>
  <c r="I25" i="2"/>
  <c r="K25" i="2" s="1"/>
  <c r="I24" i="2"/>
  <c r="K24" i="2" s="1"/>
  <c r="I23" i="2"/>
  <c r="K23" i="2" s="1"/>
  <c r="I22" i="2"/>
  <c r="I21" i="2"/>
  <c r="I20" i="2"/>
  <c r="K20" i="2" s="1"/>
  <c r="I19" i="2"/>
  <c r="K19" i="2" s="1"/>
  <c r="I18" i="2"/>
  <c r="I17" i="2"/>
  <c r="I16" i="2"/>
  <c r="I15" i="2"/>
  <c r="K15" i="2" s="1"/>
  <c r="I14" i="2"/>
  <c r="K14" i="2" s="1"/>
  <c r="I13" i="2"/>
  <c r="I12" i="2"/>
  <c r="K12" i="2" s="1"/>
  <c r="I11" i="2"/>
  <c r="I10" i="2"/>
  <c r="K10" i="2" s="1"/>
  <c r="I9" i="2"/>
  <c r="I8" i="2"/>
  <c r="I51" i="4"/>
  <c r="K51" i="4" s="1"/>
  <c r="I15" i="3" l="1"/>
  <c r="K3" i="3"/>
  <c r="K6" i="3"/>
  <c r="F15" i="3"/>
  <c r="K15" i="3" s="1"/>
  <c r="K9" i="2"/>
  <c r="K17" i="2"/>
  <c r="K13" i="2"/>
  <c r="K21" i="2"/>
  <c r="K30" i="2"/>
  <c r="K32" i="2"/>
  <c r="K36" i="2"/>
  <c r="K8" i="2"/>
  <c r="K16" i="2"/>
  <c r="K22" i="2"/>
  <c r="K31" i="2"/>
  <c r="K33" i="2"/>
  <c r="K11" i="2"/>
  <c r="K18" i="2"/>
  <c r="K29" i="2"/>
  <c r="K43" i="2"/>
  <c r="K35" i="2"/>
  <c r="I73" i="1"/>
  <c r="K73" i="1" s="1"/>
  <c r="F3" i="2"/>
  <c r="F40" i="2"/>
  <c r="I7" i="2"/>
  <c r="K7" i="2" s="1"/>
  <c r="I6" i="2"/>
  <c r="K6" i="2" s="1"/>
  <c r="I5" i="2"/>
  <c r="K5" i="2" s="1"/>
  <c r="I4" i="2"/>
  <c r="K4" i="2" s="1"/>
  <c r="I3" i="2"/>
  <c r="I40" i="2"/>
  <c r="I50" i="4"/>
  <c r="K50" i="4" s="1"/>
  <c r="I49" i="4"/>
  <c r="K49" i="4" s="1"/>
  <c r="I48" i="4"/>
  <c r="K48" i="4" s="1"/>
  <c r="I47" i="4"/>
  <c r="K47" i="4" s="1"/>
  <c r="I44" i="4"/>
  <c r="K44" i="4" s="1"/>
  <c r="I46" i="4"/>
  <c r="K46" i="4" s="1"/>
  <c r="I45" i="4"/>
  <c r="K45" i="4" s="1"/>
  <c r="I43" i="4"/>
  <c r="K43" i="4" s="1"/>
  <c r="I42" i="4"/>
  <c r="K42" i="4" s="1"/>
  <c r="I27" i="4"/>
  <c r="K27" i="4" s="1"/>
  <c r="I41" i="4"/>
  <c r="K41" i="4" s="1"/>
  <c r="I40" i="4"/>
  <c r="K40" i="4" s="1"/>
  <c r="I39" i="4"/>
  <c r="K39" i="4" s="1"/>
  <c r="I37" i="4"/>
  <c r="K37" i="4" s="1"/>
  <c r="I38" i="4"/>
  <c r="K38" i="4" s="1"/>
  <c r="I36" i="4"/>
  <c r="K36" i="4" s="1"/>
  <c r="I31" i="4"/>
  <c r="K31" i="4" s="1"/>
  <c r="I35" i="4"/>
  <c r="K35" i="4" s="1"/>
  <c r="I34" i="4"/>
  <c r="K34" i="4" s="1"/>
  <c r="I26" i="4"/>
  <c r="K26" i="4" s="1"/>
  <c r="I33" i="4"/>
  <c r="K33" i="4" s="1"/>
  <c r="I32" i="4"/>
  <c r="K32" i="4" s="1"/>
  <c r="I30" i="4"/>
  <c r="K30" i="4" s="1"/>
  <c r="I29" i="4"/>
  <c r="K29" i="4" s="1"/>
  <c r="I28" i="4"/>
  <c r="K28" i="4" s="1"/>
  <c r="I25" i="4"/>
  <c r="K25" i="4" s="1"/>
  <c r="I24" i="4"/>
  <c r="K24" i="4" s="1"/>
  <c r="I23" i="4"/>
  <c r="K23" i="4" s="1"/>
  <c r="I22" i="4"/>
  <c r="K22" i="4" s="1"/>
  <c r="I21" i="4"/>
  <c r="K21" i="4" s="1"/>
  <c r="I20" i="4"/>
  <c r="K20" i="4" s="1"/>
  <c r="I19" i="4"/>
  <c r="K19" i="4" s="1"/>
  <c r="I14" i="4"/>
  <c r="K14" i="4" s="1"/>
  <c r="I18" i="4"/>
  <c r="K18" i="4" s="1"/>
  <c r="I17" i="4"/>
  <c r="K17" i="4" s="1"/>
  <c r="I13" i="4"/>
  <c r="K13" i="4" s="1"/>
  <c r="I16" i="4"/>
  <c r="K16" i="4" s="1"/>
  <c r="I15" i="4"/>
  <c r="K15" i="4" s="1"/>
  <c r="I12" i="4"/>
  <c r="K12" i="4" s="1"/>
  <c r="I11" i="4"/>
  <c r="K11" i="4" s="1"/>
  <c r="I10" i="4"/>
  <c r="K10" i="4" s="1"/>
  <c r="I9" i="4"/>
  <c r="K9" i="4" s="1"/>
  <c r="I8" i="4"/>
  <c r="K8" i="4" s="1"/>
  <c r="I7" i="4"/>
  <c r="K7" i="4" s="1"/>
  <c r="I4" i="4"/>
  <c r="K4" i="4" s="1"/>
  <c r="I6" i="4"/>
  <c r="K6" i="4" s="1"/>
  <c r="I5" i="4"/>
  <c r="K5" i="4" s="1"/>
  <c r="I3" i="4"/>
  <c r="I23" i="6"/>
  <c r="K23" i="6" s="1"/>
  <c r="I22" i="6"/>
  <c r="K22" i="6" s="1"/>
  <c r="I21" i="6"/>
  <c r="K21" i="6" s="1"/>
  <c r="I20" i="6"/>
  <c r="K20" i="6" s="1"/>
  <c r="I19" i="6"/>
  <c r="K19" i="6" s="1"/>
  <c r="I18" i="6"/>
  <c r="K18" i="6" s="1"/>
  <c r="I17" i="6"/>
  <c r="K17" i="6" s="1"/>
  <c r="I16" i="6"/>
  <c r="K16" i="6" s="1"/>
  <c r="I15" i="6"/>
  <c r="K15" i="6" s="1"/>
  <c r="I36" i="6"/>
  <c r="I14" i="6"/>
  <c r="K14" i="6" s="1"/>
  <c r="I13" i="6"/>
  <c r="K13" i="6" s="1"/>
  <c r="I12" i="6"/>
  <c r="K12" i="6" s="1"/>
  <c r="I11" i="6"/>
  <c r="K11" i="6" s="1"/>
  <c r="I10" i="6"/>
  <c r="K10" i="6" s="1"/>
  <c r="I9" i="6"/>
  <c r="K9" i="6" s="1"/>
  <c r="I8" i="6"/>
  <c r="K8" i="6" s="1"/>
  <c r="I7" i="6"/>
  <c r="K7" i="6" s="1"/>
  <c r="I6" i="6"/>
  <c r="K6" i="6" s="1"/>
  <c r="I5" i="6"/>
  <c r="K5" i="6" s="1"/>
  <c r="I4" i="6"/>
  <c r="K4" i="6" s="1"/>
  <c r="I3" i="6"/>
  <c r="I25" i="5"/>
  <c r="K25" i="5" s="1"/>
  <c r="I24" i="5"/>
  <c r="K24" i="5" s="1"/>
  <c r="I23" i="5"/>
  <c r="K23" i="5" s="1"/>
  <c r="I22" i="5"/>
  <c r="K22" i="5" s="1"/>
  <c r="I21" i="5"/>
  <c r="K21" i="5" s="1"/>
  <c r="I20" i="5"/>
  <c r="K20" i="5" s="1"/>
  <c r="I19" i="5"/>
  <c r="K19" i="5" s="1"/>
  <c r="I18" i="5"/>
  <c r="K18" i="5" s="1"/>
  <c r="I17" i="5"/>
  <c r="K17" i="5" s="1"/>
  <c r="I12" i="5"/>
  <c r="K12" i="5" s="1"/>
  <c r="I6" i="5"/>
  <c r="K6" i="5" s="1"/>
  <c r="I16" i="5"/>
  <c r="K16" i="5" s="1"/>
  <c r="I15" i="5"/>
  <c r="K15" i="5" s="1"/>
  <c r="I14" i="5"/>
  <c r="K14" i="5" s="1"/>
  <c r="I13" i="5"/>
  <c r="K13" i="5" s="1"/>
  <c r="I11" i="5"/>
  <c r="K11" i="5" s="1"/>
  <c r="I10" i="5"/>
  <c r="K10" i="5" s="1"/>
  <c r="I9" i="5"/>
  <c r="K9" i="5" s="1"/>
  <c r="I8" i="5"/>
  <c r="K8" i="5" s="1"/>
  <c r="I7" i="5"/>
  <c r="K7" i="5" s="1"/>
  <c r="I5" i="5"/>
  <c r="K5" i="5" s="1"/>
  <c r="I4" i="5"/>
  <c r="K4" i="5" s="1"/>
  <c r="I3" i="5"/>
  <c r="I24" i="6" l="1"/>
  <c r="K24" i="6" s="1"/>
  <c r="K3" i="6"/>
  <c r="I27" i="5"/>
  <c r="K27" i="5" s="1"/>
  <c r="K3" i="5"/>
  <c r="K40" i="2"/>
  <c r="I62" i="2"/>
  <c r="F62" i="2"/>
  <c r="K62" i="2" s="1"/>
  <c r="K3" i="2"/>
  <c r="I56" i="4"/>
  <c r="K56" i="4" s="1"/>
  <c r="K3" i="4"/>
  <c r="K15" i="8" l="1"/>
  <c r="K10" i="8"/>
  <c r="K20" i="8" l="1"/>
  <c r="J21" i="8" s="1"/>
</calcChain>
</file>

<file path=xl/sharedStrings.xml><?xml version="1.0" encoding="utf-8"?>
<sst xmlns="http://schemas.openxmlformats.org/spreadsheetml/2006/main" count="1440" uniqueCount="492">
  <si>
    <t>Light Duty Maintenance Shop</t>
  </si>
  <si>
    <t>I⁄No</t>
  </si>
  <si>
    <t>Order No</t>
  </si>
  <si>
    <t>Date In</t>
  </si>
  <si>
    <t>Plate ⁄Ass NO</t>
  </si>
  <si>
    <t>EquipType</t>
  </si>
  <si>
    <t>Lub C.</t>
  </si>
  <si>
    <t>Spar.P.C</t>
  </si>
  <si>
    <t>Tire cost</t>
  </si>
  <si>
    <t>Labour Cost</t>
  </si>
  <si>
    <t>Total cost</t>
  </si>
  <si>
    <t>EMM Maintenance Shop</t>
  </si>
  <si>
    <t>Oth.Mat. Cost</t>
  </si>
  <si>
    <t>Electric Maintenance Shop</t>
  </si>
  <si>
    <t>Welding Maintenance Shop</t>
  </si>
  <si>
    <t>Lub Cost</t>
  </si>
  <si>
    <t>Body &amp; Paint Maintenance Shop</t>
  </si>
  <si>
    <t xml:space="preserve">Machine &amp; Fabrication Maintenance Shop </t>
  </si>
  <si>
    <t>Components Rebuilding from Project</t>
  </si>
  <si>
    <t>Sub Total</t>
  </si>
  <si>
    <t>Machine &amp; fabrication Shop</t>
  </si>
  <si>
    <t>Grand Total</t>
  </si>
  <si>
    <t>Out Source Maintenance Cost Report</t>
  </si>
  <si>
    <t>It.No.</t>
  </si>
  <si>
    <t>Descripion of Maintenance</t>
  </si>
  <si>
    <t>Company Name</t>
  </si>
  <si>
    <t>Total Cost</t>
  </si>
  <si>
    <t xml:space="preserve">Recondition hose &amp; fittings </t>
  </si>
  <si>
    <t>CONNECT</t>
  </si>
  <si>
    <t>Bound brake pad &amp; lining</t>
  </si>
  <si>
    <t>PAULO</t>
  </si>
  <si>
    <t>Bound clutch disc</t>
  </si>
  <si>
    <t>Frecuency</t>
  </si>
  <si>
    <t>Work Shop</t>
  </si>
  <si>
    <t>It. No</t>
  </si>
  <si>
    <t>Type of Maintenance Shop</t>
  </si>
  <si>
    <t>Reason</t>
  </si>
  <si>
    <t>Plate No.</t>
  </si>
  <si>
    <t>Order No.</t>
  </si>
  <si>
    <t>ተ.ቁ</t>
  </si>
  <si>
    <t>የሰሌዳ ቁጥር</t>
  </si>
  <si>
    <t>የእህት ኩባንያው ስም</t>
  </si>
  <si>
    <t>የጥገና የሥራ ክፍል</t>
  </si>
  <si>
    <t>የጥገናው ዓይነት</t>
  </si>
  <si>
    <t>ወጪ የተደረገ መለዋወጫ ዕቃ ዓይነት</t>
  </si>
  <si>
    <t>ዘይትና ቅባት</t>
  </si>
  <si>
    <t>የመለዋወጫ ዕቃ ዋጋ</t>
  </si>
  <si>
    <t>በጥገናው ላይ የተሳተፉ ሰራተኞች ስም</t>
  </si>
  <si>
    <t>ጥገናው የወሰደው ሰዓት</t>
  </si>
  <si>
    <t>የጥገና የጉልበት ዋጋ</t>
  </si>
  <si>
    <t>ቀላል ተሸከርካሪ ጥገና ክፍል</t>
  </si>
  <si>
    <t>ሙሉጌታ</t>
  </si>
  <si>
    <t>Sun Sisters</t>
  </si>
  <si>
    <t>ቃላብ</t>
  </si>
  <si>
    <t>ድምር</t>
  </si>
  <si>
    <t>የቀላል ተ/ሽ ጥገና ክፍል ፎርማን</t>
  </si>
  <si>
    <t>የጥገና ሱፐርቫይዘር</t>
  </si>
  <si>
    <t>ስም…………………..</t>
  </si>
  <si>
    <t xml:space="preserve">ፊርማ………………….    </t>
  </si>
  <si>
    <t>ፊርማ…………………</t>
  </si>
  <si>
    <t xml:space="preserve">   </t>
  </si>
  <si>
    <t>ፊርማ………………….</t>
  </si>
  <si>
    <t xml:space="preserve">ቀን…………………....    </t>
  </si>
  <si>
    <t>ቀን………………………</t>
  </si>
  <si>
    <t>ቀን………………………..</t>
  </si>
  <si>
    <t>Overtime Labour Cost (Sunday)=*2</t>
  </si>
  <si>
    <t>Work shop</t>
  </si>
  <si>
    <t xml:space="preserve">Participated Employees </t>
  </si>
  <si>
    <t>EMM</t>
  </si>
  <si>
    <t>*</t>
  </si>
  <si>
    <t>Body</t>
  </si>
  <si>
    <t>Welding</t>
  </si>
  <si>
    <t>Total Labour Cost</t>
  </si>
  <si>
    <r>
      <t>Overtime Labour Cost (Evening)=*</t>
    </r>
    <r>
      <rPr>
        <b/>
        <sz val="18"/>
        <rFont val="Times New Roman"/>
        <family val="1"/>
      </rPr>
      <t>1.5</t>
    </r>
  </si>
  <si>
    <t>It.No</t>
  </si>
  <si>
    <t>Date</t>
  </si>
  <si>
    <t>Canibalized from</t>
  </si>
  <si>
    <t>Canibalized to</t>
  </si>
  <si>
    <t>Description of item</t>
  </si>
  <si>
    <t>Qty</t>
  </si>
  <si>
    <t>Send Project</t>
  </si>
  <si>
    <t>Remark</t>
  </si>
  <si>
    <t>EQ. Type</t>
  </si>
  <si>
    <t xml:space="preserve">Heavy Duty Maintenance </t>
  </si>
  <si>
    <t>EMM Maintenance</t>
  </si>
  <si>
    <t>Plate ⁄Asset NO</t>
  </si>
  <si>
    <t>Plate/Asset.no</t>
  </si>
  <si>
    <t>Plate/Asset no</t>
  </si>
  <si>
    <t>Toyota P/up</t>
  </si>
  <si>
    <t>Oth.Mat.Cost</t>
  </si>
  <si>
    <t>Dozer</t>
  </si>
  <si>
    <t>PL-CR-0004</t>
  </si>
  <si>
    <t>Crusher</t>
  </si>
  <si>
    <t>Heavy Duty Maintenance Shop</t>
  </si>
  <si>
    <t>Quester UD</t>
  </si>
  <si>
    <t>ወርሃዊ ሰርቪስ</t>
  </si>
  <si>
    <t>ቀላል ተሸከርካሪ  ጥገና ክፍል</t>
  </si>
  <si>
    <t>OCM 01-18</t>
  </si>
  <si>
    <t>የመ/አ/ጥ/መምሪያ</t>
  </si>
  <si>
    <t>Nissan DT</t>
  </si>
  <si>
    <t>01</t>
  </si>
  <si>
    <t>Gelan</t>
  </si>
  <si>
    <t>02</t>
  </si>
  <si>
    <t>ጌታቸዉ</t>
  </si>
  <si>
    <t>Bound Brake Shoe</t>
  </si>
  <si>
    <t>FIVE STAR</t>
  </si>
  <si>
    <t>Coaster bus</t>
  </si>
  <si>
    <t>Loader</t>
  </si>
  <si>
    <t>Heavy</t>
  </si>
  <si>
    <t>Sino WT</t>
  </si>
  <si>
    <t>Grader</t>
  </si>
  <si>
    <t>3-14189</t>
  </si>
  <si>
    <t>3-34892</t>
  </si>
  <si>
    <t>3-A16298</t>
  </si>
  <si>
    <t>Check Engine block &amp; crank shaft</t>
  </si>
  <si>
    <t>KASMA</t>
  </si>
  <si>
    <t>ሰለሞን</t>
  </si>
  <si>
    <t>ሚሊዮን</t>
  </si>
  <si>
    <t>Air Compressor</t>
  </si>
  <si>
    <t>18/11/2017</t>
  </si>
  <si>
    <t>3-22147/3-06283</t>
  </si>
  <si>
    <t>E/T/L/bed</t>
  </si>
  <si>
    <t>3-27532</t>
  </si>
  <si>
    <t>E/Trakker</t>
  </si>
  <si>
    <t>09/11/2017</t>
  </si>
  <si>
    <t>04/11/2017</t>
  </si>
  <si>
    <t>3-A05544</t>
  </si>
  <si>
    <t>3-A30874</t>
  </si>
  <si>
    <t>16/11/2017</t>
  </si>
  <si>
    <t>3-A05466/748</t>
  </si>
  <si>
    <t>L/Cruiser</t>
  </si>
  <si>
    <t>3-21128</t>
  </si>
  <si>
    <t>3-46402</t>
  </si>
  <si>
    <t>Long base</t>
  </si>
  <si>
    <t>22/11/2017</t>
  </si>
  <si>
    <t>3-82622</t>
  </si>
  <si>
    <t>3-34891</t>
  </si>
  <si>
    <t>D/Terios</t>
  </si>
  <si>
    <t>3-14280</t>
  </si>
  <si>
    <t>3-17476</t>
  </si>
  <si>
    <t>Isuzu</t>
  </si>
  <si>
    <t>3-B01515</t>
  </si>
  <si>
    <t>Eicher</t>
  </si>
  <si>
    <t>3-A05480</t>
  </si>
  <si>
    <t>3-A06220</t>
  </si>
  <si>
    <t>3-21086</t>
  </si>
  <si>
    <t>3-A65821</t>
  </si>
  <si>
    <t>3-27405</t>
  </si>
  <si>
    <t>3-A29446</t>
  </si>
  <si>
    <t>3-94165</t>
  </si>
  <si>
    <t>L/bed Quester</t>
  </si>
  <si>
    <t>3-22147</t>
  </si>
  <si>
    <t>EMM 02-10</t>
  </si>
  <si>
    <t>3-35011</t>
  </si>
  <si>
    <t>Five Star</t>
  </si>
  <si>
    <t>Connect</t>
  </si>
  <si>
    <t>Paulo</t>
  </si>
  <si>
    <t>Kasma</t>
  </si>
  <si>
    <t>Mekonen</t>
  </si>
  <si>
    <t>Rewinding electric motor</t>
  </si>
  <si>
    <t>MGK MAKONNEN</t>
  </si>
  <si>
    <t>Under Repair</t>
  </si>
  <si>
    <t>3-A45004</t>
  </si>
  <si>
    <t>Kilinto</t>
  </si>
  <si>
    <t>Tyre</t>
  </si>
  <si>
    <t>3-94164</t>
  </si>
  <si>
    <t>Under Inspection</t>
  </si>
  <si>
    <t>EMM 01-23</t>
  </si>
  <si>
    <t>4.5X100.96</t>
  </si>
  <si>
    <t>4.5X40.89</t>
  </si>
  <si>
    <t>4.5X156.96</t>
  </si>
  <si>
    <t>Sino Cargo</t>
  </si>
  <si>
    <t>13/12/2017</t>
  </si>
  <si>
    <t>3-A30868</t>
  </si>
  <si>
    <t>3-84077/3-23430</t>
  </si>
  <si>
    <t>Sino H/bed</t>
  </si>
  <si>
    <t>09/12/2017</t>
  </si>
  <si>
    <t>08/12/2017</t>
  </si>
  <si>
    <t>3-A30875</t>
  </si>
  <si>
    <t>06/12/2017</t>
  </si>
  <si>
    <t>3-A30870</t>
  </si>
  <si>
    <t>Half Crain</t>
  </si>
  <si>
    <t>14/12/2017</t>
  </si>
  <si>
    <t>16/12/2017</t>
  </si>
  <si>
    <t>15/12/2017</t>
  </si>
  <si>
    <t>3-A05466</t>
  </si>
  <si>
    <t>EMM 01-15</t>
  </si>
  <si>
    <t>17/12/2017</t>
  </si>
  <si>
    <t>3-A31635</t>
  </si>
  <si>
    <t>21/12/2017</t>
  </si>
  <si>
    <t>20/12/2017</t>
  </si>
  <si>
    <t>22/12/2017</t>
  </si>
  <si>
    <t>3-17481</t>
  </si>
  <si>
    <t>26/12/2017</t>
  </si>
  <si>
    <t>3-A06221</t>
  </si>
  <si>
    <t>3-31554</t>
  </si>
  <si>
    <t>3-A06219</t>
  </si>
  <si>
    <t>30/12/2017</t>
  </si>
  <si>
    <t>3-B11320</t>
  </si>
  <si>
    <t>01/13/2017</t>
  </si>
  <si>
    <t>3-A05550</t>
  </si>
  <si>
    <t>02/13/2017</t>
  </si>
  <si>
    <t>3-A12328</t>
  </si>
  <si>
    <t>04/13/2017</t>
  </si>
  <si>
    <t>3-A06216</t>
  </si>
  <si>
    <t>3-A06214</t>
  </si>
  <si>
    <t>3-31992/3-10919</t>
  </si>
  <si>
    <t>05/13/2017</t>
  </si>
  <si>
    <t>EMM 04-12</t>
  </si>
  <si>
    <t>3-15792/3-10920</t>
  </si>
  <si>
    <t>3-B11316</t>
  </si>
  <si>
    <t>3-A63906</t>
  </si>
  <si>
    <t>18/10/2017</t>
  </si>
  <si>
    <t>3-31994/3-10921</t>
  </si>
  <si>
    <t>3-42531</t>
  </si>
  <si>
    <t>3-A45005</t>
  </si>
  <si>
    <t>RAV-4</t>
  </si>
  <si>
    <t>3-30510</t>
  </si>
  <si>
    <t>3-94176</t>
  </si>
  <si>
    <t>12/12/2017</t>
  </si>
  <si>
    <t>3-A45036</t>
  </si>
  <si>
    <t>10/12/2017</t>
  </si>
  <si>
    <t>3-A45016</t>
  </si>
  <si>
    <t>09/11/2016</t>
  </si>
  <si>
    <t>24/12/2017</t>
  </si>
  <si>
    <t>02/12/2017</t>
  </si>
  <si>
    <t>AE-MI-0042</t>
  </si>
  <si>
    <t>S/Mixer</t>
  </si>
  <si>
    <t>03/13/2017</t>
  </si>
  <si>
    <t>3-A31643</t>
  </si>
  <si>
    <t>28/12/2017</t>
  </si>
  <si>
    <t>05/12/2017</t>
  </si>
  <si>
    <t>3-26652</t>
  </si>
  <si>
    <t>03/12/2017</t>
  </si>
  <si>
    <t>3-A45601</t>
  </si>
  <si>
    <t>3-34203</t>
  </si>
  <si>
    <t>3-19217</t>
  </si>
  <si>
    <t>07/12/2017</t>
  </si>
  <si>
    <t>3-B26203</t>
  </si>
  <si>
    <t>Hayundai</t>
  </si>
  <si>
    <t>3-89532</t>
  </si>
  <si>
    <t>Genlyon DT</t>
  </si>
  <si>
    <t>3-A30862</t>
  </si>
  <si>
    <t>L/bed Quester UD</t>
  </si>
  <si>
    <t>3-60495</t>
  </si>
  <si>
    <t>01/12/2017</t>
  </si>
  <si>
    <t>3-84078/3-03973</t>
  </si>
  <si>
    <t>Sino L/bed</t>
  </si>
  <si>
    <t>3-35054</t>
  </si>
  <si>
    <t>3-27533</t>
  </si>
  <si>
    <t>Fuel Truck</t>
  </si>
  <si>
    <t>10/10/2017</t>
  </si>
  <si>
    <t>3-A51321</t>
  </si>
  <si>
    <t>Youtong bus</t>
  </si>
  <si>
    <t>3-A31641</t>
  </si>
  <si>
    <t>3-A45045</t>
  </si>
  <si>
    <t>27/12/2017</t>
  </si>
  <si>
    <t>3-A30866</t>
  </si>
  <si>
    <t>E/Takker</t>
  </si>
  <si>
    <t>3-A30861</t>
  </si>
  <si>
    <t>3-A30869</t>
  </si>
  <si>
    <t>3-26783</t>
  </si>
  <si>
    <t>Iveco bus</t>
  </si>
  <si>
    <t>3-17774</t>
  </si>
  <si>
    <t>3-A05775</t>
  </si>
  <si>
    <t>3-94162</t>
  </si>
  <si>
    <t>3-A30865</t>
  </si>
  <si>
    <t>3-13309</t>
  </si>
  <si>
    <t>3-A06215</t>
  </si>
  <si>
    <t>Half Crane</t>
  </si>
  <si>
    <t>3-A30872</t>
  </si>
  <si>
    <t>3-A32745</t>
  </si>
  <si>
    <t>3-A30863</t>
  </si>
  <si>
    <t>3-A30871</t>
  </si>
  <si>
    <t>3-A30867</t>
  </si>
  <si>
    <t>3-A30873</t>
  </si>
  <si>
    <t>AE-AC-0009</t>
  </si>
  <si>
    <t>08/08/2017</t>
  </si>
  <si>
    <t>AE-GE-0018</t>
  </si>
  <si>
    <t>Generator</t>
  </si>
  <si>
    <t>EMM 03-10</t>
  </si>
  <si>
    <t>Excavator</t>
  </si>
  <si>
    <t>OCM 26-02</t>
  </si>
  <si>
    <t>Fork Lift</t>
  </si>
  <si>
    <t>EMM 01-14</t>
  </si>
  <si>
    <t>3-42523</t>
  </si>
  <si>
    <t>3-B34891</t>
  </si>
  <si>
    <t>High Roof</t>
  </si>
  <si>
    <t>3-45998</t>
  </si>
  <si>
    <t>3-14520</t>
  </si>
  <si>
    <t>Hyundai</t>
  </si>
  <si>
    <t>3-A40126</t>
  </si>
  <si>
    <t>3-A16300</t>
  </si>
  <si>
    <t>3-A69059</t>
  </si>
  <si>
    <t>3-A55750</t>
  </si>
  <si>
    <t>3-14516</t>
  </si>
  <si>
    <t>Four Runer</t>
  </si>
  <si>
    <t>3-23501</t>
  </si>
  <si>
    <t>3-A45030</t>
  </si>
  <si>
    <t>3-B11323</t>
  </si>
  <si>
    <t>3-A45008</t>
  </si>
  <si>
    <t>3-45995</t>
  </si>
  <si>
    <t>3-82620</t>
  </si>
  <si>
    <t>3-43894</t>
  </si>
  <si>
    <t>3-A45010</t>
  </si>
  <si>
    <t>3-A63965</t>
  </si>
  <si>
    <t>3-A30859</t>
  </si>
  <si>
    <t>3-A45033</t>
  </si>
  <si>
    <t>3-46403</t>
  </si>
  <si>
    <t>Waiting Part</t>
  </si>
  <si>
    <t>EMM 08-01</t>
  </si>
  <si>
    <t>3-28233</t>
  </si>
  <si>
    <t>3-00350</t>
  </si>
  <si>
    <t>3-35849</t>
  </si>
  <si>
    <t>3-93683</t>
  </si>
  <si>
    <t>3-04662</t>
  </si>
  <si>
    <t>3-35846</t>
  </si>
  <si>
    <t>3-87078</t>
  </si>
  <si>
    <t>3-30610</t>
  </si>
  <si>
    <t>3-30605</t>
  </si>
  <si>
    <t>3-15792</t>
  </si>
  <si>
    <t>Not Started</t>
  </si>
  <si>
    <t>Body &amp; Paint maintenance Shop</t>
  </si>
  <si>
    <t>3-82616</t>
  </si>
  <si>
    <t>3-A45044</t>
  </si>
  <si>
    <t>3-A30860</t>
  </si>
  <si>
    <t>3-22147/06283</t>
  </si>
  <si>
    <t>EMM 01-21</t>
  </si>
  <si>
    <t>EMM 01-24</t>
  </si>
  <si>
    <t>Water pump assy</t>
  </si>
  <si>
    <t>EMM 03-09</t>
  </si>
  <si>
    <t>Injector Nozzle</t>
  </si>
  <si>
    <t>06</t>
  </si>
  <si>
    <t>Air Lines</t>
  </si>
  <si>
    <t>EMM 03-17</t>
  </si>
  <si>
    <t>EMM 03-18</t>
  </si>
  <si>
    <t>Supply Pump</t>
  </si>
  <si>
    <t>Arbaminch</t>
  </si>
  <si>
    <t>AE-GE-0028</t>
  </si>
  <si>
    <t>OCM 09-26</t>
  </si>
  <si>
    <t>Generator AVR</t>
  </si>
  <si>
    <t>Priming fuel filter assy</t>
  </si>
  <si>
    <t xml:space="preserve">Gelan </t>
  </si>
  <si>
    <t>3-A45602</t>
  </si>
  <si>
    <t>Timing Idler Pully</t>
  </si>
  <si>
    <t>H/Office</t>
  </si>
  <si>
    <t>Light Duty Maintenance</t>
  </si>
  <si>
    <t>3-A06218</t>
  </si>
  <si>
    <t>3-A30858</t>
  </si>
  <si>
    <t>Hub Reduction assy</t>
  </si>
  <si>
    <t>3-20917</t>
  </si>
  <si>
    <t>Torque rod bolt with nut</t>
  </si>
  <si>
    <t>Jirru</t>
  </si>
  <si>
    <t>List of canibalized Component on the Month of August</t>
  </si>
  <si>
    <t>3-43892</t>
  </si>
  <si>
    <t>3-46432</t>
  </si>
  <si>
    <t>3-26614</t>
  </si>
  <si>
    <t>25/11/2017</t>
  </si>
  <si>
    <t>3-A05545</t>
  </si>
  <si>
    <t>04/12/2017</t>
  </si>
  <si>
    <t>EMM 02-12</t>
  </si>
  <si>
    <t>Electric Maintenance Shop Use</t>
  </si>
  <si>
    <t>Welding Maintenance Shop Use</t>
  </si>
  <si>
    <t>18/12/2017</t>
  </si>
  <si>
    <t>3-09471</t>
  </si>
  <si>
    <t>Trailer</t>
  </si>
  <si>
    <t>Batching plant</t>
  </si>
  <si>
    <t>Machine &amp; Fabrication Maintenance Shop Use</t>
  </si>
  <si>
    <t>B/Cutter</t>
  </si>
  <si>
    <t>ከባድ ተሽከርካሪ  ጥገና ክፍል</t>
  </si>
  <si>
    <t>ወርሃዊ ሰርቪስ እና የኤሌክትሪክ ሲስተም</t>
  </si>
  <si>
    <t xml:space="preserve">የሞተር ዘይት (20X472.61 ) </t>
  </si>
  <si>
    <t>መክብብ</t>
  </si>
  <si>
    <t>10.5X100.96</t>
  </si>
  <si>
    <t>አዋስ</t>
  </si>
  <si>
    <t>2X87.5</t>
  </si>
  <si>
    <t>2X36</t>
  </si>
  <si>
    <t>ብሩክ</t>
  </si>
  <si>
    <t>የመሪ ዘይት ፍሳሽ</t>
  </si>
  <si>
    <t>1.5X40.89</t>
  </si>
  <si>
    <t>1.5X118.99</t>
  </si>
  <si>
    <t xml:space="preserve">የሞተር ዘይት (10X472.61 ) </t>
  </si>
  <si>
    <t>7X118.99</t>
  </si>
  <si>
    <t>7X40.89</t>
  </si>
  <si>
    <t>15X100.96</t>
  </si>
  <si>
    <t>15X156.96</t>
  </si>
  <si>
    <t>15X118.99</t>
  </si>
  <si>
    <t>15X40.89</t>
  </si>
  <si>
    <t>የ ነሃሴ ወር 2017ዓ.ም ለእህት ኩባንያዎች የጥገና መለዋወጫ ወጪና የጉልበት ዋጋ ማሳያ ቅጽ</t>
  </si>
  <si>
    <t>የከባድ ተ/ሽ ጥገና ክፍል ፎርማን</t>
  </si>
  <si>
    <t>20/11/2017</t>
  </si>
  <si>
    <t>3-A05776</t>
  </si>
  <si>
    <t>EMM 02-06,EMM 01-15,EMM 02-10</t>
  </si>
  <si>
    <t>3-84078,3-94176,3-A05775</t>
  </si>
  <si>
    <t>Heavy duty</t>
  </si>
  <si>
    <t>3-21086,3-A45603,3-A55286,3-34554</t>
  </si>
  <si>
    <t>Light Vehicle</t>
  </si>
  <si>
    <t>Mashin</t>
  </si>
  <si>
    <t>3-35011,3-A05545</t>
  </si>
  <si>
    <t>3-A45603,3-35057,3-A55286,3-A31635</t>
  </si>
  <si>
    <t>EMM 01-15,EMM 02-06</t>
  </si>
  <si>
    <t>3-35011,3-60495(131)</t>
  </si>
  <si>
    <t>11/12/2017</t>
  </si>
  <si>
    <t>3-34891,3-A31635,3-31554,3-A69059</t>
  </si>
  <si>
    <t>3-45603</t>
  </si>
  <si>
    <t>3-23430,3-A29446(197)</t>
  </si>
  <si>
    <t>3-A45004,3-A45033,3-A45604,3-A45003</t>
  </si>
  <si>
    <t>EMM 01-15,EMM 02-06,EMM 04-12</t>
  </si>
  <si>
    <t>3-A51321,3-84078,3-93685</t>
  </si>
  <si>
    <t>3-A16300,3-315554,3-A31635,3-A45604</t>
  </si>
  <si>
    <t>3-A31635,3-A45044,EMM 02-06,EMM 04-12</t>
  </si>
  <si>
    <t>3-84078(03973),3-35058</t>
  </si>
  <si>
    <t>3-A29944,3-A45604</t>
  </si>
  <si>
    <t>EMM 02-06,EMM 03-16</t>
  </si>
  <si>
    <t>3-84078,3-A06221(176),3-A29441(196)</t>
  </si>
  <si>
    <t>25/12/2017</t>
  </si>
  <si>
    <t>3-31554,3-34892</t>
  </si>
  <si>
    <t>EMM 02-06</t>
  </si>
  <si>
    <t>Elec</t>
  </si>
  <si>
    <t>3-A06214(169),3-84078(3-03973)</t>
  </si>
  <si>
    <t>3-A45604,3-A31635,3-A45004,3-A63906</t>
  </si>
  <si>
    <t>EMM 04-12,EMM 02-06</t>
  </si>
  <si>
    <t>29/12/2017</t>
  </si>
  <si>
    <t>3-27405,3-46403,3-A12328</t>
  </si>
  <si>
    <t>3-84078(03973)</t>
  </si>
  <si>
    <t>3-A63906,3-A45604,3-A45044</t>
  </si>
  <si>
    <t>3-84078,3-04662</t>
  </si>
  <si>
    <t>3-46403,3-A12328,3-46402</t>
  </si>
  <si>
    <t>3-A05544(161),3-35059(103)</t>
  </si>
  <si>
    <t>3-A45604,3-A45010</t>
  </si>
  <si>
    <t>3-A30858(220),3-A5545(160),3-A30868(211)</t>
  </si>
  <si>
    <t>3-A29641(196),3-A29446(197)</t>
  </si>
  <si>
    <t>3-A30858(220),3-A05545(160)</t>
  </si>
  <si>
    <t>23/12/2017</t>
  </si>
  <si>
    <t>3-A30858(220),3-A29441(196)</t>
  </si>
  <si>
    <t>3-31994(91)</t>
  </si>
  <si>
    <t>Gezahegn,Bayisa,Kalid,Andebet*3</t>
  </si>
  <si>
    <t>Gezahegn*3</t>
  </si>
  <si>
    <t>Sisay,Tumiso,Aberasa*3</t>
  </si>
  <si>
    <t>Ephrem,Natenael,Tariku,Bizualem,Kebede*3</t>
  </si>
  <si>
    <t>Overtime Labour Cost (Holiday)=*2.5</t>
  </si>
  <si>
    <t>Ephrem,Getachew,Tariku,Firaol,Natenael,Kumisa,Kebede,Gorfenesh,Zerihun, Bizualem *8</t>
  </si>
  <si>
    <t>Endalkachew,Mekibibe,Paulos,Abreham,Belay,Getachew,Bayisa *8</t>
  </si>
  <si>
    <t>Selemon,Milion,Tefera,Zekariyas,Kalabe,Getachew *8</t>
  </si>
  <si>
    <t>Tadesse,Birhane,Chala,Senait,Tilahun,Mebiratu,Yonas *8</t>
  </si>
  <si>
    <t>Tefera,Dereje,Mesfine,Sisay,Gardew,Tilahun,Tumiso *8</t>
  </si>
  <si>
    <t>Getachew,Firaol,Kumisa,Natenael,Bizualem,Ephrim,Zerihun,Kebede,Gorfenesh *8</t>
  </si>
  <si>
    <t>Tefera,Kalabe,Milion,Selemon,Zekariyas,Daniel,Yeshanesh *8</t>
  </si>
  <si>
    <t>Hadera,Ephrim,Biruk,Tadese,Biruk,Awase,Gizachew *8</t>
  </si>
  <si>
    <t>Birhane,Tadesse,Chala,Tilahun,Mebiratu,Akalu,Senait *8</t>
  </si>
  <si>
    <t>Tefera,Dereje,Mesfine,Tilahun,Sisay,Gardew *8</t>
  </si>
  <si>
    <t>Kumisa,Getachew,Firaol,Tariku,Ephrem,Natenael,Bizualem,Kebede,Gorfenesh,Derese *8</t>
  </si>
  <si>
    <t>Mekibibe,Endalkachew,Belay,Getachew,Paulos,Abreham,Gezahegn,Kalid *8</t>
  </si>
  <si>
    <t>Tefera,Getachew,Zekariyas,Milion,Selemon *8</t>
  </si>
  <si>
    <t>Biruk,Ephrem,Hadera,Geremew,Awase,Gizachew,Senait,Biruk *8</t>
  </si>
  <si>
    <t>Tadesse,Birhane,Akalu,Tilahun,Mebiratu,Senait,Chala *8</t>
  </si>
  <si>
    <t>Sisay,Dereje,Gardew,Mesfine,Tilahun,Tumiso,Tefera *8</t>
  </si>
  <si>
    <t>Ephrem,Tariku,Firaol,Getachew,Tefera *8</t>
  </si>
  <si>
    <t>Belay,Endalkachew,Paulos,Abreham,Gezahegn,Kalid,Gorfenshe,Kebede,Derese,Yeshanesh *8</t>
  </si>
  <si>
    <t>Hadera,Ephrem,Biruk *8</t>
  </si>
  <si>
    <t>Gizachew,Tadese *8</t>
  </si>
  <si>
    <t>Birhane,Chala,Akalu,Tilahun,Mebiratu *8</t>
  </si>
  <si>
    <t>Mesfine,Tilahun,Tumiso,Tefera,Sisay,Dereje,Gardew *8</t>
  </si>
  <si>
    <t>Ephrem,Tariku,Kumisa,Tefera,Firaol,Natenael,Getachew,Kebede,Derese,Senait,Yeshanesh *8</t>
  </si>
  <si>
    <t>Belay,Paulos,Gezahege,Kalid *8</t>
  </si>
  <si>
    <t>Tefera,Zerihun,Kalabe,Milion,Selemon *8</t>
  </si>
  <si>
    <t>Ephrem,Hadera,Awase,Gizachew,Tadesse,Getahun *8</t>
  </si>
  <si>
    <t>Birhane,Tadesse,Chala,Akalu,Yonas,Tilahun,Mebiratu,Senait *8</t>
  </si>
  <si>
    <t>Mesfine,Tilahun,Tumiso *8</t>
  </si>
  <si>
    <t>Ephrem,Getachew,Tariku,Firaol,Natenael,Kumisa,Bizualem,Tefera,Kebede,Derese,Gorfenesh *8</t>
  </si>
  <si>
    <t>Belay,Getachew,Ries,Mekibibe,Endalkachew,Paulos,Abreham,Gezahegn,Kalid,Yeshanesh*8</t>
  </si>
  <si>
    <t>Selemon,Milion,Tefera,Zekariyas,Zehirun,Kalabe *8</t>
  </si>
  <si>
    <t>Ephrem,Biruk,Hadera,Getahun,Gizachew,Biruk,Tadesse,Awase,Senait *8</t>
  </si>
  <si>
    <t>Birhane,Chala,Akalu,Senait,Tilahun,Mebiratu *8</t>
  </si>
  <si>
    <t xml:space="preserve"> Tefera,Mesfine,Tilahun,Sisay,Sisay,Dereje,Gardew *8</t>
  </si>
  <si>
    <t>Tyre Maintenance Shop</t>
  </si>
  <si>
    <t>List of Vehicles  Frequently Maintained in the Month August</t>
  </si>
  <si>
    <t xml:space="preserve"> The Reasons Vehicles, Dump Trucks and Machinaries were not accomplished in the month August</t>
  </si>
  <si>
    <t>Not Accomplished in August</t>
  </si>
  <si>
    <t>Unaccomplished Total August</t>
  </si>
  <si>
    <t>Ries *3</t>
  </si>
  <si>
    <t>Hadera,Ephrim,Biruk,Daniel,Senait,Awase,Tadese,Gizachew *8</t>
  </si>
  <si>
    <t>Paulos,Mekibibe,Abreham,Gezahegn,Bayisa *8</t>
  </si>
  <si>
    <t>Tefera,Milion,Kalabe,Getachew *8</t>
  </si>
  <si>
    <t>Machine</t>
  </si>
  <si>
    <t>EMM 03-16</t>
  </si>
  <si>
    <t>EMM 05-12</t>
  </si>
  <si>
    <t>EMM 02-26</t>
  </si>
  <si>
    <t>S/No. RR670MV</t>
  </si>
  <si>
    <t>Sub total</t>
  </si>
  <si>
    <t xml:space="preserve">የመሪ ዘይት (0.5X220.82 ) </t>
  </si>
  <si>
    <r>
      <t xml:space="preserve">ከላይ በተዘረዘረው የጥገና ሥራ መሰረት አጠቃላይ የጥገና ወጪው  </t>
    </r>
    <r>
      <rPr>
        <b/>
        <u/>
        <sz val="12"/>
        <color theme="1"/>
        <rFont val="Times New Roman"/>
        <family val="1"/>
      </rPr>
      <t xml:space="preserve"> 30,352.60 _</t>
    </r>
    <r>
      <rPr>
        <sz val="12"/>
        <color theme="1"/>
        <rFont val="Times New Roman"/>
        <family val="1"/>
      </rPr>
      <t>ብር መሆኑን እናሳውቃለን፡፡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</si>
</sst>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u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8"/>
      <name val="Times New Roman"/>
      <family val="1"/>
    </font>
    <font>
      <b/>
      <u val="doubleAccounting"/>
      <sz val="14"/>
      <color theme="1"/>
      <name val="Times New Roman"/>
      <family val="1"/>
    </font>
    <font>
      <b/>
      <i/>
      <sz val="12"/>
      <color theme="1"/>
      <name val="Times New Roman"/>
      <family val="1"/>
    </font>
    <font>
      <sz val="10"/>
      <color theme="1"/>
      <name val="Power Geez Unicode1"/>
    </font>
    <font>
      <sz val="12"/>
      <color theme="1"/>
      <name val="Calibri"/>
      <family val="2"/>
      <scheme val="minor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b/>
      <u val="doubleAccounting"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4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name val="Times New Roman"/>
      <family val="1"/>
    </font>
    <font>
      <sz val="11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4">
    <xf numFmtId="0" fontId="0" fillId="0" borderId="0" xfId="0"/>
    <xf numFmtId="43" fontId="6" fillId="0" borderId="2" xfId="0" applyNumberFormat="1" applyFont="1" applyBorder="1"/>
    <xf numFmtId="0" fontId="6" fillId="0" borderId="0" xfId="0" applyFont="1"/>
    <xf numFmtId="43" fontId="6" fillId="0" borderId="0" xfId="0" applyNumberFormat="1" applyFont="1"/>
    <xf numFmtId="0" fontId="3" fillId="0" borderId="0" xfId="0" applyFont="1" applyAlignment="1">
      <alignment vertical="center"/>
    </xf>
    <xf numFmtId="43" fontId="3" fillId="0" borderId="0" xfId="1" applyNumberFormat="1" applyFont="1" applyAlignment="1">
      <alignment horizontal="right" vertical="center"/>
    </xf>
    <xf numFmtId="0" fontId="6" fillId="0" borderId="2" xfId="0" applyFont="1" applyBorder="1"/>
    <xf numFmtId="43" fontId="0" fillId="0" borderId="0" xfId="0" applyNumberFormat="1"/>
    <xf numFmtId="0" fontId="9" fillId="0" borderId="0" xfId="0" applyFont="1"/>
    <xf numFmtId="43" fontId="9" fillId="0" borderId="0" xfId="0" applyNumberFormat="1" applyFont="1"/>
    <xf numFmtId="0" fontId="6" fillId="0" borderId="0" xfId="0" applyFont="1" applyAlignment="1"/>
    <xf numFmtId="0" fontId="6" fillId="0" borderId="2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center"/>
    </xf>
    <xf numFmtId="49" fontId="13" fillId="0" borderId="2" xfId="0" applyNumberFormat="1" applyFont="1" applyBorder="1"/>
    <xf numFmtId="0" fontId="14" fillId="0" borderId="0" xfId="0" applyFont="1"/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3" fillId="0" borderId="0" xfId="0" applyFont="1" applyBorder="1" applyAlignment="1"/>
    <xf numFmtId="0" fontId="3" fillId="0" borderId="3" xfId="0" applyFont="1" applyBorder="1"/>
    <xf numFmtId="43" fontId="3" fillId="0" borderId="3" xfId="0" applyNumberFormat="1" applyFont="1" applyBorder="1"/>
    <xf numFmtId="0" fontId="0" fillId="0" borderId="0" xfId="0" applyFill="1"/>
    <xf numFmtId="0" fontId="6" fillId="0" borderId="0" xfId="0" applyFont="1" applyFill="1"/>
    <xf numFmtId="43" fontId="6" fillId="0" borderId="0" xfId="0" applyNumberFormat="1" applyFont="1" applyFill="1"/>
    <xf numFmtId="0" fontId="9" fillId="0" borderId="0" xfId="0" applyFont="1" applyFill="1"/>
    <xf numFmtId="43" fontId="9" fillId="0" borderId="0" xfId="0" applyNumberFormat="1" applyFont="1" applyFill="1"/>
    <xf numFmtId="0" fontId="9" fillId="0" borderId="0" xfId="0" applyFont="1" applyAlignment="1">
      <alignment vertical="center"/>
    </xf>
    <xf numFmtId="0" fontId="15" fillId="0" borderId="0" xfId="0" applyFont="1" applyFill="1"/>
    <xf numFmtId="0" fontId="16" fillId="0" borderId="0" xfId="0" applyFont="1" applyFill="1"/>
    <xf numFmtId="0" fontId="6" fillId="0" borderId="0" xfId="0" applyFont="1" applyBorder="1" applyAlignment="1">
      <alignment vertical="center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3" fontId="17" fillId="0" borderId="2" xfId="0" applyNumberFormat="1" applyFont="1" applyBorder="1"/>
    <xf numFmtId="0" fontId="14" fillId="0" borderId="0" xfId="0" applyFont="1" applyFill="1"/>
    <xf numFmtId="43" fontId="6" fillId="0" borderId="0" xfId="2" applyNumberFormat="1" applyFont="1"/>
    <xf numFmtId="43" fontId="9" fillId="0" borderId="0" xfId="2" applyNumberFormat="1" applyFont="1"/>
    <xf numFmtId="0" fontId="9" fillId="0" borderId="0" xfId="0" applyFont="1" applyAlignment="1">
      <alignment horizontal="center" vertical="center"/>
    </xf>
    <xf numFmtId="0" fontId="0" fillId="0" borderId="0" xfId="0" applyBorder="1"/>
    <xf numFmtId="0" fontId="6" fillId="0" borderId="0" xfId="0" applyFont="1" applyBorder="1" applyAlignment="1"/>
    <xf numFmtId="0" fontId="18" fillId="0" borderId="0" xfId="0" applyFont="1"/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49" fontId="3" fillId="2" borderId="8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43" fontId="3" fillId="2" borderId="8" xfId="1" applyNumberFormat="1" applyFont="1" applyFill="1" applyBorder="1" applyAlignment="1">
      <alignment horizontal="center" vertical="center"/>
    </xf>
    <xf numFmtId="43" fontId="3" fillId="2" borderId="8" xfId="1" applyNumberFormat="1" applyFont="1" applyFill="1" applyBorder="1" applyAlignment="1">
      <alignment horizontal="center" vertical="center" wrapText="1"/>
    </xf>
    <xf numFmtId="43" fontId="3" fillId="2" borderId="8" xfId="0" applyNumberFormat="1" applyFont="1" applyFill="1" applyBorder="1" applyAlignment="1">
      <alignment horizontal="center" vertical="center"/>
    </xf>
    <xf numFmtId="43" fontId="3" fillId="2" borderId="9" xfId="2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horizontal="center" vertical="center" wrapText="1"/>
    </xf>
    <xf numFmtId="43" fontId="3" fillId="0" borderId="0" xfId="0" applyNumberFormat="1" applyFont="1"/>
    <xf numFmtId="0" fontId="3" fillId="0" borderId="0" xfId="0" applyFont="1" applyAlignment="1">
      <alignment horizontal="left"/>
    </xf>
    <xf numFmtId="0" fontId="9" fillId="0" borderId="0" xfId="0" applyFont="1" applyAlignment="1">
      <alignment vertical="center" wrapText="1"/>
    </xf>
    <xf numFmtId="43" fontId="11" fillId="0" borderId="3" xfId="1" applyFont="1" applyBorder="1"/>
    <xf numFmtId="0" fontId="3" fillId="2" borderId="18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9" fillId="0" borderId="0" xfId="0" applyFont="1" applyFill="1" applyBorder="1"/>
    <xf numFmtId="0" fontId="0" fillId="0" borderId="0" xfId="0" applyFont="1" applyFill="1" applyBorder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left"/>
    </xf>
    <xf numFmtId="0" fontId="13" fillId="0" borderId="2" xfId="0" applyFont="1" applyBorder="1"/>
    <xf numFmtId="0" fontId="20" fillId="0" borderId="0" xfId="0" applyFont="1" applyFill="1" applyBorder="1" applyAlignment="1">
      <alignment horizontal="center"/>
    </xf>
    <xf numFmtId="0" fontId="20" fillId="0" borderId="0" xfId="0" applyFont="1" applyFill="1" applyBorder="1" applyAlignment="1"/>
    <xf numFmtId="0" fontId="6" fillId="2" borderId="7" xfId="0" applyFont="1" applyFill="1" applyBorder="1"/>
    <xf numFmtId="0" fontId="6" fillId="2" borderId="8" xfId="0" applyFont="1" applyFill="1" applyBorder="1"/>
    <xf numFmtId="0" fontId="6" fillId="2" borderId="8" xfId="0" applyFont="1" applyFill="1" applyBorder="1" applyAlignment="1">
      <alignment wrapText="1"/>
    </xf>
    <xf numFmtId="0" fontId="6" fillId="2" borderId="8" xfId="0" applyFont="1" applyFill="1" applyBorder="1" applyAlignment="1">
      <alignment horizontal="left"/>
    </xf>
    <xf numFmtId="43" fontId="6" fillId="2" borderId="8" xfId="0" applyNumberFormat="1" applyFont="1" applyFill="1" applyBorder="1" applyAlignment="1">
      <alignment wrapText="1"/>
    </xf>
    <xf numFmtId="43" fontId="6" fillId="2" borderId="9" xfId="0" applyNumberFormat="1" applyFont="1" applyFill="1" applyBorder="1" applyAlignment="1">
      <alignment wrapText="1"/>
    </xf>
    <xf numFmtId="43" fontId="3" fillId="0" borderId="0" xfId="0" applyNumberFormat="1" applyFont="1" applyBorder="1"/>
    <xf numFmtId="0" fontId="6" fillId="0" borderId="3" xfId="0" applyFont="1" applyFill="1" applyBorder="1" applyAlignment="1">
      <alignment horizontal="center" vertical="center"/>
    </xf>
    <xf numFmtId="0" fontId="22" fillId="0" borderId="0" xfId="0" applyFont="1"/>
    <xf numFmtId="0" fontId="3" fillId="0" borderId="0" xfId="0" applyFont="1" applyBorder="1"/>
    <xf numFmtId="49" fontId="6" fillId="0" borderId="2" xfId="0" applyNumberFormat="1" applyFont="1" applyBorder="1" applyAlignment="1">
      <alignment horizontal="center"/>
    </xf>
    <xf numFmtId="0" fontId="9" fillId="0" borderId="2" xfId="0" applyFont="1" applyBorder="1"/>
    <xf numFmtId="14" fontId="6" fillId="0" borderId="2" xfId="0" applyNumberFormat="1" applyFont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43" fontId="23" fillId="0" borderId="1" xfId="1" applyNumberFormat="1" applyFont="1" applyFill="1" applyBorder="1" applyAlignment="1">
      <alignment horizontal="center" vertical="center"/>
    </xf>
    <xf numFmtId="43" fontId="23" fillId="0" borderId="1" xfId="0" applyNumberFormat="1" applyFont="1" applyBorder="1"/>
    <xf numFmtId="0" fontId="22" fillId="0" borderId="0" xfId="0" applyFont="1" applyFill="1"/>
    <xf numFmtId="43" fontId="23" fillId="0" borderId="2" xfId="0" applyNumberFormat="1" applyFont="1" applyBorder="1"/>
    <xf numFmtId="0" fontId="23" fillId="0" borderId="2" xfId="0" applyFont="1" applyBorder="1" applyAlignment="1">
      <alignment horizontal="center"/>
    </xf>
    <xf numFmtId="0" fontId="23" fillId="0" borderId="0" xfId="0" applyFont="1" applyFill="1"/>
    <xf numFmtId="0" fontId="23" fillId="0" borderId="0" xfId="0" applyFont="1"/>
    <xf numFmtId="0" fontId="24" fillId="0" borderId="0" xfId="0" applyFont="1"/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2" xfId="0" applyFont="1" applyFill="1" applyBorder="1" applyAlignment="1">
      <alignment vertical="center" wrapText="1"/>
    </xf>
    <xf numFmtId="0" fontId="6" fillId="0" borderId="0" xfId="0" applyFont="1" applyBorder="1" applyAlignment="1">
      <alignment horizontal="center"/>
    </xf>
    <xf numFmtId="43" fontId="25" fillId="0" borderId="2" xfId="0" applyNumberFormat="1" applyFont="1" applyBorder="1"/>
    <xf numFmtId="0" fontId="6" fillId="0" borderId="0" xfId="0" applyFont="1" applyAlignment="1">
      <alignment horizontal="center"/>
    </xf>
    <xf numFmtId="0" fontId="3" fillId="2" borderId="27" xfId="0" applyFont="1" applyFill="1" applyBorder="1" applyAlignment="1">
      <alignment horizontal="center" vertical="center"/>
    </xf>
    <xf numFmtId="49" fontId="3" fillId="2" borderId="27" xfId="0" applyNumberFormat="1" applyFont="1" applyFill="1" applyBorder="1" applyAlignment="1">
      <alignment horizontal="center" vertical="center" wrapText="1"/>
    </xf>
    <xf numFmtId="49" fontId="3" fillId="2" borderId="27" xfId="0" applyNumberFormat="1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 wrapText="1"/>
    </xf>
    <xf numFmtId="43" fontId="3" fillId="2" borderId="27" xfId="0" applyNumberFormat="1" applyFont="1" applyFill="1" applyBorder="1" applyAlignment="1">
      <alignment horizontal="center" vertical="center"/>
    </xf>
    <xf numFmtId="43" fontId="3" fillId="2" borderId="27" xfId="2" applyNumberFormat="1" applyFont="1" applyFill="1" applyBorder="1" applyAlignment="1">
      <alignment horizontal="center" vertical="center"/>
    </xf>
    <xf numFmtId="43" fontId="3" fillId="2" borderId="27" xfId="2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/>
    </xf>
    <xf numFmtId="0" fontId="6" fillId="0" borderId="2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43" fontId="23" fillId="0" borderId="2" xfId="1" applyNumberFormat="1" applyFont="1" applyFill="1" applyBorder="1" applyAlignment="1">
      <alignment horizontal="center" vertical="center"/>
    </xf>
    <xf numFmtId="43" fontId="6" fillId="2" borderId="17" xfId="1" applyNumberFormat="1" applyFont="1" applyFill="1" applyBorder="1" applyAlignment="1">
      <alignment horizontal="right" vertical="center"/>
    </xf>
    <xf numFmtId="43" fontId="6" fillId="0" borderId="2" xfId="0" applyNumberFormat="1" applyFont="1" applyBorder="1" applyAlignment="1">
      <alignment vertical="center" wrapText="1"/>
    </xf>
    <xf numFmtId="0" fontId="6" fillId="2" borderId="27" xfId="0" applyFont="1" applyFill="1" applyBorder="1" applyAlignment="1">
      <alignment horizontal="center" vertical="center"/>
    </xf>
    <xf numFmtId="0" fontId="9" fillId="0" borderId="3" xfId="0" applyFont="1" applyBorder="1"/>
    <xf numFmtId="43" fontId="26" fillId="0" borderId="3" xfId="0" applyNumberFormat="1" applyFont="1" applyBorder="1"/>
    <xf numFmtId="0" fontId="0" fillId="0" borderId="0" xfId="0" applyFont="1"/>
    <xf numFmtId="43" fontId="26" fillId="0" borderId="2" xfId="0" applyNumberFormat="1" applyFont="1" applyBorder="1"/>
    <xf numFmtId="43" fontId="3" fillId="0" borderId="2" xfId="0" applyNumberFormat="1" applyFont="1" applyBorder="1"/>
    <xf numFmtId="0" fontId="3" fillId="2" borderId="32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/>
    </xf>
    <xf numFmtId="49" fontId="13" fillId="0" borderId="2" xfId="0" applyNumberFormat="1" applyFont="1" applyBorder="1" applyAlignment="1">
      <alignment horizontal="center"/>
    </xf>
    <xf numFmtId="0" fontId="6" fillId="0" borderId="2" xfId="0" applyFont="1" applyFill="1" applyBorder="1" applyAlignment="1">
      <alignment vertical="center"/>
    </xf>
    <xf numFmtId="0" fontId="3" fillId="0" borderId="3" xfId="0" applyFont="1" applyBorder="1" applyAlignment="1">
      <alignment horizontal="center"/>
    </xf>
    <xf numFmtId="43" fontId="17" fillId="0" borderId="3" xfId="0" applyNumberFormat="1" applyFont="1" applyBorder="1"/>
    <xf numFmtId="43" fontId="3" fillId="3" borderId="2" xfId="0" applyNumberFormat="1" applyFont="1" applyFill="1" applyBorder="1"/>
    <xf numFmtId="0" fontId="6" fillId="0" borderId="2" xfId="0" applyFont="1" applyFill="1" applyBorder="1" applyAlignment="1">
      <alignment horizontal="center"/>
    </xf>
    <xf numFmtId="0" fontId="19" fillId="0" borderId="3" xfId="0" applyFont="1" applyBorder="1"/>
    <xf numFmtId="43" fontId="25" fillId="0" borderId="3" xfId="0" applyNumberFormat="1" applyFont="1" applyBorder="1"/>
    <xf numFmtId="43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43" fontId="6" fillId="0" borderId="2" xfId="0" applyNumberFormat="1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3" fillId="0" borderId="0" xfId="0" applyFont="1" applyFill="1"/>
    <xf numFmtId="0" fontId="3" fillId="0" borderId="0" xfId="0" applyFont="1"/>
    <xf numFmtId="0" fontId="27" fillId="0" borderId="0" xfId="0" applyFont="1"/>
    <xf numFmtId="0" fontId="6" fillId="3" borderId="2" xfId="0" applyFont="1" applyFill="1" applyBorder="1" applyAlignment="1">
      <alignment horizontal="center"/>
    </xf>
    <xf numFmtId="43" fontId="6" fillId="0" borderId="2" xfId="2" applyNumberFormat="1" applyFont="1" applyBorder="1"/>
    <xf numFmtId="43" fontId="6" fillId="0" borderId="1" xfId="2" applyNumberFormat="1" applyFont="1" applyBorder="1"/>
    <xf numFmtId="0" fontId="3" fillId="0" borderId="7" xfId="0" applyFont="1" applyBorder="1" applyAlignment="1">
      <alignment horizontal="center"/>
    </xf>
    <xf numFmtId="43" fontId="3" fillId="0" borderId="8" xfId="2" applyNumberFormat="1" applyFont="1" applyBorder="1"/>
    <xf numFmtId="0" fontId="6" fillId="0" borderId="3" xfId="0" applyFont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49" fontId="6" fillId="0" borderId="3" xfId="0" applyNumberFormat="1" applyFont="1" applyBorder="1" applyAlignment="1">
      <alignment horizontal="center"/>
    </xf>
    <xf numFmtId="43" fontId="6" fillId="0" borderId="3" xfId="2" applyNumberFormat="1" applyFont="1" applyBorder="1"/>
    <xf numFmtId="43" fontId="3" fillId="0" borderId="31" xfId="2" applyNumberFormat="1" applyFont="1" applyBorder="1"/>
    <xf numFmtId="43" fontId="3" fillId="0" borderId="27" xfId="2" applyNumberFormat="1" applyFont="1" applyBorder="1"/>
    <xf numFmtId="0" fontId="6" fillId="3" borderId="3" xfId="0" applyFont="1" applyFill="1" applyBorder="1" applyAlignment="1">
      <alignment horizontal="center"/>
    </xf>
    <xf numFmtId="43" fontId="6" fillId="0" borderId="3" xfId="0" applyNumberFormat="1" applyFont="1" applyBorder="1"/>
    <xf numFmtId="43" fontId="3" fillId="0" borderId="0" xfId="0" applyNumberFormat="1" applyFont="1" applyFill="1"/>
    <xf numFmtId="43" fontId="6" fillId="0" borderId="1" xfId="0" applyNumberFormat="1" applyFont="1" applyBorder="1"/>
    <xf numFmtId="43" fontId="3" fillId="0" borderId="8" xfId="0" applyNumberFormat="1" applyFont="1" applyBorder="1"/>
    <xf numFmtId="0" fontId="6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43" fontId="6" fillId="3" borderId="2" xfId="0" applyNumberFormat="1" applyFont="1" applyFill="1" applyBorder="1"/>
    <xf numFmtId="43" fontId="6" fillId="3" borderId="3" xfId="0" applyNumberFormat="1" applyFont="1" applyFill="1" applyBorder="1"/>
    <xf numFmtId="43" fontId="6" fillId="0" borderId="3" xfId="0" applyNumberFormat="1" applyFont="1" applyBorder="1" applyAlignment="1">
      <alignment horizontal="center"/>
    </xf>
    <xf numFmtId="43" fontId="3" fillId="2" borderId="27" xfId="3" applyNumberFormat="1" applyFont="1" applyFill="1" applyBorder="1" applyAlignment="1">
      <alignment horizontal="center" vertical="center" wrapText="1"/>
    </xf>
    <xf numFmtId="43" fontId="3" fillId="2" borderId="27" xfId="3" applyNumberFormat="1" applyFont="1" applyFill="1" applyBorder="1" applyAlignment="1">
      <alignment horizontal="center" vertical="center"/>
    </xf>
    <xf numFmtId="49" fontId="6" fillId="3" borderId="3" xfId="0" applyNumberFormat="1" applyFont="1" applyFill="1" applyBorder="1" applyAlignment="1">
      <alignment horizontal="center"/>
    </xf>
    <xf numFmtId="43" fontId="6" fillId="3" borderId="3" xfId="0" applyNumberFormat="1" applyFont="1" applyFill="1" applyBorder="1" applyAlignment="1">
      <alignment horizontal="center"/>
    </xf>
    <xf numFmtId="43" fontId="6" fillId="3" borderId="2" xfId="0" applyNumberFormat="1" applyFont="1" applyFill="1" applyBorder="1" applyAlignment="1">
      <alignment horizontal="center"/>
    </xf>
    <xf numFmtId="0" fontId="28" fillId="0" borderId="0" xfId="0" applyFont="1" applyFill="1"/>
    <xf numFmtId="0" fontId="27" fillId="0" borderId="0" xfId="0" applyFont="1" applyFill="1"/>
    <xf numFmtId="43" fontId="3" fillId="2" borderId="27" xfId="1" applyNumberFormat="1" applyFont="1" applyFill="1" applyBorder="1" applyAlignment="1">
      <alignment horizontal="center" vertical="center"/>
    </xf>
    <xf numFmtId="43" fontId="3" fillId="2" borderId="27" xfId="1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43" fontId="6" fillId="3" borderId="1" xfId="0" applyNumberFormat="1" applyFont="1" applyFill="1" applyBorder="1"/>
    <xf numFmtId="43" fontId="3" fillId="0" borderId="31" xfId="0" applyNumberFormat="1" applyFont="1" applyBorder="1"/>
    <xf numFmtId="43" fontId="6" fillId="0" borderId="26" xfId="0" applyNumberFormat="1" applyFont="1" applyBorder="1" applyAlignment="1">
      <alignment horizontal="center"/>
    </xf>
    <xf numFmtId="43" fontId="3" fillId="0" borderId="27" xfId="0" applyNumberFormat="1" applyFont="1" applyBorder="1" applyAlignment="1">
      <alignment horizontal="center"/>
    </xf>
    <xf numFmtId="43" fontId="6" fillId="3" borderId="26" xfId="0" applyNumberFormat="1" applyFont="1" applyFill="1" applyBorder="1"/>
    <xf numFmtId="43" fontId="3" fillId="0" borderId="27" xfId="0" applyNumberFormat="1" applyFont="1" applyFill="1" applyBorder="1"/>
    <xf numFmtId="0" fontId="6" fillId="0" borderId="2" xfId="0" applyFont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43" fontId="6" fillId="0" borderId="26" xfId="0" applyNumberFormat="1" applyFont="1" applyBorder="1"/>
    <xf numFmtId="43" fontId="3" fillId="0" borderId="27" xfId="0" applyNumberFormat="1" applyFont="1" applyBorder="1"/>
    <xf numFmtId="0" fontId="9" fillId="0" borderId="3" xfId="0" applyFont="1" applyBorder="1" applyAlignment="1">
      <alignment horizontal="center"/>
    </xf>
    <xf numFmtId="0" fontId="3" fillId="0" borderId="7" xfId="0" applyFont="1" applyBorder="1" applyAlignment="1"/>
    <xf numFmtId="0" fontId="0" fillId="0" borderId="0" xfId="0"/>
    <xf numFmtId="0" fontId="6" fillId="0" borderId="2" xfId="0" applyFon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49" fontId="6" fillId="0" borderId="2" xfId="0" applyNumberFormat="1" applyFont="1" applyBorder="1" applyAlignment="1">
      <alignment horizontal="center"/>
    </xf>
    <xf numFmtId="43" fontId="6" fillId="0" borderId="2" xfId="0" applyNumberFormat="1" applyFont="1" applyBorder="1"/>
    <xf numFmtId="0" fontId="6" fillId="0" borderId="0" xfId="0" applyFont="1"/>
    <xf numFmtId="0" fontId="6" fillId="0" borderId="2" xfId="0" applyFont="1" applyBorder="1" applyAlignment="1">
      <alignment horizontal="center" vertical="center"/>
    </xf>
    <xf numFmtId="0" fontId="9" fillId="0" borderId="0" xfId="0" applyFont="1"/>
    <xf numFmtId="43" fontId="6" fillId="0" borderId="2" xfId="1" applyNumberFormat="1" applyFont="1" applyFill="1" applyBorder="1" applyAlignment="1">
      <alignment horizontal="center" vertical="center" wrapText="1"/>
    </xf>
    <xf numFmtId="43" fontId="6" fillId="0" borderId="2" xfId="0" applyNumberFormat="1" applyFont="1" applyFill="1" applyBorder="1" applyAlignment="1">
      <alignment horizontal="center" vertical="center" wrapText="1"/>
    </xf>
    <xf numFmtId="0" fontId="14" fillId="0" borderId="0" xfId="0" applyFont="1"/>
    <xf numFmtId="43" fontId="6" fillId="0" borderId="2" xfId="0" applyNumberFormat="1" applyFont="1" applyBorder="1" applyAlignment="1">
      <alignment wrapText="1"/>
    </xf>
    <xf numFmtId="43" fontId="6" fillId="0" borderId="2" xfId="0" applyNumberFormat="1" applyFont="1" applyFill="1" applyBorder="1" applyAlignment="1">
      <alignment wrapText="1"/>
    </xf>
    <xf numFmtId="0" fontId="0" fillId="0" borderId="0" xfId="0" applyFill="1"/>
    <xf numFmtId="0" fontId="6" fillId="0" borderId="0" xfId="0" applyFont="1" applyFill="1"/>
    <xf numFmtId="43" fontId="6" fillId="0" borderId="0" xfId="0" applyNumberFormat="1" applyFont="1" applyFill="1"/>
    <xf numFmtId="0" fontId="9" fillId="0" borderId="0" xfId="0" applyFont="1" applyFill="1"/>
    <xf numFmtId="43" fontId="9" fillId="0" borderId="0" xfId="0" applyNumberFormat="1" applyFont="1" applyFill="1"/>
    <xf numFmtId="0" fontId="9" fillId="0" borderId="2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43" fontId="6" fillId="0" borderId="25" xfId="0" applyNumberFormat="1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left" vertical="center" wrapText="1"/>
    </xf>
    <xf numFmtId="0" fontId="6" fillId="0" borderId="25" xfId="0" applyFont="1" applyFill="1" applyBorder="1" applyAlignment="1">
      <alignment horizontal="center" vertical="center" wrapText="1"/>
    </xf>
    <xf numFmtId="49" fontId="6" fillId="0" borderId="24" xfId="0" applyNumberFormat="1" applyFont="1" applyFill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wrapText="1"/>
    </xf>
    <xf numFmtId="0" fontId="9" fillId="0" borderId="2" xfId="0" applyFont="1" applyBorder="1"/>
    <xf numFmtId="0" fontId="0" fillId="0" borderId="0" xfId="0" applyBorder="1"/>
    <xf numFmtId="0" fontId="6" fillId="0" borderId="3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9" fillId="0" borderId="25" xfId="0" applyFont="1" applyFill="1" applyBorder="1" applyAlignment="1">
      <alignment horizontal="center" vertical="center" wrapText="1"/>
    </xf>
    <xf numFmtId="0" fontId="9" fillId="0" borderId="25" xfId="0" applyFont="1" applyBorder="1" applyAlignment="1">
      <alignment horizontal="center" wrapText="1"/>
    </xf>
    <xf numFmtId="14" fontId="9" fillId="0" borderId="24" xfId="0" applyNumberFormat="1" applyFont="1" applyBorder="1" applyAlignment="1">
      <alignment horizontal="center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horizontal="center"/>
    </xf>
    <xf numFmtId="0" fontId="9" fillId="0" borderId="25" xfId="0" applyFont="1" applyFill="1" applyBorder="1" applyAlignment="1">
      <alignment horizontal="center"/>
    </xf>
    <xf numFmtId="0" fontId="9" fillId="0" borderId="2" xfId="0" applyFont="1" applyFill="1" applyBorder="1"/>
    <xf numFmtId="16" fontId="9" fillId="0" borderId="25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43" fontId="17" fillId="0" borderId="0" xfId="0" applyNumberFormat="1" applyFont="1" applyBorder="1"/>
    <xf numFmtId="0" fontId="3" fillId="2" borderId="33" xfId="0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43" fontId="3" fillId="2" borderId="16" xfId="0" applyNumberFormat="1" applyFont="1" applyFill="1" applyBorder="1" applyAlignment="1">
      <alignment horizontal="center" vertical="center"/>
    </xf>
    <xf numFmtId="43" fontId="3" fillId="2" borderId="17" xfId="1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43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top" wrapText="1"/>
    </xf>
    <xf numFmtId="43" fontId="23" fillId="2" borderId="8" xfId="1" applyNumberFormat="1" applyFont="1" applyFill="1" applyBorder="1" applyAlignment="1">
      <alignment horizontal="center" vertical="center" wrapText="1"/>
    </xf>
    <xf numFmtId="43" fontId="9" fillId="0" borderId="2" xfId="0" applyNumberFormat="1" applyFont="1" applyBorder="1"/>
    <xf numFmtId="0" fontId="9" fillId="0" borderId="2" xfId="0" applyNumberFormat="1" applyFont="1" applyBorder="1" applyAlignment="1">
      <alignment horizontal="center"/>
    </xf>
    <xf numFmtId="43" fontId="9" fillId="0" borderId="3" xfId="0" applyNumberFormat="1" applyFont="1" applyBorder="1"/>
    <xf numFmtId="0" fontId="29" fillId="0" borderId="0" xfId="0" applyFont="1"/>
    <xf numFmtId="49" fontId="3" fillId="2" borderId="32" xfId="0" applyNumberFormat="1" applyFont="1" applyFill="1" applyBorder="1" applyAlignment="1">
      <alignment horizontal="center" vertical="center"/>
    </xf>
    <xf numFmtId="49" fontId="3" fillId="2" borderId="32" xfId="0" applyNumberFormat="1" applyFont="1" applyFill="1" applyBorder="1" applyAlignment="1">
      <alignment horizontal="center" vertical="center" wrapText="1"/>
    </xf>
    <xf numFmtId="43" fontId="3" fillId="2" borderId="32" xfId="2" applyNumberFormat="1" applyFont="1" applyFill="1" applyBorder="1" applyAlignment="1">
      <alignment horizontal="center" vertical="center"/>
    </xf>
    <xf numFmtId="43" fontId="3" fillId="2" borderId="32" xfId="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49" fontId="9" fillId="0" borderId="2" xfId="0" applyNumberFormat="1" applyFont="1" applyBorder="1" applyAlignment="1">
      <alignment horizontal="center"/>
    </xf>
    <xf numFmtId="43" fontId="9" fillId="0" borderId="2" xfId="2" applyNumberFormat="1" applyFont="1" applyBorder="1"/>
    <xf numFmtId="43" fontId="6" fillId="0" borderId="0" xfId="0" applyNumberFormat="1" applyFont="1" applyBorder="1"/>
    <xf numFmtId="49" fontId="6" fillId="0" borderId="0" xfId="0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43" fontId="9" fillId="0" borderId="1" xfId="2" applyNumberFormat="1" applyFont="1" applyBorder="1"/>
    <xf numFmtId="0" fontId="9" fillId="0" borderId="3" xfId="0" applyFont="1" applyFill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0" fontId="14" fillId="0" borderId="0" xfId="0" applyFont="1" applyBorder="1"/>
    <xf numFmtId="0" fontId="9" fillId="0" borderId="2" xfId="0" applyFont="1" applyFill="1" applyBorder="1" applyAlignment="1">
      <alignment horizontal="center" vertical="center"/>
    </xf>
    <xf numFmtId="43" fontId="9" fillId="0" borderId="0" xfId="0" applyNumberFormat="1" applyFont="1" applyBorder="1"/>
    <xf numFmtId="0" fontId="9" fillId="0" borderId="1" xfId="0" applyFont="1" applyBorder="1" applyAlignment="1">
      <alignment wrapText="1"/>
    </xf>
    <xf numFmtId="43" fontId="6" fillId="0" borderId="1" xfId="0" applyNumberFormat="1" applyFont="1" applyBorder="1" applyAlignment="1">
      <alignment wrapText="1"/>
    </xf>
    <xf numFmtId="0" fontId="9" fillId="0" borderId="3" xfId="0" applyFont="1" applyBorder="1" applyAlignment="1">
      <alignment wrapText="1"/>
    </xf>
    <xf numFmtId="43" fontId="6" fillId="0" borderId="3" xfId="0" applyNumberFormat="1" applyFont="1" applyBorder="1" applyAlignment="1">
      <alignment wrapText="1"/>
    </xf>
    <xf numFmtId="43" fontId="0" fillId="0" borderId="0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3" fontId="11" fillId="4" borderId="24" xfId="0" applyNumberFormat="1" applyFont="1" applyFill="1" applyBorder="1" applyAlignment="1">
      <alignment horizontal="left"/>
    </xf>
    <xf numFmtId="43" fontId="21" fillId="4" borderId="0" xfId="0" applyNumberFormat="1" applyFont="1" applyFill="1" applyAlignment="1">
      <alignment horizontal="center"/>
    </xf>
    <xf numFmtId="0" fontId="23" fillId="0" borderId="5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3" fontId="6" fillId="0" borderId="2" xfId="0" applyNumberFormat="1" applyFont="1" applyBorder="1" applyAlignment="1">
      <alignment horizontal="center"/>
    </xf>
    <xf numFmtId="0" fontId="6" fillId="0" borderId="25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31" xfId="0" applyFont="1" applyFill="1" applyBorder="1" applyAlignment="1">
      <alignment horizontal="center" vertical="center" wrapText="1"/>
    </xf>
    <xf numFmtId="43" fontId="6" fillId="2" borderId="29" xfId="0" applyNumberFormat="1" applyFont="1" applyFill="1" applyBorder="1" applyAlignment="1">
      <alignment horizontal="center" vertical="center"/>
    </xf>
    <xf numFmtId="43" fontId="6" fillId="2" borderId="30" xfId="0" applyNumberFormat="1" applyFont="1" applyFill="1" applyBorder="1" applyAlignment="1">
      <alignment horizontal="center" vertical="center"/>
    </xf>
    <xf numFmtId="0" fontId="9" fillId="0" borderId="2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43" fontId="9" fillId="0" borderId="2" xfId="0" applyNumberFormat="1" applyFont="1" applyBorder="1" applyAlignment="1">
      <alignment horizontal="center" wrapText="1"/>
    </xf>
    <xf numFmtId="43" fontId="9" fillId="0" borderId="1" xfId="0" applyNumberFormat="1" applyFont="1" applyBorder="1" applyAlignment="1">
      <alignment horizontal="center" wrapText="1"/>
    </xf>
    <xf numFmtId="43" fontId="9" fillId="0" borderId="26" xfId="0" applyNumberFormat="1" applyFont="1" applyBorder="1" applyAlignment="1">
      <alignment horizontal="center" wrapText="1"/>
    </xf>
    <xf numFmtId="43" fontId="9" fillId="0" borderId="3" xfId="0" applyNumberFormat="1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43" fontId="9" fillId="0" borderId="16" xfId="0" applyNumberFormat="1" applyFont="1" applyBorder="1" applyAlignment="1">
      <alignment horizontal="center"/>
    </xf>
    <xf numFmtId="43" fontId="9" fillId="0" borderId="26" xfId="0" applyNumberFormat="1" applyFont="1" applyBorder="1" applyAlignment="1">
      <alignment horizontal="center"/>
    </xf>
    <xf numFmtId="43" fontId="9" fillId="0" borderId="3" xfId="0" applyNumberFormat="1" applyFont="1" applyBorder="1" applyAlignment="1">
      <alignment horizontal="center"/>
    </xf>
    <xf numFmtId="0" fontId="9" fillId="0" borderId="16" xfId="0" applyFont="1" applyBorder="1" applyAlignment="1">
      <alignment horizontal="center" wrapText="1"/>
    </xf>
    <xf numFmtId="0" fontId="9" fillId="0" borderId="16" xfId="0" applyFont="1" applyBorder="1" applyAlignment="1">
      <alignment horizontal="center"/>
    </xf>
    <xf numFmtId="0" fontId="9" fillId="0" borderId="20" xfId="0" applyFont="1" applyBorder="1" applyAlignment="1">
      <alignment horizontal="center" wrapText="1"/>
    </xf>
    <xf numFmtId="0" fontId="9" fillId="0" borderId="20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26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0" fontId="19" fillId="0" borderId="26" xfId="0" applyFont="1" applyBorder="1" applyAlignment="1">
      <alignment horizontal="center" wrapText="1"/>
    </xf>
    <xf numFmtId="43" fontId="9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6" fillId="0" borderId="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49" fontId="9" fillId="0" borderId="2" xfId="0" applyNumberFormat="1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2" fillId="2" borderId="2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49" fontId="3" fillId="5" borderId="11" xfId="0" applyNumberFormat="1" applyFont="1" applyFill="1" applyBorder="1" applyAlignment="1">
      <alignment horizontal="center" vertical="center" wrapText="1"/>
    </xf>
    <xf numFmtId="49" fontId="3" fillId="5" borderId="14" xfId="0" applyNumberFormat="1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left" vertical="center" wrapText="1"/>
    </xf>
    <xf numFmtId="49" fontId="3" fillId="5" borderId="12" xfId="0" applyNumberFormat="1" applyFont="1" applyFill="1" applyBorder="1" applyAlignment="1">
      <alignment horizontal="center" vertical="center"/>
    </xf>
    <xf numFmtId="49" fontId="3" fillId="5" borderId="15" xfId="0" applyNumberFormat="1" applyFont="1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9"/>
  <sheetViews>
    <sheetView zoomScaleNormal="100" workbookViewId="0">
      <selection activeCell="O57" sqref="O57"/>
    </sheetView>
  </sheetViews>
  <sheetFormatPr defaultRowHeight="15" x14ac:dyDescent="0.25"/>
  <cols>
    <col min="1" max="1" width="4.5703125" style="18" customWidth="1"/>
    <col min="2" max="2" width="9.85546875" style="108" customWidth="1"/>
    <col min="3" max="3" width="11.140625" style="20" customWidth="1"/>
    <col min="4" max="4" width="14.5703125" style="18" bestFit="1" customWidth="1"/>
    <col min="5" max="5" width="12.7109375" style="18" customWidth="1"/>
    <col min="6" max="6" width="12.7109375" style="38" bestFit="1" customWidth="1"/>
    <col min="7" max="7" width="12.140625" style="38" customWidth="1"/>
    <col min="8" max="8" width="12.42578125" style="38" customWidth="1"/>
    <col min="9" max="9" width="13.5703125" style="38" bestFit="1" customWidth="1"/>
    <col min="10" max="10" width="15" style="38" customWidth="1"/>
    <col min="11" max="11" width="12.5703125" style="38" customWidth="1"/>
    <col min="12" max="12" width="9.140625" style="27"/>
    <col min="13" max="14" width="9.140625" style="8"/>
  </cols>
  <sheetData>
    <row r="1" spans="1:14" ht="32.25" customHeight="1" thickBot="1" x14ac:dyDescent="0.3">
      <c r="A1" s="278" t="s">
        <v>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</row>
    <row r="2" spans="1:14" ht="16.5" customHeight="1" thickBot="1" x14ac:dyDescent="0.3">
      <c r="A2" s="101" t="s">
        <v>1</v>
      </c>
      <c r="B2" s="104" t="s">
        <v>2</v>
      </c>
      <c r="C2" s="103" t="s">
        <v>3</v>
      </c>
      <c r="D2" s="104" t="s">
        <v>4</v>
      </c>
      <c r="E2" s="105" t="s">
        <v>5</v>
      </c>
      <c r="F2" s="106" t="s">
        <v>6</v>
      </c>
      <c r="G2" s="106" t="s">
        <v>7</v>
      </c>
      <c r="H2" s="107" t="s">
        <v>8</v>
      </c>
      <c r="I2" s="107" t="s">
        <v>9</v>
      </c>
      <c r="J2" s="107" t="s">
        <v>89</v>
      </c>
      <c r="K2" s="106" t="s">
        <v>10</v>
      </c>
    </row>
    <row r="3" spans="1:14" s="14" customFormat="1" ht="15.75" x14ac:dyDescent="0.25">
      <c r="A3" s="147">
        <v>1</v>
      </c>
      <c r="B3" s="148">
        <v>18444</v>
      </c>
      <c r="C3" s="149" t="s">
        <v>225</v>
      </c>
      <c r="D3" s="147" t="s">
        <v>236</v>
      </c>
      <c r="E3" s="147" t="s">
        <v>137</v>
      </c>
      <c r="F3" s="150">
        <f>0.5*156.5</f>
        <v>78.25</v>
      </c>
      <c r="G3" s="150"/>
      <c r="H3" s="150"/>
      <c r="I3" s="150">
        <f>1.5*(40.89+118.99)</f>
        <v>239.82</v>
      </c>
      <c r="J3" s="150"/>
      <c r="K3" s="150">
        <f t="shared" ref="K3:K34" si="0">F3+G3+H3+I3+J3</f>
        <v>318.07</v>
      </c>
      <c r="L3" s="25"/>
      <c r="M3" s="2"/>
      <c r="N3" s="2"/>
    </row>
    <row r="4" spans="1:14" s="14" customFormat="1" ht="15.75" x14ac:dyDescent="0.25">
      <c r="A4" s="134">
        <v>2</v>
      </c>
      <c r="B4" s="128">
        <v>18504</v>
      </c>
      <c r="C4" s="82" t="s">
        <v>172</v>
      </c>
      <c r="D4" s="134" t="s">
        <v>234</v>
      </c>
      <c r="E4" s="134" t="s">
        <v>88</v>
      </c>
      <c r="F4" s="143">
        <f>7*472.61</f>
        <v>3308.27</v>
      </c>
      <c r="G4" s="143"/>
      <c r="H4" s="143"/>
      <c r="I4" s="143">
        <f>4.5*(40.89+40.89+100.96)</f>
        <v>822.33</v>
      </c>
      <c r="J4" s="143"/>
      <c r="K4" s="143">
        <f t="shared" si="0"/>
        <v>4130.6000000000004</v>
      </c>
      <c r="L4" s="25"/>
      <c r="M4" s="2"/>
      <c r="N4" s="2"/>
    </row>
    <row r="5" spans="1:14" s="14" customFormat="1" ht="15.75" x14ac:dyDescent="0.25">
      <c r="A5" s="134">
        <v>3</v>
      </c>
      <c r="B5" s="128">
        <v>18454</v>
      </c>
      <c r="C5" s="82" t="s">
        <v>231</v>
      </c>
      <c r="D5" s="134" t="s">
        <v>286</v>
      </c>
      <c r="E5" s="134" t="s">
        <v>287</v>
      </c>
      <c r="F5" s="143">
        <f>8*472.61</f>
        <v>3780.88</v>
      </c>
      <c r="G5" s="143"/>
      <c r="H5" s="143"/>
      <c r="I5" s="143">
        <f>4.5*(100.96+40.89+156.96)</f>
        <v>1344.645</v>
      </c>
      <c r="J5" s="143"/>
      <c r="K5" s="143">
        <f t="shared" si="0"/>
        <v>5125.5249999999996</v>
      </c>
      <c r="L5" s="25"/>
      <c r="M5" s="2"/>
      <c r="N5" s="2"/>
    </row>
    <row r="6" spans="1:14" s="14" customFormat="1" ht="15.75" x14ac:dyDescent="0.25">
      <c r="A6" s="134">
        <v>4</v>
      </c>
      <c r="B6" s="128">
        <v>18461</v>
      </c>
      <c r="C6" s="82" t="s">
        <v>179</v>
      </c>
      <c r="D6" s="134" t="s">
        <v>235</v>
      </c>
      <c r="E6" s="134" t="s">
        <v>88</v>
      </c>
      <c r="F6" s="143">
        <f>8*472.61</f>
        <v>3780.88</v>
      </c>
      <c r="G6" s="143">
        <f>1*4971.32</f>
        <v>4971.32</v>
      </c>
      <c r="H6" s="143"/>
      <c r="I6" s="143">
        <f>10.5*(118.99+40.89)</f>
        <v>1678.74</v>
      </c>
      <c r="J6" s="143"/>
      <c r="K6" s="143">
        <f t="shared" si="0"/>
        <v>10430.94</v>
      </c>
      <c r="L6" s="25"/>
      <c r="M6" s="2"/>
      <c r="N6" s="2"/>
    </row>
    <row r="7" spans="1:14" s="14" customFormat="1" ht="15.75" x14ac:dyDescent="0.25">
      <c r="A7" s="134">
        <v>5</v>
      </c>
      <c r="B7" s="128">
        <v>18460</v>
      </c>
      <c r="C7" s="82" t="s">
        <v>179</v>
      </c>
      <c r="D7" s="134" t="s">
        <v>288</v>
      </c>
      <c r="E7" s="134" t="s">
        <v>88</v>
      </c>
      <c r="F7" s="143">
        <v>0</v>
      </c>
      <c r="G7" s="143"/>
      <c r="H7" s="143"/>
      <c r="I7" s="143">
        <f>3.5*(40.89+118.99+156.96)</f>
        <v>1108.94</v>
      </c>
      <c r="J7" s="143"/>
      <c r="K7" s="143">
        <f t="shared" si="0"/>
        <v>1108.94</v>
      </c>
      <c r="L7" s="25"/>
      <c r="M7" s="2"/>
      <c r="N7" s="2"/>
    </row>
    <row r="8" spans="1:14" s="14" customFormat="1" ht="15.75" x14ac:dyDescent="0.25">
      <c r="A8" s="134">
        <v>6</v>
      </c>
      <c r="B8" s="128">
        <v>18459</v>
      </c>
      <c r="C8" s="82" t="s">
        <v>179</v>
      </c>
      <c r="D8" s="134" t="s">
        <v>113</v>
      </c>
      <c r="E8" s="134" t="s">
        <v>106</v>
      </c>
      <c r="F8" s="143">
        <f>12*472.61</f>
        <v>5671.32</v>
      </c>
      <c r="G8" s="143"/>
      <c r="H8" s="143"/>
      <c r="I8" s="143">
        <f>6*(100.96+40.89+156.96)</f>
        <v>1792.8600000000001</v>
      </c>
      <c r="J8" s="143"/>
      <c r="K8" s="143">
        <f t="shared" si="0"/>
        <v>7464.18</v>
      </c>
      <c r="L8" s="25"/>
      <c r="M8" s="2"/>
      <c r="N8" s="2"/>
    </row>
    <row r="9" spans="1:14" s="14" customFormat="1" ht="15.75" x14ac:dyDescent="0.25">
      <c r="A9" s="134">
        <v>7</v>
      </c>
      <c r="B9" s="128">
        <v>18465</v>
      </c>
      <c r="C9" s="82" t="s">
        <v>237</v>
      </c>
      <c r="D9" s="134" t="s">
        <v>289</v>
      </c>
      <c r="E9" s="134" t="s">
        <v>88</v>
      </c>
      <c r="F9" s="143">
        <f>8*472.61</f>
        <v>3780.88</v>
      </c>
      <c r="G9" s="143"/>
      <c r="H9" s="143"/>
      <c r="I9" s="143">
        <f>5*(100.96+40.89+156.96)</f>
        <v>1494.05</v>
      </c>
      <c r="J9" s="143"/>
      <c r="K9" s="143">
        <f t="shared" si="0"/>
        <v>5274.93</v>
      </c>
      <c r="L9" s="25"/>
      <c r="M9" s="2"/>
      <c r="N9" s="2"/>
    </row>
    <row r="10" spans="1:14" s="14" customFormat="1" ht="15.75" x14ac:dyDescent="0.25">
      <c r="A10" s="134">
        <v>8</v>
      </c>
      <c r="B10" s="128">
        <v>18467</v>
      </c>
      <c r="C10" s="82" t="s">
        <v>237</v>
      </c>
      <c r="D10" s="134" t="s">
        <v>238</v>
      </c>
      <c r="E10" s="134" t="s">
        <v>290</v>
      </c>
      <c r="F10" s="143">
        <f>5*472.61</f>
        <v>2363.0500000000002</v>
      </c>
      <c r="G10" s="143">
        <f>1*1000</f>
        <v>1000</v>
      </c>
      <c r="H10" s="143"/>
      <c r="I10" s="143">
        <f>2*(40.89+100.96+100.96)</f>
        <v>485.62</v>
      </c>
      <c r="J10" s="143"/>
      <c r="K10" s="143">
        <f t="shared" si="0"/>
        <v>3848.67</v>
      </c>
      <c r="L10" s="25"/>
      <c r="M10" s="2"/>
      <c r="N10" s="2"/>
    </row>
    <row r="11" spans="1:14" s="14" customFormat="1" ht="15.75" x14ac:dyDescent="0.25">
      <c r="A11" s="134">
        <v>9</v>
      </c>
      <c r="B11" s="128">
        <v>18476</v>
      </c>
      <c r="C11" s="82" t="s">
        <v>177</v>
      </c>
      <c r="D11" s="134" t="s">
        <v>291</v>
      </c>
      <c r="E11" s="134" t="s">
        <v>88</v>
      </c>
      <c r="F11" s="143">
        <v>0</v>
      </c>
      <c r="G11" s="143"/>
      <c r="H11" s="143"/>
      <c r="I11" s="143">
        <f>1.5*(40.89+156.96)</f>
        <v>296.77500000000003</v>
      </c>
      <c r="J11" s="143"/>
      <c r="K11" s="143">
        <f t="shared" si="0"/>
        <v>296.77500000000003</v>
      </c>
      <c r="L11" s="25"/>
      <c r="M11" s="2"/>
      <c r="N11" s="2"/>
    </row>
    <row r="12" spans="1:14" s="14" customFormat="1" ht="15.75" x14ac:dyDescent="0.25">
      <c r="A12" s="134">
        <v>10</v>
      </c>
      <c r="B12" s="128">
        <v>18478</v>
      </c>
      <c r="C12" s="82" t="s">
        <v>176</v>
      </c>
      <c r="D12" s="134" t="s">
        <v>222</v>
      </c>
      <c r="E12" s="134" t="s">
        <v>88</v>
      </c>
      <c r="F12" s="143">
        <v>0</v>
      </c>
      <c r="G12" s="143">
        <f>2*4000</f>
        <v>8000</v>
      </c>
      <c r="H12" s="143"/>
      <c r="I12" s="143">
        <f>3.5*(40.89+100.96)</f>
        <v>496.47499999999997</v>
      </c>
      <c r="J12" s="143"/>
      <c r="K12" s="143">
        <f t="shared" si="0"/>
        <v>8496.4750000000004</v>
      </c>
      <c r="L12" s="25"/>
      <c r="M12" s="2"/>
      <c r="N12" s="2"/>
    </row>
    <row r="13" spans="1:14" s="14" customFormat="1" ht="15.75" x14ac:dyDescent="0.25">
      <c r="A13" s="134">
        <v>11</v>
      </c>
      <c r="B13" s="128">
        <v>18488</v>
      </c>
      <c r="C13" s="82" t="s">
        <v>221</v>
      </c>
      <c r="D13" s="134" t="s">
        <v>293</v>
      </c>
      <c r="E13" s="134" t="s">
        <v>140</v>
      </c>
      <c r="F13" s="143">
        <f>10*472.61</f>
        <v>4726.1000000000004</v>
      </c>
      <c r="G13" s="143"/>
      <c r="H13" s="143"/>
      <c r="I13" s="143">
        <f>7*(118.99+40.89)</f>
        <v>1119.1599999999999</v>
      </c>
      <c r="J13" s="143"/>
      <c r="K13" s="143">
        <f t="shared" si="0"/>
        <v>5845.26</v>
      </c>
      <c r="L13" s="25"/>
      <c r="M13" s="2"/>
      <c r="N13" s="2"/>
    </row>
    <row r="14" spans="1:14" s="14" customFormat="1" ht="15.75" x14ac:dyDescent="0.25">
      <c r="A14" s="134">
        <v>12</v>
      </c>
      <c r="B14" s="128">
        <v>18485</v>
      </c>
      <c r="C14" s="82" t="s">
        <v>221</v>
      </c>
      <c r="D14" s="134" t="s">
        <v>111</v>
      </c>
      <c r="E14" s="134" t="s">
        <v>88</v>
      </c>
      <c r="F14" s="143">
        <f>8*472.61</f>
        <v>3780.88</v>
      </c>
      <c r="G14" s="143"/>
      <c r="H14" s="143"/>
      <c r="I14" s="143">
        <f>6.5*(100.96+40.89+40.89)</f>
        <v>1187.81</v>
      </c>
      <c r="J14" s="143"/>
      <c r="K14" s="143">
        <f t="shared" si="0"/>
        <v>4968.6900000000005</v>
      </c>
      <c r="L14" s="25"/>
      <c r="M14" s="2"/>
      <c r="N14" s="2"/>
    </row>
    <row r="15" spans="1:14" s="14" customFormat="1" ht="15.75" x14ac:dyDescent="0.25">
      <c r="A15" s="134">
        <v>13</v>
      </c>
      <c r="B15" s="128">
        <v>18487</v>
      </c>
      <c r="C15" s="82" t="s">
        <v>221</v>
      </c>
      <c r="D15" s="134" t="s">
        <v>136</v>
      </c>
      <c r="E15" s="134" t="s">
        <v>106</v>
      </c>
      <c r="F15" s="143">
        <f>12*472.61</f>
        <v>5671.32</v>
      </c>
      <c r="G15" s="143"/>
      <c r="H15" s="143"/>
      <c r="I15" s="143">
        <f>5.5*(100.96+40.89)</f>
        <v>780.17499999999995</v>
      </c>
      <c r="J15" s="143"/>
      <c r="K15" s="143">
        <f t="shared" si="0"/>
        <v>6451.4949999999999</v>
      </c>
      <c r="L15" s="25"/>
      <c r="M15" s="2"/>
      <c r="N15" s="2"/>
    </row>
    <row r="16" spans="1:14" s="14" customFormat="1" ht="15.75" x14ac:dyDescent="0.25">
      <c r="A16" s="134">
        <v>14</v>
      </c>
      <c r="B16" s="128">
        <v>18494</v>
      </c>
      <c r="C16" s="82" t="s">
        <v>219</v>
      </c>
      <c r="D16" s="134" t="s">
        <v>294</v>
      </c>
      <c r="E16" s="134" t="s">
        <v>290</v>
      </c>
      <c r="F16" s="143">
        <f>10*472.61</f>
        <v>4726.1000000000004</v>
      </c>
      <c r="G16" s="143"/>
      <c r="H16" s="143"/>
      <c r="I16" s="143">
        <f>4.5*(40.89+118.99+156.96)+10.5*(100.96+118.99+156.96)</f>
        <v>5383.335</v>
      </c>
      <c r="J16" s="143"/>
      <c r="K16" s="143">
        <f t="shared" si="0"/>
        <v>10109.435000000001</v>
      </c>
      <c r="L16" s="25"/>
      <c r="M16" s="2"/>
      <c r="N16" s="2"/>
    </row>
    <row r="17" spans="1:14" s="14" customFormat="1" ht="15.75" x14ac:dyDescent="0.25">
      <c r="A17" s="134">
        <v>15</v>
      </c>
      <c r="B17" s="128">
        <v>18508</v>
      </c>
      <c r="C17" s="82" t="s">
        <v>182</v>
      </c>
      <c r="D17" s="134" t="s">
        <v>217</v>
      </c>
      <c r="E17" s="134" t="s">
        <v>130</v>
      </c>
      <c r="F17" s="143">
        <f>12*472.61</f>
        <v>5671.32</v>
      </c>
      <c r="G17" s="143"/>
      <c r="H17" s="143"/>
      <c r="I17" s="143">
        <f>4*(100.96+40.89+40.89)</f>
        <v>730.96</v>
      </c>
      <c r="J17" s="143"/>
      <c r="K17" s="143">
        <f t="shared" si="0"/>
        <v>6402.28</v>
      </c>
      <c r="L17" s="25"/>
      <c r="M17" s="2"/>
      <c r="N17" s="2"/>
    </row>
    <row r="18" spans="1:14" s="14" customFormat="1" ht="15.75" x14ac:dyDescent="0.25">
      <c r="A18" s="134">
        <v>16</v>
      </c>
      <c r="B18" s="128">
        <v>18510</v>
      </c>
      <c r="C18" s="82" t="s">
        <v>182</v>
      </c>
      <c r="D18" s="134" t="s">
        <v>215</v>
      </c>
      <c r="E18" s="134" t="s">
        <v>216</v>
      </c>
      <c r="F18" s="143">
        <f>5*472.61</f>
        <v>2363.0500000000002</v>
      </c>
      <c r="G18" s="143"/>
      <c r="H18" s="143"/>
      <c r="I18" s="143">
        <f>3.5*(100.96+40.89+40.89)</f>
        <v>639.59</v>
      </c>
      <c r="J18" s="143"/>
      <c r="K18" s="143">
        <f t="shared" si="0"/>
        <v>3002.6400000000003</v>
      </c>
      <c r="L18" s="25"/>
      <c r="M18" s="2"/>
      <c r="N18" s="2"/>
    </row>
    <row r="19" spans="1:14" s="14" customFormat="1" ht="15.75" x14ac:dyDescent="0.25">
      <c r="A19" s="134">
        <v>17</v>
      </c>
      <c r="B19" s="128">
        <v>18392</v>
      </c>
      <c r="C19" s="82" t="s">
        <v>184</v>
      </c>
      <c r="D19" s="134" t="s">
        <v>162</v>
      </c>
      <c r="E19" s="134" t="s">
        <v>216</v>
      </c>
      <c r="F19" s="143">
        <f>5*472.61</f>
        <v>2363.0500000000002</v>
      </c>
      <c r="G19" s="143"/>
      <c r="H19" s="143"/>
      <c r="I19" s="143">
        <f>2.75*(40.89+100.96)</f>
        <v>390.08749999999998</v>
      </c>
      <c r="J19" s="143"/>
      <c r="K19" s="143">
        <f t="shared" si="0"/>
        <v>2753.1375000000003</v>
      </c>
      <c r="L19" s="25"/>
      <c r="M19" s="2"/>
      <c r="N19" s="2"/>
    </row>
    <row r="20" spans="1:14" s="14" customFormat="1" ht="15.75" x14ac:dyDescent="0.25">
      <c r="A20" s="134">
        <v>18</v>
      </c>
      <c r="B20" s="128">
        <v>18525</v>
      </c>
      <c r="C20" s="82" t="s">
        <v>183</v>
      </c>
      <c r="D20" s="134" t="s">
        <v>295</v>
      </c>
      <c r="E20" s="134" t="s">
        <v>296</v>
      </c>
      <c r="F20" s="143">
        <f>6*472.61</f>
        <v>2835.66</v>
      </c>
      <c r="G20" s="143"/>
      <c r="H20" s="143"/>
      <c r="I20" s="143">
        <f>4.5*(40.89+40.89+100.96)</f>
        <v>822.33</v>
      </c>
      <c r="J20" s="143"/>
      <c r="K20" s="143">
        <f t="shared" si="0"/>
        <v>3657.99</v>
      </c>
      <c r="L20" s="25"/>
      <c r="M20" s="2"/>
      <c r="N20" s="2"/>
    </row>
    <row r="21" spans="1:14" s="14" customFormat="1" ht="15.75" x14ac:dyDescent="0.25">
      <c r="A21" s="134">
        <v>19</v>
      </c>
      <c r="B21" s="128">
        <v>18531</v>
      </c>
      <c r="C21" s="82" t="s">
        <v>187</v>
      </c>
      <c r="D21" s="134" t="s">
        <v>297</v>
      </c>
      <c r="E21" s="134" t="s">
        <v>140</v>
      </c>
      <c r="F21" s="143">
        <v>0</v>
      </c>
      <c r="G21" s="143"/>
      <c r="H21" s="143"/>
      <c r="I21" s="143">
        <f>1*(40.89+118.99)</f>
        <v>159.88</v>
      </c>
      <c r="J21" s="143"/>
      <c r="K21" s="143">
        <f t="shared" si="0"/>
        <v>159.88</v>
      </c>
      <c r="L21" s="25"/>
      <c r="M21" s="2"/>
      <c r="N21" s="2"/>
    </row>
    <row r="22" spans="1:14" s="14" customFormat="1" ht="15.75" x14ac:dyDescent="0.25">
      <c r="A22" s="134">
        <v>20</v>
      </c>
      <c r="B22" s="128">
        <v>18540</v>
      </c>
      <c r="C22" s="82" t="s">
        <v>189</v>
      </c>
      <c r="D22" s="134" t="s">
        <v>192</v>
      </c>
      <c r="E22" s="134" t="s">
        <v>88</v>
      </c>
      <c r="F22" s="143">
        <f>8*472.61</f>
        <v>3780.88</v>
      </c>
      <c r="G22" s="143"/>
      <c r="H22" s="143"/>
      <c r="I22" s="143">
        <f>10*(40.89+40.89+156.96)</f>
        <v>2387.4</v>
      </c>
      <c r="J22" s="143"/>
      <c r="K22" s="143">
        <f t="shared" si="0"/>
        <v>6168.2800000000007</v>
      </c>
      <c r="L22" s="25"/>
      <c r="M22" s="2"/>
      <c r="N22" s="2"/>
    </row>
    <row r="23" spans="1:14" s="14" customFormat="1" ht="15.75" x14ac:dyDescent="0.25">
      <c r="A23" s="134">
        <v>21</v>
      </c>
      <c r="B23" s="128">
        <v>18554</v>
      </c>
      <c r="C23" s="82" t="s">
        <v>191</v>
      </c>
      <c r="D23" s="134" t="s">
        <v>211</v>
      </c>
      <c r="E23" s="134" t="s">
        <v>88</v>
      </c>
      <c r="F23" s="143">
        <f>8*472.61</f>
        <v>3780.88</v>
      </c>
      <c r="G23" s="143"/>
      <c r="H23" s="143"/>
      <c r="I23" s="143">
        <f>3.5*(100.96+40.89)</f>
        <v>496.47499999999997</v>
      </c>
      <c r="J23" s="143"/>
      <c r="K23" s="143">
        <f t="shared" si="0"/>
        <v>4277.3550000000005</v>
      </c>
      <c r="L23" s="25"/>
      <c r="M23" s="2"/>
      <c r="N23" s="2"/>
    </row>
    <row r="24" spans="1:14" s="14" customFormat="1" ht="15.75" x14ac:dyDescent="0.25">
      <c r="A24" s="134">
        <v>22</v>
      </c>
      <c r="B24" s="128">
        <v>18572</v>
      </c>
      <c r="C24" s="82" t="s">
        <v>256</v>
      </c>
      <c r="D24" s="134" t="s">
        <v>135</v>
      </c>
      <c r="E24" s="134" t="s">
        <v>88</v>
      </c>
      <c r="F24" s="143">
        <f>0.5*472.61</f>
        <v>236.30500000000001</v>
      </c>
      <c r="G24" s="143">
        <f>1*2791.08+1*(7073.01+13121.72+16464.18)</f>
        <v>39449.990000000005</v>
      </c>
      <c r="H24" s="143"/>
      <c r="I24" s="143">
        <f>5.5*(118.99+40.89)</f>
        <v>879.33999999999992</v>
      </c>
      <c r="J24" s="143"/>
      <c r="K24" s="143">
        <f t="shared" si="0"/>
        <v>40565.635000000002</v>
      </c>
      <c r="L24" s="25"/>
      <c r="M24" s="2"/>
      <c r="N24" s="2"/>
    </row>
    <row r="25" spans="1:14" s="14" customFormat="1" ht="15.75" x14ac:dyDescent="0.25">
      <c r="A25" s="134">
        <v>23</v>
      </c>
      <c r="B25" s="128">
        <v>18569</v>
      </c>
      <c r="C25" s="82" t="s">
        <v>256</v>
      </c>
      <c r="D25" s="134" t="s">
        <v>298</v>
      </c>
      <c r="E25" s="134" t="s">
        <v>216</v>
      </c>
      <c r="F25" s="143">
        <f>5*472.61</f>
        <v>2363.0500000000002</v>
      </c>
      <c r="G25" s="143"/>
      <c r="H25" s="143"/>
      <c r="I25" s="143">
        <f>4*(100.96+40.89+156.96)</f>
        <v>1195.24</v>
      </c>
      <c r="J25" s="143"/>
      <c r="K25" s="143">
        <f t="shared" si="0"/>
        <v>3558.29</v>
      </c>
      <c r="L25" s="25"/>
      <c r="M25" s="2"/>
      <c r="N25" s="2"/>
    </row>
    <row r="26" spans="1:14" s="14" customFormat="1" ht="15.75" x14ac:dyDescent="0.25">
      <c r="A26" s="134">
        <v>24</v>
      </c>
      <c r="B26" s="128">
        <v>18579</v>
      </c>
      <c r="C26" s="82" t="s">
        <v>230</v>
      </c>
      <c r="D26" s="134" t="s">
        <v>299</v>
      </c>
      <c r="E26" s="134" t="s">
        <v>88</v>
      </c>
      <c r="F26" s="143">
        <f>8*472.61</f>
        <v>3780.88</v>
      </c>
      <c r="G26" s="143">
        <f>1*2591.9</f>
        <v>2591.9</v>
      </c>
      <c r="H26" s="143"/>
      <c r="I26" s="143">
        <f>5*(100.96+40.89+156.96)</f>
        <v>1494.05</v>
      </c>
      <c r="J26" s="143"/>
      <c r="K26" s="143">
        <f t="shared" si="0"/>
        <v>7866.8300000000008</v>
      </c>
      <c r="L26" s="25"/>
      <c r="M26" s="2"/>
      <c r="N26" s="2"/>
    </row>
    <row r="27" spans="1:14" s="14" customFormat="1" ht="15.75" x14ac:dyDescent="0.25">
      <c r="A27" s="134">
        <v>25</v>
      </c>
      <c r="B27" s="128">
        <v>18590</v>
      </c>
      <c r="C27" s="82" t="s">
        <v>197</v>
      </c>
      <c r="D27" s="134" t="s">
        <v>210</v>
      </c>
      <c r="E27" s="134" t="s">
        <v>88</v>
      </c>
      <c r="F27" s="143">
        <v>0</v>
      </c>
      <c r="G27" s="143"/>
      <c r="H27" s="143"/>
      <c r="I27" s="143">
        <f>8*(118.99+40.89)</f>
        <v>1279.04</v>
      </c>
      <c r="J27" s="143"/>
      <c r="K27" s="143">
        <f t="shared" si="0"/>
        <v>1279.04</v>
      </c>
      <c r="L27" s="25"/>
      <c r="M27" s="2"/>
      <c r="N27" s="2"/>
    </row>
    <row r="28" spans="1:14" s="14" customFormat="1" ht="15.75" x14ac:dyDescent="0.25">
      <c r="A28" s="134">
        <v>26</v>
      </c>
      <c r="B28" s="128">
        <v>18595</v>
      </c>
      <c r="C28" s="82" t="s">
        <v>197</v>
      </c>
      <c r="D28" s="134" t="s">
        <v>198</v>
      </c>
      <c r="E28" s="134" t="s">
        <v>88</v>
      </c>
      <c r="F28" s="143">
        <f>8*472.61</f>
        <v>3780.88</v>
      </c>
      <c r="G28" s="143"/>
      <c r="H28" s="143"/>
      <c r="I28" s="143">
        <f>4*(40.89+40.89+156.96)</f>
        <v>954.96</v>
      </c>
      <c r="J28" s="143"/>
      <c r="K28" s="143">
        <f t="shared" si="0"/>
        <v>4735.84</v>
      </c>
      <c r="L28" s="25"/>
      <c r="M28" s="2"/>
      <c r="N28" s="2"/>
    </row>
    <row r="29" spans="1:14" s="14" customFormat="1" ht="15.75" x14ac:dyDescent="0.25">
      <c r="A29" s="134">
        <v>27</v>
      </c>
      <c r="B29" s="128">
        <v>18587</v>
      </c>
      <c r="C29" s="82" t="s">
        <v>197</v>
      </c>
      <c r="D29" s="134" t="s">
        <v>300</v>
      </c>
      <c r="E29" s="134" t="s">
        <v>88</v>
      </c>
      <c r="F29" s="143">
        <f>8*472.61</f>
        <v>3780.88</v>
      </c>
      <c r="G29" s="143">
        <f>1*(2591.9+8724.13)</f>
        <v>11316.029999999999</v>
      </c>
      <c r="H29" s="143"/>
      <c r="I29" s="143">
        <f>6*(100.96+100.96)</f>
        <v>1211.52</v>
      </c>
      <c r="J29" s="143"/>
      <c r="K29" s="143">
        <f t="shared" si="0"/>
        <v>16308.43</v>
      </c>
      <c r="L29" s="25"/>
      <c r="M29" s="2"/>
      <c r="N29" s="2"/>
    </row>
    <row r="30" spans="1:14" s="14" customFormat="1" ht="15.75" x14ac:dyDescent="0.25">
      <c r="A30" s="134">
        <v>28</v>
      </c>
      <c r="B30" s="128">
        <v>18621</v>
      </c>
      <c r="C30" s="82" t="s">
        <v>203</v>
      </c>
      <c r="D30" s="134" t="s">
        <v>301</v>
      </c>
      <c r="E30" s="134" t="s">
        <v>88</v>
      </c>
      <c r="F30" s="143">
        <f>8*472.61</f>
        <v>3780.88</v>
      </c>
      <c r="G30" s="143"/>
      <c r="H30" s="143"/>
      <c r="I30" s="143">
        <f>5.5*(40.89+156.96+40.89+100.96)</f>
        <v>1868.35</v>
      </c>
      <c r="J30" s="143"/>
      <c r="K30" s="143">
        <f t="shared" si="0"/>
        <v>5649.23</v>
      </c>
      <c r="L30" s="25"/>
      <c r="M30" s="2"/>
      <c r="N30" s="2"/>
    </row>
    <row r="31" spans="1:14" s="14" customFormat="1" ht="15.75" x14ac:dyDescent="0.25">
      <c r="A31" s="134">
        <v>29</v>
      </c>
      <c r="B31" s="128">
        <v>18576</v>
      </c>
      <c r="C31" s="82" t="s">
        <v>230</v>
      </c>
      <c r="D31" s="134" t="s">
        <v>302</v>
      </c>
      <c r="E31" s="134" t="s">
        <v>88</v>
      </c>
      <c r="F31" s="143">
        <f>0.5*275</f>
        <v>137.5</v>
      </c>
      <c r="G31" s="143"/>
      <c r="H31" s="143"/>
      <c r="I31" s="143">
        <f>5*(40.89+100.96+156.96+100.96)</f>
        <v>1998.85</v>
      </c>
      <c r="J31" s="143"/>
      <c r="K31" s="143">
        <f t="shared" si="0"/>
        <v>2136.35</v>
      </c>
      <c r="L31" s="25"/>
      <c r="M31" s="2"/>
      <c r="N31" s="2"/>
    </row>
    <row r="32" spans="1:14" s="14" customFormat="1" ht="15.75" x14ac:dyDescent="0.25">
      <c r="A32" s="134">
        <v>30</v>
      </c>
      <c r="B32" s="128">
        <v>18503</v>
      </c>
      <c r="C32" s="82" t="s">
        <v>172</v>
      </c>
      <c r="D32" s="134" t="s">
        <v>303</v>
      </c>
      <c r="E32" s="134" t="s">
        <v>140</v>
      </c>
      <c r="F32" s="143">
        <f>12*472.61</f>
        <v>5671.32</v>
      </c>
      <c r="G32" s="143"/>
      <c r="H32" s="143"/>
      <c r="I32" s="143">
        <f>3*(100.96+40.89+156.96)</f>
        <v>896.43000000000006</v>
      </c>
      <c r="J32" s="143"/>
      <c r="K32" s="143">
        <f t="shared" si="0"/>
        <v>6567.75</v>
      </c>
      <c r="L32" s="25"/>
      <c r="M32" s="2"/>
      <c r="N32" s="2"/>
    </row>
    <row r="33" spans="1:14" s="14" customFormat="1" ht="15.75" x14ac:dyDescent="0.25">
      <c r="A33" s="134">
        <v>31</v>
      </c>
      <c r="B33" s="128">
        <v>18616</v>
      </c>
      <c r="C33" s="82" t="s">
        <v>228</v>
      </c>
      <c r="D33" s="134" t="s">
        <v>255</v>
      </c>
      <c r="E33" s="134" t="s">
        <v>88</v>
      </c>
      <c r="F33" s="143">
        <v>0</v>
      </c>
      <c r="G33" s="143"/>
      <c r="H33" s="143"/>
      <c r="I33" s="143">
        <f>7*(100.96+118.99)</f>
        <v>1539.6499999999999</v>
      </c>
      <c r="J33" s="143"/>
      <c r="K33" s="143">
        <f t="shared" si="0"/>
        <v>1539.6499999999999</v>
      </c>
      <c r="L33" s="25"/>
      <c r="M33" s="2"/>
      <c r="N33" s="2"/>
    </row>
    <row r="34" spans="1:14" s="14" customFormat="1" ht="15.75" x14ac:dyDescent="0.25">
      <c r="A34" s="250">
        <v>32</v>
      </c>
      <c r="B34" s="262">
        <v>18611</v>
      </c>
      <c r="C34" s="263" t="s">
        <v>228</v>
      </c>
      <c r="D34" s="250" t="s">
        <v>132</v>
      </c>
      <c r="E34" s="250" t="s">
        <v>133</v>
      </c>
      <c r="F34" s="144">
        <f>12*472.61</f>
        <v>5671.32</v>
      </c>
      <c r="G34" s="144"/>
      <c r="H34" s="144"/>
      <c r="I34" s="144">
        <f>7*(40.89+118.99)</f>
        <v>1119.1599999999999</v>
      </c>
      <c r="J34" s="144"/>
      <c r="K34" s="144">
        <f t="shared" si="0"/>
        <v>6790.48</v>
      </c>
      <c r="L34" s="25"/>
      <c r="M34" s="2"/>
      <c r="N34" s="2"/>
    </row>
    <row r="35" spans="1:14" s="117" customFormat="1" x14ac:dyDescent="0.25">
      <c r="A35" s="251">
        <v>33</v>
      </c>
      <c r="B35" s="222">
        <v>18509</v>
      </c>
      <c r="C35" s="258" t="s">
        <v>190</v>
      </c>
      <c r="D35" s="251" t="s">
        <v>304</v>
      </c>
      <c r="E35" s="251" t="s">
        <v>88</v>
      </c>
      <c r="F35" s="259">
        <v>0</v>
      </c>
      <c r="G35" s="259"/>
      <c r="H35" s="259"/>
      <c r="I35" s="259">
        <f>4.5*(100.96+40.89+156.96+100.96+40.89)</f>
        <v>1982.9699999999998</v>
      </c>
      <c r="J35" s="259"/>
      <c r="K35" s="259">
        <f t="shared" ref="K35:K66" si="1">F35+G35+H35+I35+J35</f>
        <v>1982.9699999999998</v>
      </c>
      <c r="L35" s="203"/>
      <c r="M35" s="194"/>
      <c r="N35" s="194"/>
    </row>
    <row r="36" spans="1:14" s="117" customFormat="1" x14ac:dyDescent="0.25">
      <c r="A36" s="251">
        <v>34</v>
      </c>
      <c r="B36" s="222">
        <v>18482</v>
      </c>
      <c r="C36" s="258" t="s">
        <v>176</v>
      </c>
      <c r="D36" s="251" t="s">
        <v>305</v>
      </c>
      <c r="E36" s="251" t="s">
        <v>88</v>
      </c>
      <c r="F36" s="259">
        <v>0</v>
      </c>
      <c r="G36" s="259"/>
      <c r="H36" s="259"/>
      <c r="I36" s="259">
        <f>5*(118.99+40.89)</f>
        <v>799.4</v>
      </c>
      <c r="J36" s="259"/>
      <c r="K36" s="259">
        <f t="shared" si="1"/>
        <v>799.4</v>
      </c>
      <c r="L36" s="203"/>
      <c r="M36" s="194"/>
      <c r="N36" s="194"/>
    </row>
    <row r="37" spans="1:14" s="117" customFormat="1" x14ac:dyDescent="0.25">
      <c r="A37" s="251">
        <v>35</v>
      </c>
      <c r="B37" s="222">
        <v>18455</v>
      </c>
      <c r="C37" s="258" t="s">
        <v>231</v>
      </c>
      <c r="D37" s="251" t="s">
        <v>232</v>
      </c>
      <c r="E37" s="251" t="s">
        <v>88</v>
      </c>
      <c r="F37" s="259">
        <v>0</v>
      </c>
      <c r="G37" s="259"/>
      <c r="H37" s="259"/>
      <c r="I37" s="259">
        <f>10.5*(100.96+40.89+118.99+156.96)</f>
        <v>4386.8999999999996</v>
      </c>
      <c r="J37" s="259"/>
      <c r="K37" s="259">
        <f t="shared" si="1"/>
        <v>4386.8999999999996</v>
      </c>
      <c r="L37" s="203"/>
      <c r="M37" s="194"/>
      <c r="N37" s="194"/>
    </row>
    <row r="38" spans="1:14" s="117" customFormat="1" ht="13.5" customHeight="1" x14ac:dyDescent="0.25">
      <c r="A38" s="276">
        <v>36</v>
      </c>
      <c r="B38" s="222">
        <v>18551</v>
      </c>
      <c r="C38" s="258" t="s">
        <v>191</v>
      </c>
      <c r="D38" s="276" t="s">
        <v>147</v>
      </c>
      <c r="E38" s="276" t="s">
        <v>88</v>
      </c>
      <c r="F38" s="259">
        <f>8*472.61</f>
        <v>3780.88</v>
      </c>
      <c r="G38" s="259"/>
      <c r="H38" s="259"/>
      <c r="I38" s="259">
        <f>12.5*(40.89+40.89+156.96)</f>
        <v>2984.25</v>
      </c>
      <c r="J38" s="259"/>
      <c r="K38" s="259">
        <f t="shared" si="1"/>
        <v>6765.13</v>
      </c>
      <c r="L38" s="203"/>
      <c r="M38" s="194"/>
      <c r="N38" s="194"/>
    </row>
    <row r="39" spans="1:14" s="117" customFormat="1" ht="13.5" customHeight="1" x14ac:dyDescent="0.25">
      <c r="A39" s="276"/>
      <c r="B39" s="222">
        <v>18577</v>
      </c>
      <c r="C39" s="258" t="s">
        <v>230</v>
      </c>
      <c r="D39" s="276"/>
      <c r="E39" s="276"/>
      <c r="F39" s="259">
        <v>0</v>
      </c>
      <c r="G39" s="259"/>
      <c r="H39" s="259"/>
      <c r="I39" s="259">
        <f>7.5*(118.99+40.89)</f>
        <v>1199.0999999999999</v>
      </c>
      <c r="J39" s="259"/>
      <c r="K39" s="259">
        <f t="shared" si="1"/>
        <v>1199.0999999999999</v>
      </c>
      <c r="L39" s="203"/>
      <c r="M39" s="194"/>
      <c r="N39" s="194"/>
    </row>
    <row r="40" spans="1:14" s="117" customFormat="1" ht="13.5" customHeight="1" x14ac:dyDescent="0.25">
      <c r="A40" s="276">
        <v>37</v>
      </c>
      <c r="B40" s="222">
        <v>18481</v>
      </c>
      <c r="C40" s="258" t="s">
        <v>176</v>
      </c>
      <c r="D40" s="276" t="s">
        <v>131</v>
      </c>
      <c r="E40" s="276" t="s">
        <v>130</v>
      </c>
      <c r="F40" s="259">
        <v>0</v>
      </c>
      <c r="G40" s="259"/>
      <c r="H40" s="259"/>
      <c r="I40" s="259">
        <f>3.5*(100.96+40.89+156.96)</f>
        <v>1045.835</v>
      </c>
      <c r="J40" s="259"/>
      <c r="K40" s="259">
        <f t="shared" si="1"/>
        <v>1045.835</v>
      </c>
      <c r="L40" s="203"/>
      <c r="M40" s="194"/>
      <c r="N40" s="194"/>
    </row>
    <row r="41" spans="1:14" s="117" customFormat="1" ht="13.5" customHeight="1" x14ac:dyDescent="0.25">
      <c r="A41" s="276"/>
      <c r="B41" s="222">
        <v>18556</v>
      </c>
      <c r="C41" s="258" t="s">
        <v>224</v>
      </c>
      <c r="D41" s="276"/>
      <c r="E41" s="276"/>
      <c r="F41" s="259">
        <f>0.5*472.61</f>
        <v>236.30500000000001</v>
      </c>
      <c r="G41" s="259"/>
      <c r="H41" s="259"/>
      <c r="I41" s="259">
        <f>5*(100.96+118.99)</f>
        <v>1099.75</v>
      </c>
      <c r="J41" s="259"/>
      <c r="K41" s="259">
        <f t="shared" si="1"/>
        <v>1336.0550000000001</v>
      </c>
      <c r="L41" s="203"/>
      <c r="M41" s="194"/>
      <c r="N41" s="194"/>
    </row>
    <row r="42" spans="1:14" s="117" customFormat="1" ht="13.5" customHeight="1" x14ac:dyDescent="0.25">
      <c r="A42" s="276">
        <v>38</v>
      </c>
      <c r="B42" s="222">
        <v>18452</v>
      </c>
      <c r="C42" s="258" t="s">
        <v>231</v>
      </c>
      <c r="D42" s="276" t="s">
        <v>285</v>
      </c>
      <c r="E42" s="276" t="s">
        <v>88</v>
      </c>
      <c r="F42" s="259">
        <f>8*472.61</f>
        <v>3780.88</v>
      </c>
      <c r="G42" s="259">
        <f>1*3400</f>
        <v>3400</v>
      </c>
      <c r="H42" s="259"/>
      <c r="I42" s="259">
        <f>4.5*(100.96+40.89+156.96)</f>
        <v>1344.645</v>
      </c>
      <c r="J42" s="259"/>
      <c r="K42" s="259">
        <f t="shared" si="1"/>
        <v>8525.5249999999996</v>
      </c>
      <c r="L42" s="203"/>
      <c r="M42" s="194"/>
      <c r="N42" s="194"/>
    </row>
    <row r="43" spans="1:14" s="117" customFormat="1" ht="13.5" customHeight="1" x14ac:dyDescent="0.25">
      <c r="A43" s="276"/>
      <c r="B43" s="222">
        <v>18528</v>
      </c>
      <c r="C43" s="258" t="s">
        <v>187</v>
      </c>
      <c r="D43" s="276"/>
      <c r="E43" s="276"/>
      <c r="F43" s="259">
        <v>0</v>
      </c>
      <c r="G43" s="259"/>
      <c r="H43" s="259"/>
      <c r="I43" s="259">
        <f>1.15*(118.99+40.89)</f>
        <v>183.86199999999999</v>
      </c>
      <c r="J43" s="259"/>
      <c r="K43" s="259">
        <f t="shared" si="1"/>
        <v>183.86199999999999</v>
      </c>
      <c r="L43" s="203"/>
      <c r="M43" s="194"/>
      <c r="N43" s="194"/>
    </row>
    <row r="44" spans="1:14" s="117" customFormat="1" ht="13.5" customHeight="1" x14ac:dyDescent="0.25">
      <c r="A44" s="276">
        <v>39</v>
      </c>
      <c r="B44" s="222">
        <v>18442</v>
      </c>
      <c r="C44" s="258" t="s">
        <v>225</v>
      </c>
      <c r="D44" s="276" t="s">
        <v>112</v>
      </c>
      <c r="E44" s="276" t="s">
        <v>106</v>
      </c>
      <c r="F44" s="259">
        <v>0</v>
      </c>
      <c r="G44" s="259"/>
      <c r="H44" s="259"/>
      <c r="I44" s="259">
        <f>1.5*(40.89+118.99)</f>
        <v>239.82</v>
      </c>
      <c r="J44" s="259"/>
      <c r="K44" s="259">
        <f t="shared" si="1"/>
        <v>239.82</v>
      </c>
      <c r="L44" s="203"/>
      <c r="M44" s="194"/>
      <c r="N44" s="194"/>
    </row>
    <row r="45" spans="1:14" s="117" customFormat="1" ht="13.5" customHeight="1" x14ac:dyDescent="0.25">
      <c r="A45" s="276"/>
      <c r="B45" s="222">
        <v>18563</v>
      </c>
      <c r="C45" s="258" t="s">
        <v>224</v>
      </c>
      <c r="D45" s="276"/>
      <c r="E45" s="276"/>
      <c r="F45" s="259">
        <f>12*472.61</f>
        <v>5671.32</v>
      </c>
      <c r="G45" s="259"/>
      <c r="H45" s="259"/>
      <c r="I45" s="259">
        <f>5*(100.96+40.89+156.96)</f>
        <v>1494.05</v>
      </c>
      <c r="J45" s="259"/>
      <c r="K45" s="259">
        <f t="shared" si="1"/>
        <v>7165.37</v>
      </c>
      <c r="L45" s="203"/>
      <c r="M45" s="194"/>
      <c r="N45" s="194"/>
    </row>
    <row r="46" spans="1:14" s="117" customFormat="1" ht="13.5" customHeight="1" x14ac:dyDescent="0.25">
      <c r="A46" s="276">
        <v>40</v>
      </c>
      <c r="B46" s="222">
        <v>18446</v>
      </c>
      <c r="C46" s="258" t="s">
        <v>233</v>
      </c>
      <c r="D46" s="276" t="s">
        <v>146</v>
      </c>
      <c r="E46" s="276" t="s">
        <v>88</v>
      </c>
      <c r="F46" s="259">
        <v>0</v>
      </c>
      <c r="G46" s="259"/>
      <c r="H46" s="259"/>
      <c r="I46" s="259">
        <f>1*(118.99+40.89)</f>
        <v>159.88</v>
      </c>
      <c r="J46" s="259"/>
      <c r="K46" s="259">
        <f t="shared" si="1"/>
        <v>159.88</v>
      </c>
      <c r="L46" s="203"/>
      <c r="M46" s="194"/>
      <c r="N46" s="194"/>
    </row>
    <row r="47" spans="1:14" s="117" customFormat="1" ht="13.5" customHeight="1" x14ac:dyDescent="0.25">
      <c r="A47" s="276"/>
      <c r="B47" s="222">
        <v>18574</v>
      </c>
      <c r="C47" s="258" t="s">
        <v>230</v>
      </c>
      <c r="D47" s="276"/>
      <c r="E47" s="276"/>
      <c r="F47" s="259">
        <f>8*472.61</f>
        <v>3780.88</v>
      </c>
      <c r="G47" s="259">
        <f>1*2591.9</f>
        <v>2591.9</v>
      </c>
      <c r="H47" s="259"/>
      <c r="I47" s="259">
        <f>3.5*(100.96+40.89)</f>
        <v>496.47499999999997</v>
      </c>
      <c r="J47" s="259"/>
      <c r="K47" s="259">
        <f t="shared" si="1"/>
        <v>6869.255000000001</v>
      </c>
      <c r="L47" s="203"/>
      <c r="M47" s="194"/>
      <c r="N47" s="194"/>
    </row>
    <row r="48" spans="1:14" s="117" customFormat="1" ht="13.5" customHeight="1" x14ac:dyDescent="0.25">
      <c r="A48" s="276">
        <v>41</v>
      </c>
      <c r="B48" s="222">
        <v>18440</v>
      </c>
      <c r="C48" s="258" t="s">
        <v>245</v>
      </c>
      <c r="D48" s="276" t="s">
        <v>220</v>
      </c>
      <c r="E48" s="276" t="s">
        <v>216</v>
      </c>
      <c r="F48" s="259">
        <v>0</v>
      </c>
      <c r="G48" s="259"/>
      <c r="H48" s="259"/>
      <c r="I48" s="259">
        <f>3.5*(100.96+40.89+156.96)</f>
        <v>1045.835</v>
      </c>
      <c r="J48" s="259"/>
      <c r="K48" s="259">
        <f t="shared" si="1"/>
        <v>1045.835</v>
      </c>
      <c r="L48" s="203"/>
      <c r="M48" s="194"/>
      <c r="N48" s="194"/>
    </row>
    <row r="49" spans="1:14" s="117" customFormat="1" ht="13.5" customHeight="1" x14ac:dyDescent="0.25">
      <c r="A49" s="276"/>
      <c r="B49" s="222">
        <v>18493</v>
      </c>
      <c r="C49" s="258" t="s">
        <v>219</v>
      </c>
      <c r="D49" s="276"/>
      <c r="E49" s="276"/>
      <c r="F49" s="259">
        <f>5*472.61</f>
        <v>2363.0500000000002</v>
      </c>
      <c r="G49" s="259">
        <f>1*(3288.03+8986.73)</f>
        <v>12274.76</v>
      </c>
      <c r="H49" s="259"/>
      <c r="I49" s="259">
        <f>2.5*(40.89+40.89+156.96)</f>
        <v>596.85</v>
      </c>
      <c r="J49" s="259"/>
      <c r="K49" s="259">
        <f t="shared" si="1"/>
        <v>15234.660000000002</v>
      </c>
      <c r="L49" s="203"/>
      <c r="M49" s="194"/>
      <c r="N49" s="194"/>
    </row>
    <row r="50" spans="1:14" s="117" customFormat="1" ht="13.5" customHeight="1" x14ac:dyDescent="0.25">
      <c r="A50" s="276">
        <v>42</v>
      </c>
      <c r="B50" s="222">
        <v>18502</v>
      </c>
      <c r="C50" s="258" t="s">
        <v>219</v>
      </c>
      <c r="D50" s="276" t="s">
        <v>138</v>
      </c>
      <c r="E50" s="276" t="s">
        <v>130</v>
      </c>
      <c r="F50" s="259">
        <f>10*472.61</f>
        <v>4726.1000000000004</v>
      </c>
      <c r="G50" s="259"/>
      <c r="H50" s="259"/>
      <c r="I50" s="259">
        <f>2*(40.89+40.89+100.96)</f>
        <v>365.48</v>
      </c>
      <c r="J50" s="259"/>
      <c r="K50" s="259">
        <f t="shared" si="1"/>
        <v>5091.58</v>
      </c>
      <c r="L50" s="203"/>
      <c r="M50" s="194"/>
      <c r="N50" s="194"/>
    </row>
    <row r="51" spans="1:14" s="117" customFormat="1" ht="13.5" customHeight="1" x14ac:dyDescent="0.25">
      <c r="A51" s="276"/>
      <c r="B51" s="222">
        <v>18521</v>
      </c>
      <c r="C51" s="258" t="s">
        <v>184</v>
      </c>
      <c r="D51" s="276"/>
      <c r="E51" s="276"/>
      <c r="F51" s="259">
        <f>10*472.61</f>
        <v>4726.1000000000004</v>
      </c>
      <c r="G51" s="259"/>
      <c r="H51" s="259"/>
      <c r="I51" s="259">
        <f>3.75*(40.89+40.89+100.96)</f>
        <v>685.27500000000009</v>
      </c>
      <c r="J51" s="259"/>
      <c r="K51" s="259">
        <f t="shared" si="1"/>
        <v>5411.375</v>
      </c>
      <c r="L51" s="203"/>
      <c r="M51" s="194"/>
      <c r="N51" s="194"/>
    </row>
    <row r="52" spans="1:14" s="117" customFormat="1" ht="13.5" customHeight="1" x14ac:dyDescent="0.25">
      <c r="A52" s="276"/>
      <c r="B52" s="222">
        <v>18564</v>
      </c>
      <c r="C52" s="258" t="s">
        <v>224</v>
      </c>
      <c r="D52" s="276"/>
      <c r="E52" s="276"/>
      <c r="F52" s="259">
        <v>0</v>
      </c>
      <c r="G52" s="259"/>
      <c r="H52" s="259"/>
      <c r="I52" s="259">
        <f>5*(40.89+156.96)</f>
        <v>989.25000000000011</v>
      </c>
      <c r="J52" s="259"/>
      <c r="K52" s="259">
        <f t="shared" si="1"/>
        <v>989.25000000000011</v>
      </c>
      <c r="L52" s="203"/>
      <c r="M52" s="194"/>
      <c r="N52" s="194"/>
    </row>
    <row r="53" spans="1:14" s="117" customFormat="1" ht="13.5" customHeight="1" x14ac:dyDescent="0.25">
      <c r="A53" s="276">
        <v>43</v>
      </c>
      <c r="B53" s="222">
        <v>18458</v>
      </c>
      <c r="C53" s="258" t="s">
        <v>176</v>
      </c>
      <c r="D53" s="276" t="s">
        <v>292</v>
      </c>
      <c r="E53" s="276" t="s">
        <v>106</v>
      </c>
      <c r="F53" s="259">
        <v>0</v>
      </c>
      <c r="G53" s="259"/>
      <c r="H53" s="259"/>
      <c r="I53" s="259">
        <f>6*(100.96+40.89+156.96)</f>
        <v>1792.8600000000001</v>
      </c>
      <c r="J53" s="259"/>
      <c r="K53" s="259">
        <f t="shared" si="1"/>
        <v>1792.8600000000001</v>
      </c>
      <c r="L53" s="203"/>
      <c r="M53" s="194"/>
      <c r="N53" s="194"/>
    </row>
    <row r="54" spans="1:14" s="117" customFormat="1" ht="13.5" customHeight="1" x14ac:dyDescent="0.25">
      <c r="A54" s="276"/>
      <c r="B54" s="222">
        <v>18533</v>
      </c>
      <c r="C54" s="258" t="s">
        <v>187</v>
      </c>
      <c r="D54" s="276"/>
      <c r="E54" s="276"/>
      <c r="F54" s="259">
        <f>12*472.61</f>
        <v>5671.32</v>
      </c>
      <c r="G54" s="259">
        <f>1*3500</f>
        <v>3500</v>
      </c>
      <c r="H54" s="259"/>
      <c r="I54" s="259">
        <f>5*(100.96+40.89+40.89)</f>
        <v>913.7</v>
      </c>
      <c r="J54" s="259"/>
      <c r="K54" s="259">
        <f t="shared" si="1"/>
        <v>10085.02</v>
      </c>
      <c r="L54" s="203"/>
      <c r="M54" s="194"/>
      <c r="N54" s="194"/>
    </row>
    <row r="55" spans="1:14" s="117" customFormat="1" ht="13.5" customHeight="1" x14ac:dyDescent="0.25">
      <c r="A55" s="276"/>
      <c r="B55" s="222">
        <v>18545</v>
      </c>
      <c r="C55" s="258" t="s">
        <v>189</v>
      </c>
      <c r="D55" s="276"/>
      <c r="E55" s="276"/>
      <c r="F55" s="259">
        <v>0</v>
      </c>
      <c r="G55" s="259"/>
      <c r="H55" s="259"/>
      <c r="I55" s="259">
        <f>11.5*(100.96+40.89+40.89)</f>
        <v>2101.5100000000002</v>
      </c>
      <c r="J55" s="259"/>
      <c r="K55" s="259">
        <f t="shared" si="1"/>
        <v>2101.5100000000002</v>
      </c>
      <c r="L55" s="203"/>
      <c r="M55" s="194"/>
      <c r="N55" s="194"/>
    </row>
    <row r="56" spans="1:14" s="117" customFormat="1" x14ac:dyDescent="0.25">
      <c r="A56" s="251">
        <v>44</v>
      </c>
      <c r="B56" s="222">
        <v>18613</v>
      </c>
      <c r="C56" s="258" t="s">
        <v>228</v>
      </c>
      <c r="D56" s="251" t="s">
        <v>136</v>
      </c>
      <c r="E56" s="251" t="s">
        <v>106</v>
      </c>
      <c r="F56" s="259"/>
      <c r="G56" s="259"/>
      <c r="H56" s="259"/>
      <c r="I56" s="259">
        <f>3*50.48</f>
        <v>151.44</v>
      </c>
      <c r="J56" s="259"/>
      <c r="K56" s="259">
        <f t="shared" si="1"/>
        <v>151.44</v>
      </c>
      <c r="L56" s="203"/>
      <c r="M56" s="194"/>
      <c r="N56" s="194"/>
    </row>
    <row r="57" spans="1:14" s="117" customFormat="1" x14ac:dyDescent="0.25">
      <c r="A57" s="251">
        <v>45</v>
      </c>
      <c r="B57" s="222">
        <v>18590</v>
      </c>
      <c r="C57" s="258" t="s">
        <v>197</v>
      </c>
      <c r="D57" s="251" t="s">
        <v>210</v>
      </c>
      <c r="E57" s="251" t="s">
        <v>88</v>
      </c>
      <c r="F57" s="259"/>
      <c r="G57" s="259"/>
      <c r="H57" s="259"/>
      <c r="I57" s="259">
        <f>3*(50.48+48.32+48.32)</f>
        <v>441.36</v>
      </c>
      <c r="J57" s="259"/>
      <c r="K57" s="259">
        <f t="shared" si="1"/>
        <v>441.36</v>
      </c>
      <c r="L57" s="203"/>
      <c r="M57" s="194"/>
      <c r="N57" s="194"/>
    </row>
    <row r="58" spans="1:14" s="117" customFormat="1" x14ac:dyDescent="0.25">
      <c r="A58" s="251">
        <v>46</v>
      </c>
      <c r="B58" s="222">
        <v>18595</v>
      </c>
      <c r="C58" s="258" t="s">
        <v>197</v>
      </c>
      <c r="D58" s="251" t="s">
        <v>198</v>
      </c>
      <c r="E58" s="251" t="s">
        <v>88</v>
      </c>
      <c r="F58" s="259"/>
      <c r="G58" s="259"/>
      <c r="H58" s="259"/>
      <c r="I58" s="259">
        <f>2*(50.48+48.32+48.32)</f>
        <v>294.24</v>
      </c>
      <c r="J58" s="259"/>
      <c r="K58" s="259">
        <f t="shared" si="1"/>
        <v>294.24</v>
      </c>
      <c r="L58" s="203"/>
      <c r="M58" s="194"/>
      <c r="N58" s="194"/>
    </row>
    <row r="59" spans="1:14" s="117" customFormat="1" x14ac:dyDescent="0.25">
      <c r="A59" s="251">
        <v>47</v>
      </c>
      <c r="B59" s="222">
        <v>18544</v>
      </c>
      <c r="C59" s="258" t="s">
        <v>189</v>
      </c>
      <c r="D59" s="251" t="s">
        <v>354</v>
      </c>
      <c r="E59" s="251" t="s">
        <v>106</v>
      </c>
      <c r="F59" s="259"/>
      <c r="G59" s="259"/>
      <c r="H59" s="259"/>
      <c r="I59" s="259">
        <f>2*(50.48+48.32+48.32)</f>
        <v>294.24</v>
      </c>
      <c r="J59" s="259"/>
      <c r="K59" s="259">
        <f t="shared" si="1"/>
        <v>294.24</v>
      </c>
      <c r="L59" s="203"/>
      <c r="M59" s="194"/>
      <c r="N59" s="194"/>
    </row>
    <row r="60" spans="1:14" s="117" customFormat="1" x14ac:dyDescent="0.25">
      <c r="A60" s="251">
        <v>48</v>
      </c>
      <c r="B60" s="222">
        <v>18568</v>
      </c>
      <c r="C60" s="258" t="s">
        <v>256</v>
      </c>
      <c r="D60" s="251" t="s">
        <v>112</v>
      </c>
      <c r="E60" s="251" t="s">
        <v>106</v>
      </c>
      <c r="F60" s="259"/>
      <c r="G60" s="259"/>
      <c r="H60" s="259"/>
      <c r="I60" s="259">
        <f>2*(50.48+48.32+48.32)</f>
        <v>294.24</v>
      </c>
      <c r="J60" s="259"/>
      <c r="K60" s="259">
        <f t="shared" si="1"/>
        <v>294.24</v>
      </c>
      <c r="L60" s="203"/>
      <c r="M60" s="194"/>
      <c r="N60" s="194"/>
    </row>
    <row r="61" spans="1:14" s="117" customFormat="1" x14ac:dyDescent="0.25">
      <c r="A61" s="251">
        <v>49</v>
      </c>
      <c r="B61" s="222">
        <v>17089</v>
      </c>
      <c r="C61" s="258" t="s">
        <v>256</v>
      </c>
      <c r="D61" s="251" t="s">
        <v>202</v>
      </c>
      <c r="E61" s="251" t="s">
        <v>88</v>
      </c>
      <c r="F61" s="259"/>
      <c r="G61" s="259"/>
      <c r="H61" s="259"/>
      <c r="I61" s="259">
        <f>2*(50.48+48.32+48.32)</f>
        <v>294.24</v>
      </c>
      <c r="J61" s="259"/>
      <c r="K61" s="259">
        <f t="shared" si="1"/>
        <v>294.24</v>
      </c>
      <c r="L61" s="203"/>
      <c r="M61" s="194"/>
      <c r="N61" s="194"/>
    </row>
    <row r="62" spans="1:14" s="117" customFormat="1" x14ac:dyDescent="0.25">
      <c r="A62" s="251">
        <v>50</v>
      </c>
      <c r="B62" s="222">
        <v>18504</v>
      </c>
      <c r="C62" s="258" t="s">
        <v>172</v>
      </c>
      <c r="D62" s="251" t="s">
        <v>234</v>
      </c>
      <c r="E62" s="251" t="s">
        <v>88</v>
      </c>
      <c r="F62" s="259"/>
      <c r="G62" s="259"/>
      <c r="H62" s="259"/>
      <c r="I62" s="259">
        <f>2*(50.48+48.32)</f>
        <v>197.6</v>
      </c>
      <c r="J62" s="259"/>
      <c r="K62" s="259">
        <f t="shared" si="1"/>
        <v>197.6</v>
      </c>
      <c r="L62" s="203"/>
      <c r="M62" s="194"/>
      <c r="N62" s="194"/>
    </row>
    <row r="63" spans="1:14" s="117" customFormat="1" x14ac:dyDescent="0.25">
      <c r="A63" s="251">
        <v>51</v>
      </c>
      <c r="B63" s="222">
        <v>18596</v>
      </c>
      <c r="C63" s="258" t="s">
        <v>197</v>
      </c>
      <c r="D63" s="251" t="s">
        <v>355</v>
      </c>
      <c r="E63" s="251" t="s">
        <v>140</v>
      </c>
      <c r="F63" s="259"/>
      <c r="G63" s="259"/>
      <c r="H63" s="259"/>
      <c r="I63" s="259">
        <f>2*(50.48+48.32+48.32)</f>
        <v>294.24</v>
      </c>
      <c r="J63" s="259"/>
      <c r="K63" s="259">
        <f t="shared" si="1"/>
        <v>294.24</v>
      </c>
      <c r="L63" s="203"/>
      <c r="M63" s="194"/>
      <c r="N63" s="194"/>
    </row>
    <row r="64" spans="1:14" s="117" customFormat="1" x14ac:dyDescent="0.25">
      <c r="A64" s="251">
        <v>52</v>
      </c>
      <c r="B64" s="222">
        <v>18451</v>
      </c>
      <c r="C64" s="258" t="s">
        <v>231</v>
      </c>
      <c r="D64" s="251" t="s">
        <v>131</v>
      </c>
      <c r="E64" s="251" t="s">
        <v>130</v>
      </c>
      <c r="F64" s="259"/>
      <c r="G64" s="259"/>
      <c r="H64" s="259">
        <f>2*(15092.55+1796.01)</f>
        <v>33777.119999999995</v>
      </c>
      <c r="I64" s="259">
        <f>2*(50.48+48.32+48.32)</f>
        <v>294.24</v>
      </c>
      <c r="J64" s="259"/>
      <c r="K64" s="259">
        <f t="shared" si="1"/>
        <v>34071.359999999993</v>
      </c>
      <c r="L64" s="203"/>
      <c r="M64" s="194"/>
      <c r="N64" s="194"/>
    </row>
    <row r="65" spans="1:16" s="117" customFormat="1" x14ac:dyDescent="0.25">
      <c r="A65" s="251">
        <v>53</v>
      </c>
      <c r="B65" s="222">
        <v>18503</v>
      </c>
      <c r="C65" s="258" t="s">
        <v>172</v>
      </c>
      <c r="D65" s="251" t="s">
        <v>303</v>
      </c>
      <c r="E65" s="251" t="s">
        <v>140</v>
      </c>
      <c r="F65" s="259"/>
      <c r="G65" s="259"/>
      <c r="H65" s="259"/>
      <c r="I65" s="259">
        <f>3*50.48</f>
        <v>151.44</v>
      </c>
      <c r="J65" s="259"/>
      <c r="K65" s="259">
        <f t="shared" si="1"/>
        <v>151.44</v>
      </c>
      <c r="L65" s="203"/>
      <c r="M65" s="194"/>
      <c r="N65" s="194"/>
    </row>
    <row r="66" spans="1:16" s="117" customFormat="1" x14ac:dyDescent="0.25">
      <c r="A66" s="251">
        <v>54</v>
      </c>
      <c r="B66" s="251">
        <v>18494</v>
      </c>
      <c r="C66" s="258" t="s">
        <v>219</v>
      </c>
      <c r="D66" s="251" t="s">
        <v>294</v>
      </c>
      <c r="E66" s="251" t="s">
        <v>290</v>
      </c>
      <c r="F66" s="239"/>
      <c r="G66" s="239"/>
      <c r="H66" s="239"/>
      <c r="I66" s="239">
        <f>3*(50.48+48.32)</f>
        <v>296.39999999999998</v>
      </c>
      <c r="J66" s="239"/>
      <c r="K66" s="259">
        <f t="shared" si="1"/>
        <v>296.39999999999998</v>
      </c>
      <c r="L66" s="203"/>
      <c r="M66" s="194"/>
      <c r="N66" s="194"/>
      <c r="O66" s="194"/>
      <c r="P66" s="194"/>
    </row>
    <row r="67" spans="1:16" s="117" customFormat="1" x14ac:dyDescent="0.25">
      <c r="A67" s="251">
        <v>55</v>
      </c>
      <c r="B67" s="251">
        <v>18528</v>
      </c>
      <c r="C67" s="258" t="s">
        <v>221</v>
      </c>
      <c r="D67" s="251" t="s">
        <v>285</v>
      </c>
      <c r="E67" s="251" t="s">
        <v>88</v>
      </c>
      <c r="F67" s="239"/>
      <c r="G67" s="239"/>
      <c r="H67" s="239">
        <f>4*973.95</f>
        <v>3895.8</v>
      </c>
      <c r="I67" s="239">
        <f>3*(50.48+48.32+48.32)</f>
        <v>441.36</v>
      </c>
      <c r="J67" s="239"/>
      <c r="K67" s="259">
        <f t="shared" ref="K67:K73" si="2">F67+G67+H67+I67+J67</f>
        <v>4337.16</v>
      </c>
      <c r="L67" s="203"/>
      <c r="M67" s="194"/>
      <c r="N67" s="194"/>
      <c r="O67" s="194"/>
      <c r="P67" s="194"/>
    </row>
    <row r="68" spans="1:16" s="117" customFormat="1" x14ac:dyDescent="0.25">
      <c r="A68" s="251">
        <v>56</v>
      </c>
      <c r="B68" s="251">
        <v>18643</v>
      </c>
      <c r="C68" s="258" t="s">
        <v>221</v>
      </c>
      <c r="D68" s="251" t="s">
        <v>232</v>
      </c>
      <c r="E68" s="251" t="s">
        <v>88</v>
      </c>
      <c r="F68" s="239"/>
      <c r="G68" s="239"/>
      <c r="H68" s="239">
        <f>2*(15092.55+1796.01)</f>
        <v>33777.119999999995</v>
      </c>
      <c r="I68" s="239">
        <f>3*(50.48+48.32+48.32)</f>
        <v>441.36</v>
      </c>
      <c r="J68" s="239"/>
      <c r="K68" s="259">
        <f t="shared" si="2"/>
        <v>34218.479999999996</v>
      </c>
      <c r="L68" s="203"/>
      <c r="M68" s="194"/>
      <c r="N68" s="194"/>
      <c r="O68" s="194"/>
      <c r="P68" s="194"/>
    </row>
    <row r="69" spans="1:16" s="117" customFormat="1" x14ac:dyDescent="0.25">
      <c r="A69" s="276">
        <v>57</v>
      </c>
      <c r="B69" s="222">
        <v>18477</v>
      </c>
      <c r="C69" s="258" t="s">
        <v>176</v>
      </c>
      <c r="D69" s="279" t="s">
        <v>138</v>
      </c>
      <c r="E69" s="276" t="s">
        <v>130</v>
      </c>
      <c r="F69" s="259"/>
      <c r="G69" s="259"/>
      <c r="H69" s="259"/>
      <c r="I69" s="259">
        <f>3*(50.48+48.32+48.32)</f>
        <v>441.36</v>
      </c>
      <c r="J69" s="259"/>
      <c r="K69" s="259">
        <f t="shared" si="2"/>
        <v>441.36</v>
      </c>
      <c r="L69" s="203"/>
      <c r="M69" s="194"/>
      <c r="N69" s="194"/>
    </row>
    <row r="70" spans="1:16" s="117" customFormat="1" x14ac:dyDescent="0.25">
      <c r="A70" s="276"/>
      <c r="B70" s="222">
        <v>18468</v>
      </c>
      <c r="C70" s="258" t="s">
        <v>237</v>
      </c>
      <c r="D70" s="279"/>
      <c r="E70" s="276"/>
      <c r="F70" s="259"/>
      <c r="G70" s="259"/>
      <c r="H70" s="259"/>
      <c r="I70" s="259">
        <f>2*(50.48+48.32)</f>
        <v>197.6</v>
      </c>
      <c r="J70" s="259"/>
      <c r="K70" s="259">
        <f t="shared" si="2"/>
        <v>197.6</v>
      </c>
      <c r="L70" s="203"/>
      <c r="M70" s="194"/>
      <c r="N70" s="194"/>
    </row>
    <row r="71" spans="1:16" s="117" customFormat="1" x14ac:dyDescent="0.25">
      <c r="A71" s="276">
        <v>58</v>
      </c>
      <c r="B71" s="222">
        <v>18440</v>
      </c>
      <c r="C71" s="258" t="s">
        <v>245</v>
      </c>
      <c r="D71" s="276" t="s">
        <v>220</v>
      </c>
      <c r="E71" s="276" t="s">
        <v>216</v>
      </c>
      <c r="F71" s="259"/>
      <c r="G71" s="259"/>
      <c r="H71" s="259"/>
      <c r="I71" s="259">
        <f>2*(50.48+48.32+48.32)</f>
        <v>294.24</v>
      </c>
      <c r="J71" s="259"/>
      <c r="K71" s="259">
        <f t="shared" si="2"/>
        <v>294.24</v>
      </c>
      <c r="L71" s="203"/>
      <c r="M71" s="194"/>
      <c r="N71" s="194"/>
    </row>
    <row r="72" spans="1:16" s="117" customFormat="1" ht="15.75" thickBot="1" x14ac:dyDescent="0.3">
      <c r="A72" s="276"/>
      <c r="B72" s="222">
        <v>18493</v>
      </c>
      <c r="C72" s="258" t="s">
        <v>219</v>
      </c>
      <c r="D72" s="276"/>
      <c r="E72" s="277"/>
      <c r="F72" s="264"/>
      <c r="G72" s="264"/>
      <c r="H72" s="264"/>
      <c r="I72" s="264">
        <f>3*(50.48+48.32+48.32)</f>
        <v>441.36</v>
      </c>
      <c r="J72" s="264"/>
      <c r="K72" s="264">
        <f t="shared" si="2"/>
        <v>441.36</v>
      </c>
      <c r="L72" s="203"/>
      <c r="M72" s="194"/>
      <c r="N72" s="194"/>
    </row>
    <row r="73" spans="1:16" s="141" customFormat="1" ht="16.5" thickBot="1" x14ac:dyDescent="0.3">
      <c r="A73" s="275"/>
      <c r="B73" s="275"/>
      <c r="C73" s="275"/>
      <c r="D73" s="275"/>
      <c r="E73" s="145" t="s">
        <v>19</v>
      </c>
      <c r="F73" s="146">
        <f>SUM(F3:F72)</f>
        <v>126402.62000000005</v>
      </c>
      <c r="G73" s="146">
        <f>SUM(G3:G72)</f>
        <v>89095.9</v>
      </c>
      <c r="H73" s="146">
        <f>SUM(H3:H72)</f>
        <v>71450.039999999994</v>
      </c>
      <c r="I73" s="146">
        <f>SUM(I3:I72)</f>
        <v>69462.704500000036</v>
      </c>
      <c r="J73" s="151">
        <f>SUM(J3:J72)</f>
        <v>0</v>
      </c>
      <c r="K73" s="152">
        <f t="shared" si="2"/>
        <v>356411.26450000011</v>
      </c>
      <c r="L73" s="139"/>
      <c r="M73" s="140"/>
      <c r="N73" s="140"/>
    </row>
    <row r="74" spans="1:16" s="14" customFormat="1" ht="15.75" x14ac:dyDescent="0.25">
      <c r="A74" s="100"/>
      <c r="B74" s="132"/>
      <c r="C74" s="19"/>
      <c r="D74" s="100"/>
      <c r="E74" s="100"/>
      <c r="F74" s="37"/>
      <c r="G74" s="37"/>
      <c r="H74" s="37"/>
      <c r="I74" s="37"/>
      <c r="J74" s="37"/>
      <c r="K74" s="37"/>
      <c r="L74" s="25"/>
      <c r="M74" s="2"/>
      <c r="N74" s="2"/>
    </row>
    <row r="75" spans="1:16" s="14" customFormat="1" ht="15.75" x14ac:dyDescent="0.25">
      <c r="A75" s="100"/>
      <c r="B75" s="132"/>
      <c r="C75" s="19"/>
      <c r="D75" s="100"/>
      <c r="E75" s="100"/>
      <c r="F75" s="37"/>
      <c r="G75" s="37"/>
      <c r="H75" s="37"/>
      <c r="I75" s="37"/>
      <c r="J75" s="37"/>
      <c r="K75" s="37"/>
      <c r="L75" s="25"/>
      <c r="M75" s="2"/>
      <c r="N75" s="2"/>
    </row>
    <row r="76" spans="1:16" s="14" customFormat="1" ht="15.75" x14ac:dyDescent="0.25">
      <c r="A76" s="100"/>
      <c r="B76" s="132"/>
      <c r="C76" s="19"/>
      <c r="D76" s="100"/>
      <c r="E76" s="100"/>
      <c r="L76" s="25"/>
      <c r="M76" s="2"/>
      <c r="N76" s="2"/>
    </row>
    <row r="77" spans="1:16" s="14" customFormat="1" ht="15.75" x14ac:dyDescent="0.25">
      <c r="A77" s="100"/>
      <c r="B77" s="132"/>
      <c r="C77" s="19"/>
      <c r="D77" s="100"/>
      <c r="E77" s="100"/>
      <c r="L77" s="25"/>
      <c r="M77" s="2"/>
      <c r="N77" s="2"/>
    </row>
    <row r="78" spans="1:16" s="14" customFormat="1" ht="15.75" x14ac:dyDescent="0.25">
      <c r="A78" s="100"/>
      <c r="B78" s="132"/>
      <c r="C78" s="19"/>
      <c r="D78" s="100"/>
      <c r="E78" s="100"/>
      <c r="F78" s="37"/>
      <c r="G78" s="37"/>
      <c r="H78" s="37"/>
      <c r="I78" s="37"/>
      <c r="J78" s="37"/>
      <c r="K78" s="37"/>
      <c r="L78" s="25"/>
      <c r="M78" s="2"/>
      <c r="N78" s="2"/>
    </row>
    <row r="79" spans="1:16" s="14" customFormat="1" ht="15.75" x14ac:dyDescent="0.25">
      <c r="A79" s="100"/>
      <c r="B79" s="132"/>
      <c r="C79" s="19"/>
      <c r="D79" s="100"/>
      <c r="E79" s="100"/>
      <c r="K79" s="37"/>
      <c r="L79" s="25"/>
      <c r="M79" s="2"/>
      <c r="N79" s="2"/>
    </row>
    <row r="80" spans="1:16" s="14" customFormat="1" ht="15.75" x14ac:dyDescent="0.25">
      <c r="A80" s="100"/>
      <c r="B80" s="132"/>
      <c r="C80" s="19"/>
      <c r="D80" s="100"/>
      <c r="E80" s="100"/>
      <c r="F80" s="37"/>
      <c r="G80" s="37"/>
      <c r="H80" s="37"/>
      <c r="I80" s="37"/>
      <c r="J80" s="37"/>
      <c r="K80" s="37"/>
      <c r="L80" s="25"/>
      <c r="M80" s="2"/>
      <c r="N80" s="2"/>
    </row>
    <row r="81" spans="1:14" s="14" customFormat="1" ht="15.75" x14ac:dyDescent="0.25">
      <c r="A81" s="100"/>
      <c r="B81" s="132"/>
      <c r="C81" s="19"/>
      <c r="D81" s="100"/>
      <c r="E81" s="100"/>
      <c r="F81" s="37"/>
      <c r="G81" s="37"/>
      <c r="H81" s="37"/>
      <c r="I81" s="37"/>
      <c r="J81" s="37"/>
      <c r="K81" s="37"/>
      <c r="L81" s="25"/>
      <c r="M81" s="2"/>
      <c r="N81" s="2"/>
    </row>
    <row r="82" spans="1:14" s="14" customFormat="1" ht="15.75" x14ac:dyDescent="0.25">
      <c r="A82" s="100"/>
      <c r="B82" s="132"/>
      <c r="C82" s="19"/>
      <c r="D82" s="100"/>
      <c r="E82" s="100"/>
      <c r="F82" s="37"/>
      <c r="G82" s="37"/>
      <c r="H82" s="37"/>
      <c r="I82" s="37"/>
      <c r="J82" s="37"/>
      <c r="K82" s="37"/>
      <c r="L82" s="25"/>
      <c r="M82" s="2"/>
      <c r="N82" s="2"/>
    </row>
    <row r="83" spans="1:14" s="14" customFormat="1" ht="15.75" x14ac:dyDescent="0.25">
      <c r="A83" s="100"/>
      <c r="B83" s="132"/>
      <c r="C83" s="19"/>
      <c r="D83" s="100"/>
      <c r="E83" s="100"/>
      <c r="F83" s="37"/>
      <c r="G83" s="37"/>
      <c r="H83" s="37"/>
      <c r="I83" s="37"/>
      <c r="J83" s="37"/>
      <c r="K83" s="37"/>
      <c r="L83" s="25"/>
      <c r="M83" s="2"/>
      <c r="N83" s="2"/>
    </row>
    <row r="84" spans="1:14" s="14" customFormat="1" ht="15.75" x14ac:dyDescent="0.25">
      <c r="A84" s="100"/>
      <c r="B84" s="132"/>
      <c r="C84" s="19"/>
      <c r="D84" s="100"/>
      <c r="E84" s="100"/>
      <c r="F84" s="37"/>
      <c r="G84" s="37"/>
      <c r="H84" s="37"/>
      <c r="I84" s="37"/>
      <c r="J84" s="37"/>
      <c r="K84" s="37"/>
      <c r="L84" s="25"/>
      <c r="M84" s="2"/>
      <c r="N84" s="2"/>
    </row>
    <row r="85" spans="1:14" s="14" customFormat="1" ht="15.75" x14ac:dyDescent="0.25">
      <c r="A85" s="100"/>
      <c r="B85" s="132"/>
      <c r="C85" s="19"/>
      <c r="D85" s="100"/>
      <c r="E85" s="100"/>
      <c r="F85" s="37"/>
      <c r="G85" s="37"/>
      <c r="H85" s="37"/>
      <c r="I85" s="37"/>
      <c r="J85" s="37"/>
      <c r="K85" s="37"/>
      <c r="L85" s="25"/>
      <c r="M85" s="2"/>
      <c r="N85" s="2"/>
    </row>
    <row r="86" spans="1:14" s="14" customFormat="1" ht="15.75" x14ac:dyDescent="0.25">
      <c r="A86" s="100"/>
      <c r="B86" s="132"/>
      <c r="C86" s="19"/>
      <c r="D86" s="100"/>
      <c r="E86" s="100"/>
      <c r="F86" s="37"/>
      <c r="G86" s="37"/>
      <c r="H86" s="37"/>
      <c r="I86" s="37"/>
      <c r="J86" s="37"/>
      <c r="K86" s="37"/>
      <c r="L86" s="25"/>
      <c r="M86" s="2"/>
      <c r="N86" s="2"/>
    </row>
    <row r="87" spans="1:14" s="14" customFormat="1" ht="15.75" x14ac:dyDescent="0.25">
      <c r="A87" s="100"/>
      <c r="B87" s="132"/>
      <c r="C87" s="19"/>
      <c r="D87" s="100"/>
      <c r="E87" s="100"/>
      <c r="F87" s="37"/>
      <c r="G87" s="37"/>
      <c r="H87" s="37"/>
      <c r="I87" s="37"/>
      <c r="J87" s="37"/>
      <c r="K87" s="37"/>
      <c r="L87" s="25"/>
      <c r="M87" s="2"/>
      <c r="N87" s="2"/>
    </row>
    <row r="88" spans="1:14" s="14" customFormat="1" ht="15.75" x14ac:dyDescent="0.25">
      <c r="A88" s="100"/>
      <c r="B88" s="132"/>
      <c r="C88" s="19"/>
      <c r="D88" s="100"/>
      <c r="E88" s="100"/>
      <c r="F88" s="37"/>
      <c r="G88" s="37"/>
      <c r="H88" s="37"/>
      <c r="I88" s="37"/>
      <c r="J88" s="37"/>
      <c r="K88" s="37"/>
      <c r="L88" s="25"/>
      <c r="M88" s="2"/>
      <c r="N88" s="2"/>
    </row>
    <row r="89" spans="1:14" s="14" customFormat="1" ht="15.75" x14ac:dyDescent="0.25">
      <c r="A89" s="100"/>
      <c r="B89" s="132"/>
      <c r="C89" s="19"/>
      <c r="D89" s="100"/>
      <c r="E89" s="100"/>
      <c r="F89" s="37"/>
      <c r="G89" s="37"/>
      <c r="H89" s="37"/>
      <c r="I89" s="37"/>
      <c r="J89" s="37"/>
      <c r="K89" s="37"/>
      <c r="L89" s="25"/>
      <c r="M89" s="2"/>
      <c r="N89" s="2"/>
    </row>
    <row r="90" spans="1:14" s="14" customFormat="1" ht="15.75" x14ac:dyDescent="0.25">
      <c r="A90" s="100"/>
      <c r="B90" s="132"/>
      <c r="C90" s="19"/>
      <c r="D90" s="100"/>
      <c r="E90" s="100"/>
      <c r="F90" s="37"/>
      <c r="G90" s="37"/>
      <c r="H90" s="37"/>
      <c r="I90" s="37"/>
      <c r="J90" s="37"/>
      <c r="K90" s="37"/>
      <c r="L90" s="25"/>
      <c r="M90" s="2"/>
      <c r="N90" s="2"/>
    </row>
    <row r="91" spans="1:14" s="14" customFormat="1" ht="15.75" x14ac:dyDescent="0.25">
      <c r="A91" s="100"/>
      <c r="B91" s="132"/>
      <c r="C91" s="19"/>
      <c r="D91" s="100"/>
      <c r="E91" s="100"/>
      <c r="F91" s="37"/>
      <c r="G91" s="37"/>
      <c r="H91" s="37"/>
      <c r="I91" s="37"/>
      <c r="J91" s="37"/>
      <c r="K91" s="37"/>
      <c r="L91" s="25"/>
      <c r="M91" s="2"/>
      <c r="N91" s="2"/>
    </row>
    <row r="92" spans="1:14" s="14" customFormat="1" ht="15.75" x14ac:dyDescent="0.25">
      <c r="A92" s="100"/>
      <c r="B92" s="132"/>
      <c r="C92" s="19"/>
      <c r="D92" s="100"/>
      <c r="E92" s="100"/>
      <c r="F92" s="37"/>
      <c r="G92" s="37"/>
      <c r="H92" s="37"/>
      <c r="I92" s="37"/>
      <c r="J92" s="37"/>
      <c r="K92" s="37"/>
      <c r="L92" s="25"/>
      <c r="M92" s="2"/>
      <c r="N92" s="2"/>
    </row>
    <row r="93" spans="1:14" s="14" customFormat="1" ht="15.75" x14ac:dyDescent="0.25">
      <c r="A93" s="100"/>
      <c r="B93" s="132"/>
      <c r="C93" s="19"/>
      <c r="D93" s="100"/>
      <c r="E93" s="100"/>
      <c r="F93" s="37"/>
      <c r="G93" s="37"/>
      <c r="H93" s="37"/>
      <c r="I93" s="37"/>
      <c r="J93" s="37"/>
      <c r="K93" s="37"/>
      <c r="L93" s="25"/>
      <c r="M93" s="2"/>
      <c r="N93" s="2"/>
    </row>
    <row r="94" spans="1:14" s="14" customFormat="1" ht="15.75" x14ac:dyDescent="0.25">
      <c r="A94" s="100"/>
      <c r="B94" s="132"/>
      <c r="C94" s="19"/>
      <c r="D94" s="100"/>
      <c r="E94" s="100"/>
      <c r="F94" s="37"/>
      <c r="G94" s="37"/>
      <c r="H94" s="37"/>
      <c r="I94" s="37"/>
      <c r="J94" s="37"/>
      <c r="K94" s="37"/>
      <c r="L94" s="25"/>
      <c r="M94" s="2"/>
      <c r="N94" s="2"/>
    </row>
    <row r="95" spans="1:14" s="14" customFormat="1" ht="15.75" x14ac:dyDescent="0.25">
      <c r="A95" s="100"/>
      <c r="B95" s="132"/>
      <c r="C95" s="19"/>
      <c r="D95" s="100"/>
      <c r="E95" s="100"/>
      <c r="F95" s="37"/>
      <c r="G95" s="37"/>
      <c r="H95" s="37"/>
      <c r="I95" s="37"/>
      <c r="J95" s="37"/>
      <c r="K95" s="37"/>
      <c r="L95" s="25"/>
      <c r="M95" s="2"/>
      <c r="N95" s="2"/>
    </row>
    <row r="96" spans="1:14" s="14" customFormat="1" ht="15.75" x14ac:dyDescent="0.25">
      <c r="A96" s="100"/>
      <c r="B96" s="132"/>
      <c r="C96" s="19"/>
      <c r="D96" s="100"/>
      <c r="E96" s="100"/>
      <c r="F96" s="37"/>
      <c r="G96" s="37"/>
      <c r="H96" s="37"/>
      <c r="I96" s="37"/>
      <c r="J96" s="37"/>
      <c r="K96" s="37"/>
      <c r="L96" s="25"/>
      <c r="M96" s="2"/>
      <c r="N96" s="2"/>
    </row>
    <row r="97" spans="1:14" s="14" customFormat="1" ht="15.75" x14ac:dyDescent="0.25">
      <c r="A97" s="100"/>
      <c r="B97" s="132"/>
      <c r="C97" s="19"/>
      <c r="D97" s="100"/>
      <c r="E97" s="100"/>
      <c r="F97" s="37"/>
      <c r="G97" s="37"/>
      <c r="H97" s="37"/>
      <c r="I97" s="37"/>
      <c r="J97" s="37"/>
      <c r="K97" s="37"/>
      <c r="L97" s="25"/>
      <c r="M97" s="2"/>
      <c r="N97" s="2"/>
    </row>
    <row r="98" spans="1:14" s="14" customFormat="1" ht="15.75" x14ac:dyDescent="0.25">
      <c r="A98" s="100"/>
      <c r="B98" s="132"/>
      <c r="C98" s="19"/>
      <c r="D98" s="100"/>
      <c r="E98" s="100"/>
      <c r="F98" s="37"/>
      <c r="G98" s="37"/>
      <c r="H98" s="37"/>
      <c r="I98" s="37"/>
      <c r="J98" s="37"/>
      <c r="K98" s="37"/>
      <c r="L98" s="25"/>
      <c r="M98" s="2"/>
      <c r="N98" s="2"/>
    </row>
    <row r="99" spans="1:14" s="14" customFormat="1" ht="15.75" x14ac:dyDescent="0.25">
      <c r="A99" s="100"/>
      <c r="B99" s="132"/>
      <c r="C99" s="19"/>
      <c r="D99" s="100"/>
      <c r="E99" s="100"/>
      <c r="F99" s="37"/>
      <c r="G99" s="37"/>
      <c r="H99" s="37"/>
      <c r="I99" s="37"/>
      <c r="J99" s="37"/>
      <c r="K99" s="37"/>
      <c r="L99" s="25"/>
      <c r="M99" s="2"/>
      <c r="N99" s="2"/>
    </row>
    <row r="100" spans="1:14" s="14" customFormat="1" ht="15.75" x14ac:dyDescent="0.25">
      <c r="A100" s="100"/>
      <c r="B100" s="132"/>
      <c r="C100" s="19"/>
      <c r="D100" s="100"/>
      <c r="E100" s="100"/>
      <c r="F100" s="37"/>
      <c r="G100" s="37"/>
      <c r="H100" s="37"/>
      <c r="I100" s="37"/>
      <c r="J100" s="37"/>
      <c r="K100" s="37"/>
      <c r="L100" s="25"/>
      <c r="M100" s="2"/>
      <c r="N100" s="2"/>
    </row>
    <row r="101" spans="1:14" s="14" customFormat="1" ht="15.75" x14ac:dyDescent="0.25">
      <c r="A101" s="100"/>
      <c r="B101" s="132"/>
      <c r="C101" s="19"/>
      <c r="D101" s="100"/>
      <c r="E101" s="100"/>
      <c r="F101" s="37"/>
      <c r="G101" s="37"/>
      <c r="H101" s="37"/>
      <c r="I101" s="37"/>
      <c r="J101" s="37"/>
      <c r="K101" s="37"/>
      <c r="L101" s="25"/>
      <c r="M101" s="2"/>
      <c r="N101" s="2"/>
    </row>
    <row r="102" spans="1:14" s="14" customFormat="1" ht="15.75" x14ac:dyDescent="0.25">
      <c r="A102" s="100"/>
      <c r="B102" s="132"/>
      <c r="C102" s="19"/>
      <c r="D102" s="100"/>
      <c r="E102" s="100"/>
      <c r="F102" s="37"/>
      <c r="G102" s="37"/>
      <c r="H102" s="37"/>
      <c r="I102" s="37"/>
      <c r="J102" s="37"/>
      <c r="K102" s="37"/>
      <c r="L102" s="25"/>
      <c r="M102" s="2"/>
      <c r="N102" s="2"/>
    </row>
    <row r="103" spans="1:14" s="14" customFormat="1" ht="15.75" x14ac:dyDescent="0.25">
      <c r="A103" s="100"/>
      <c r="B103" s="132"/>
      <c r="C103" s="19"/>
      <c r="D103" s="100"/>
      <c r="E103" s="100"/>
      <c r="F103" s="37"/>
      <c r="G103" s="37"/>
      <c r="H103" s="37"/>
      <c r="I103" s="37"/>
      <c r="J103" s="37"/>
      <c r="K103" s="37"/>
      <c r="L103" s="25"/>
      <c r="M103" s="2"/>
      <c r="N103" s="2"/>
    </row>
    <row r="104" spans="1:14" s="14" customFormat="1" ht="15.75" x14ac:dyDescent="0.25">
      <c r="A104" s="100"/>
      <c r="B104" s="132"/>
      <c r="C104" s="19"/>
      <c r="D104" s="100"/>
      <c r="E104" s="100"/>
      <c r="F104" s="37"/>
      <c r="G104" s="37"/>
      <c r="H104" s="37"/>
      <c r="I104" s="37"/>
      <c r="J104" s="37"/>
      <c r="K104" s="37"/>
      <c r="L104" s="25"/>
      <c r="M104" s="2"/>
      <c r="N104" s="2"/>
    </row>
    <row r="105" spans="1:14" s="14" customFormat="1" ht="15.75" x14ac:dyDescent="0.25">
      <c r="A105" s="100"/>
      <c r="B105" s="132"/>
      <c r="C105" s="19"/>
      <c r="D105" s="100"/>
      <c r="E105" s="100"/>
      <c r="F105" s="37"/>
      <c r="G105" s="37"/>
      <c r="H105" s="37"/>
      <c r="I105" s="37"/>
      <c r="J105" s="37"/>
      <c r="K105" s="37"/>
      <c r="L105" s="25"/>
      <c r="M105" s="2"/>
      <c r="N105" s="2"/>
    </row>
    <row r="106" spans="1:14" s="14" customFormat="1" ht="15.75" x14ac:dyDescent="0.25">
      <c r="A106" s="100"/>
      <c r="B106" s="132"/>
      <c r="C106" s="19"/>
      <c r="D106" s="100"/>
      <c r="E106" s="100"/>
      <c r="F106" s="37"/>
      <c r="G106" s="37"/>
      <c r="H106" s="37"/>
      <c r="I106" s="37"/>
      <c r="J106" s="37"/>
      <c r="K106" s="37"/>
      <c r="L106" s="25"/>
      <c r="M106" s="2"/>
      <c r="N106" s="2"/>
    </row>
    <row r="107" spans="1:14" s="14" customFormat="1" ht="15.75" x14ac:dyDescent="0.25">
      <c r="A107" s="100"/>
      <c r="B107" s="132"/>
      <c r="C107" s="19"/>
      <c r="D107" s="100"/>
      <c r="E107" s="100"/>
      <c r="F107" s="37"/>
      <c r="G107" s="37"/>
      <c r="H107" s="37"/>
      <c r="I107" s="37"/>
      <c r="J107" s="37"/>
      <c r="K107" s="37"/>
      <c r="L107" s="25"/>
      <c r="M107" s="2"/>
      <c r="N107" s="2"/>
    </row>
    <row r="108" spans="1:14" s="14" customFormat="1" ht="15.75" x14ac:dyDescent="0.25">
      <c r="A108" s="100"/>
      <c r="B108" s="132"/>
      <c r="C108" s="19"/>
      <c r="D108" s="100"/>
      <c r="E108" s="100"/>
      <c r="F108" s="37"/>
      <c r="G108" s="37"/>
      <c r="H108" s="37"/>
      <c r="I108" s="37"/>
      <c r="J108" s="37"/>
      <c r="K108" s="37"/>
      <c r="L108" s="25"/>
      <c r="M108" s="2"/>
      <c r="N108" s="2"/>
    </row>
    <row r="109" spans="1:14" s="14" customFormat="1" ht="15.75" x14ac:dyDescent="0.25">
      <c r="A109" s="100"/>
      <c r="B109" s="132"/>
      <c r="C109" s="19"/>
      <c r="D109" s="100"/>
      <c r="E109" s="100"/>
      <c r="F109" s="37"/>
      <c r="G109" s="37"/>
      <c r="H109" s="37"/>
      <c r="I109" s="37"/>
      <c r="J109" s="37"/>
      <c r="K109" s="37"/>
      <c r="L109" s="25"/>
      <c r="M109" s="2"/>
      <c r="N109" s="2"/>
    </row>
    <row r="110" spans="1:14" s="14" customFormat="1" ht="15.75" x14ac:dyDescent="0.25">
      <c r="A110" s="100"/>
      <c r="B110" s="132"/>
      <c r="C110" s="19"/>
      <c r="D110" s="100"/>
      <c r="E110" s="100"/>
      <c r="F110" s="37"/>
      <c r="G110" s="37"/>
      <c r="H110" s="37"/>
      <c r="I110" s="37"/>
      <c r="J110" s="37"/>
      <c r="K110" s="37"/>
      <c r="L110" s="25"/>
      <c r="M110" s="2"/>
      <c r="N110" s="2"/>
    </row>
    <row r="111" spans="1:14" s="14" customFormat="1" ht="15.75" x14ac:dyDescent="0.25">
      <c r="A111" s="100"/>
      <c r="B111" s="132"/>
      <c r="C111" s="19"/>
      <c r="D111" s="100"/>
      <c r="E111" s="100"/>
      <c r="F111" s="37"/>
      <c r="G111" s="37"/>
      <c r="H111" s="37"/>
      <c r="I111" s="37"/>
      <c r="J111" s="37"/>
      <c r="K111" s="37"/>
      <c r="L111" s="25"/>
      <c r="M111" s="2"/>
      <c r="N111" s="2"/>
    </row>
    <row r="112" spans="1:14" s="14" customFormat="1" ht="15.75" x14ac:dyDescent="0.25">
      <c r="A112" s="100"/>
      <c r="B112" s="132"/>
      <c r="C112" s="19"/>
      <c r="D112" s="100"/>
      <c r="E112" s="100"/>
      <c r="F112" s="37"/>
      <c r="G112" s="37"/>
      <c r="H112" s="37"/>
      <c r="I112" s="37"/>
      <c r="J112" s="37"/>
      <c r="K112" s="37"/>
      <c r="L112" s="25"/>
      <c r="M112" s="2"/>
      <c r="N112" s="2"/>
    </row>
    <row r="113" spans="1:14" s="14" customFormat="1" ht="15.75" x14ac:dyDescent="0.25">
      <c r="A113" s="100"/>
      <c r="B113" s="132"/>
      <c r="C113" s="19"/>
      <c r="D113" s="100"/>
      <c r="E113" s="100"/>
      <c r="F113" s="37"/>
      <c r="G113" s="37"/>
      <c r="H113" s="37"/>
      <c r="I113" s="37"/>
      <c r="J113" s="37"/>
      <c r="K113" s="37"/>
      <c r="L113" s="25"/>
      <c r="M113" s="2"/>
      <c r="N113" s="2"/>
    </row>
    <row r="114" spans="1:14" s="14" customFormat="1" ht="15.75" x14ac:dyDescent="0.25">
      <c r="A114" s="100"/>
      <c r="B114" s="132"/>
      <c r="C114" s="19"/>
      <c r="D114" s="100"/>
      <c r="E114" s="100"/>
      <c r="F114" s="37"/>
      <c r="G114" s="37"/>
      <c r="H114" s="37"/>
      <c r="I114" s="37"/>
      <c r="J114" s="37"/>
      <c r="K114" s="37"/>
      <c r="L114" s="25"/>
      <c r="M114" s="2"/>
      <c r="N114" s="2"/>
    </row>
    <row r="115" spans="1:14" s="14" customFormat="1" ht="15.75" x14ac:dyDescent="0.25">
      <c r="A115" s="100"/>
      <c r="B115" s="132"/>
      <c r="C115" s="19"/>
      <c r="D115" s="100"/>
      <c r="E115" s="100"/>
      <c r="F115" s="37"/>
      <c r="G115" s="37"/>
      <c r="H115" s="37"/>
      <c r="I115" s="37"/>
      <c r="J115" s="37"/>
      <c r="K115" s="37"/>
      <c r="L115" s="25"/>
      <c r="M115" s="2"/>
      <c r="N115" s="2"/>
    </row>
    <row r="116" spans="1:14" s="14" customFormat="1" ht="15.75" x14ac:dyDescent="0.25">
      <c r="A116" s="100"/>
      <c r="B116" s="132"/>
      <c r="C116" s="19"/>
      <c r="D116" s="100"/>
      <c r="E116" s="100"/>
      <c r="F116" s="37"/>
      <c r="G116" s="37"/>
      <c r="H116" s="37"/>
      <c r="I116" s="37"/>
      <c r="J116" s="37"/>
      <c r="K116" s="37"/>
      <c r="L116" s="25"/>
      <c r="M116" s="2"/>
      <c r="N116" s="2"/>
    </row>
    <row r="117" spans="1:14" s="14" customFormat="1" ht="15.75" x14ac:dyDescent="0.25">
      <c r="A117" s="100"/>
      <c r="B117" s="132"/>
      <c r="C117" s="19"/>
      <c r="D117" s="100"/>
      <c r="E117" s="100"/>
      <c r="F117" s="37"/>
      <c r="G117" s="37"/>
      <c r="H117" s="37"/>
      <c r="I117" s="37"/>
      <c r="J117" s="37"/>
      <c r="K117" s="37"/>
      <c r="L117" s="25"/>
      <c r="M117" s="2"/>
      <c r="N117" s="2"/>
    </row>
    <row r="118" spans="1:14" s="14" customFormat="1" ht="15.75" x14ac:dyDescent="0.25">
      <c r="A118" s="100"/>
      <c r="B118" s="132"/>
      <c r="C118" s="19"/>
      <c r="D118" s="100"/>
      <c r="E118" s="100"/>
      <c r="F118" s="37"/>
      <c r="G118" s="37"/>
      <c r="H118" s="37"/>
      <c r="I118" s="37"/>
      <c r="J118" s="37"/>
      <c r="K118" s="37"/>
      <c r="L118" s="25"/>
      <c r="M118" s="2"/>
      <c r="N118" s="2"/>
    </row>
    <row r="119" spans="1:14" s="14" customFormat="1" ht="15.75" x14ac:dyDescent="0.25">
      <c r="A119" s="100"/>
      <c r="B119" s="132"/>
      <c r="C119" s="19"/>
      <c r="D119" s="100"/>
      <c r="E119" s="100"/>
      <c r="F119" s="37"/>
      <c r="G119" s="37"/>
      <c r="H119" s="37"/>
      <c r="I119" s="37"/>
      <c r="J119" s="37"/>
      <c r="K119" s="37"/>
      <c r="L119" s="25"/>
      <c r="M119" s="2"/>
      <c r="N119" s="2"/>
    </row>
    <row r="120" spans="1:14" s="14" customFormat="1" ht="15.75" x14ac:dyDescent="0.25">
      <c r="A120" s="100"/>
      <c r="B120" s="132"/>
      <c r="C120" s="19"/>
      <c r="D120" s="100"/>
      <c r="E120" s="100"/>
      <c r="F120" s="37"/>
      <c r="G120" s="37"/>
      <c r="H120" s="37"/>
      <c r="I120" s="37"/>
      <c r="J120" s="37"/>
      <c r="K120" s="37"/>
      <c r="L120" s="25"/>
      <c r="M120" s="2"/>
      <c r="N120" s="2"/>
    </row>
    <row r="121" spans="1:14" s="14" customFormat="1" ht="15.75" x14ac:dyDescent="0.25">
      <c r="A121" s="100"/>
      <c r="B121" s="132"/>
      <c r="C121" s="19"/>
      <c r="D121" s="100"/>
      <c r="E121" s="100"/>
      <c r="F121" s="37"/>
      <c r="G121" s="37"/>
      <c r="H121" s="37"/>
      <c r="I121" s="37"/>
      <c r="J121" s="37"/>
      <c r="K121" s="37"/>
      <c r="L121" s="25"/>
      <c r="M121" s="2"/>
      <c r="N121" s="2"/>
    </row>
    <row r="122" spans="1:14" s="14" customFormat="1" ht="15.75" x14ac:dyDescent="0.25">
      <c r="A122" s="100"/>
      <c r="B122" s="132"/>
      <c r="C122" s="19"/>
      <c r="D122" s="100"/>
      <c r="E122" s="100"/>
      <c r="F122" s="37"/>
      <c r="G122" s="37"/>
      <c r="H122" s="37"/>
      <c r="I122" s="37"/>
      <c r="J122" s="37"/>
      <c r="K122" s="37"/>
      <c r="L122" s="25"/>
      <c r="M122" s="2"/>
      <c r="N122" s="2"/>
    </row>
    <row r="123" spans="1:14" s="14" customFormat="1" ht="15.75" x14ac:dyDescent="0.25">
      <c r="A123" s="100"/>
      <c r="B123" s="132"/>
      <c r="C123" s="19"/>
      <c r="D123" s="100"/>
      <c r="E123" s="100"/>
      <c r="F123" s="37"/>
      <c r="G123" s="37"/>
      <c r="H123" s="37"/>
      <c r="I123" s="37"/>
      <c r="J123" s="37"/>
      <c r="K123" s="37"/>
      <c r="L123" s="25"/>
      <c r="M123" s="2"/>
      <c r="N123" s="2"/>
    </row>
    <row r="124" spans="1:14" s="14" customFormat="1" ht="15.75" x14ac:dyDescent="0.25">
      <c r="A124" s="100"/>
      <c r="B124" s="132"/>
      <c r="C124" s="19"/>
      <c r="D124" s="100"/>
      <c r="E124" s="100"/>
      <c r="F124" s="37"/>
      <c r="G124" s="37"/>
      <c r="H124" s="37"/>
      <c r="I124" s="37"/>
      <c r="J124" s="37"/>
      <c r="K124" s="37"/>
      <c r="L124" s="25"/>
      <c r="M124" s="2"/>
      <c r="N124" s="2"/>
    </row>
    <row r="125" spans="1:14" s="14" customFormat="1" ht="15.75" x14ac:dyDescent="0.25">
      <c r="A125" s="100"/>
      <c r="B125" s="132"/>
      <c r="C125" s="19"/>
      <c r="D125" s="100"/>
      <c r="E125" s="100"/>
      <c r="F125" s="37"/>
      <c r="G125" s="37"/>
      <c r="H125" s="37"/>
      <c r="I125" s="37"/>
      <c r="J125" s="37"/>
      <c r="K125" s="37"/>
      <c r="L125" s="25"/>
      <c r="M125" s="2"/>
      <c r="N125" s="2"/>
    </row>
    <row r="126" spans="1:14" s="14" customFormat="1" ht="15.75" x14ac:dyDescent="0.25">
      <c r="A126" s="100"/>
      <c r="B126" s="132"/>
      <c r="C126" s="19"/>
      <c r="D126" s="100"/>
      <c r="E126" s="100"/>
      <c r="F126" s="37"/>
      <c r="G126" s="37"/>
      <c r="H126" s="37"/>
      <c r="I126" s="37"/>
      <c r="J126" s="37"/>
      <c r="K126" s="37"/>
      <c r="L126" s="25"/>
      <c r="M126" s="2"/>
      <c r="N126" s="2"/>
    </row>
    <row r="127" spans="1:14" s="14" customFormat="1" ht="15.75" x14ac:dyDescent="0.25">
      <c r="A127" s="100"/>
      <c r="B127" s="132"/>
      <c r="C127" s="19"/>
      <c r="D127" s="100"/>
      <c r="E127" s="100"/>
      <c r="F127" s="37"/>
      <c r="G127" s="37"/>
      <c r="H127" s="37"/>
      <c r="I127" s="37"/>
      <c r="J127" s="37"/>
      <c r="K127" s="37"/>
      <c r="L127" s="25"/>
      <c r="M127" s="2"/>
      <c r="N127" s="2"/>
    </row>
    <row r="128" spans="1:14" s="14" customFormat="1" ht="15.75" x14ac:dyDescent="0.25">
      <c r="A128" s="100"/>
      <c r="B128" s="132"/>
      <c r="C128" s="19"/>
      <c r="D128" s="100"/>
      <c r="E128" s="100"/>
      <c r="F128" s="37"/>
      <c r="G128" s="37"/>
      <c r="H128" s="37"/>
      <c r="I128" s="37"/>
      <c r="J128" s="37"/>
      <c r="K128" s="37"/>
      <c r="L128" s="25"/>
      <c r="M128" s="2"/>
      <c r="N128" s="2"/>
    </row>
    <row r="129" spans="1:14" s="14" customFormat="1" ht="15.75" x14ac:dyDescent="0.25">
      <c r="A129" s="100"/>
      <c r="B129" s="132"/>
      <c r="C129" s="19"/>
      <c r="D129" s="100"/>
      <c r="E129" s="100"/>
      <c r="F129" s="37"/>
      <c r="G129" s="37"/>
      <c r="H129" s="37"/>
      <c r="I129" s="37"/>
      <c r="J129" s="37"/>
      <c r="K129" s="37"/>
      <c r="L129" s="25"/>
      <c r="M129" s="2"/>
      <c r="N129" s="2"/>
    </row>
    <row r="130" spans="1:14" s="14" customFormat="1" ht="15.75" x14ac:dyDescent="0.25">
      <c r="A130" s="100"/>
      <c r="B130" s="132"/>
      <c r="C130" s="19"/>
      <c r="D130" s="100"/>
      <c r="E130" s="100"/>
      <c r="F130" s="37"/>
      <c r="G130" s="37"/>
      <c r="H130" s="37"/>
      <c r="I130" s="37"/>
      <c r="J130" s="37"/>
      <c r="K130" s="37"/>
      <c r="L130" s="25"/>
      <c r="M130" s="2"/>
      <c r="N130" s="2"/>
    </row>
    <row r="131" spans="1:14" s="14" customFormat="1" ht="15.75" x14ac:dyDescent="0.25">
      <c r="A131" s="100"/>
      <c r="B131" s="132"/>
      <c r="C131" s="19"/>
      <c r="D131" s="100"/>
      <c r="E131" s="100"/>
      <c r="F131" s="37"/>
      <c r="G131" s="37"/>
      <c r="H131" s="37"/>
      <c r="I131" s="37"/>
      <c r="J131" s="37"/>
      <c r="K131" s="37"/>
      <c r="L131" s="25"/>
      <c r="M131" s="2"/>
      <c r="N131" s="2"/>
    </row>
    <row r="132" spans="1:14" s="14" customFormat="1" ht="15.75" x14ac:dyDescent="0.25">
      <c r="A132" s="100"/>
      <c r="B132" s="132"/>
      <c r="C132" s="19"/>
      <c r="D132" s="100"/>
      <c r="E132" s="100"/>
      <c r="F132" s="37"/>
      <c r="G132" s="37"/>
      <c r="H132" s="37"/>
      <c r="I132" s="37"/>
      <c r="J132" s="37"/>
      <c r="K132" s="37"/>
      <c r="L132" s="25"/>
      <c r="M132" s="2"/>
      <c r="N132" s="2"/>
    </row>
    <row r="133" spans="1:14" s="14" customFormat="1" ht="15.75" x14ac:dyDescent="0.25">
      <c r="A133" s="100"/>
      <c r="B133" s="132"/>
      <c r="C133" s="19"/>
      <c r="D133" s="100"/>
      <c r="E133" s="100"/>
      <c r="F133" s="37"/>
      <c r="G133" s="37"/>
      <c r="H133" s="37"/>
      <c r="I133" s="37"/>
      <c r="J133" s="37"/>
      <c r="K133" s="37"/>
      <c r="L133" s="25"/>
      <c r="M133" s="2"/>
      <c r="N133" s="2"/>
    </row>
    <row r="134" spans="1:14" s="14" customFormat="1" ht="15.75" x14ac:dyDescent="0.25">
      <c r="A134" s="100"/>
      <c r="B134" s="132"/>
      <c r="C134" s="19"/>
      <c r="D134" s="100"/>
      <c r="E134" s="100"/>
      <c r="F134" s="37"/>
      <c r="G134" s="37"/>
      <c r="H134" s="37"/>
      <c r="I134" s="37"/>
      <c r="J134" s="37"/>
      <c r="K134" s="37"/>
      <c r="L134" s="25"/>
      <c r="M134" s="2"/>
      <c r="N134" s="2"/>
    </row>
    <row r="135" spans="1:14" s="14" customFormat="1" ht="15.75" x14ac:dyDescent="0.25">
      <c r="A135" s="100"/>
      <c r="B135" s="132"/>
      <c r="C135" s="19"/>
      <c r="D135" s="100"/>
      <c r="E135" s="100"/>
      <c r="F135" s="37"/>
      <c r="G135" s="37"/>
      <c r="H135" s="37"/>
      <c r="I135" s="37"/>
      <c r="J135" s="37"/>
      <c r="K135" s="37"/>
      <c r="L135" s="25"/>
      <c r="M135" s="2"/>
      <c r="N135" s="2"/>
    </row>
    <row r="136" spans="1:14" s="14" customFormat="1" ht="15.75" x14ac:dyDescent="0.25">
      <c r="A136" s="100"/>
      <c r="B136" s="132"/>
      <c r="C136" s="19"/>
      <c r="D136" s="100"/>
      <c r="E136" s="100"/>
      <c r="F136" s="37"/>
      <c r="G136" s="37"/>
      <c r="H136" s="37"/>
      <c r="I136" s="37"/>
      <c r="J136" s="37"/>
      <c r="K136" s="37"/>
      <c r="L136" s="25"/>
      <c r="M136" s="2"/>
      <c r="N136" s="2"/>
    </row>
    <row r="137" spans="1:14" s="14" customFormat="1" ht="15.75" x14ac:dyDescent="0.25">
      <c r="A137" s="100"/>
      <c r="B137" s="132"/>
      <c r="C137" s="19"/>
      <c r="D137" s="100"/>
      <c r="E137" s="100"/>
      <c r="F137" s="37"/>
      <c r="G137" s="37"/>
      <c r="H137" s="37"/>
      <c r="I137" s="37"/>
      <c r="J137" s="37"/>
      <c r="K137" s="37"/>
      <c r="L137" s="25"/>
      <c r="M137" s="2"/>
      <c r="N137" s="2"/>
    </row>
    <row r="138" spans="1:14" s="14" customFormat="1" ht="15.75" x14ac:dyDescent="0.25">
      <c r="A138" s="100"/>
      <c r="B138" s="132"/>
      <c r="C138" s="19"/>
      <c r="D138" s="100"/>
      <c r="E138" s="100"/>
      <c r="F138" s="37"/>
      <c r="G138" s="37"/>
      <c r="H138" s="37"/>
      <c r="I138" s="37"/>
      <c r="J138" s="37"/>
      <c r="K138" s="37"/>
      <c r="L138" s="25"/>
      <c r="M138" s="2"/>
      <c r="N138" s="2"/>
    </row>
    <row r="139" spans="1:14" s="14" customFormat="1" ht="15.75" x14ac:dyDescent="0.25">
      <c r="A139" s="100"/>
      <c r="B139" s="132"/>
      <c r="C139" s="19"/>
      <c r="D139" s="100"/>
      <c r="E139" s="100"/>
      <c r="F139" s="37"/>
      <c r="G139" s="37"/>
      <c r="H139" s="37"/>
      <c r="I139" s="37"/>
      <c r="J139" s="37"/>
      <c r="K139" s="37"/>
      <c r="L139" s="25"/>
      <c r="M139" s="2"/>
      <c r="N139" s="2"/>
    </row>
    <row r="140" spans="1:14" s="14" customFormat="1" ht="15.75" x14ac:dyDescent="0.25">
      <c r="A140" s="100"/>
      <c r="B140" s="132"/>
      <c r="C140" s="19"/>
      <c r="D140" s="100"/>
      <c r="E140" s="100"/>
      <c r="F140" s="37"/>
      <c r="G140" s="37"/>
      <c r="H140" s="37"/>
      <c r="I140" s="37"/>
      <c r="J140" s="37"/>
      <c r="K140" s="37"/>
      <c r="L140" s="25"/>
      <c r="M140" s="2"/>
      <c r="N140" s="2"/>
    </row>
    <row r="141" spans="1:14" s="14" customFormat="1" ht="15.75" x14ac:dyDescent="0.25">
      <c r="A141" s="100"/>
      <c r="B141" s="132"/>
      <c r="C141" s="19"/>
      <c r="D141" s="100"/>
      <c r="E141" s="100"/>
      <c r="F141" s="37"/>
      <c r="G141" s="37"/>
      <c r="H141" s="37"/>
      <c r="I141" s="37"/>
      <c r="J141" s="37"/>
      <c r="K141" s="37"/>
      <c r="L141" s="25"/>
      <c r="M141" s="2"/>
      <c r="N141" s="2"/>
    </row>
    <row r="142" spans="1:14" s="14" customFormat="1" ht="15.75" x14ac:dyDescent="0.25">
      <c r="A142" s="100"/>
      <c r="B142" s="132"/>
      <c r="C142" s="19"/>
      <c r="D142" s="100"/>
      <c r="E142" s="100"/>
      <c r="F142" s="37"/>
      <c r="G142" s="37"/>
      <c r="H142" s="37"/>
      <c r="I142" s="37"/>
      <c r="J142" s="37"/>
      <c r="K142" s="37"/>
      <c r="L142" s="25"/>
      <c r="M142" s="2"/>
      <c r="N142" s="2"/>
    </row>
    <row r="143" spans="1:14" s="14" customFormat="1" ht="15.75" x14ac:dyDescent="0.25">
      <c r="A143" s="100"/>
      <c r="B143" s="132"/>
      <c r="C143" s="19"/>
      <c r="D143" s="100"/>
      <c r="E143" s="100"/>
      <c r="F143" s="37"/>
      <c r="G143" s="37"/>
      <c r="H143" s="37"/>
      <c r="I143" s="37"/>
      <c r="J143" s="37"/>
      <c r="K143" s="37"/>
      <c r="L143" s="25"/>
      <c r="M143" s="2"/>
      <c r="N143" s="2"/>
    </row>
    <row r="144" spans="1:14" s="14" customFormat="1" ht="15.75" x14ac:dyDescent="0.25">
      <c r="A144" s="100"/>
      <c r="B144" s="132"/>
      <c r="C144" s="19"/>
      <c r="D144" s="100"/>
      <c r="E144" s="100"/>
      <c r="F144" s="37"/>
      <c r="G144" s="37"/>
      <c r="H144" s="37"/>
      <c r="I144" s="37"/>
      <c r="J144" s="37"/>
      <c r="K144" s="37"/>
      <c r="L144" s="25"/>
      <c r="M144" s="2"/>
      <c r="N144" s="2"/>
    </row>
    <row r="145" spans="1:14" s="14" customFormat="1" ht="15.75" x14ac:dyDescent="0.25">
      <c r="A145" s="100"/>
      <c r="B145" s="132"/>
      <c r="C145" s="19"/>
      <c r="D145" s="100"/>
      <c r="E145" s="100"/>
      <c r="F145" s="37"/>
      <c r="G145" s="37"/>
      <c r="H145" s="37"/>
      <c r="I145" s="37"/>
      <c r="J145" s="37"/>
      <c r="K145" s="37"/>
      <c r="L145" s="25"/>
      <c r="M145" s="2"/>
      <c r="N145" s="2"/>
    </row>
    <row r="146" spans="1:14" s="14" customFormat="1" ht="15.75" x14ac:dyDescent="0.25">
      <c r="A146" s="100"/>
      <c r="B146" s="132"/>
      <c r="C146" s="19"/>
      <c r="D146" s="100"/>
      <c r="E146" s="100"/>
      <c r="F146" s="37"/>
      <c r="G146" s="37"/>
      <c r="H146" s="37"/>
      <c r="I146" s="37"/>
      <c r="J146" s="37"/>
      <c r="K146" s="37"/>
      <c r="L146" s="25"/>
      <c r="M146" s="2"/>
      <c r="N146" s="2"/>
    </row>
    <row r="147" spans="1:14" s="14" customFormat="1" ht="15.75" x14ac:dyDescent="0.25">
      <c r="A147" s="100"/>
      <c r="B147" s="132"/>
      <c r="C147" s="19"/>
      <c r="D147" s="100"/>
      <c r="E147" s="100"/>
      <c r="F147" s="37"/>
      <c r="G147" s="37"/>
      <c r="H147" s="37"/>
      <c r="I147" s="37"/>
      <c r="J147" s="37"/>
      <c r="K147" s="37"/>
      <c r="L147" s="25"/>
      <c r="M147" s="2"/>
      <c r="N147" s="2"/>
    </row>
    <row r="148" spans="1:14" s="14" customFormat="1" ht="15.75" x14ac:dyDescent="0.25">
      <c r="A148" s="100"/>
      <c r="B148" s="132"/>
      <c r="C148" s="19"/>
      <c r="D148" s="100"/>
      <c r="E148" s="100"/>
      <c r="F148" s="37"/>
      <c r="G148" s="37"/>
      <c r="H148" s="37"/>
      <c r="I148" s="37"/>
      <c r="J148" s="37"/>
      <c r="K148" s="37"/>
      <c r="L148" s="25"/>
      <c r="M148" s="2"/>
      <c r="N148" s="2"/>
    </row>
    <row r="149" spans="1:14" s="14" customFormat="1" ht="15.75" x14ac:dyDescent="0.25">
      <c r="A149" s="100"/>
      <c r="B149" s="132"/>
      <c r="C149" s="19"/>
      <c r="D149" s="100"/>
      <c r="E149" s="100"/>
      <c r="F149" s="37"/>
      <c r="G149" s="37"/>
      <c r="H149" s="37"/>
      <c r="I149" s="37"/>
      <c r="J149" s="37"/>
      <c r="K149" s="37"/>
      <c r="L149" s="25"/>
      <c r="M149" s="2"/>
      <c r="N149" s="2"/>
    </row>
    <row r="150" spans="1:14" s="14" customFormat="1" ht="15.75" x14ac:dyDescent="0.25">
      <c r="A150" s="100"/>
      <c r="B150" s="132"/>
      <c r="C150" s="19"/>
      <c r="D150" s="100"/>
      <c r="E150" s="100"/>
      <c r="F150" s="37"/>
      <c r="G150" s="37"/>
      <c r="H150" s="37"/>
      <c r="I150" s="37"/>
      <c r="J150" s="37"/>
      <c r="K150" s="37"/>
      <c r="L150" s="25"/>
      <c r="M150" s="2"/>
      <c r="N150" s="2"/>
    </row>
    <row r="151" spans="1:14" s="14" customFormat="1" ht="15.75" x14ac:dyDescent="0.25">
      <c r="A151" s="100"/>
      <c r="B151" s="132"/>
      <c r="C151" s="19"/>
      <c r="D151" s="100"/>
      <c r="E151" s="100"/>
      <c r="F151" s="37"/>
      <c r="G151" s="37"/>
      <c r="H151" s="37"/>
      <c r="I151" s="37"/>
      <c r="J151" s="37"/>
      <c r="K151" s="37"/>
      <c r="L151" s="25"/>
      <c r="M151" s="2"/>
      <c r="N151" s="2"/>
    </row>
    <row r="152" spans="1:14" s="14" customFormat="1" ht="15.75" x14ac:dyDescent="0.25">
      <c r="A152" s="100"/>
      <c r="B152" s="132"/>
      <c r="C152" s="19"/>
      <c r="D152" s="100"/>
      <c r="E152" s="100"/>
      <c r="F152" s="37"/>
      <c r="G152" s="37"/>
      <c r="H152" s="37"/>
      <c r="I152" s="37"/>
      <c r="J152" s="37"/>
      <c r="K152" s="37"/>
      <c r="L152" s="25"/>
      <c r="M152" s="2"/>
      <c r="N152" s="2"/>
    </row>
    <row r="153" spans="1:14" s="14" customFormat="1" ht="15.75" x14ac:dyDescent="0.25">
      <c r="A153" s="100"/>
      <c r="B153" s="132"/>
      <c r="C153" s="19"/>
      <c r="D153" s="100"/>
      <c r="E153" s="100"/>
      <c r="F153" s="37"/>
      <c r="G153" s="37"/>
      <c r="H153" s="37"/>
      <c r="I153" s="37"/>
      <c r="J153" s="37"/>
      <c r="K153" s="37"/>
      <c r="L153" s="25"/>
      <c r="M153" s="2"/>
      <c r="N153" s="2"/>
    </row>
    <row r="154" spans="1:14" s="14" customFormat="1" ht="15.75" x14ac:dyDescent="0.25">
      <c r="A154" s="100"/>
      <c r="B154" s="132"/>
      <c r="C154" s="19"/>
      <c r="D154" s="100"/>
      <c r="E154" s="100"/>
      <c r="F154" s="37"/>
      <c r="G154" s="37"/>
      <c r="H154" s="37"/>
      <c r="I154" s="37"/>
      <c r="J154" s="37"/>
      <c r="K154" s="37"/>
      <c r="L154" s="25"/>
      <c r="M154" s="2"/>
      <c r="N154" s="2"/>
    </row>
    <row r="155" spans="1:14" s="14" customFormat="1" ht="15.75" x14ac:dyDescent="0.25">
      <c r="A155" s="100"/>
      <c r="B155" s="132"/>
      <c r="C155" s="19"/>
      <c r="D155" s="100"/>
      <c r="E155" s="100"/>
      <c r="F155" s="37"/>
      <c r="G155" s="37"/>
      <c r="H155" s="37"/>
      <c r="I155" s="37"/>
      <c r="J155" s="37"/>
      <c r="K155" s="37"/>
      <c r="L155" s="25"/>
      <c r="M155" s="2"/>
      <c r="N155" s="2"/>
    </row>
    <row r="156" spans="1:14" s="14" customFormat="1" ht="15.75" x14ac:dyDescent="0.25">
      <c r="A156" s="100"/>
      <c r="B156" s="132"/>
      <c r="C156" s="19"/>
      <c r="D156" s="100"/>
      <c r="E156" s="100"/>
      <c r="F156" s="37"/>
      <c r="G156" s="37"/>
      <c r="H156" s="37"/>
      <c r="I156" s="37"/>
      <c r="J156" s="37"/>
      <c r="K156" s="37"/>
      <c r="L156" s="25"/>
      <c r="M156" s="2"/>
      <c r="N156" s="2"/>
    </row>
    <row r="157" spans="1:14" s="14" customFormat="1" ht="15.75" x14ac:dyDescent="0.25">
      <c r="A157" s="100"/>
      <c r="B157" s="132"/>
      <c r="C157" s="19"/>
      <c r="D157" s="100"/>
      <c r="E157" s="100"/>
      <c r="F157" s="37"/>
      <c r="G157" s="37"/>
      <c r="H157" s="37"/>
      <c r="I157" s="37"/>
      <c r="J157" s="37"/>
      <c r="K157" s="37"/>
      <c r="L157" s="25"/>
      <c r="M157" s="2"/>
      <c r="N157" s="2"/>
    </row>
    <row r="158" spans="1:14" s="14" customFormat="1" ht="15.75" x14ac:dyDescent="0.25">
      <c r="A158" s="100"/>
      <c r="B158" s="132"/>
      <c r="C158" s="19"/>
      <c r="D158" s="100"/>
      <c r="E158" s="100"/>
      <c r="F158" s="37"/>
      <c r="G158" s="37"/>
      <c r="H158" s="37"/>
      <c r="I158" s="37"/>
      <c r="J158" s="37"/>
      <c r="K158" s="37"/>
      <c r="L158" s="25"/>
      <c r="M158" s="2"/>
      <c r="N158" s="2"/>
    </row>
    <row r="159" spans="1:14" s="14" customFormat="1" ht="15.75" x14ac:dyDescent="0.25">
      <c r="A159" s="100"/>
      <c r="B159" s="132"/>
      <c r="C159" s="19"/>
      <c r="D159" s="100"/>
      <c r="E159" s="100"/>
      <c r="F159" s="37"/>
      <c r="G159" s="37"/>
      <c r="H159" s="37"/>
      <c r="I159" s="37"/>
      <c r="J159" s="37"/>
      <c r="K159" s="37"/>
      <c r="L159" s="25"/>
      <c r="M159" s="2"/>
      <c r="N159" s="2"/>
    </row>
    <row r="160" spans="1:14" s="14" customFormat="1" ht="15.75" x14ac:dyDescent="0.25">
      <c r="A160" s="100"/>
      <c r="B160" s="132"/>
      <c r="C160" s="19"/>
      <c r="D160" s="100"/>
      <c r="E160" s="100"/>
      <c r="F160" s="37"/>
      <c r="G160" s="37"/>
      <c r="H160" s="37"/>
      <c r="I160" s="37"/>
      <c r="J160" s="37"/>
      <c r="K160" s="37"/>
      <c r="L160" s="25"/>
      <c r="M160" s="2"/>
      <c r="N160" s="2"/>
    </row>
    <row r="161" spans="1:14" s="14" customFormat="1" ht="15.75" x14ac:dyDescent="0.25">
      <c r="A161" s="100"/>
      <c r="B161" s="132"/>
      <c r="C161" s="19"/>
      <c r="D161" s="100"/>
      <c r="E161" s="100"/>
      <c r="F161" s="37"/>
      <c r="G161" s="37"/>
      <c r="H161" s="37"/>
      <c r="I161" s="37"/>
      <c r="J161" s="37"/>
      <c r="K161" s="37"/>
      <c r="L161" s="25"/>
      <c r="M161" s="2"/>
      <c r="N161" s="2"/>
    </row>
    <row r="162" spans="1:14" s="14" customFormat="1" ht="15.75" x14ac:dyDescent="0.25">
      <c r="A162" s="100"/>
      <c r="B162" s="132"/>
      <c r="C162" s="19"/>
      <c r="D162" s="100"/>
      <c r="E162" s="100"/>
      <c r="F162" s="37"/>
      <c r="G162" s="37"/>
      <c r="H162" s="37"/>
      <c r="I162" s="37"/>
      <c r="J162" s="37"/>
      <c r="K162" s="37"/>
      <c r="L162" s="25"/>
      <c r="M162" s="2"/>
      <c r="N162" s="2"/>
    </row>
    <row r="163" spans="1:14" s="14" customFormat="1" ht="15.75" x14ac:dyDescent="0.25">
      <c r="A163" s="100"/>
      <c r="B163" s="132"/>
      <c r="C163" s="19"/>
      <c r="D163" s="100"/>
      <c r="E163" s="100"/>
      <c r="F163" s="37"/>
      <c r="G163" s="37"/>
      <c r="H163" s="37"/>
      <c r="I163" s="37"/>
      <c r="J163" s="37"/>
      <c r="K163" s="37"/>
      <c r="L163" s="25"/>
      <c r="M163" s="2"/>
      <c r="N163" s="2"/>
    </row>
    <row r="164" spans="1:14" s="14" customFormat="1" ht="15.75" x14ac:dyDescent="0.25">
      <c r="A164" s="100"/>
      <c r="B164" s="132"/>
      <c r="C164" s="19"/>
      <c r="D164" s="100"/>
      <c r="E164" s="100"/>
      <c r="F164" s="37"/>
      <c r="G164" s="37"/>
      <c r="H164" s="37"/>
      <c r="I164" s="37"/>
      <c r="J164" s="37"/>
      <c r="K164" s="37"/>
      <c r="L164" s="25"/>
      <c r="M164" s="2"/>
      <c r="N164" s="2"/>
    </row>
    <row r="165" spans="1:14" s="14" customFormat="1" ht="15.75" x14ac:dyDescent="0.25">
      <c r="A165" s="100"/>
      <c r="B165" s="132"/>
      <c r="C165" s="19"/>
      <c r="D165" s="100"/>
      <c r="E165" s="100"/>
      <c r="F165" s="37"/>
      <c r="G165" s="37"/>
      <c r="H165" s="37"/>
      <c r="I165" s="37"/>
      <c r="J165" s="37"/>
      <c r="K165" s="37"/>
      <c r="L165" s="25"/>
      <c r="M165" s="2"/>
      <c r="N165" s="2"/>
    </row>
    <row r="166" spans="1:14" s="14" customFormat="1" ht="15.75" x14ac:dyDescent="0.25">
      <c r="A166" s="100"/>
      <c r="B166" s="132"/>
      <c r="C166" s="19"/>
      <c r="D166" s="100"/>
      <c r="E166" s="100"/>
      <c r="F166" s="37"/>
      <c r="G166" s="37"/>
      <c r="H166" s="37"/>
      <c r="I166" s="37"/>
      <c r="J166" s="37"/>
      <c r="K166" s="37"/>
      <c r="L166" s="25"/>
      <c r="M166" s="2"/>
      <c r="N166" s="2"/>
    </row>
    <row r="167" spans="1:14" s="14" customFormat="1" ht="15.75" x14ac:dyDescent="0.25">
      <c r="A167" s="100"/>
      <c r="B167" s="132"/>
      <c r="C167" s="19"/>
      <c r="D167" s="100"/>
      <c r="E167" s="100"/>
      <c r="F167" s="37"/>
      <c r="G167" s="37"/>
      <c r="H167" s="37"/>
      <c r="I167" s="37"/>
      <c r="J167" s="37"/>
      <c r="K167" s="37"/>
      <c r="L167" s="25"/>
      <c r="M167" s="2"/>
      <c r="N167" s="2"/>
    </row>
    <row r="168" spans="1:14" s="14" customFormat="1" ht="15.75" x14ac:dyDescent="0.25">
      <c r="A168" s="100"/>
      <c r="B168" s="132"/>
      <c r="C168" s="19"/>
      <c r="D168" s="100"/>
      <c r="E168" s="100"/>
      <c r="F168" s="37"/>
      <c r="G168" s="37"/>
      <c r="H168" s="37"/>
      <c r="I168" s="37"/>
      <c r="J168" s="37"/>
      <c r="K168" s="37"/>
      <c r="L168" s="25"/>
      <c r="M168" s="2"/>
      <c r="N168" s="2"/>
    </row>
    <row r="169" spans="1:14" s="14" customFormat="1" ht="15.75" x14ac:dyDescent="0.25">
      <c r="A169" s="100"/>
      <c r="B169" s="132"/>
      <c r="C169" s="19"/>
      <c r="D169" s="100"/>
      <c r="E169" s="100"/>
      <c r="F169" s="37"/>
      <c r="G169" s="37"/>
      <c r="H169" s="37"/>
      <c r="I169" s="37"/>
      <c r="J169" s="37"/>
      <c r="K169" s="37"/>
      <c r="L169" s="25"/>
      <c r="M169" s="2"/>
      <c r="N169" s="2"/>
    </row>
    <row r="170" spans="1:14" s="14" customFormat="1" ht="15.75" x14ac:dyDescent="0.25">
      <c r="A170" s="100"/>
      <c r="B170" s="132"/>
      <c r="C170" s="19"/>
      <c r="D170" s="100"/>
      <c r="E170" s="100"/>
      <c r="F170" s="37"/>
      <c r="G170" s="37"/>
      <c r="H170" s="37"/>
      <c r="I170" s="37"/>
      <c r="J170" s="37"/>
      <c r="K170" s="37"/>
      <c r="L170" s="25"/>
      <c r="M170" s="2"/>
      <c r="N170" s="2"/>
    </row>
    <row r="171" spans="1:14" s="14" customFormat="1" ht="15.75" x14ac:dyDescent="0.25">
      <c r="A171" s="100"/>
      <c r="B171" s="132"/>
      <c r="C171" s="19"/>
      <c r="D171" s="100"/>
      <c r="E171" s="100"/>
      <c r="F171" s="37"/>
      <c r="G171" s="37"/>
      <c r="H171" s="37"/>
      <c r="I171" s="37"/>
      <c r="J171" s="37"/>
      <c r="K171" s="37"/>
      <c r="L171" s="25"/>
      <c r="M171" s="2"/>
      <c r="N171" s="2"/>
    </row>
    <row r="172" spans="1:14" s="14" customFormat="1" ht="15.75" x14ac:dyDescent="0.25">
      <c r="A172" s="100"/>
      <c r="B172" s="132"/>
      <c r="C172" s="19"/>
      <c r="D172" s="100"/>
      <c r="E172" s="100"/>
      <c r="F172" s="37"/>
      <c r="G172" s="37"/>
      <c r="H172" s="37"/>
      <c r="I172" s="37"/>
      <c r="J172" s="37"/>
      <c r="K172" s="37"/>
      <c r="L172" s="25"/>
      <c r="M172" s="2"/>
      <c r="N172" s="2"/>
    </row>
    <row r="173" spans="1:14" s="14" customFormat="1" ht="15.75" x14ac:dyDescent="0.25">
      <c r="A173" s="100"/>
      <c r="B173" s="132"/>
      <c r="C173" s="19"/>
      <c r="D173" s="100"/>
      <c r="E173" s="100"/>
      <c r="F173" s="37"/>
      <c r="G173" s="37"/>
      <c r="H173" s="37"/>
      <c r="I173" s="37"/>
      <c r="J173" s="37"/>
      <c r="K173" s="37"/>
      <c r="L173" s="25"/>
      <c r="M173" s="2"/>
      <c r="N173" s="2"/>
    </row>
    <row r="174" spans="1:14" s="14" customFormat="1" ht="15.75" x14ac:dyDescent="0.25">
      <c r="A174" s="100"/>
      <c r="B174" s="132"/>
      <c r="C174" s="19"/>
      <c r="D174" s="100"/>
      <c r="E174" s="100"/>
      <c r="F174" s="37"/>
      <c r="G174" s="37"/>
      <c r="H174" s="37"/>
      <c r="I174" s="37"/>
      <c r="J174" s="37"/>
      <c r="K174" s="37"/>
      <c r="L174" s="25"/>
      <c r="M174" s="2"/>
      <c r="N174" s="2"/>
    </row>
    <row r="175" spans="1:14" s="14" customFormat="1" ht="15.75" x14ac:dyDescent="0.25">
      <c r="A175" s="100"/>
      <c r="B175" s="132"/>
      <c r="C175" s="19"/>
      <c r="D175" s="100"/>
      <c r="E175" s="100"/>
      <c r="F175" s="37"/>
      <c r="G175" s="37"/>
      <c r="H175" s="37"/>
      <c r="I175" s="37"/>
      <c r="J175" s="37"/>
      <c r="K175" s="37"/>
      <c r="L175" s="25"/>
      <c r="M175" s="2"/>
      <c r="N175" s="2"/>
    </row>
    <row r="176" spans="1:14" s="14" customFormat="1" ht="15.75" x14ac:dyDescent="0.25">
      <c r="A176" s="100"/>
      <c r="B176" s="132"/>
      <c r="C176" s="19"/>
      <c r="D176" s="100"/>
      <c r="E176" s="100"/>
      <c r="F176" s="37"/>
      <c r="G176" s="37"/>
      <c r="H176" s="37"/>
      <c r="I176" s="37"/>
      <c r="J176" s="37"/>
      <c r="K176" s="37"/>
      <c r="L176" s="25"/>
      <c r="M176" s="2"/>
      <c r="N176" s="2"/>
    </row>
    <row r="177" spans="1:14" s="14" customFormat="1" ht="15.75" x14ac:dyDescent="0.25">
      <c r="A177" s="100"/>
      <c r="B177" s="132"/>
      <c r="C177" s="19"/>
      <c r="D177" s="100"/>
      <c r="E177" s="100"/>
      <c r="F177" s="37"/>
      <c r="G177" s="37"/>
      <c r="H177" s="37"/>
      <c r="I177" s="37"/>
      <c r="J177" s="37"/>
      <c r="K177" s="37"/>
      <c r="L177" s="25"/>
      <c r="M177" s="2"/>
      <c r="N177" s="2"/>
    </row>
    <row r="178" spans="1:14" s="14" customFormat="1" ht="15.75" x14ac:dyDescent="0.25">
      <c r="A178" s="100"/>
      <c r="B178" s="132"/>
      <c r="C178" s="19"/>
      <c r="D178" s="100"/>
      <c r="E178" s="100"/>
      <c r="F178" s="37"/>
      <c r="G178" s="37"/>
      <c r="H178" s="37"/>
      <c r="I178" s="37"/>
      <c r="J178" s="37"/>
      <c r="K178" s="37"/>
      <c r="L178" s="25"/>
      <c r="M178" s="2"/>
      <c r="N178" s="2"/>
    </row>
    <row r="179" spans="1:14" s="14" customFormat="1" ht="15.75" x14ac:dyDescent="0.25">
      <c r="A179" s="100"/>
      <c r="B179" s="132"/>
      <c r="C179" s="19"/>
      <c r="D179" s="100"/>
      <c r="E179" s="100"/>
      <c r="F179" s="37"/>
      <c r="G179" s="37"/>
      <c r="H179" s="37"/>
      <c r="I179" s="37"/>
      <c r="J179" s="37"/>
      <c r="K179" s="37"/>
      <c r="L179" s="25"/>
      <c r="M179" s="2"/>
      <c r="N179" s="2"/>
    </row>
    <row r="180" spans="1:14" s="14" customFormat="1" ht="15.75" x14ac:dyDescent="0.25">
      <c r="A180" s="100"/>
      <c r="B180" s="132"/>
      <c r="C180" s="19"/>
      <c r="D180" s="100"/>
      <c r="E180" s="100"/>
      <c r="F180" s="37"/>
      <c r="G180" s="37"/>
      <c r="H180" s="37"/>
      <c r="I180" s="37"/>
      <c r="J180" s="37"/>
      <c r="K180" s="37"/>
      <c r="L180" s="25"/>
      <c r="M180" s="2"/>
      <c r="N180" s="2"/>
    </row>
    <row r="181" spans="1:14" s="14" customFormat="1" ht="15.75" x14ac:dyDescent="0.25">
      <c r="A181" s="100"/>
      <c r="B181" s="132"/>
      <c r="C181" s="19"/>
      <c r="D181" s="100"/>
      <c r="E181" s="100"/>
      <c r="F181" s="37"/>
      <c r="G181" s="37"/>
      <c r="H181" s="37"/>
      <c r="I181" s="37"/>
      <c r="J181" s="37"/>
      <c r="K181" s="37"/>
      <c r="L181" s="25"/>
      <c r="M181" s="2"/>
      <c r="N181" s="2"/>
    </row>
    <row r="182" spans="1:14" s="14" customFormat="1" ht="15.75" x14ac:dyDescent="0.25">
      <c r="A182" s="100"/>
      <c r="B182" s="132"/>
      <c r="C182" s="19"/>
      <c r="D182" s="100"/>
      <c r="E182" s="100"/>
      <c r="F182" s="37"/>
      <c r="G182" s="37"/>
      <c r="H182" s="37"/>
      <c r="I182" s="37"/>
      <c r="J182" s="37"/>
      <c r="K182" s="37"/>
      <c r="L182" s="25"/>
      <c r="M182" s="2"/>
      <c r="N182" s="2"/>
    </row>
    <row r="183" spans="1:14" s="14" customFormat="1" ht="15.75" x14ac:dyDescent="0.25">
      <c r="A183" s="100"/>
      <c r="B183" s="132"/>
      <c r="C183" s="19"/>
      <c r="D183" s="100"/>
      <c r="E183" s="100"/>
      <c r="F183" s="37"/>
      <c r="G183" s="37"/>
      <c r="H183" s="37"/>
      <c r="I183" s="37"/>
      <c r="J183" s="37"/>
      <c r="K183" s="37"/>
      <c r="L183" s="25"/>
      <c r="M183" s="2"/>
      <c r="N183" s="2"/>
    </row>
    <row r="184" spans="1:14" s="14" customFormat="1" ht="15.75" x14ac:dyDescent="0.25">
      <c r="A184" s="100"/>
      <c r="B184" s="132"/>
      <c r="C184" s="19"/>
      <c r="D184" s="100"/>
      <c r="E184" s="100"/>
      <c r="F184" s="37"/>
      <c r="G184" s="37"/>
      <c r="H184" s="37"/>
      <c r="I184" s="37"/>
      <c r="J184" s="37"/>
      <c r="K184" s="37"/>
      <c r="L184" s="25"/>
      <c r="M184" s="2"/>
      <c r="N184" s="2"/>
    </row>
    <row r="185" spans="1:14" s="14" customFormat="1" ht="15.75" x14ac:dyDescent="0.25">
      <c r="A185" s="100"/>
      <c r="B185" s="132"/>
      <c r="C185" s="19"/>
      <c r="D185" s="100"/>
      <c r="E185" s="100"/>
      <c r="F185" s="37"/>
      <c r="G185" s="37"/>
      <c r="H185" s="37"/>
      <c r="I185" s="37"/>
      <c r="J185" s="37"/>
      <c r="K185" s="37"/>
      <c r="L185" s="25"/>
      <c r="M185" s="2"/>
      <c r="N185" s="2"/>
    </row>
    <row r="186" spans="1:14" s="14" customFormat="1" ht="15.75" x14ac:dyDescent="0.25">
      <c r="A186" s="100"/>
      <c r="B186" s="132"/>
      <c r="C186" s="19"/>
      <c r="D186" s="100"/>
      <c r="E186" s="100"/>
      <c r="F186" s="37"/>
      <c r="G186" s="37"/>
      <c r="H186" s="37"/>
      <c r="I186" s="37"/>
      <c r="J186" s="37"/>
      <c r="K186" s="37"/>
      <c r="L186" s="25"/>
      <c r="M186" s="2"/>
      <c r="N186" s="2"/>
    </row>
    <row r="187" spans="1:14" s="14" customFormat="1" ht="15.75" x14ac:dyDescent="0.25">
      <c r="A187" s="100"/>
      <c r="B187" s="132"/>
      <c r="C187" s="19"/>
      <c r="D187" s="100"/>
      <c r="E187" s="100"/>
      <c r="F187" s="37"/>
      <c r="G187" s="37"/>
      <c r="H187" s="37"/>
      <c r="I187" s="37"/>
      <c r="J187" s="37"/>
      <c r="K187" s="37"/>
      <c r="L187" s="25"/>
      <c r="M187" s="2"/>
      <c r="N187" s="2"/>
    </row>
    <row r="188" spans="1:14" s="14" customFormat="1" ht="15.75" x14ac:dyDescent="0.25">
      <c r="A188" s="100"/>
      <c r="B188" s="132"/>
      <c r="C188" s="19"/>
      <c r="D188" s="100"/>
      <c r="E188" s="100"/>
      <c r="F188" s="37"/>
      <c r="G188" s="37"/>
      <c r="H188" s="37"/>
      <c r="I188" s="37"/>
      <c r="J188" s="37"/>
      <c r="K188" s="37"/>
      <c r="L188" s="25"/>
      <c r="M188" s="2"/>
      <c r="N188" s="2"/>
    </row>
    <row r="189" spans="1:14" s="14" customFormat="1" ht="15.75" x14ac:dyDescent="0.25">
      <c r="A189" s="100"/>
      <c r="B189" s="132"/>
      <c r="C189" s="19"/>
      <c r="D189" s="100"/>
      <c r="E189" s="100"/>
      <c r="F189" s="37"/>
      <c r="G189" s="37"/>
      <c r="H189" s="37"/>
      <c r="I189" s="37"/>
      <c r="J189" s="37"/>
      <c r="K189" s="37"/>
      <c r="L189" s="25"/>
      <c r="M189" s="2"/>
      <c r="N189" s="2"/>
    </row>
    <row r="190" spans="1:14" s="14" customFormat="1" ht="15.75" x14ac:dyDescent="0.25">
      <c r="A190" s="100"/>
      <c r="B190" s="132"/>
      <c r="C190" s="19"/>
      <c r="D190" s="100"/>
      <c r="E190" s="100"/>
      <c r="F190" s="37"/>
      <c r="G190" s="37"/>
      <c r="H190" s="37"/>
      <c r="I190" s="37"/>
      <c r="J190" s="37"/>
      <c r="K190" s="37"/>
      <c r="L190" s="25"/>
      <c r="M190" s="2"/>
      <c r="N190" s="2"/>
    </row>
    <row r="191" spans="1:14" s="14" customFormat="1" ht="15.75" x14ac:dyDescent="0.25">
      <c r="A191" s="100"/>
      <c r="B191" s="132"/>
      <c r="C191" s="19"/>
      <c r="D191" s="100"/>
      <c r="E191" s="100"/>
      <c r="F191" s="37"/>
      <c r="G191" s="37"/>
      <c r="H191" s="37"/>
      <c r="I191" s="37"/>
      <c r="J191" s="37"/>
      <c r="K191" s="37"/>
      <c r="L191" s="25"/>
      <c r="M191" s="2"/>
      <c r="N191" s="2"/>
    </row>
    <row r="192" spans="1:14" s="14" customFormat="1" ht="15.75" x14ac:dyDescent="0.25">
      <c r="A192" s="100"/>
      <c r="B192" s="132"/>
      <c r="C192" s="19"/>
      <c r="D192" s="100"/>
      <c r="E192" s="100"/>
      <c r="F192" s="37"/>
      <c r="G192" s="37"/>
      <c r="H192" s="37"/>
      <c r="I192" s="37"/>
      <c r="J192" s="37"/>
      <c r="K192" s="37"/>
      <c r="L192" s="25"/>
      <c r="M192" s="2"/>
      <c r="N192" s="2"/>
    </row>
    <row r="193" spans="1:14" s="14" customFormat="1" ht="15.75" x14ac:dyDescent="0.25">
      <c r="A193" s="100"/>
      <c r="B193" s="132"/>
      <c r="C193" s="19"/>
      <c r="D193" s="100"/>
      <c r="E193" s="100"/>
      <c r="F193" s="37"/>
      <c r="G193" s="37"/>
      <c r="H193" s="37"/>
      <c r="I193" s="37"/>
      <c r="J193" s="37"/>
      <c r="K193" s="37"/>
      <c r="L193" s="25"/>
      <c r="M193" s="2"/>
      <c r="N193" s="2"/>
    </row>
    <row r="194" spans="1:14" s="14" customFormat="1" ht="15.75" x14ac:dyDescent="0.25">
      <c r="A194" s="100"/>
      <c r="B194" s="132"/>
      <c r="C194" s="19"/>
      <c r="D194" s="100"/>
      <c r="E194" s="100"/>
      <c r="F194" s="37"/>
      <c r="G194" s="37"/>
      <c r="H194" s="37"/>
      <c r="I194" s="37"/>
      <c r="J194" s="37"/>
      <c r="K194" s="37"/>
      <c r="L194" s="25"/>
      <c r="M194" s="2"/>
      <c r="N194" s="2"/>
    </row>
    <row r="195" spans="1:14" s="14" customFormat="1" ht="15.75" x14ac:dyDescent="0.25">
      <c r="A195" s="100"/>
      <c r="B195" s="132"/>
      <c r="C195" s="19"/>
      <c r="D195" s="100"/>
      <c r="E195" s="100"/>
      <c r="F195" s="37"/>
      <c r="G195" s="37"/>
      <c r="H195" s="37"/>
      <c r="I195" s="37"/>
      <c r="J195" s="37"/>
      <c r="K195" s="37"/>
      <c r="L195" s="25"/>
      <c r="M195" s="2"/>
      <c r="N195" s="2"/>
    </row>
    <row r="196" spans="1:14" s="14" customFormat="1" ht="15.75" x14ac:dyDescent="0.25">
      <c r="A196" s="100"/>
      <c r="B196" s="132"/>
      <c r="C196" s="19"/>
      <c r="D196" s="100"/>
      <c r="E196" s="100"/>
      <c r="F196" s="37"/>
      <c r="G196" s="37"/>
      <c r="H196" s="37"/>
      <c r="I196" s="37"/>
      <c r="J196" s="37"/>
      <c r="K196" s="37"/>
      <c r="L196" s="25"/>
      <c r="M196" s="2"/>
      <c r="N196" s="2"/>
    </row>
    <row r="197" spans="1:14" s="14" customFormat="1" ht="15.75" x14ac:dyDescent="0.25">
      <c r="A197" s="100"/>
      <c r="B197" s="132"/>
      <c r="C197" s="19"/>
      <c r="D197" s="100"/>
      <c r="E197" s="100"/>
      <c r="F197" s="37"/>
      <c r="G197" s="37"/>
      <c r="H197" s="37"/>
      <c r="I197" s="37"/>
      <c r="J197" s="37"/>
      <c r="K197" s="37"/>
      <c r="L197" s="25"/>
      <c r="M197" s="2"/>
      <c r="N197" s="2"/>
    </row>
    <row r="198" spans="1:14" s="14" customFormat="1" ht="15.75" x14ac:dyDescent="0.25">
      <c r="A198" s="100"/>
      <c r="B198" s="132"/>
      <c r="C198" s="19"/>
      <c r="D198" s="100"/>
      <c r="E198" s="100"/>
      <c r="F198" s="37"/>
      <c r="G198" s="37"/>
      <c r="H198" s="37"/>
      <c r="I198" s="37"/>
      <c r="J198" s="37"/>
      <c r="K198" s="37"/>
      <c r="L198" s="25"/>
      <c r="M198" s="2"/>
      <c r="N198" s="2"/>
    </row>
    <row r="199" spans="1:14" s="14" customFormat="1" ht="15.75" x14ac:dyDescent="0.25">
      <c r="A199" s="100"/>
      <c r="B199" s="132"/>
      <c r="C199" s="19"/>
      <c r="D199" s="100"/>
      <c r="E199" s="100"/>
      <c r="F199" s="37"/>
      <c r="G199" s="37"/>
      <c r="H199" s="37"/>
      <c r="I199" s="37"/>
      <c r="J199" s="37"/>
      <c r="K199" s="37"/>
      <c r="L199" s="25"/>
      <c r="M199" s="2"/>
      <c r="N199" s="2"/>
    </row>
    <row r="200" spans="1:14" s="14" customFormat="1" ht="15.75" x14ac:dyDescent="0.25">
      <c r="A200" s="100"/>
      <c r="B200" s="132"/>
      <c r="C200" s="19"/>
      <c r="D200" s="100"/>
      <c r="E200" s="100"/>
      <c r="F200" s="37"/>
      <c r="G200" s="37"/>
      <c r="H200" s="37"/>
      <c r="I200" s="37"/>
      <c r="J200" s="37"/>
      <c r="K200" s="37"/>
      <c r="L200" s="25"/>
      <c r="M200" s="2"/>
      <c r="N200" s="2"/>
    </row>
    <row r="201" spans="1:14" s="14" customFormat="1" ht="15.75" x14ac:dyDescent="0.25">
      <c r="A201" s="100"/>
      <c r="B201" s="132"/>
      <c r="C201" s="19"/>
      <c r="D201" s="100"/>
      <c r="E201" s="100"/>
      <c r="F201" s="37"/>
      <c r="G201" s="37"/>
      <c r="H201" s="37"/>
      <c r="I201" s="37"/>
      <c r="J201" s="37"/>
      <c r="K201" s="37"/>
      <c r="L201" s="25"/>
      <c r="M201" s="2"/>
      <c r="N201" s="2"/>
    </row>
    <row r="202" spans="1:14" s="14" customFormat="1" ht="15.75" x14ac:dyDescent="0.25">
      <c r="A202" s="100"/>
      <c r="B202" s="132"/>
      <c r="C202" s="19"/>
      <c r="D202" s="100"/>
      <c r="E202" s="100"/>
      <c r="F202" s="37"/>
      <c r="G202" s="37"/>
      <c r="H202" s="37"/>
      <c r="I202" s="37"/>
      <c r="J202" s="37"/>
      <c r="K202" s="37"/>
      <c r="L202" s="25"/>
      <c r="M202" s="2"/>
      <c r="N202" s="2"/>
    </row>
    <row r="203" spans="1:14" s="14" customFormat="1" ht="15.75" x14ac:dyDescent="0.25">
      <c r="A203" s="100"/>
      <c r="B203" s="132"/>
      <c r="C203" s="19"/>
      <c r="D203" s="100"/>
      <c r="E203" s="100"/>
      <c r="F203" s="37"/>
      <c r="G203" s="37"/>
      <c r="H203" s="37"/>
      <c r="I203" s="37"/>
      <c r="J203" s="37"/>
      <c r="K203" s="37"/>
      <c r="L203" s="25"/>
      <c r="M203" s="2"/>
      <c r="N203" s="2"/>
    </row>
    <row r="204" spans="1:14" s="14" customFormat="1" ht="15.75" x14ac:dyDescent="0.25">
      <c r="A204" s="100"/>
      <c r="B204" s="132"/>
      <c r="C204" s="19"/>
      <c r="D204" s="100"/>
      <c r="E204" s="100"/>
      <c r="F204" s="37"/>
      <c r="G204" s="37"/>
      <c r="H204" s="37"/>
      <c r="I204" s="37"/>
      <c r="J204" s="37"/>
      <c r="K204" s="37"/>
      <c r="L204" s="25"/>
      <c r="M204" s="2"/>
      <c r="N204" s="2"/>
    </row>
    <row r="205" spans="1:14" s="14" customFormat="1" ht="15.75" x14ac:dyDescent="0.25">
      <c r="A205" s="100"/>
      <c r="B205" s="132"/>
      <c r="C205" s="19"/>
      <c r="D205" s="100"/>
      <c r="E205" s="100"/>
      <c r="F205" s="37"/>
      <c r="G205" s="37"/>
      <c r="H205" s="37"/>
      <c r="I205" s="37"/>
      <c r="J205" s="37"/>
      <c r="K205" s="37"/>
      <c r="L205" s="25"/>
      <c r="M205" s="2"/>
      <c r="N205" s="2"/>
    </row>
    <row r="206" spans="1:14" s="14" customFormat="1" ht="15.75" x14ac:dyDescent="0.25">
      <c r="A206" s="100"/>
      <c r="B206" s="132"/>
      <c r="C206" s="19"/>
      <c r="D206" s="100"/>
      <c r="E206" s="100"/>
      <c r="F206" s="37"/>
      <c r="G206" s="37"/>
      <c r="H206" s="37"/>
      <c r="I206" s="37"/>
      <c r="J206" s="37"/>
      <c r="K206" s="37"/>
      <c r="L206" s="25"/>
      <c r="M206" s="2"/>
      <c r="N206" s="2"/>
    </row>
    <row r="207" spans="1:14" s="14" customFormat="1" ht="15.75" x14ac:dyDescent="0.25">
      <c r="A207" s="100"/>
      <c r="B207" s="132"/>
      <c r="C207" s="19"/>
      <c r="D207" s="100"/>
      <c r="E207" s="100"/>
      <c r="F207" s="37"/>
      <c r="G207" s="37"/>
      <c r="H207" s="37"/>
      <c r="I207" s="37"/>
      <c r="J207" s="37"/>
      <c r="K207" s="37"/>
      <c r="L207" s="25"/>
      <c r="M207" s="2"/>
      <c r="N207" s="2"/>
    </row>
    <row r="208" spans="1:14" s="14" customFormat="1" ht="15.75" x14ac:dyDescent="0.25">
      <c r="A208" s="100"/>
      <c r="B208" s="132"/>
      <c r="C208" s="19"/>
      <c r="D208" s="100"/>
      <c r="E208" s="100"/>
      <c r="F208" s="37"/>
      <c r="G208" s="37"/>
      <c r="H208" s="37"/>
      <c r="I208" s="37"/>
      <c r="J208" s="37"/>
      <c r="K208" s="37"/>
      <c r="L208" s="25"/>
      <c r="M208" s="2"/>
      <c r="N208" s="2"/>
    </row>
    <row r="209" spans="1:14" s="14" customFormat="1" ht="15.75" x14ac:dyDescent="0.25">
      <c r="A209" s="100"/>
      <c r="B209" s="132"/>
      <c r="C209" s="19"/>
      <c r="D209" s="100"/>
      <c r="E209" s="100"/>
      <c r="F209" s="37"/>
      <c r="G209" s="37"/>
      <c r="H209" s="37"/>
      <c r="I209" s="37"/>
      <c r="J209" s="37"/>
      <c r="K209" s="37"/>
      <c r="L209" s="25"/>
      <c r="M209" s="2"/>
      <c r="N209" s="2"/>
    </row>
    <row r="210" spans="1:14" s="14" customFormat="1" ht="15.75" x14ac:dyDescent="0.25">
      <c r="A210" s="100"/>
      <c r="B210" s="132"/>
      <c r="C210" s="19"/>
      <c r="D210" s="100"/>
      <c r="E210" s="100"/>
      <c r="F210" s="37"/>
      <c r="G210" s="37"/>
      <c r="H210" s="37"/>
      <c r="I210" s="37"/>
      <c r="J210" s="37"/>
      <c r="K210" s="37"/>
      <c r="L210" s="25"/>
      <c r="M210" s="2"/>
      <c r="N210" s="2"/>
    </row>
    <row r="211" spans="1:14" s="14" customFormat="1" ht="15.75" x14ac:dyDescent="0.25">
      <c r="A211" s="100"/>
      <c r="B211" s="132"/>
      <c r="C211" s="19"/>
      <c r="D211" s="100"/>
      <c r="E211" s="100"/>
      <c r="F211" s="37"/>
      <c r="G211" s="37"/>
      <c r="H211" s="37"/>
      <c r="I211" s="37"/>
      <c r="J211" s="37"/>
      <c r="K211" s="37"/>
      <c r="L211" s="25"/>
      <c r="M211" s="2"/>
      <c r="N211" s="2"/>
    </row>
    <row r="212" spans="1:14" s="14" customFormat="1" ht="15.75" x14ac:dyDescent="0.25">
      <c r="A212" s="100"/>
      <c r="B212" s="132"/>
      <c r="C212" s="19"/>
      <c r="D212" s="100"/>
      <c r="E212" s="100"/>
      <c r="F212" s="37"/>
      <c r="G212" s="37"/>
      <c r="H212" s="37"/>
      <c r="I212" s="37"/>
      <c r="J212" s="37"/>
      <c r="K212" s="37"/>
      <c r="L212" s="25"/>
      <c r="M212" s="2"/>
      <c r="N212" s="2"/>
    </row>
    <row r="213" spans="1:14" s="14" customFormat="1" ht="15.75" x14ac:dyDescent="0.25">
      <c r="A213" s="100"/>
      <c r="B213" s="132"/>
      <c r="C213" s="19"/>
      <c r="D213" s="100"/>
      <c r="E213" s="100"/>
      <c r="F213" s="37"/>
      <c r="G213" s="37"/>
      <c r="H213" s="37"/>
      <c r="I213" s="37"/>
      <c r="J213" s="37"/>
      <c r="K213" s="37"/>
      <c r="L213" s="25"/>
      <c r="M213" s="2"/>
      <c r="N213" s="2"/>
    </row>
    <row r="214" spans="1:14" s="14" customFormat="1" ht="15.75" x14ac:dyDescent="0.25">
      <c r="A214" s="100"/>
      <c r="B214" s="132"/>
      <c r="C214" s="19"/>
      <c r="D214" s="100"/>
      <c r="E214" s="100"/>
      <c r="F214" s="37"/>
      <c r="G214" s="37"/>
      <c r="H214" s="37"/>
      <c r="I214" s="37"/>
      <c r="J214" s="37"/>
      <c r="K214" s="37"/>
      <c r="L214" s="25"/>
      <c r="M214" s="2"/>
      <c r="N214" s="2"/>
    </row>
    <row r="215" spans="1:14" s="14" customFormat="1" ht="15.75" x14ac:dyDescent="0.25">
      <c r="A215" s="100"/>
      <c r="B215" s="132"/>
      <c r="C215" s="19"/>
      <c r="D215" s="100"/>
      <c r="E215" s="100"/>
      <c r="F215" s="37"/>
      <c r="G215" s="37"/>
      <c r="H215" s="37"/>
      <c r="I215" s="37"/>
      <c r="J215" s="37"/>
      <c r="K215" s="37"/>
      <c r="L215" s="25"/>
      <c r="M215" s="2"/>
      <c r="N215" s="2"/>
    </row>
    <row r="216" spans="1:14" s="14" customFormat="1" ht="15.75" x14ac:dyDescent="0.25">
      <c r="A216" s="100"/>
      <c r="B216" s="132"/>
      <c r="C216" s="19"/>
      <c r="D216" s="100"/>
      <c r="E216" s="100"/>
      <c r="F216" s="37"/>
      <c r="G216" s="37"/>
      <c r="H216" s="37"/>
      <c r="I216" s="37"/>
      <c r="J216" s="37"/>
      <c r="K216" s="37"/>
      <c r="L216" s="25"/>
      <c r="M216" s="2"/>
      <c r="N216" s="2"/>
    </row>
    <row r="217" spans="1:14" s="14" customFormat="1" ht="15.75" x14ac:dyDescent="0.25">
      <c r="A217" s="100"/>
      <c r="B217" s="132"/>
      <c r="C217" s="19"/>
      <c r="D217" s="100"/>
      <c r="E217" s="100"/>
      <c r="F217" s="37"/>
      <c r="G217" s="37"/>
      <c r="H217" s="37"/>
      <c r="I217" s="37"/>
      <c r="J217" s="37"/>
      <c r="K217" s="37"/>
      <c r="L217" s="25"/>
      <c r="M217" s="2"/>
      <c r="N217" s="2"/>
    </row>
    <row r="218" spans="1:14" s="14" customFormat="1" ht="15.75" x14ac:dyDescent="0.25">
      <c r="A218" s="100"/>
      <c r="B218" s="132"/>
      <c r="C218" s="19"/>
      <c r="D218" s="100"/>
      <c r="E218" s="100"/>
      <c r="F218" s="37"/>
      <c r="G218" s="37"/>
      <c r="H218" s="37"/>
      <c r="I218" s="37"/>
      <c r="J218" s="37"/>
      <c r="K218" s="37"/>
      <c r="L218" s="25"/>
      <c r="M218" s="2"/>
      <c r="N218" s="2"/>
    </row>
    <row r="219" spans="1:14" s="14" customFormat="1" ht="15.75" x14ac:dyDescent="0.25">
      <c r="A219" s="100"/>
      <c r="B219" s="132"/>
      <c r="C219" s="19"/>
      <c r="D219" s="100"/>
      <c r="E219" s="100"/>
      <c r="F219" s="37"/>
      <c r="G219" s="37"/>
      <c r="H219" s="37"/>
      <c r="I219" s="37"/>
      <c r="J219" s="37"/>
      <c r="K219" s="37"/>
      <c r="L219" s="25"/>
      <c r="M219" s="2"/>
      <c r="N219" s="2"/>
    </row>
    <row r="220" spans="1:14" s="14" customFormat="1" ht="15.75" x14ac:dyDescent="0.25">
      <c r="A220" s="100"/>
      <c r="B220" s="132"/>
      <c r="C220" s="19"/>
      <c r="D220" s="100"/>
      <c r="E220" s="100"/>
      <c r="F220" s="37"/>
      <c r="G220" s="37"/>
      <c r="H220" s="37"/>
      <c r="I220" s="37"/>
      <c r="J220" s="37"/>
      <c r="K220" s="37"/>
      <c r="L220" s="25"/>
      <c r="M220" s="2"/>
      <c r="N220" s="2"/>
    </row>
    <row r="221" spans="1:14" s="14" customFormat="1" ht="15.75" x14ac:dyDescent="0.25">
      <c r="A221" s="100"/>
      <c r="B221" s="132"/>
      <c r="C221" s="19"/>
      <c r="D221" s="100"/>
      <c r="E221" s="100"/>
      <c r="F221" s="37"/>
      <c r="G221" s="37"/>
      <c r="H221" s="37"/>
      <c r="I221" s="37"/>
      <c r="J221" s="37"/>
      <c r="K221" s="37"/>
      <c r="L221" s="25"/>
      <c r="M221" s="2"/>
      <c r="N221" s="2"/>
    </row>
    <row r="222" spans="1:14" s="14" customFormat="1" ht="15.75" x14ac:dyDescent="0.25">
      <c r="A222" s="100"/>
      <c r="B222" s="132"/>
      <c r="C222" s="19"/>
      <c r="D222" s="100"/>
      <c r="E222" s="100"/>
      <c r="F222" s="37"/>
      <c r="G222" s="37"/>
      <c r="H222" s="37"/>
      <c r="I222" s="37"/>
      <c r="J222" s="37"/>
      <c r="K222" s="37"/>
      <c r="L222" s="25"/>
      <c r="M222" s="2"/>
      <c r="N222" s="2"/>
    </row>
    <row r="223" spans="1:14" s="14" customFormat="1" ht="15.75" x14ac:dyDescent="0.25">
      <c r="A223" s="100"/>
      <c r="B223" s="132"/>
      <c r="C223" s="19"/>
      <c r="D223" s="100"/>
      <c r="E223" s="100"/>
      <c r="F223" s="37"/>
      <c r="G223" s="37"/>
      <c r="H223" s="37"/>
      <c r="I223" s="37"/>
      <c r="J223" s="37"/>
      <c r="K223" s="37"/>
      <c r="L223" s="25"/>
      <c r="M223" s="2"/>
      <c r="N223" s="2"/>
    </row>
    <row r="224" spans="1:14" s="14" customFormat="1" ht="15.75" x14ac:dyDescent="0.25">
      <c r="A224" s="100"/>
      <c r="B224" s="132"/>
      <c r="C224" s="19"/>
      <c r="D224" s="100"/>
      <c r="E224" s="100"/>
      <c r="F224" s="37"/>
      <c r="G224" s="37"/>
      <c r="H224" s="37"/>
      <c r="I224" s="37"/>
      <c r="J224" s="37"/>
      <c r="K224" s="37"/>
      <c r="L224" s="25"/>
      <c r="M224" s="2"/>
      <c r="N224" s="2"/>
    </row>
    <row r="225" spans="1:14" s="14" customFormat="1" ht="15.75" x14ac:dyDescent="0.25">
      <c r="A225" s="100"/>
      <c r="B225" s="132"/>
      <c r="C225" s="19"/>
      <c r="D225" s="100"/>
      <c r="E225" s="100"/>
      <c r="F225" s="37"/>
      <c r="G225" s="37"/>
      <c r="H225" s="37"/>
      <c r="I225" s="37"/>
      <c r="J225" s="37"/>
      <c r="K225" s="37"/>
      <c r="L225" s="25"/>
      <c r="M225" s="2"/>
      <c r="N225" s="2"/>
    </row>
    <row r="226" spans="1:14" s="14" customFormat="1" ht="15.75" x14ac:dyDescent="0.25">
      <c r="A226" s="100"/>
      <c r="B226" s="132"/>
      <c r="C226" s="19"/>
      <c r="D226" s="100"/>
      <c r="E226" s="100"/>
      <c r="F226" s="37"/>
      <c r="G226" s="37"/>
      <c r="H226" s="37"/>
      <c r="I226" s="37"/>
      <c r="J226" s="37"/>
      <c r="K226" s="37"/>
      <c r="L226" s="25"/>
      <c r="M226" s="2"/>
      <c r="N226" s="2"/>
    </row>
    <row r="227" spans="1:14" s="14" customFormat="1" ht="15.75" x14ac:dyDescent="0.25">
      <c r="A227" s="100"/>
      <c r="B227" s="132"/>
      <c r="C227" s="19"/>
      <c r="D227" s="100"/>
      <c r="E227" s="100"/>
      <c r="F227" s="37"/>
      <c r="G227" s="37"/>
      <c r="H227" s="37"/>
      <c r="I227" s="37"/>
      <c r="J227" s="37"/>
      <c r="K227" s="37"/>
      <c r="L227" s="25"/>
      <c r="M227" s="2"/>
      <c r="N227" s="2"/>
    </row>
    <row r="228" spans="1:14" s="14" customFormat="1" ht="15.75" x14ac:dyDescent="0.25">
      <c r="A228" s="100"/>
      <c r="B228" s="132"/>
      <c r="C228" s="19"/>
      <c r="D228" s="100"/>
      <c r="E228" s="100"/>
      <c r="F228" s="37"/>
      <c r="G228" s="37"/>
      <c r="H228" s="37"/>
      <c r="I228" s="37"/>
      <c r="J228" s="37"/>
      <c r="K228" s="37"/>
      <c r="L228" s="25"/>
      <c r="M228" s="2"/>
      <c r="N228" s="2"/>
    </row>
    <row r="229" spans="1:14" s="14" customFormat="1" ht="15.75" x14ac:dyDescent="0.25">
      <c r="A229" s="100"/>
      <c r="B229" s="132"/>
      <c r="C229" s="19"/>
      <c r="D229" s="100"/>
      <c r="E229" s="100"/>
      <c r="F229" s="37"/>
      <c r="G229" s="37"/>
      <c r="H229" s="37"/>
      <c r="I229" s="37"/>
      <c r="J229" s="37"/>
      <c r="K229" s="37"/>
      <c r="L229" s="25"/>
      <c r="M229" s="2"/>
      <c r="N229" s="2"/>
    </row>
  </sheetData>
  <mergeCells count="32">
    <mergeCell ref="A1:K1"/>
    <mergeCell ref="A69:A70"/>
    <mergeCell ref="D69:D70"/>
    <mergeCell ref="E69:E70"/>
    <mergeCell ref="E50:E52"/>
    <mergeCell ref="D50:D52"/>
    <mergeCell ref="A50:A52"/>
    <mergeCell ref="E48:E49"/>
    <mergeCell ref="D48:D49"/>
    <mergeCell ref="A48:A49"/>
    <mergeCell ref="D53:D55"/>
    <mergeCell ref="A53:A55"/>
    <mergeCell ref="D38:D39"/>
    <mergeCell ref="E38:E39"/>
    <mergeCell ref="A38:A39"/>
    <mergeCell ref="A42:A43"/>
    <mergeCell ref="D42:D43"/>
    <mergeCell ref="E42:E43"/>
    <mergeCell ref="A40:A41"/>
    <mergeCell ref="D40:D41"/>
    <mergeCell ref="E40:E41"/>
    <mergeCell ref="A73:D73"/>
    <mergeCell ref="D71:D72"/>
    <mergeCell ref="E71:E72"/>
    <mergeCell ref="A71:A72"/>
    <mergeCell ref="E44:E45"/>
    <mergeCell ref="D44:D45"/>
    <mergeCell ref="A44:A45"/>
    <mergeCell ref="A46:A47"/>
    <mergeCell ref="D46:D47"/>
    <mergeCell ref="E46:E47"/>
    <mergeCell ref="E53:E55"/>
  </mergeCells>
  <pageMargins left="0.18" right="0.16" top="0.57999999999999996" bottom="0.16" header="0.3" footer="0.16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H44" sqref="H44"/>
    </sheetView>
  </sheetViews>
  <sheetFormatPr defaultRowHeight="15" x14ac:dyDescent="0.25"/>
  <cols>
    <col min="1" max="1" width="5.140625" bestFit="1" customWidth="1"/>
    <col min="2" max="2" width="10.42578125" customWidth="1"/>
    <col min="3" max="3" width="11.85546875" customWidth="1"/>
    <col min="4" max="4" width="14.42578125" customWidth="1"/>
    <col min="5" max="5" width="14" style="8" customWidth="1"/>
    <col min="6" max="6" width="11.5703125" style="58" customWidth="1"/>
    <col min="7" max="7" width="26" style="58" customWidth="1"/>
  </cols>
  <sheetData>
    <row r="1" spans="1:7" ht="20.25" customHeight="1" thickBot="1" x14ac:dyDescent="0.3">
      <c r="A1" s="312" t="s">
        <v>476</v>
      </c>
      <c r="B1" s="312"/>
      <c r="C1" s="312"/>
      <c r="D1" s="312"/>
      <c r="E1" s="312"/>
      <c r="F1" s="312"/>
      <c r="G1" s="312"/>
    </row>
    <row r="2" spans="1:7" ht="15.75" customHeight="1" thickBot="1" x14ac:dyDescent="0.3">
      <c r="A2" s="101" t="s">
        <v>1</v>
      </c>
      <c r="B2" s="104" t="s">
        <v>2</v>
      </c>
      <c r="C2" s="103" t="s">
        <v>3</v>
      </c>
      <c r="D2" s="104" t="s">
        <v>4</v>
      </c>
      <c r="E2" s="101" t="s">
        <v>5</v>
      </c>
      <c r="F2" s="104" t="s">
        <v>32</v>
      </c>
      <c r="G2" s="104" t="s">
        <v>33</v>
      </c>
    </row>
    <row r="3" spans="1:7" s="117" customFormat="1" x14ac:dyDescent="0.25">
      <c r="A3" s="313">
        <v>1</v>
      </c>
      <c r="B3" s="265">
        <v>18551</v>
      </c>
      <c r="C3" s="266" t="s">
        <v>191</v>
      </c>
      <c r="D3" s="313" t="s">
        <v>147</v>
      </c>
      <c r="E3" s="313" t="s">
        <v>88</v>
      </c>
      <c r="F3" s="314">
        <v>2</v>
      </c>
      <c r="G3" s="314" t="s">
        <v>0</v>
      </c>
    </row>
    <row r="4" spans="1:7" s="117" customFormat="1" x14ac:dyDescent="0.25">
      <c r="A4" s="276"/>
      <c r="B4" s="222">
        <v>18577</v>
      </c>
      <c r="C4" s="258" t="s">
        <v>230</v>
      </c>
      <c r="D4" s="276"/>
      <c r="E4" s="276"/>
      <c r="F4" s="279"/>
      <c r="G4" s="279"/>
    </row>
    <row r="5" spans="1:7" s="117" customFormat="1" x14ac:dyDescent="0.25">
      <c r="A5" s="276">
        <v>2</v>
      </c>
      <c r="B5" s="222">
        <v>18481</v>
      </c>
      <c r="C5" s="258" t="s">
        <v>176</v>
      </c>
      <c r="D5" s="276" t="s">
        <v>131</v>
      </c>
      <c r="E5" s="276" t="s">
        <v>130</v>
      </c>
      <c r="F5" s="279">
        <v>2</v>
      </c>
      <c r="G5" s="279"/>
    </row>
    <row r="6" spans="1:7" s="117" customFormat="1" x14ac:dyDescent="0.25">
      <c r="A6" s="276"/>
      <c r="B6" s="222">
        <v>18556</v>
      </c>
      <c r="C6" s="258" t="s">
        <v>224</v>
      </c>
      <c r="D6" s="276"/>
      <c r="E6" s="276"/>
      <c r="F6" s="279"/>
      <c r="G6" s="279"/>
    </row>
    <row r="7" spans="1:7" s="117" customFormat="1" x14ac:dyDescent="0.25">
      <c r="A7" s="276">
        <v>3</v>
      </c>
      <c r="B7" s="222">
        <v>18452</v>
      </c>
      <c r="C7" s="258" t="s">
        <v>231</v>
      </c>
      <c r="D7" s="276" t="s">
        <v>285</v>
      </c>
      <c r="E7" s="276" t="s">
        <v>88</v>
      </c>
      <c r="F7" s="279">
        <v>2</v>
      </c>
      <c r="G7" s="279"/>
    </row>
    <row r="8" spans="1:7" s="117" customFormat="1" x14ac:dyDescent="0.25">
      <c r="A8" s="276"/>
      <c r="B8" s="222">
        <v>18528</v>
      </c>
      <c r="C8" s="258" t="s">
        <v>187</v>
      </c>
      <c r="D8" s="276"/>
      <c r="E8" s="276"/>
      <c r="F8" s="279"/>
      <c r="G8" s="279"/>
    </row>
    <row r="9" spans="1:7" s="117" customFormat="1" x14ac:dyDescent="0.25">
      <c r="A9" s="276">
        <v>4</v>
      </c>
      <c r="B9" s="222">
        <v>18442</v>
      </c>
      <c r="C9" s="258" t="s">
        <v>225</v>
      </c>
      <c r="D9" s="276" t="s">
        <v>112</v>
      </c>
      <c r="E9" s="276" t="s">
        <v>106</v>
      </c>
      <c r="F9" s="279">
        <v>2</v>
      </c>
      <c r="G9" s="279"/>
    </row>
    <row r="10" spans="1:7" s="117" customFormat="1" x14ac:dyDescent="0.25">
      <c r="A10" s="276"/>
      <c r="B10" s="222">
        <v>18563</v>
      </c>
      <c r="C10" s="258" t="s">
        <v>224</v>
      </c>
      <c r="D10" s="276"/>
      <c r="E10" s="276"/>
      <c r="F10" s="279"/>
      <c r="G10" s="279"/>
    </row>
    <row r="11" spans="1:7" s="117" customFormat="1" x14ac:dyDescent="0.25">
      <c r="A11" s="276">
        <v>5</v>
      </c>
      <c r="B11" s="222">
        <v>18446</v>
      </c>
      <c r="C11" s="258" t="s">
        <v>233</v>
      </c>
      <c r="D11" s="276" t="s">
        <v>146</v>
      </c>
      <c r="E11" s="276" t="s">
        <v>88</v>
      </c>
      <c r="F11" s="279">
        <v>2</v>
      </c>
      <c r="G11" s="279"/>
    </row>
    <row r="12" spans="1:7" s="117" customFormat="1" x14ac:dyDescent="0.25">
      <c r="A12" s="276"/>
      <c r="B12" s="222">
        <v>18574</v>
      </c>
      <c r="C12" s="258" t="s">
        <v>230</v>
      </c>
      <c r="D12" s="276"/>
      <c r="E12" s="276"/>
      <c r="F12" s="279"/>
      <c r="G12" s="279"/>
    </row>
    <row r="13" spans="1:7" s="117" customFormat="1" x14ac:dyDescent="0.25">
      <c r="A13" s="276">
        <v>6</v>
      </c>
      <c r="B13" s="222">
        <v>18440</v>
      </c>
      <c r="C13" s="258" t="s">
        <v>245</v>
      </c>
      <c r="D13" s="276" t="s">
        <v>220</v>
      </c>
      <c r="E13" s="276" t="s">
        <v>216</v>
      </c>
      <c r="F13" s="279">
        <v>2</v>
      </c>
      <c r="G13" s="279"/>
    </row>
    <row r="14" spans="1:7" s="117" customFormat="1" x14ac:dyDescent="0.25">
      <c r="A14" s="276"/>
      <c r="B14" s="222">
        <v>18493</v>
      </c>
      <c r="C14" s="258" t="s">
        <v>219</v>
      </c>
      <c r="D14" s="276"/>
      <c r="E14" s="276"/>
      <c r="F14" s="279"/>
      <c r="G14" s="279"/>
    </row>
    <row r="15" spans="1:7" s="117" customFormat="1" x14ac:dyDescent="0.25">
      <c r="A15" s="276">
        <v>7</v>
      </c>
      <c r="B15" s="222">
        <v>18502</v>
      </c>
      <c r="C15" s="258" t="s">
        <v>219</v>
      </c>
      <c r="D15" s="276" t="s">
        <v>138</v>
      </c>
      <c r="E15" s="276" t="s">
        <v>130</v>
      </c>
      <c r="F15" s="279">
        <v>3</v>
      </c>
      <c r="G15" s="279"/>
    </row>
    <row r="16" spans="1:7" s="117" customFormat="1" x14ac:dyDescent="0.25">
      <c r="A16" s="276"/>
      <c r="B16" s="222">
        <v>18521</v>
      </c>
      <c r="C16" s="258" t="s">
        <v>184</v>
      </c>
      <c r="D16" s="276"/>
      <c r="E16" s="276"/>
      <c r="F16" s="279"/>
      <c r="G16" s="279"/>
    </row>
    <row r="17" spans="1:7" s="117" customFormat="1" x14ac:dyDescent="0.25">
      <c r="A17" s="276"/>
      <c r="B17" s="222">
        <v>18564</v>
      </c>
      <c r="C17" s="258" t="s">
        <v>224</v>
      </c>
      <c r="D17" s="276"/>
      <c r="E17" s="276"/>
      <c r="F17" s="279"/>
      <c r="G17" s="279"/>
    </row>
    <row r="18" spans="1:7" s="117" customFormat="1" x14ac:dyDescent="0.25">
      <c r="A18" s="276">
        <v>8</v>
      </c>
      <c r="B18" s="222">
        <v>18458</v>
      </c>
      <c r="C18" s="258" t="s">
        <v>176</v>
      </c>
      <c r="D18" s="276" t="s">
        <v>292</v>
      </c>
      <c r="E18" s="276" t="s">
        <v>106</v>
      </c>
      <c r="F18" s="279">
        <v>3</v>
      </c>
      <c r="G18" s="279"/>
    </row>
    <row r="19" spans="1:7" s="117" customFormat="1" x14ac:dyDescent="0.25">
      <c r="A19" s="276"/>
      <c r="B19" s="222">
        <v>18533</v>
      </c>
      <c r="C19" s="258" t="s">
        <v>187</v>
      </c>
      <c r="D19" s="276"/>
      <c r="E19" s="276"/>
      <c r="F19" s="279"/>
      <c r="G19" s="279"/>
    </row>
    <row r="20" spans="1:7" s="117" customFormat="1" x14ac:dyDescent="0.25">
      <c r="A20" s="276"/>
      <c r="B20" s="222">
        <v>18545</v>
      </c>
      <c r="C20" s="258" t="s">
        <v>189</v>
      </c>
      <c r="D20" s="276"/>
      <c r="E20" s="276"/>
      <c r="F20" s="279"/>
      <c r="G20" s="279"/>
    </row>
    <row r="21" spans="1:7" s="117" customFormat="1" x14ac:dyDescent="0.25">
      <c r="A21" s="276">
        <v>9</v>
      </c>
      <c r="B21" s="222">
        <v>18463</v>
      </c>
      <c r="C21" s="258" t="s">
        <v>179</v>
      </c>
      <c r="D21" s="276" t="s">
        <v>257</v>
      </c>
      <c r="E21" s="276" t="s">
        <v>94</v>
      </c>
      <c r="F21" s="279">
        <v>2</v>
      </c>
      <c r="G21" s="279" t="s">
        <v>93</v>
      </c>
    </row>
    <row r="22" spans="1:7" s="117" customFormat="1" x14ac:dyDescent="0.25">
      <c r="A22" s="276"/>
      <c r="B22" s="222">
        <v>18589</v>
      </c>
      <c r="C22" s="258" t="s">
        <v>197</v>
      </c>
      <c r="D22" s="276"/>
      <c r="E22" s="276"/>
      <c r="F22" s="279"/>
      <c r="G22" s="279"/>
    </row>
    <row r="23" spans="1:7" s="117" customFormat="1" x14ac:dyDescent="0.25">
      <c r="A23" s="276">
        <v>10</v>
      </c>
      <c r="B23" s="222">
        <v>18447</v>
      </c>
      <c r="C23" s="258" t="s">
        <v>233</v>
      </c>
      <c r="D23" s="276" t="s">
        <v>268</v>
      </c>
      <c r="E23" s="276" t="s">
        <v>94</v>
      </c>
      <c r="F23" s="279">
        <v>2</v>
      </c>
      <c r="G23" s="279"/>
    </row>
    <row r="24" spans="1:7" s="117" customFormat="1" x14ac:dyDescent="0.25">
      <c r="A24" s="276"/>
      <c r="B24" s="222">
        <v>18610</v>
      </c>
      <c r="C24" s="258" t="s">
        <v>201</v>
      </c>
      <c r="D24" s="276"/>
      <c r="E24" s="276"/>
      <c r="F24" s="279"/>
      <c r="G24" s="279"/>
    </row>
    <row r="25" spans="1:7" s="117" customFormat="1" x14ac:dyDescent="0.25">
      <c r="A25" s="313">
        <v>11</v>
      </c>
      <c r="B25" s="265">
        <v>18564</v>
      </c>
      <c r="C25" s="266" t="s">
        <v>224</v>
      </c>
      <c r="D25" s="313" t="s">
        <v>138</v>
      </c>
      <c r="E25" s="313" t="s">
        <v>130</v>
      </c>
      <c r="F25" s="279">
        <v>2</v>
      </c>
      <c r="G25" s="279" t="s">
        <v>13</v>
      </c>
    </row>
    <row r="26" spans="1:7" s="117" customFormat="1" x14ac:dyDescent="0.25">
      <c r="A26" s="276"/>
      <c r="B26" s="222">
        <v>18443</v>
      </c>
      <c r="C26" s="258" t="s">
        <v>225</v>
      </c>
      <c r="D26" s="276"/>
      <c r="E26" s="276"/>
      <c r="F26" s="279"/>
      <c r="G26" s="279"/>
    </row>
    <row r="27" spans="1:7" s="117" customFormat="1" x14ac:dyDescent="0.25">
      <c r="A27" s="276">
        <v>12</v>
      </c>
      <c r="B27" s="222">
        <v>18577</v>
      </c>
      <c r="C27" s="258" t="s">
        <v>230</v>
      </c>
      <c r="D27" s="276" t="s">
        <v>147</v>
      </c>
      <c r="E27" s="276" t="s">
        <v>88</v>
      </c>
      <c r="F27" s="279">
        <v>3</v>
      </c>
      <c r="G27" s="279"/>
    </row>
    <row r="28" spans="1:7" s="117" customFormat="1" x14ac:dyDescent="0.25">
      <c r="A28" s="276"/>
      <c r="B28" s="222">
        <v>18445</v>
      </c>
      <c r="C28" s="258" t="s">
        <v>233</v>
      </c>
      <c r="D28" s="276"/>
      <c r="E28" s="276"/>
      <c r="F28" s="279"/>
      <c r="G28" s="279"/>
    </row>
    <row r="29" spans="1:7" s="117" customFormat="1" x14ac:dyDescent="0.25">
      <c r="A29" s="276"/>
      <c r="B29" s="222">
        <v>18551</v>
      </c>
      <c r="C29" s="258" t="s">
        <v>191</v>
      </c>
      <c r="D29" s="276"/>
      <c r="E29" s="276"/>
      <c r="F29" s="279"/>
      <c r="G29" s="279"/>
    </row>
    <row r="30" spans="1:7" s="117" customFormat="1" x14ac:dyDescent="0.25">
      <c r="A30" s="276">
        <v>13</v>
      </c>
      <c r="B30" s="222">
        <v>18534</v>
      </c>
      <c r="C30" s="258" t="s">
        <v>190</v>
      </c>
      <c r="D30" s="315" t="s">
        <v>120</v>
      </c>
      <c r="E30" s="276" t="s">
        <v>121</v>
      </c>
      <c r="F30" s="279">
        <v>3</v>
      </c>
      <c r="G30" s="279"/>
    </row>
    <row r="31" spans="1:7" s="117" customFormat="1" x14ac:dyDescent="0.25">
      <c r="A31" s="276"/>
      <c r="B31" s="222">
        <v>18507</v>
      </c>
      <c r="C31" s="258" t="s">
        <v>182</v>
      </c>
      <c r="D31" s="316"/>
      <c r="E31" s="276"/>
      <c r="F31" s="279"/>
      <c r="G31" s="279"/>
    </row>
    <row r="32" spans="1:7" s="117" customFormat="1" x14ac:dyDescent="0.25">
      <c r="A32" s="276"/>
      <c r="B32" s="222">
        <v>18612</v>
      </c>
      <c r="C32" s="258" t="s">
        <v>228</v>
      </c>
      <c r="D32" s="314"/>
      <c r="E32" s="276"/>
      <c r="F32" s="279"/>
      <c r="G32" s="279"/>
    </row>
    <row r="33" spans="1:7" s="117" customFormat="1" x14ac:dyDescent="0.25">
      <c r="A33" s="276">
        <v>14</v>
      </c>
      <c r="B33" s="222">
        <v>18484</v>
      </c>
      <c r="C33" s="258" t="s">
        <v>176</v>
      </c>
      <c r="D33" s="315" t="s">
        <v>174</v>
      </c>
      <c r="E33" s="276" t="s">
        <v>175</v>
      </c>
      <c r="F33" s="279">
        <v>2</v>
      </c>
      <c r="G33" s="279"/>
    </row>
    <row r="34" spans="1:7" s="117" customFormat="1" x14ac:dyDescent="0.25">
      <c r="A34" s="276"/>
      <c r="B34" s="222">
        <v>18542</v>
      </c>
      <c r="C34" s="258" t="s">
        <v>189</v>
      </c>
      <c r="D34" s="314"/>
      <c r="E34" s="276"/>
      <c r="F34" s="279"/>
      <c r="G34" s="279"/>
    </row>
    <row r="35" spans="1:7" s="117" customFormat="1" x14ac:dyDescent="0.25">
      <c r="A35" s="276">
        <v>15</v>
      </c>
      <c r="B35" s="222">
        <v>18573</v>
      </c>
      <c r="C35" s="258" t="s">
        <v>230</v>
      </c>
      <c r="D35" s="276" t="s">
        <v>112</v>
      </c>
      <c r="E35" s="276" t="s">
        <v>106</v>
      </c>
      <c r="F35" s="279">
        <v>2</v>
      </c>
      <c r="G35" s="279"/>
    </row>
    <row r="36" spans="1:7" s="117" customFormat="1" x14ac:dyDescent="0.25">
      <c r="A36" s="276"/>
      <c r="B36" s="222">
        <v>18505</v>
      </c>
      <c r="C36" s="258" t="s">
        <v>172</v>
      </c>
      <c r="D36" s="276"/>
      <c r="E36" s="276"/>
      <c r="F36" s="279"/>
      <c r="G36" s="279"/>
    </row>
    <row r="37" spans="1:7" s="117" customFormat="1" x14ac:dyDescent="0.25">
      <c r="A37" s="276">
        <v>16</v>
      </c>
      <c r="B37" s="222">
        <v>18484</v>
      </c>
      <c r="C37" s="258" t="s">
        <v>176</v>
      </c>
      <c r="D37" s="315" t="s">
        <v>174</v>
      </c>
      <c r="E37" s="276" t="s">
        <v>175</v>
      </c>
      <c r="F37" s="279">
        <v>2</v>
      </c>
      <c r="G37" s="279" t="s">
        <v>14</v>
      </c>
    </row>
    <row r="38" spans="1:7" s="117" customFormat="1" x14ac:dyDescent="0.25">
      <c r="A38" s="276"/>
      <c r="B38" s="222">
        <v>18542</v>
      </c>
      <c r="C38" s="258" t="s">
        <v>189</v>
      </c>
      <c r="D38" s="314"/>
      <c r="E38" s="276"/>
      <c r="F38" s="279"/>
      <c r="G38" s="279"/>
    </row>
    <row r="39" spans="1:7" s="117" customFormat="1" x14ac:dyDescent="0.25">
      <c r="A39" s="276">
        <v>17</v>
      </c>
      <c r="B39" s="222">
        <v>18507</v>
      </c>
      <c r="C39" s="258" t="s">
        <v>182</v>
      </c>
      <c r="D39" s="276" t="s">
        <v>151</v>
      </c>
      <c r="E39" s="276" t="s">
        <v>121</v>
      </c>
      <c r="F39" s="279">
        <v>2</v>
      </c>
      <c r="G39" s="279"/>
    </row>
    <row r="40" spans="1:7" s="117" customFormat="1" x14ac:dyDescent="0.25">
      <c r="A40" s="276"/>
      <c r="B40" s="268">
        <v>18534</v>
      </c>
      <c r="C40" s="258" t="s">
        <v>190</v>
      </c>
      <c r="D40" s="276"/>
      <c r="E40" s="276"/>
      <c r="F40" s="279"/>
      <c r="G40" s="279"/>
    </row>
    <row r="41" spans="1:7" s="117" customFormat="1" x14ac:dyDescent="0.25">
      <c r="A41" s="276">
        <v>18</v>
      </c>
      <c r="B41" s="222">
        <v>18477</v>
      </c>
      <c r="C41" s="258" t="s">
        <v>176</v>
      </c>
      <c r="D41" s="279" t="s">
        <v>138</v>
      </c>
      <c r="E41" s="276" t="s">
        <v>130</v>
      </c>
      <c r="F41" s="279">
        <v>2</v>
      </c>
      <c r="G41" s="279" t="s">
        <v>475</v>
      </c>
    </row>
    <row r="42" spans="1:7" s="117" customFormat="1" x14ac:dyDescent="0.25">
      <c r="A42" s="276"/>
      <c r="B42" s="222">
        <v>18468</v>
      </c>
      <c r="C42" s="258" t="s">
        <v>237</v>
      </c>
      <c r="D42" s="279"/>
      <c r="E42" s="276"/>
      <c r="F42" s="279"/>
      <c r="G42" s="279"/>
    </row>
    <row r="43" spans="1:7" s="117" customFormat="1" x14ac:dyDescent="0.25">
      <c r="A43" s="276">
        <v>19</v>
      </c>
      <c r="B43" s="222">
        <v>18440</v>
      </c>
      <c r="C43" s="258" t="s">
        <v>245</v>
      </c>
      <c r="D43" s="276" t="s">
        <v>220</v>
      </c>
      <c r="E43" s="276" t="s">
        <v>216</v>
      </c>
      <c r="F43" s="279">
        <v>2</v>
      </c>
      <c r="G43" s="279"/>
    </row>
    <row r="44" spans="1:7" s="117" customFormat="1" x14ac:dyDescent="0.25">
      <c r="A44" s="276"/>
      <c r="B44" s="222">
        <v>18493</v>
      </c>
      <c r="C44" s="258" t="s">
        <v>219</v>
      </c>
      <c r="D44" s="276"/>
      <c r="E44" s="276"/>
      <c r="F44" s="279"/>
      <c r="G44" s="279"/>
    </row>
    <row r="45" spans="1:7" s="117" customFormat="1" x14ac:dyDescent="0.25">
      <c r="A45" s="276">
        <v>20</v>
      </c>
      <c r="B45" s="222">
        <v>18626</v>
      </c>
      <c r="C45" s="258" t="s">
        <v>207</v>
      </c>
      <c r="D45" s="276" t="s">
        <v>261</v>
      </c>
      <c r="E45" s="276" t="s">
        <v>262</v>
      </c>
      <c r="F45" s="279">
        <v>2</v>
      </c>
      <c r="G45" s="279"/>
    </row>
    <row r="46" spans="1:7" s="117" customFormat="1" x14ac:dyDescent="0.25">
      <c r="A46" s="276"/>
      <c r="B46" s="222">
        <v>18566</v>
      </c>
      <c r="C46" s="258" t="s">
        <v>193</v>
      </c>
      <c r="D46" s="276"/>
      <c r="E46" s="276"/>
      <c r="F46" s="279"/>
      <c r="G46" s="279"/>
    </row>
    <row r="47" spans="1:7" s="117" customFormat="1" x14ac:dyDescent="0.25">
      <c r="A47" s="276">
        <v>21</v>
      </c>
      <c r="B47" s="251">
        <v>18606</v>
      </c>
      <c r="C47" s="258" t="s">
        <v>199</v>
      </c>
      <c r="D47" s="276" t="s">
        <v>129</v>
      </c>
      <c r="E47" s="276" t="s">
        <v>94</v>
      </c>
      <c r="F47" s="279">
        <v>2</v>
      </c>
      <c r="G47" s="279"/>
    </row>
    <row r="48" spans="1:7" s="117" customFormat="1" x14ac:dyDescent="0.25">
      <c r="A48" s="276"/>
      <c r="B48" s="251">
        <v>18439</v>
      </c>
      <c r="C48" s="258" t="s">
        <v>245</v>
      </c>
      <c r="D48" s="276"/>
      <c r="E48" s="276"/>
      <c r="F48" s="279"/>
      <c r="G48" s="279"/>
    </row>
    <row r="49" spans="1:7" s="117" customFormat="1" x14ac:dyDescent="0.25">
      <c r="A49" s="276">
        <v>22</v>
      </c>
      <c r="B49" s="251">
        <v>18456</v>
      </c>
      <c r="C49" s="258" t="s">
        <v>231</v>
      </c>
      <c r="D49" s="276" t="s">
        <v>282</v>
      </c>
      <c r="E49" s="276" t="s">
        <v>283</v>
      </c>
      <c r="F49" s="279">
        <v>2</v>
      </c>
      <c r="G49" s="279"/>
    </row>
    <row r="50" spans="1:7" s="117" customFormat="1" x14ac:dyDescent="0.25">
      <c r="A50" s="276"/>
      <c r="B50" s="251">
        <v>18571</v>
      </c>
      <c r="C50" s="258" t="s">
        <v>256</v>
      </c>
      <c r="D50" s="276"/>
      <c r="E50" s="276"/>
      <c r="F50" s="279"/>
      <c r="G50" s="279"/>
    </row>
  </sheetData>
  <mergeCells count="94">
    <mergeCell ref="G41:G50"/>
    <mergeCell ref="F41:F42"/>
    <mergeCell ref="F43:F44"/>
    <mergeCell ref="F45:F46"/>
    <mergeCell ref="F47:F48"/>
    <mergeCell ref="A49:A50"/>
    <mergeCell ref="D49:D50"/>
    <mergeCell ref="E49:E50"/>
    <mergeCell ref="F49:F50"/>
    <mergeCell ref="F3:F4"/>
    <mergeCell ref="F5:F6"/>
    <mergeCell ref="F7:F8"/>
    <mergeCell ref="F9:F10"/>
    <mergeCell ref="F11:F12"/>
    <mergeCell ref="F13:F14"/>
    <mergeCell ref="F15:F17"/>
    <mergeCell ref="F18:F20"/>
    <mergeCell ref="F21:F22"/>
    <mergeCell ref="F23:F24"/>
    <mergeCell ref="F25:F26"/>
    <mergeCell ref="F27:F29"/>
    <mergeCell ref="A47:A48"/>
    <mergeCell ref="D47:D48"/>
    <mergeCell ref="E47:E48"/>
    <mergeCell ref="A41:A42"/>
    <mergeCell ref="D41:D42"/>
    <mergeCell ref="E41:E42"/>
    <mergeCell ref="A43:A44"/>
    <mergeCell ref="D43:D44"/>
    <mergeCell ref="E43:E44"/>
    <mergeCell ref="A45:A46"/>
    <mergeCell ref="D45:D46"/>
    <mergeCell ref="E45:E46"/>
    <mergeCell ref="A39:A40"/>
    <mergeCell ref="D39:D40"/>
    <mergeCell ref="E39:E40"/>
    <mergeCell ref="G37:G40"/>
    <mergeCell ref="F37:F38"/>
    <mergeCell ref="F39:F40"/>
    <mergeCell ref="A27:A29"/>
    <mergeCell ref="D27:D29"/>
    <mergeCell ref="E27:E29"/>
    <mergeCell ref="G25:G36"/>
    <mergeCell ref="A37:A38"/>
    <mergeCell ref="D37:D38"/>
    <mergeCell ref="E37:E38"/>
    <mergeCell ref="F30:F32"/>
    <mergeCell ref="F33:F34"/>
    <mergeCell ref="F35:F36"/>
    <mergeCell ref="A23:A24"/>
    <mergeCell ref="D23:D24"/>
    <mergeCell ref="E23:E24"/>
    <mergeCell ref="G21:G24"/>
    <mergeCell ref="A35:A36"/>
    <mergeCell ref="D35:D36"/>
    <mergeCell ref="E35:E36"/>
    <mergeCell ref="A30:A32"/>
    <mergeCell ref="D30:D32"/>
    <mergeCell ref="E30:E32"/>
    <mergeCell ref="A33:A34"/>
    <mergeCell ref="D33:D34"/>
    <mergeCell ref="E33:E34"/>
    <mergeCell ref="A25:A26"/>
    <mergeCell ref="D25:D26"/>
    <mergeCell ref="E25:E26"/>
    <mergeCell ref="A18:A20"/>
    <mergeCell ref="D18:D20"/>
    <mergeCell ref="E18:E20"/>
    <mergeCell ref="A21:A22"/>
    <mergeCell ref="D21:D22"/>
    <mergeCell ref="E21:E22"/>
    <mergeCell ref="E11:E12"/>
    <mergeCell ref="A13:A14"/>
    <mergeCell ref="D13:D14"/>
    <mergeCell ref="E13:E14"/>
    <mergeCell ref="A15:A17"/>
    <mergeCell ref="D15:D17"/>
    <mergeCell ref="E15:E17"/>
    <mergeCell ref="A1:G1"/>
    <mergeCell ref="A3:A4"/>
    <mergeCell ref="D3:D4"/>
    <mergeCell ref="E3:E4"/>
    <mergeCell ref="A5:A6"/>
    <mergeCell ref="D5:D6"/>
    <mergeCell ref="E5:E6"/>
    <mergeCell ref="G3:G20"/>
    <mergeCell ref="A7:A8"/>
    <mergeCell ref="D7:D8"/>
    <mergeCell ref="E7:E8"/>
    <mergeCell ref="A9:A10"/>
    <mergeCell ref="D9:D10"/>
    <mergeCell ref="E9:E10"/>
    <mergeCell ref="A11:A12"/>
    <mergeCell ref="D11:D12"/>
  </mergeCells>
  <pageMargins left="0.69" right="0.39" top="0.42" bottom="0.16" header="0.3" footer="0.16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H36" sqref="H36"/>
    </sheetView>
  </sheetViews>
  <sheetFormatPr defaultRowHeight="15" x14ac:dyDescent="0.25"/>
  <cols>
    <col min="1" max="1" width="5.7109375" style="29" customWidth="1"/>
    <col min="2" max="2" width="23.85546875" style="29" customWidth="1"/>
    <col min="3" max="3" width="14.7109375" style="18" customWidth="1"/>
    <col min="4" max="4" width="16.28515625" style="18" customWidth="1"/>
    <col min="5" max="5" width="14.85546875" style="39" customWidth="1"/>
    <col min="6" max="6" width="16.7109375" style="9" customWidth="1"/>
    <col min="8" max="8" width="15.5703125" customWidth="1"/>
    <col min="9" max="9" width="15.140625" customWidth="1"/>
    <col min="10" max="11" width="12.7109375" bestFit="1" customWidth="1"/>
    <col min="12" max="12" width="12.7109375" style="187" customWidth="1"/>
    <col min="13" max="13" width="14.5703125" style="187" bestFit="1" customWidth="1"/>
    <col min="14" max="14" width="22.85546875" customWidth="1"/>
  </cols>
  <sheetData>
    <row r="1" spans="1:6" ht="39" customHeight="1" thickBot="1" x14ac:dyDescent="0.3">
      <c r="A1" s="312" t="s">
        <v>477</v>
      </c>
      <c r="B1" s="312"/>
      <c r="C1" s="312"/>
      <c r="D1" s="312"/>
      <c r="E1" s="312"/>
      <c r="F1" s="312"/>
    </row>
    <row r="2" spans="1:6" ht="23.25" customHeight="1" thickBot="1" x14ac:dyDescent="0.3">
      <c r="A2" s="317" t="s">
        <v>34</v>
      </c>
      <c r="B2" s="319" t="s">
        <v>35</v>
      </c>
      <c r="C2" s="321" t="s">
        <v>478</v>
      </c>
      <c r="D2" s="322"/>
      <c r="E2" s="319" t="s">
        <v>479</v>
      </c>
      <c r="F2" s="323" t="s">
        <v>36</v>
      </c>
    </row>
    <row r="3" spans="1:6" ht="26.25" customHeight="1" thickBot="1" x14ac:dyDescent="0.3">
      <c r="A3" s="318"/>
      <c r="B3" s="320"/>
      <c r="C3" s="114" t="s">
        <v>37</v>
      </c>
      <c r="D3" s="114" t="s">
        <v>38</v>
      </c>
      <c r="E3" s="320"/>
      <c r="F3" s="324"/>
    </row>
    <row r="4" spans="1:6" ht="13.5" customHeight="1" x14ac:dyDescent="0.25">
      <c r="A4" s="313">
        <v>1</v>
      </c>
      <c r="B4" s="314" t="s">
        <v>0</v>
      </c>
      <c r="C4" s="185" t="s">
        <v>307</v>
      </c>
      <c r="D4" s="185">
        <v>18479</v>
      </c>
      <c r="E4" s="313">
        <v>4</v>
      </c>
      <c r="F4" s="241" t="s">
        <v>161</v>
      </c>
    </row>
    <row r="5" spans="1:6" ht="13.5" customHeight="1" x14ac:dyDescent="0.25">
      <c r="A5" s="276"/>
      <c r="B5" s="279"/>
      <c r="C5" s="240" t="s">
        <v>308</v>
      </c>
      <c r="D5" s="240">
        <v>18517</v>
      </c>
      <c r="E5" s="276"/>
      <c r="F5" s="239" t="s">
        <v>166</v>
      </c>
    </row>
    <row r="6" spans="1:6" ht="13.5" customHeight="1" x14ac:dyDescent="0.25">
      <c r="A6" s="276"/>
      <c r="B6" s="279"/>
      <c r="C6" s="240" t="s">
        <v>145</v>
      </c>
      <c r="D6" s="240">
        <v>18615</v>
      </c>
      <c r="E6" s="276"/>
      <c r="F6" s="239" t="s">
        <v>309</v>
      </c>
    </row>
    <row r="7" spans="1:6" ht="13.5" customHeight="1" x14ac:dyDescent="0.25">
      <c r="A7" s="276"/>
      <c r="B7" s="279"/>
      <c r="C7" s="240" t="s">
        <v>254</v>
      </c>
      <c r="D7" s="240">
        <v>18625</v>
      </c>
      <c r="E7" s="276"/>
      <c r="F7" s="239" t="s">
        <v>309</v>
      </c>
    </row>
    <row r="8" spans="1:6" ht="13.5" customHeight="1" x14ac:dyDescent="0.25">
      <c r="A8" s="276">
        <v>2</v>
      </c>
      <c r="B8" s="279" t="s">
        <v>93</v>
      </c>
      <c r="C8" s="240" t="s">
        <v>264</v>
      </c>
      <c r="D8" s="240">
        <v>18449</v>
      </c>
      <c r="E8" s="325">
        <v>13</v>
      </c>
      <c r="F8" s="239" t="s">
        <v>166</v>
      </c>
    </row>
    <row r="9" spans="1:6" ht="13.5" customHeight="1" x14ac:dyDescent="0.25">
      <c r="A9" s="276"/>
      <c r="B9" s="279"/>
      <c r="C9" s="240" t="s">
        <v>244</v>
      </c>
      <c r="D9" s="240">
        <v>18486</v>
      </c>
      <c r="E9" s="325"/>
      <c r="F9" s="239" t="s">
        <v>161</v>
      </c>
    </row>
    <row r="10" spans="1:6" ht="13.5" customHeight="1" x14ac:dyDescent="0.25">
      <c r="A10" s="276"/>
      <c r="B10" s="279"/>
      <c r="C10" s="240" t="s">
        <v>312</v>
      </c>
      <c r="D10" s="240">
        <v>18513</v>
      </c>
      <c r="E10" s="325"/>
      <c r="F10" s="239" t="s">
        <v>321</v>
      </c>
    </row>
    <row r="11" spans="1:6" ht="13.5" customHeight="1" x14ac:dyDescent="0.25">
      <c r="A11" s="276"/>
      <c r="B11" s="279"/>
      <c r="C11" s="240" t="s">
        <v>311</v>
      </c>
      <c r="D11" s="240">
        <v>18518</v>
      </c>
      <c r="E11" s="325"/>
      <c r="F11" s="239" t="s">
        <v>321</v>
      </c>
    </row>
    <row r="12" spans="1:6" ht="13.5" customHeight="1" x14ac:dyDescent="0.25">
      <c r="A12" s="276"/>
      <c r="B12" s="279"/>
      <c r="C12" s="240" t="s">
        <v>313</v>
      </c>
      <c r="D12" s="240">
        <v>18516</v>
      </c>
      <c r="E12" s="325"/>
      <c r="F12" s="239" t="s">
        <v>321</v>
      </c>
    </row>
    <row r="13" spans="1:6" ht="13.5" customHeight="1" x14ac:dyDescent="0.25">
      <c r="A13" s="276"/>
      <c r="B13" s="279"/>
      <c r="C13" s="240" t="s">
        <v>314</v>
      </c>
      <c r="D13" s="240">
        <v>18515</v>
      </c>
      <c r="E13" s="325"/>
      <c r="F13" s="239" t="s">
        <v>321</v>
      </c>
    </row>
    <row r="14" spans="1:6" ht="13.5" customHeight="1" x14ac:dyDescent="0.25">
      <c r="A14" s="276"/>
      <c r="B14" s="279"/>
      <c r="C14" s="240" t="s">
        <v>315</v>
      </c>
      <c r="D14" s="240">
        <v>18475</v>
      </c>
      <c r="E14" s="325"/>
      <c r="F14" s="239" t="s">
        <v>161</v>
      </c>
    </row>
    <row r="15" spans="1:6" ht="13.5" customHeight="1" x14ac:dyDescent="0.25">
      <c r="A15" s="276"/>
      <c r="B15" s="279"/>
      <c r="C15" s="205" t="s">
        <v>317</v>
      </c>
      <c r="D15" s="205">
        <v>18526</v>
      </c>
      <c r="E15" s="325"/>
      <c r="F15" s="239" t="s">
        <v>161</v>
      </c>
    </row>
    <row r="16" spans="1:6" ht="13.5" customHeight="1" x14ac:dyDescent="0.25">
      <c r="A16" s="276"/>
      <c r="B16" s="279"/>
      <c r="C16" s="205" t="s">
        <v>318</v>
      </c>
      <c r="D16" s="205">
        <v>18581</v>
      </c>
      <c r="E16" s="325"/>
      <c r="F16" s="239" t="s">
        <v>309</v>
      </c>
    </row>
    <row r="17" spans="1:6" ht="13.5" customHeight="1" x14ac:dyDescent="0.25">
      <c r="A17" s="276"/>
      <c r="B17" s="279"/>
      <c r="C17" s="205" t="s">
        <v>165</v>
      </c>
      <c r="D17" s="205">
        <v>18598</v>
      </c>
      <c r="E17" s="325"/>
      <c r="F17" s="239" t="s">
        <v>161</v>
      </c>
    </row>
    <row r="18" spans="1:6" ht="13.5" customHeight="1" x14ac:dyDescent="0.25">
      <c r="A18" s="276"/>
      <c r="B18" s="279"/>
      <c r="C18" s="205" t="s">
        <v>319</v>
      </c>
      <c r="D18" s="205">
        <v>18602</v>
      </c>
      <c r="E18" s="325"/>
      <c r="F18" s="239" t="s">
        <v>321</v>
      </c>
    </row>
    <row r="19" spans="1:6" ht="13.5" customHeight="1" x14ac:dyDescent="0.25">
      <c r="A19" s="276"/>
      <c r="B19" s="279"/>
      <c r="C19" s="205" t="s">
        <v>320</v>
      </c>
      <c r="D19" s="205">
        <v>18608</v>
      </c>
      <c r="E19" s="325"/>
      <c r="F19" s="239" t="s">
        <v>161</v>
      </c>
    </row>
    <row r="20" spans="1:6" ht="13.5" customHeight="1" x14ac:dyDescent="0.25">
      <c r="A20" s="276"/>
      <c r="B20" s="279"/>
      <c r="C20" s="205" t="s">
        <v>204</v>
      </c>
      <c r="D20" s="205">
        <v>18619</v>
      </c>
      <c r="E20" s="325"/>
      <c r="F20" s="239" t="s">
        <v>161</v>
      </c>
    </row>
    <row r="21" spans="1:6" s="187" customFormat="1" ht="13.5" customHeight="1" x14ac:dyDescent="0.25">
      <c r="A21" s="276">
        <v>3</v>
      </c>
      <c r="B21" s="279" t="s">
        <v>11</v>
      </c>
      <c r="C21" s="205" t="s">
        <v>310</v>
      </c>
      <c r="D21" s="205">
        <v>18464</v>
      </c>
      <c r="E21" s="325">
        <v>8</v>
      </c>
      <c r="F21" s="239" t="s">
        <v>161</v>
      </c>
    </row>
    <row r="22" spans="1:6" s="187" customFormat="1" ht="13.5" customHeight="1" x14ac:dyDescent="0.25">
      <c r="A22" s="276"/>
      <c r="B22" s="279"/>
      <c r="C22" s="205" t="s">
        <v>485</v>
      </c>
      <c r="D22" s="205">
        <v>18530</v>
      </c>
      <c r="E22" s="325"/>
      <c r="F22" s="239" t="s">
        <v>166</v>
      </c>
    </row>
    <row r="23" spans="1:6" s="187" customFormat="1" ht="13.5" customHeight="1" x14ac:dyDescent="0.25">
      <c r="A23" s="276"/>
      <c r="B23" s="279"/>
      <c r="C23" s="205" t="s">
        <v>486</v>
      </c>
      <c r="D23" s="205">
        <v>18585</v>
      </c>
      <c r="E23" s="325"/>
      <c r="F23" s="239" t="s">
        <v>161</v>
      </c>
    </row>
    <row r="24" spans="1:6" s="187" customFormat="1" ht="13.5" customHeight="1" x14ac:dyDescent="0.25">
      <c r="A24" s="276"/>
      <c r="B24" s="279"/>
      <c r="C24" s="205" t="s">
        <v>487</v>
      </c>
      <c r="D24" s="205">
        <v>18586</v>
      </c>
      <c r="E24" s="325"/>
      <c r="F24" s="239" t="s">
        <v>161</v>
      </c>
    </row>
    <row r="25" spans="1:6" s="187" customFormat="1" ht="13.5" customHeight="1" x14ac:dyDescent="0.25">
      <c r="A25" s="276"/>
      <c r="B25" s="279"/>
      <c r="C25" s="205" t="s">
        <v>167</v>
      </c>
      <c r="D25" s="205">
        <v>18618</v>
      </c>
      <c r="E25" s="325"/>
      <c r="F25" s="239" t="s">
        <v>166</v>
      </c>
    </row>
    <row r="26" spans="1:6" s="187" customFormat="1" ht="13.5" customHeight="1" x14ac:dyDescent="0.25">
      <c r="A26" s="276"/>
      <c r="B26" s="279"/>
      <c r="C26" s="205" t="s">
        <v>226</v>
      </c>
      <c r="D26" s="205">
        <v>18622</v>
      </c>
      <c r="E26" s="325"/>
      <c r="F26" s="239" t="s">
        <v>161</v>
      </c>
    </row>
    <row r="27" spans="1:6" s="187" customFormat="1" ht="13.5" customHeight="1" x14ac:dyDescent="0.25">
      <c r="A27" s="276"/>
      <c r="B27" s="279"/>
      <c r="C27" s="205" t="s">
        <v>69</v>
      </c>
      <c r="D27" s="205">
        <v>18623</v>
      </c>
      <c r="E27" s="325"/>
      <c r="F27" s="239" t="s">
        <v>161</v>
      </c>
    </row>
    <row r="28" spans="1:6" s="187" customFormat="1" ht="13.5" customHeight="1" x14ac:dyDescent="0.25">
      <c r="A28" s="276"/>
      <c r="B28" s="279"/>
      <c r="C28" s="205" t="s">
        <v>488</v>
      </c>
      <c r="D28" s="205">
        <v>18580</v>
      </c>
      <c r="E28" s="325"/>
      <c r="F28" s="239" t="s">
        <v>161</v>
      </c>
    </row>
    <row r="29" spans="1:6" ht="13.5" customHeight="1" x14ac:dyDescent="0.25">
      <c r="A29" s="276">
        <v>4</v>
      </c>
      <c r="B29" s="276" t="s">
        <v>13</v>
      </c>
      <c r="C29" s="240" t="s">
        <v>310</v>
      </c>
      <c r="D29" s="240">
        <v>18464</v>
      </c>
      <c r="E29" s="325">
        <v>10</v>
      </c>
      <c r="F29" s="239" t="s">
        <v>166</v>
      </c>
    </row>
    <row r="30" spans="1:6" ht="13.5" customHeight="1" x14ac:dyDescent="0.25">
      <c r="A30" s="276"/>
      <c r="B30" s="276"/>
      <c r="C30" s="240" t="s">
        <v>311</v>
      </c>
      <c r="D30" s="240">
        <v>8518</v>
      </c>
      <c r="E30" s="325"/>
      <c r="F30" s="239" t="s">
        <v>166</v>
      </c>
    </row>
    <row r="31" spans="1:6" ht="13.5" customHeight="1" x14ac:dyDescent="0.25">
      <c r="A31" s="276"/>
      <c r="B31" s="276"/>
      <c r="C31" s="240" t="s">
        <v>312</v>
      </c>
      <c r="D31" s="240">
        <v>18513</v>
      </c>
      <c r="E31" s="325"/>
      <c r="F31" s="239" t="s">
        <v>166</v>
      </c>
    </row>
    <row r="32" spans="1:6" ht="13.5" customHeight="1" x14ac:dyDescent="0.25">
      <c r="A32" s="276"/>
      <c r="B32" s="276"/>
      <c r="C32" s="240" t="s">
        <v>313</v>
      </c>
      <c r="D32" s="240">
        <v>18516</v>
      </c>
      <c r="E32" s="325"/>
      <c r="F32" s="239" t="s">
        <v>166</v>
      </c>
    </row>
    <row r="33" spans="1:6" ht="13.5" customHeight="1" x14ac:dyDescent="0.25">
      <c r="A33" s="276"/>
      <c r="B33" s="276"/>
      <c r="C33" s="240" t="s">
        <v>314</v>
      </c>
      <c r="D33" s="240">
        <v>18515</v>
      </c>
      <c r="E33" s="325"/>
      <c r="F33" s="239" t="s">
        <v>161</v>
      </c>
    </row>
    <row r="34" spans="1:6" ht="13.5" customHeight="1" x14ac:dyDescent="0.25">
      <c r="A34" s="276"/>
      <c r="B34" s="276"/>
      <c r="C34" s="240" t="s">
        <v>315</v>
      </c>
      <c r="D34" s="240">
        <v>18475</v>
      </c>
      <c r="E34" s="325"/>
      <c r="F34" s="239" t="s">
        <v>161</v>
      </c>
    </row>
    <row r="35" spans="1:6" ht="13.5" customHeight="1" x14ac:dyDescent="0.25">
      <c r="A35" s="276"/>
      <c r="B35" s="276"/>
      <c r="C35" s="240" t="s">
        <v>308</v>
      </c>
      <c r="D35" s="240">
        <v>18517</v>
      </c>
      <c r="E35" s="325"/>
      <c r="F35" s="239" t="s">
        <v>161</v>
      </c>
    </row>
    <row r="36" spans="1:6" ht="13.5" customHeight="1" x14ac:dyDescent="0.25">
      <c r="A36" s="276"/>
      <c r="B36" s="276"/>
      <c r="C36" s="240" t="s">
        <v>304</v>
      </c>
      <c r="D36" s="240">
        <v>18509</v>
      </c>
      <c r="E36" s="325"/>
      <c r="F36" s="239" t="s">
        <v>166</v>
      </c>
    </row>
    <row r="37" spans="1:6" ht="13.5" customHeight="1" x14ac:dyDescent="0.25">
      <c r="A37" s="276"/>
      <c r="B37" s="276"/>
      <c r="C37" s="240" t="s">
        <v>69</v>
      </c>
      <c r="D37" s="240">
        <v>18555</v>
      </c>
      <c r="E37" s="325"/>
      <c r="F37" s="239" t="s">
        <v>161</v>
      </c>
    </row>
    <row r="38" spans="1:6" ht="13.5" customHeight="1" x14ac:dyDescent="0.25">
      <c r="A38" s="276"/>
      <c r="B38" s="276"/>
      <c r="C38" s="240" t="s">
        <v>316</v>
      </c>
      <c r="D38" s="240">
        <v>18557</v>
      </c>
      <c r="E38" s="325"/>
      <c r="F38" s="239" t="s">
        <v>166</v>
      </c>
    </row>
    <row r="39" spans="1:6" ht="13.5" customHeight="1" x14ac:dyDescent="0.25">
      <c r="A39" s="276">
        <v>5</v>
      </c>
      <c r="B39" s="279" t="s">
        <v>322</v>
      </c>
      <c r="C39" s="205" t="s">
        <v>310</v>
      </c>
      <c r="D39" s="205">
        <v>18464</v>
      </c>
      <c r="E39" s="276">
        <v>4</v>
      </c>
      <c r="F39" s="239" t="s">
        <v>161</v>
      </c>
    </row>
    <row r="40" spans="1:6" ht="13.5" customHeight="1" x14ac:dyDescent="0.25">
      <c r="A40" s="276"/>
      <c r="B40" s="279"/>
      <c r="C40" s="205" t="s">
        <v>307</v>
      </c>
      <c r="D40" s="205">
        <v>18479</v>
      </c>
      <c r="E40" s="276"/>
      <c r="F40" s="239" t="s">
        <v>161</v>
      </c>
    </row>
    <row r="41" spans="1:6" ht="13.5" customHeight="1" x14ac:dyDescent="0.25">
      <c r="A41" s="276"/>
      <c r="B41" s="279"/>
      <c r="C41" s="205" t="s">
        <v>308</v>
      </c>
      <c r="D41" s="205">
        <v>18517</v>
      </c>
      <c r="E41" s="276"/>
      <c r="F41" s="239" t="s">
        <v>166</v>
      </c>
    </row>
    <row r="42" spans="1:6" ht="13.5" customHeight="1" x14ac:dyDescent="0.25">
      <c r="A42" s="276"/>
      <c r="B42" s="279"/>
      <c r="C42" s="205" t="s">
        <v>304</v>
      </c>
      <c r="D42" s="205">
        <v>18509</v>
      </c>
      <c r="E42" s="276"/>
      <c r="F42" s="239" t="s">
        <v>161</v>
      </c>
    </row>
    <row r="43" spans="1:6" ht="13.5" customHeight="1" x14ac:dyDescent="0.25">
      <c r="A43" s="276">
        <v>6</v>
      </c>
      <c r="B43" s="279" t="s">
        <v>14</v>
      </c>
      <c r="C43" s="205" t="s">
        <v>246</v>
      </c>
      <c r="D43" s="205">
        <v>18526</v>
      </c>
      <c r="E43" s="276">
        <v>5</v>
      </c>
      <c r="F43" s="239" t="s">
        <v>161</v>
      </c>
    </row>
    <row r="44" spans="1:6" ht="13.5" customHeight="1" x14ac:dyDescent="0.25">
      <c r="A44" s="276"/>
      <c r="B44" s="279"/>
      <c r="C44" s="205" t="s">
        <v>326</v>
      </c>
      <c r="D44" s="205">
        <v>18534</v>
      </c>
      <c r="E44" s="276"/>
      <c r="F44" s="239" t="s">
        <v>161</v>
      </c>
    </row>
    <row r="45" spans="1:6" ht="13.5" customHeight="1" x14ac:dyDescent="0.25">
      <c r="A45" s="276"/>
      <c r="B45" s="279"/>
      <c r="C45" s="205" t="s">
        <v>129</v>
      </c>
      <c r="D45" s="205">
        <v>18606</v>
      </c>
      <c r="E45" s="276"/>
      <c r="F45" s="239" t="s">
        <v>161</v>
      </c>
    </row>
    <row r="46" spans="1:6" ht="13.5" customHeight="1" x14ac:dyDescent="0.25">
      <c r="A46" s="276"/>
      <c r="B46" s="279"/>
      <c r="C46" s="205" t="s">
        <v>206</v>
      </c>
      <c r="D46" s="205">
        <v>18600</v>
      </c>
      <c r="E46" s="276"/>
      <c r="F46" s="239" t="s">
        <v>161</v>
      </c>
    </row>
    <row r="47" spans="1:6" ht="13.5" customHeight="1" x14ac:dyDescent="0.25">
      <c r="A47" s="276"/>
      <c r="B47" s="279"/>
      <c r="C47" s="205" t="s">
        <v>209</v>
      </c>
      <c r="D47" s="205">
        <v>18608</v>
      </c>
      <c r="E47" s="276"/>
      <c r="F47" s="239" t="s">
        <v>161</v>
      </c>
    </row>
    <row r="48" spans="1:6" s="187" customFormat="1" ht="13.5" customHeight="1" x14ac:dyDescent="0.25">
      <c r="A48" s="256"/>
      <c r="B48" s="257"/>
      <c r="C48" s="255"/>
      <c r="D48" s="255"/>
      <c r="E48" s="256"/>
      <c r="F48" s="269"/>
    </row>
  </sheetData>
  <mergeCells count="24">
    <mergeCell ref="E8:E20"/>
    <mergeCell ref="B8:B20"/>
    <mergeCell ref="A8:A20"/>
    <mergeCell ref="E4:E7"/>
    <mergeCell ref="B4:B7"/>
    <mergeCell ref="A4:A7"/>
    <mergeCell ref="E29:E38"/>
    <mergeCell ref="B29:B38"/>
    <mergeCell ref="A29:A38"/>
    <mergeCell ref="E21:E28"/>
    <mergeCell ref="B21:B28"/>
    <mergeCell ref="A21:A28"/>
    <mergeCell ref="A1:F1"/>
    <mergeCell ref="A2:A3"/>
    <mergeCell ref="B2:B3"/>
    <mergeCell ref="C2:D2"/>
    <mergeCell ref="E2:E3"/>
    <mergeCell ref="F2:F3"/>
    <mergeCell ref="E39:E42"/>
    <mergeCell ref="B39:B42"/>
    <mergeCell ref="A39:A42"/>
    <mergeCell ref="E43:E47"/>
    <mergeCell ref="B43:B47"/>
    <mergeCell ref="A43:A47"/>
  </mergeCells>
  <pageMargins left="0.56000000000000005" right="0.48" top="0.88" bottom="0.28999999999999998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A10" workbookViewId="0">
      <selection activeCell="F9" sqref="F9:F11"/>
    </sheetView>
  </sheetViews>
  <sheetFormatPr defaultRowHeight="15" x14ac:dyDescent="0.25"/>
  <cols>
    <col min="1" max="1" width="4.7109375" bestFit="1" customWidth="1"/>
    <col min="2" max="2" width="11.7109375" customWidth="1"/>
    <col min="3" max="3" width="12.7109375" bestFit="1" customWidth="1"/>
    <col min="4" max="4" width="18.140625" customWidth="1"/>
    <col min="5" max="5" width="16.85546875" customWidth="1"/>
    <col min="6" max="6" width="9.7109375" customWidth="1"/>
    <col min="7" max="7" width="11.7109375" customWidth="1"/>
    <col min="8" max="8" width="8.42578125" customWidth="1"/>
    <col min="9" max="9" width="12" customWidth="1"/>
    <col min="10" max="10" width="14.42578125" customWidth="1"/>
    <col min="11" max="11" width="11.5703125" bestFit="1" customWidth="1"/>
    <col min="13" max="14" width="10.5703125" bestFit="1" customWidth="1"/>
  </cols>
  <sheetData>
    <row r="1" spans="1:11" ht="16.5" thickBot="1" x14ac:dyDescent="0.3">
      <c r="A1" s="336" t="s">
        <v>388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1" ht="61.5" customHeight="1" thickBot="1" x14ac:dyDescent="0.3">
      <c r="A2" s="72" t="s">
        <v>39</v>
      </c>
      <c r="B2" s="73" t="s">
        <v>40</v>
      </c>
      <c r="C2" s="74" t="s">
        <v>41</v>
      </c>
      <c r="D2" s="73" t="s">
        <v>42</v>
      </c>
      <c r="E2" s="75" t="s">
        <v>43</v>
      </c>
      <c r="F2" s="74" t="s">
        <v>44</v>
      </c>
      <c r="G2" s="74" t="s">
        <v>45</v>
      </c>
      <c r="H2" s="76" t="s">
        <v>46</v>
      </c>
      <c r="I2" s="74" t="s">
        <v>47</v>
      </c>
      <c r="J2" s="74" t="s">
        <v>48</v>
      </c>
      <c r="K2" s="77" t="s">
        <v>49</v>
      </c>
    </row>
    <row r="3" spans="1:11" s="117" customFormat="1" ht="17.25" customHeight="1" x14ac:dyDescent="0.25">
      <c r="A3" s="341">
        <v>1</v>
      </c>
      <c r="B3" s="344" t="s">
        <v>252</v>
      </c>
      <c r="C3" s="341" t="s">
        <v>52</v>
      </c>
      <c r="D3" s="340" t="s">
        <v>369</v>
      </c>
      <c r="E3" s="340" t="s">
        <v>370</v>
      </c>
      <c r="F3" s="341"/>
      <c r="G3" s="340" t="s">
        <v>371</v>
      </c>
      <c r="H3" s="337"/>
      <c r="I3" s="115" t="s">
        <v>372</v>
      </c>
      <c r="J3" s="115" t="s">
        <v>373</v>
      </c>
      <c r="K3" s="116">
        <f>10.5*100.96</f>
        <v>1060.08</v>
      </c>
    </row>
    <row r="4" spans="1:11" s="117" customFormat="1" ht="17.25" customHeight="1" x14ac:dyDescent="0.25">
      <c r="A4" s="327"/>
      <c r="B4" s="345"/>
      <c r="C4" s="327"/>
      <c r="D4" s="334"/>
      <c r="E4" s="334"/>
      <c r="F4" s="327"/>
      <c r="G4" s="334"/>
      <c r="H4" s="338"/>
      <c r="I4" s="83" t="s">
        <v>53</v>
      </c>
      <c r="J4" s="83" t="s">
        <v>373</v>
      </c>
      <c r="K4" s="118">
        <f>10.5*100.96</f>
        <v>1060.08</v>
      </c>
    </row>
    <row r="5" spans="1:11" s="117" customFormat="1" ht="17.25" customHeight="1" x14ac:dyDescent="0.25">
      <c r="A5" s="327"/>
      <c r="B5" s="345"/>
      <c r="C5" s="327"/>
      <c r="D5" s="334"/>
      <c r="E5" s="334"/>
      <c r="F5" s="327"/>
      <c r="G5" s="334"/>
      <c r="H5" s="338"/>
      <c r="I5" s="83" t="s">
        <v>374</v>
      </c>
      <c r="J5" s="83" t="s">
        <v>375</v>
      </c>
      <c r="K5" s="118">
        <f>2*87.5</f>
        <v>175</v>
      </c>
    </row>
    <row r="6" spans="1:11" s="117" customFormat="1" ht="17.25" customHeight="1" thickBot="1" x14ac:dyDescent="0.3">
      <c r="A6" s="328"/>
      <c r="B6" s="346"/>
      <c r="C6" s="343"/>
      <c r="D6" s="335"/>
      <c r="E6" s="342"/>
      <c r="F6" s="328"/>
      <c r="G6" s="335"/>
      <c r="H6" s="339"/>
      <c r="I6" s="83" t="s">
        <v>377</v>
      </c>
      <c r="J6" s="83" t="s">
        <v>376</v>
      </c>
      <c r="K6" s="118">
        <f>2*36</f>
        <v>72</v>
      </c>
    </row>
    <row r="7" spans="1:11" s="117" customFormat="1" ht="17.25" customHeight="1" x14ac:dyDescent="0.25">
      <c r="A7" s="326">
        <v>2</v>
      </c>
      <c r="B7" s="326" t="s">
        <v>236</v>
      </c>
      <c r="C7" s="341" t="s">
        <v>52</v>
      </c>
      <c r="D7" s="333" t="s">
        <v>96</v>
      </c>
      <c r="E7" s="340" t="s">
        <v>378</v>
      </c>
      <c r="F7" s="326"/>
      <c r="G7" s="333" t="s">
        <v>490</v>
      </c>
      <c r="H7" s="349"/>
      <c r="I7" s="83" t="s">
        <v>117</v>
      </c>
      <c r="J7" s="83" t="s">
        <v>379</v>
      </c>
      <c r="K7" s="118">
        <f>1.5*40.89</f>
        <v>61.335000000000001</v>
      </c>
    </row>
    <row r="8" spans="1:11" s="117" customFormat="1" ht="17.25" customHeight="1" x14ac:dyDescent="0.25">
      <c r="A8" s="328"/>
      <c r="B8" s="328"/>
      <c r="C8" s="328"/>
      <c r="D8" s="335"/>
      <c r="E8" s="335"/>
      <c r="F8" s="328"/>
      <c r="G8" s="335"/>
      <c r="H8" s="339"/>
      <c r="I8" s="83" t="s">
        <v>116</v>
      </c>
      <c r="J8" s="83" t="s">
        <v>380</v>
      </c>
      <c r="K8" s="118">
        <f>1.5*118.99</f>
        <v>178.48499999999999</v>
      </c>
    </row>
    <row r="9" spans="1:11" s="117" customFormat="1" ht="17.25" customHeight="1" x14ac:dyDescent="0.25">
      <c r="A9" s="326">
        <v>3</v>
      </c>
      <c r="B9" s="326" t="s">
        <v>286</v>
      </c>
      <c r="C9" s="326" t="s">
        <v>52</v>
      </c>
      <c r="D9" s="333" t="s">
        <v>50</v>
      </c>
      <c r="E9" s="333" t="s">
        <v>95</v>
      </c>
      <c r="F9" s="326"/>
      <c r="G9" s="333"/>
      <c r="H9" s="330"/>
      <c r="I9" s="83" t="s">
        <v>103</v>
      </c>
      <c r="J9" s="83" t="s">
        <v>168</v>
      </c>
      <c r="K9" s="118">
        <f>4.5*100.96</f>
        <v>454.32</v>
      </c>
    </row>
    <row r="10" spans="1:11" s="117" customFormat="1" ht="17.25" customHeight="1" x14ac:dyDescent="0.25">
      <c r="A10" s="327"/>
      <c r="B10" s="327"/>
      <c r="C10" s="327"/>
      <c r="D10" s="334"/>
      <c r="E10" s="334"/>
      <c r="F10" s="327"/>
      <c r="G10" s="334"/>
      <c r="H10" s="331"/>
      <c r="I10" s="83" t="s">
        <v>53</v>
      </c>
      <c r="J10" s="83" t="s">
        <v>169</v>
      </c>
      <c r="K10" s="118">
        <f>4.5*40.89</f>
        <v>184.005</v>
      </c>
    </row>
    <row r="11" spans="1:11" s="117" customFormat="1" ht="17.25" customHeight="1" x14ac:dyDescent="0.25">
      <c r="A11" s="328"/>
      <c r="B11" s="328"/>
      <c r="C11" s="328"/>
      <c r="D11" s="335"/>
      <c r="E11" s="335"/>
      <c r="F11" s="328"/>
      <c r="G11" s="335"/>
      <c r="H11" s="332"/>
      <c r="I11" s="83" t="s">
        <v>51</v>
      </c>
      <c r="J11" s="83" t="s">
        <v>170</v>
      </c>
      <c r="K11" s="118">
        <f>4.5*156.96</f>
        <v>706.32</v>
      </c>
    </row>
    <row r="12" spans="1:11" s="117" customFormat="1" ht="17.25" customHeight="1" x14ac:dyDescent="0.25">
      <c r="A12" s="326">
        <v>4</v>
      </c>
      <c r="B12" s="326" t="s">
        <v>293</v>
      </c>
      <c r="C12" s="326" t="s">
        <v>52</v>
      </c>
      <c r="D12" s="333" t="s">
        <v>50</v>
      </c>
      <c r="E12" s="333" t="s">
        <v>95</v>
      </c>
      <c r="F12" s="326"/>
      <c r="G12" s="347" t="s">
        <v>381</v>
      </c>
      <c r="H12" s="330"/>
      <c r="I12" s="83" t="s">
        <v>116</v>
      </c>
      <c r="J12" s="83" t="s">
        <v>382</v>
      </c>
      <c r="K12" s="118">
        <f>7*118.99</f>
        <v>832.93</v>
      </c>
    </row>
    <row r="13" spans="1:11" s="117" customFormat="1" ht="17.25" customHeight="1" x14ac:dyDescent="0.25">
      <c r="A13" s="327"/>
      <c r="B13" s="327"/>
      <c r="C13" s="327"/>
      <c r="D13" s="334"/>
      <c r="E13" s="334"/>
      <c r="F13" s="327"/>
      <c r="G13" s="348"/>
      <c r="H13" s="331"/>
      <c r="I13" s="83" t="s">
        <v>117</v>
      </c>
      <c r="J13" s="83" t="s">
        <v>383</v>
      </c>
      <c r="K13" s="118">
        <f>7*40.89</f>
        <v>286.23</v>
      </c>
    </row>
    <row r="14" spans="1:11" s="117" customFormat="1" ht="17.25" customHeight="1" x14ac:dyDescent="0.25">
      <c r="A14" s="350">
        <v>5</v>
      </c>
      <c r="B14" s="350" t="s">
        <v>294</v>
      </c>
      <c r="C14" s="350" t="s">
        <v>52</v>
      </c>
      <c r="D14" s="353" t="s">
        <v>50</v>
      </c>
      <c r="E14" s="353" t="s">
        <v>95</v>
      </c>
      <c r="F14" s="350"/>
      <c r="G14" s="352" t="s">
        <v>381</v>
      </c>
      <c r="H14" s="329"/>
      <c r="I14" s="83" t="s">
        <v>117</v>
      </c>
      <c r="J14" s="83" t="s">
        <v>387</v>
      </c>
      <c r="K14" s="118">
        <f>15*40.89</f>
        <v>613.35</v>
      </c>
    </row>
    <row r="15" spans="1:11" s="117" customFormat="1" x14ac:dyDescent="0.25">
      <c r="A15" s="350"/>
      <c r="B15" s="350"/>
      <c r="C15" s="350"/>
      <c r="D15" s="353"/>
      <c r="E15" s="353"/>
      <c r="F15" s="350"/>
      <c r="G15" s="352"/>
      <c r="H15" s="329"/>
      <c r="I15" s="83" t="s">
        <v>116</v>
      </c>
      <c r="J15" s="83" t="s">
        <v>386</v>
      </c>
      <c r="K15" s="118">
        <f>15*118.99</f>
        <v>1784.85</v>
      </c>
    </row>
    <row r="16" spans="1:11" ht="15.75" customHeight="1" x14ac:dyDescent="0.25">
      <c r="A16" s="350"/>
      <c r="B16" s="350"/>
      <c r="C16" s="350"/>
      <c r="D16" s="353"/>
      <c r="E16" s="353"/>
      <c r="F16" s="350"/>
      <c r="G16" s="352"/>
      <c r="H16" s="329"/>
      <c r="I16" s="83" t="s">
        <v>51</v>
      </c>
      <c r="J16" s="83" t="s">
        <v>385</v>
      </c>
      <c r="K16" s="99">
        <f>15*156.96</f>
        <v>2354.4</v>
      </c>
    </row>
    <row r="17" spans="1:14" ht="15.75" customHeight="1" x14ac:dyDescent="0.25">
      <c r="A17" s="350"/>
      <c r="B17" s="350"/>
      <c r="C17" s="350"/>
      <c r="D17" s="353"/>
      <c r="E17" s="353"/>
      <c r="F17" s="350"/>
      <c r="G17" s="352"/>
      <c r="H17" s="329"/>
      <c r="I17" s="129" t="s">
        <v>103</v>
      </c>
      <c r="J17" s="83" t="s">
        <v>384</v>
      </c>
      <c r="K17" s="130">
        <f>15*100.96</f>
        <v>1514.3999999999999</v>
      </c>
    </row>
    <row r="18" spans="1:14" ht="15.75" x14ac:dyDescent="0.25">
      <c r="A18" s="21"/>
      <c r="B18" s="21"/>
      <c r="C18" s="41"/>
      <c r="D18" s="32"/>
      <c r="E18" s="21"/>
      <c r="F18" s="22" t="s">
        <v>54</v>
      </c>
      <c r="G18" s="23">
        <f>20*472.61+10*472.61+10*472.61+0.5*220.82</f>
        <v>19014.810000000001</v>
      </c>
      <c r="H18" s="355"/>
      <c r="I18" s="355"/>
      <c r="J18" s="355"/>
      <c r="K18" s="23">
        <f>SUM(K3:K17)</f>
        <v>11337.785</v>
      </c>
      <c r="M18" s="7"/>
    </row>
    <row r="19" spans="1:14" ht="15.75" x14ac:dyDescent="0.25">
      <c r="A19" s="21"/>
      <c r="B19" s="21"/>
      <c r="C19" s="41"/>
      <c r="D19" s="32"/>
      <c r="E19" s="21"/>
      <c r="F19" s="81"/>
      <c r="G19" s="78"/>
      <c r="H19" s="63"/>
      <c r="I19" s="63"/>
      <c r="J19" s="274"/>
      <c r="K19" s="78"/>
      <c r="M19" s="7"/>
    </row>
    <row r="20" spans="1:14" ht="25.5" customHeight="1" x14ac:dyDescent="0.25">
      <c r="A20" s="354" t="s">
        <v>491</v>
      </c>
      <c r="B20" s="354"/>
      <c r="C20" s="354"/>
      <c r="D20" s="354"/>
      <c r="E20" s="354"/>
      <c r="F20" s="354"/>
      <c r="G20" s="354"/>
      <c r="H20" s="354"/>
      <c r="I20" s="354"/>
      <c r="J20" s="354"/>
      <c r="K20" s="354"/>
    </row>
    <row r="21" spans="1:14" ht="25.5" customHeight="1" x14ac:dyDescent="0.25">
      <c r="A21" s="98"/>
      <c r="B21" s="98"/>
      <c r="C21" s="98"/>
      <c r="D21" s="98"/>
      <c r="E21" s="98"/>
      <c r="F21" s="98"/>
      <c r="G21" s="98"/>
      <c r="H21" s="98"/>
      <c r="I21" s="98"/>
      <c r="J21" s="98"/>
      <c r="K21" s="98"/>
      <c r="N21" s="7"/>
    </row>
    <row r="22" spans="1:14" ht="15.75" customHeight="1" x14ac:dyDescent="0.25">
      <c r="A22" s="351" t="s">
        <v>55</v>
      </c>
      <c r="B22" s="351"/>
      <c r="C22" s="351"/>
      <c r="D22" s="351" t="s">
        <v>389</v>
      </c>
      <c r="E22" s="351"/>
      <c r="F22" s="275" t="s">
        <v>56</v>
      </c>
      <c r="G22" s="275"/>
      <c r="H22" s="275"/>
      <c r="I22" s="42"/>
      <c r="J22" s="57" t="s">
        <v>98</v>
      </c>
      <c r="K22" s="56"/>
    </row>
    <row r="23" spans="1:14" ht="15.75" x14ac:dyDescent="0.25">
      <c r="A23" s="10" t="s">
        <v>57</v>
      </c>
      <c r="B23" s="10"/>
      <c r="D23" s="10" t="s">
        <v>57</v>
      </c>
      <c r="F23" s="10" t="s">
        <v>57</v>
      </c>
      <c r="H23" s="3"/>
      <c r="J23" s="33" t="s">
        <v>57</v>
      </c>
      <c r="K23" s="3"/>
    </row>
    <row r="24" spans="1:14" ht="15.75" x14ac:dyDescent="0.25">
      <c r="A24" s="10" t="s">
        <v>58</v>
      </c>
      <c r="B24" s="10"/>
      <c r="D24" s="10" t="s">
        <v>58</v>
      </c>
      <c r="F24" s="2" t="s">
        <v>59</v>
      </c>
      <c r="H24" s="3" t="s">
        <v>60</v>
      </c>
      <c r="J24" s="33" t="s">
        <v>61</v>
      </c>
      <c r="K24" s="3"/>
    </row>
    <row r="25" spans="1:14" ht="15.75" x14ac:dyDescent="0.25">
      <c r="A25" s="10" t="s">
        <v>62</v>
      </c>
      <c r="B25" s="10"/>
      <c r="D25" s="10" t="s">
        <v>62</v>
      </c>
      <c r="F25" s="2" t="s">
        <v>63</v>
      </c>
      <c r="H25" s="3"/>
      <c r="J25" s="33" t="s">
        <v>64</v>
      </c>
      <c r="K25" s="3"/>
    </row>
  </sheetData>
  <mergeCells count="46">
    <mergeCell ref="F22:H22"/>
    <mergeCell ref="A14:A17"/>
    <mergeCell ref="D22:E22"/>
    <mergeCell ref="A22:C22"/>
    <mergeCell ref="G14:G17"/>
    <mergeCell ref="F14:F17"/>
    <mergeCell ref="E14:E17"/>
    <mergeCell ref="D14:D17"/>
    <mergeCell ref="C14:C17"/>
    <mergeCell ref="B14:B17"/>
    <mergeCell ref="A20:K20"/>
    <mergeCell ref="H18:J18"/>
    <mergeCell ref="C7:C8"/>
    <mergeCell ref="B7:B8"/>
    <mergeCell ref="A7:A8"/>
    <mergeCell ref="H12:H13"/>
    <mergeCell ref="G12:G13"/>
    <mergeCell ref="F12:F13"/>
    <mergeCell ref="E12:E13"/>
    <mergeCell ref="D12:D13"/>
    <mergeCell ref="C12:C13"/>
    <mergeCell ref="B12:B13"/>
    <mergeCell ref="A12:A13"/>
    <mergeCell ref="H7:H8"/>
    <mergeCell ref="G7:G8"/>
    <mergeCell ref="F7:F8"/>
    <mergeCell ref="E7:E8"/>
    <mergeCell ref="D7:D8"/>
    <mergeCell ref="A1:K1"/>
    <mergeCell ref="H3:H6"/>
    <mergeCell ref="G3:G6"/>
    <mergeCell ref="F3:F6"/>
    <mergeCell ref="E3:E6"/>
    <mergeCell ref="D3:D6"/>
    <mergeCell ref="C3:C6"/>
    <mergeCell ref="B3:B6"/>
    <mergeCell ref="A3:A6"/>
    <mergeCell ref="C9:C11"/>
    <mergeCell ref="B9:B11"/>
    <mergeCell ref="A9:A11"/>
    <mergeCell ref="H14:H17"/>
    <mergeCell ref="H9:H11"/>
    <mergeCell ref="G9:G11"/>
    <mergeCell ref="F9:F11"/>
    <mergeCell ref="E9:E11"/>
    <mergeCell ref="D9:D11"/>
  </mergeCells>
  <pageMargins left="0.16" right="0.16" top="0.72" bottom="0.16" header="0.3" footer="0.16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F20" sqref="F20"/>
    </sheetView>
  </sheetViews>
  <sheetFormatPr defaultRowHeight="15" x14ac:dyDescent="0.25"/>
  <cols>
    <col min="1" max="1" width="5.7109375" style="18" customWidth="1"/>
    <col min="2" max="2" width="14.42578125" style="18" customWidth="1"/>
    <col min="3" max="3" width="17.85546875" style="18" customWidth="1"/>
    <col min="4" max="4" width="14.140625" style="8" customWidth="1"/>
    <col min="5" max="5" width="58.5703125" style="8" customWidth="1"/>
    <col min="6" max="6" width="17.85546875" style="9" customWidth="1"/>
    <col min="7" max="7" width="9.140625" style="8"/>
  </cols>
  <sheetData>
    <row r="1" spans="1:6" ht="23.25" thickBot="1" x14ac:dyDescent="0.3">
      <c r="A1" s="303" t="s">
        <v>73</v>
      </c>
      <c r="B1" s="303"/>
      <c r="C1" s="303"/>
      <c r="D1" s="303"/>
      <c r="E1" s="303"/>
      <c r="F1" s="303"/>
    </row>
    <row r="2" spans="1:6" s="194" customFormat="1" ht="16.5" thickBot="1" x14ac:dyDescent="0.3">
      <c r="A2" s="43" t="s">
        <v>1</v>
      </c>
      <c r="B2" s="45" t="s">
        <v>3</v>
      </c>
      <c r="C2" s="44" t="s">
        <v>4</v>
      </c>
      <c r="D2" s="50" t="s">
        <v>66</v>
      </c>
      <c r="E2" s="60" t="s">
        <v>67</v>
      </c>
      <c r="F2" s="55" t="s">
        <v>9</v>
      </c>
    </row>
    <row r="3" spans="1:6" s="194" customFormat="1" ht="15.75" x14ac:dyDescent="0.25">
      <c r="A3" s="205">
        <v>1</v>
      </c>
      <c r="B3" s="210" t="s">
        <v>219</v>
      </c>
      <c r="C3" s="209" t="s">
        <v>244</v>
      </c>
      <c r="D3" s="207" t="s">
        <v>108</v>
      </c>
      <c r="E3" s="208" t="s">
        <v>480</v>
      </c>
      <c r="F3" s="195">
        <f>4.5*47.12</f>
        <v>212.04</v>
      </c>
    </row>
    <row r="4" spans="1:6" s="194" customFormat="1" ht="45" x14ac:dyDescent="0.25">
      <c r="A4" s="205">
        <v>2</v>
      </c>
      <c r="B4" s="210" t="s">
        <v>184</v>
      </c>
      <c r="C4" s="218" t="s">
        <v>430</v>
      </c>
      <c r="D4" s="207" t="s">
        <v>164</v>
      </c>
      <c r="E4" s="11" t="s">
        <v>436</v>
      </c>
      <c r="F4" s="195">
        <f>4.5*(50.48+48.31+48.31+48.31)</f>
        <v>879.34500000000003</v>
      </c>
    </row>
    <row r="5" spans="1:6" s="194" customFormat="1" ht="30" x14ac:dyDescent="0.25">
      <c r="A5" s="205">
        <v>3</v>
      </c>
      <c r="B5" s="211" t="s">
        <v>183</v>
      </c>
      <c r="C5" s="219" t="s">
        <v>431</v>
      </c>
      <c r="D5" s="206" t="s">
        <v>164</v>
      </c>
      <c r="E5" s="213" t="s">
        <v>436</v>
      </c>
      <c r="F5" s="195">
        <f t="shared" ref="F5:F7" si="0">4.5*(50.48+48.31+48.31+48.31)</f>
        <v>879.34500000000003</v>
      </c>
    </row>
    <row r="6" spans="1:6" s="194" customFormat="1" ht="45" x14ac:dyDescent="0.25">
      <c r="A6" s="205">
        <v>4</v>
      </c>
      <c r="B6" s="211" t="s">
        <v>187</v>
      </c>
      <c r="C6" s="218" t="s">
        <v>430</v>
      </c>
      <c r="D6" s="206" t="s">
        <v>164</v>
      </c>
      <c r="E6" s="213" t="s">
        <v>436</v>
      </c>
      <c r="F6" s="195">
        <f t="shared" si="0"/>
        <v>879.34500000000003</v>
      </c>
    </row>
    <row r="7" spans="1:6" s="194" customFormat="1" ht="30" x14ac:dyDescent="0.25">
      <c r="A7" s="205">
        <v>5</v>
      </c>
      <c r="B7" s="220" t="s">
        <v>190</v>
      </c>
      <c r="C7" s="219" t="s">
        <v>431</v>
      </c>
      <c r="D7" s="206" t="s">
        <v>164</v>
      </c>
      <c r="E7" s="213" t="s">
        <v>436</v>
      </c>
      <c r="F7" s="195">
        <f t="shared" si="0"/>
        <v>879.34500000000003</v>
      </c>
    </row>
    <row r="8" spans="1:6" s="194" customFormat="1" ht="30" x14ac:dyDescent="0.25">
      <c r="A8" s="205">
        <v>6</v>
      </c>
      <c r="B8" s="220" t="s">
        <v>189</v>
      </c>
      <c r="C8" s="219" t="s">
        <v>431</v>
      </c>
      <c r="D8" s="206" t="s">
        <v>164</v>
      </c>
      <c r="E8" s="221" t="s">
        <v>437</v>
      </c>
      <c r="F8" s="213">
        <f>4.5*50.48</f>
        <v>227.16</v>
      </c>
    </row>
    <row r="9" spans="1:6" s="194" customFormat="1" ht="30" x14ac:dyDescent="0.25">
      <c r="A9" s="205">
        <v>7</v>
      </c>
      <c r="B9" s="220" t="s">
        <v>191</v>
      </c>
      <c r="C9" s="219" t="s">
        <v>432</v>
      </c>
      <c r="D9" s="206" t="s">
        <v>164</v>
      </c>
      <c r="E9" s="221" t="s">
        <v>437</v>
      </c>
      <c r="F9" s="213">
        <f t="shared" ref="F9:F10" si="1">4.5*50.48</f>
        <v>227.16</v>
      </c>
    </row>
    <row r="10" spans="1:6" s="194" customFormat="1" ht="30" x14ac:dyDescent="0.25">
      <c r="A10" s="205">
        <v>8</v>
      </c>
      <c r="B10" s="220" t="s">
        <v>433</v>
      </c>
      <c r="C10" s="219" t="s">
        <v>434</v>
      </c>
      <c r="D10" s="206" t="s">
        <v>164</v>
      </c>
      <c r="E10" s="221" t="s">
        <v>437</v>
      </c>
      <c r="F10" s="213">
        <f t="shared" si="1"/>
        <v>227.16</v>
      </c>
    </row>
    <row r="11" spans="1:6" s="194" customFormat="1" x14ac:dyDescent="0.25">
      <c r="A11" s="222">
        <v>9</v>
      </c>
      <c r="B11" s="220" t="s">
        <v>182</v>
      </c>
      <c r="C11" s="206" t="s">
        <v>435</v>
      </c>
      <c r="D11" s="223" t="s">
        <v>70</v>
      </c>
      <c r="E11" s="224" t="s">
        <v>438</v>
      </c>
      <c r="F11" s="213">
        <f>4.5*(100.96+87.5+37.5)</f>
        <v>1016.8199999999999</v>
      </c>
    </row>
    <row r="12" spans="1:6" s="194" customFormat="1" x14ac:dyDescent="0.25">
      <c r="A12" s="222">
        <v>10</v>
      </c>
      <c r="B12" s="220" t="s">
        <v>184</v>
      </c>
      <c r="C12" s="206" t="s">
        <v>153</v>
      </c>
      <c r="D12" s="223" t="s">
        <v>70</v>
      </c>
      <c r="E12" s="224" t="s">
        <v>438</v>
      </c>
      <c r="F12" s="213">
        <f t="shared" ref="F12:F14" si="2">4.5*(100.96+87.5+37.5)</f>
        <v>1016.8199999999999</v>
      </c>
    </row>
    <row r="13" spans="1:6" s="194" customFormat="1" x14ac:dyDescent="0.25">
      <c r="A13" s="222">
        <v>11</v>
      </c>
      <c r="B13" s="220" t="s">
        <v>183</v>
      </c>
      <c r="C13" s="206" t="s">
        <v>153</v>
      </c>
      <c r="D13" s="223" t="s">
        <v>70</v>
      </c>
      <c r="E13" s="224" t="s">
        <v>438</v>
      </c>
      <c r="F13" s="213">
        <f t="shared" si="2"/>
        <v>1016.8199999999999</v>
      </c>
    </row>
    <row r="14" spans="1:6" s="194" customFormat="1" x14ac:dyDescent="0.25">
      <c r="A14" s="222">
        <v>12</v>
      </c>
      <c r="B14" s="220" t="s">
        <v>187</v>
      </c>
      <c r="C14" s="223" t="s">
        <v>435</v>
      </c>
      <c r="D14" s="223" t="s">
        <v>70</v>
      </c>
      <c r="E14" s="224" t="s">
        <v>438</v>
      </c>
      <c r="F14" s="213">
        <f t="shared" si="2"/>
        <v>1016.8199999999999</v>
      </c>
    </row>
    <row r="15" spans="1:6" s="194" customFormat="1" x14ac:dyDescent="0.25">
      <c r="A15" s="222">
        <v>13</v>
      </c>
      <c r="B15" s="220" t="s">
        <v>197</v>
      </c>
      <c r="C15" s="225" t="s">
        <v>208</v>
      </c>
      <c r="D15" s="223" t="s">
        <v>68</v>
      </c>
      <c r="E15" s="224" t="s">
        <v>439</v>
      </c>
      <c r="F15" s="213">
        <f>4.5*(118.99+65.5+87.5+40.89+36.5)</f>
        <v>1572.21</v>
      </c>
    </row>
    <row r="16" spans="1:6" ht="21" x14ac:dyDescent="0.45">
      <c r="A16" s="100"/>
      <c r="B16" s="19"/>
      <c r="C16" s="100"/>
      <c r="D16" s="2"/>
      <c r="E16" s="12" t="s">
        <v>72</v>
      </c>
      <c r="F16" s="59">
        <f>SUM(F3:F15)</f>
        <v>10050.39</v>
      </c>
    </row>
    <row r="17" spans="2:2" x14ac:dyDescent="0.25">
      <c r="B17" s="20"/>
    </row>
    <row r="18" spans="2:2" x14ac:dyDescent="0.25">
      <c r="B18" s="20"/>
    </row>
    <row r="19" spans="2:2" x14ac:dyDescent="0.25">
      <c r="B19" s="20"/>
    </row>
    <row r="20" spans="2:2" x14ac:dyDescent="0.25">
      <c r="B20" s="20"/>
    </row>
    <row r="21" spans="2:2" x14ac:dyDescent="0.25">
      <c r="B21" s="20"/>
    </row>
    <row r="22" spans="2:2" x14ac:dyDescent="0.25">
      <c r="B22" s="20"/>
    </row>
    <row r="23" spans="2:2" x14ac:dyDescent="0.25">
      <c r="B23" s="20"/>
    </row>
    <row r="24" spans="2:2" x14ac:dyDescent="0.25">
      <c r="B24" s="20"/>
    </row>
    <row r="25" spans="2:2" x14ac:dyDescent="0.25">
      <c r="B25" s="20"/>
    </row>
    <row r="26" spans="2:2" x14ac:dyDescent="0.25">
      <c r="B26" s="20"/>
    </row>
    <row r="27" spans="2:2" x14ac:dyDescent="0.25">
      <c r="B27" s="20"/>
    </row>
    <row r="28" spans="2:2" x14ac:dyDescent="0.25">
      <c r="B28" s="20"/>
    </row>
    <row r="29" spans="2:2" x14ac:dyDescent="0.25">
      <c r="B29" s="20"/>
    </row>
    <row r="30" spans="2:2" x14ac:dyDescent="0.25">
      <c r="B30" s="20"/>
    </row>
    <row r="31" spans="2:2" x14ac:dyDescent="0.25">
      <c r="B31" s="20"/>
    </row>
    <row r="32" spans="2:2" x14ac:dyDescent="0.25">
      <c r="B32" s="20"/>
    </row>
    <row r="33" spans="2:2" x14ac:dyDescent="0.25">
      <c r="B33" s="20"/>
    </row>
    <row r="34" spans="2:2" x14ac:dyDescent="0.25">
      <c r="B34" s="20"/>
    </row>
    <row r="35" spans="2:2" x14ac:dyDescent="0.25">
      <c r="B35" s="20"/>
    </row>
    <row r="36" spans="2:2" x14ac:dyDescent="0.25">
      <c r="B36" s="20"/>
    </row>
    <row r="37" spans="2:2" x14ac:dyDescent="0.25">
      <c r="B37" s="20"/>
    </row>
    <row r="38" spans="2:2" x14ac:dyDescent="0.25">
      <c r="B38" s="20"/>
    </row>
    <row r="39" spans="2:2" x14ac:dyDescent="0.25">
      <c r="B39" s="20"/>
    </row>
    <row r="40" spans="2:2" x14ac:dyDescent="0.25">
      <c r="B40" s="20"/>
    </row>
    <row r="41" spans="2:2" x14ac:dyDescent="0.25">
      <c r="B41" s="20"/>
    </row>
    <row r="42" spans="2:2" x14ac:dyDescent="0.25">
      <c r="B42" s="20"/>
    </row>
    <row r="43" spans="2:2" x14ac:dyDescent="0.25">
      <c r="B43" s="20"/>
    </row>
    <row r="44" spans="2:2" x14ac:dyDescent="0.25">
      <c r="B44" s="20"/>
    </row>
    <row r="45" spans="2:2" x14ac:dyDescent="0.25">
      <c r="B45" s="20"/>
    </row>
    <row r="46" spans="2:2" x14ac:dyDescent="0.25">
      <c r="B46" s="20"/>
    </row>
    <row r="47" spans="2:2" x14ac:dyDescent="0.25">
      <c r="B47" s="20"/>
    </row>
    <row r="48" spans="2:2" x14ac:dyDescent="0.25">
      <c r="B48" s="20"/>
    </row>
    <row r="49" spans="2:2" x14ac:dyDescent="0.25">
      <c r="B49" s="20"/>
    </row>
    <row r="50" spans="2:2" x14ac:dyDescent="0.25">
      <c r="B50" s="20"/>
    </row>
    <row r="51" spans="2:2" x14ac:dyDescent="0.25">
      <c r="B51" s="20"/>
    </row>
    <row r="52" spans="2:2" x14ac:dyDescent="0.25">
      <c r="B52" s="20"/>
    </row>
    <row r="53" spans="2:2" x14ac:dyDescent="0.25">
      <c r="B53" s="20"/>
    </row>
    <row r="54" spans="2:2" x14ac:dyDescent="0.25">
      <c r="B54" s="20"/>
    </row>
    <row r="55" spans="2:2" x14ac:dyDescent="0.25">
      <c r="B55" s="20"/>
    </row>
    <row r="56" spans="2:2" x14ac:dyDescent="0.25">
      <c r="B56" s="20"/>
    </row>
    <row r="57" spans="2:2" x14ac:dyDescent="0.25">
      <c r="B57" s="20"/>
    </row>
    <row r="58" spans="2:2" x14ac:dyDescent="0.25">
      <c r="B58" s="20"/>
    </row>
    <row r="59" spans="2:2" x14ac:dyDescent="0.25">
      <c r="B59" s="20"/>
    </row>
    <row r="60" spans="2:2" x14ac:dyDescent="0.25">
      <c r="B60" s="20"/>
    </row>
    <row r="61" spans="2:2" x14ac:dyDescent="0.25">
      <c r="B61" s="20"/>
    </row>
    <row r="62" spans="2:2" x14ac:dyDescent="0.25">
      <c r="B62" s="20"/>
    </row>
    <row r="63" spans="2:2" x14ac:dyDescent="0.25">
      <c r="B63" s="20"/>
    </row>
    <row r="64" spans="2:2" x14ac:dyDescent="0.25">
      <c r="B64" s="20"/>
    </row>
    <row r="65" spans="2:2" x14ac:dyDescent="0.25">
      <c r="B65" s="20"/>
    </row>
    <row r="66" spans="2:2" x14ac:dyDescent="0.25">
      <c r="B66" s="20"/>
    </row>
    <row r="67" spans="2:2" x14ac:dyDescent="0.25">
      <c r="B67" s="20"/>
    </row>
    <row r="68" spans="2:2" x14ac:dyDescent="0.25">
      <c r="B68" s="20"/>
    </row>
    <row r="69" spans="2:2" x14ac:dyDescent="0.25">
      <c r="B69" s="20"/>
    </row>
    <row r="70" spans="2:2" x14ac:dyDescent="0.25">
      <c r="B70" s="20"/>
    </row>
    <row r="71" spans="2:2" x14ac:dyDescent="0.25">
      <c r="B71" s="20"/>
    </row>
    <row r="72" spans="2:2" x14ac:dyDescent="0.25">
      <c r="B72" s="20"/>
    </row>
    <row r="73" spans="2:2" x14ac:dyDescent="0.25">
      <c r="B73" s="20"/>
    </row>
  </sheetData>
  <mergeCells count="1">
    <mergeCell ref="A1:F1"/>
  </mergeCells>
  <pageMargins left="0.16" right="0.16" top="0.61" bottom="0.16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46" workbookViewId="0">
      <selection activeCell="E28" sqref="E28"/>
    </sheetView>
  </sheetViews>
  <sheetFormatPr defaultRowHeight="15" x14ac:dyDescent="0.25"/>
  <cols>
    <col min="1" max="1" width="4.28515625" style="8" customWidth="1"/>
    <col min="2" max="2" width="10.7109375" style="8" customWidth="1"/>
    <col min="3" max="3" width="23.42578125" style="18" customWidth="1"/>
    <col min="4" max="4" width="13.85546875" style="18" customWidth="1"/>
    <col min="5" max="5" width="60.140625" style="8" customWidth="1"/>
    <col min="6" max="6" width="15.5703125" style="8" customWidth="1"/>
  </cols>
  <sheetData>
    <row r="1" spans="1:11" ht="21" thickBot="1" x14ac:dyDescent="0.3">
      <c r="A1" s="363" t="s">
        <v>65</v>
      </c>
      <c r="B1" s="363"/>
      <c r="C1" s="363"/>
      <c r="D1" s="363"/>
      <c r="E1" s="363"/>
      <c r="F1" s="363"/>
    </row>
    <row r="2" spans="1:11" ht="25.5" customHeight="1" x14ac:dyDescent="0.25">
      <c r="A2" s="228" t="s">
        <v>1</v>
      </c>
      <c r="B2" s="229" t="s">
        <v>3</v>
      </c>
      <c r="C2" s="230" t="s">
        <v>4</v>
      </c>
      <c r="D2" s="231" t="s">
        <v>66</v>
      </c>
      <c r="E2" s="230" t="s">
        <v>67</v>
      </c>
      <c r="F2" s="232" t="s">
        <v>9</v>
      </c>
      <c r="H2" s="40"/>
      <c r="I2" s="40"/>
      <c r="J2" s="40"/>
      <c r="K2" s="40"/>
    </row>
    <row r="3" spans="1:11" ht="31.5" x14ac:dyDescent="0.25">
      <c r="A3" s="365">
        <v>1</v>
      </c>
      <c r="B3" s="364" t="s">
        <v>359</v>
      </c>
      <c r="C3" s="233" t="s">
        <v>392</v>
      </c>
      <c r="D3" s="234" t="s">
        <v>68</v>
      </c>
      <c r="E3" s="11" t="s">
        <v>441</v>
      </c>
      <c r="F3" s="195">
        <f>16*(118.99+87.5+87.5+87.5+65.5+75.5+36.5+35.5+100.96+40.89)</f>
        <v>11781.44</v>
      </c>
    </row>
    <row r="4" spans="1:11" ht="31.5" x14ac:dyDescent="0.25">
      <c r="A4" s="365"/>
      <c r="B4" s="364"/>
      <c r="C4" s="235" t="s">
        <v>393</v>
      </c>
      <c r="D4" s="234" t="s">
        <v>394</v>
      </c>
      <c r="E4" s="236" t="s">
        <v>442</v>
      </c>
      <c r="F4" s="195">
        <f>16*(100.96+100.96+118.99+47.12+126.67+100.96+48.5)</f>
        <v>10306.56</v>
      </c>
    </row>
    <row r="5" spans="1:11" ht="30" x14ac:dyDescent="0.25">
      <c r="A5" s="365"/>
      <c r="B5" s="364"/>
      <c r="C5" s="237" t="s">
        <v>395</v>
      </c>
      <c r="D5" s="234" t="s">
        <v>396</v>
      </c>
      <c r="E5" s="236" t="s">
        <v>443</v>
      </c>
      <c r="F5" s="195">
        <f>16*(118.99+40.89+100.96+40.89+40.89+100.96)</f>
        <v>7097.2799999999988</v>
      </c>
    </row>
    <row r="6" spans="1:11" ht="15.75" x14ac:dyDescent="0.25">
      <c r="A6" s="365"/>
      <c r="B6" s="364"/>
      <c r="C6" s="235"/>
      <c r="D6" s="205" t="s">
        <v>484</v>
      </c>
      <c r="E6" s="236" t="s">
        <v>481</v>
      </c>
      <c r="F6" s="195">
        <f>16*(118.99+100.96+118.99+48.5+25+87.5+87.5+40.89)</f>
        <v>10053.280000000001</v>
      </c>
    </row>
    <row r="7" spans="1:11" ht="15.75" x14ac:dyDescent="0.25">
      <c r="A7" s="365"/>
      <c r="B7" s="364"/>
      <c r="C7" s="235" t="s">
        <v>398</v>
      </c>
      <c r="D7" s="234" t="s">
        <v>71</v>
      </c>
      <c r="E7" s="236" t="s">
        <v>444</v>
      </c>
      <c r="F7" s="195">
        <f>16*(87.5+87.5+36.5+100.96+104.67+87.5+100.96)</f>
        <v>9689.44</v>
      </c>
    </row>
    <row r="8" spans="1:11" ht="31.5" x14ac:dyDescent="0.25">
      <c r="A8" s="365"/>
      <c r="B8" s="364"/>
      <c r="C8" s="235" t="s">
        <v>399</v>
      </c>
      <c r="D8" s="234" t="s">
        <v>70</v>
      </c>
      <c r="E8" s="236" t="s">
        <v>445</v>
      </c>
      <c r="F8" s="195">
        <f>16*(87.5+36.5+100.96+40.5+36.5+100.96+87.5)</f>
        <v>7846.7199999999993</v>
      </c>
    </row>
    <row r="9" spans="1:11" ht="31.5" x14ac:dyDescent="0.25">
      <c r="A9" s="281">
        <v>2</v>
      </c>
      <c r="B9" s="364" t="s">
        <v>402</v>
      </c>
      <c r="C9" s="217" t="s">
        <v>400</v>
      </c>
      <c r="D9" s="193" t="s">
        <v>68</v>
      </c>
      <c r="E9" s="11" t="s">
        <v>446</v>
      </c>
      <c r="F9" s="196">
        <f>16*(87.5+87.5+75.5+65.5+40.89+118.99+100.96+36.5+35)</f>
        <v>10373.44</v>
      </c>
    </row>
    <row r="10" spans="1:11" ht="15.75" x14ac:dyDescent="0.25">
      <c r="A10" s="281"/>
      <c r="B10" s="364"/>
      <c r="C10" s="217" t="s">
        <v>401</v>
      </c>
      <c r="D10" s="193" t="s">
        <v>394</v>
      </c>
      <c r="E10" s="11" t="s">
        <v>482</v>
      </c>
      <c r="F10" s="196">
        <f>16*(118.99+100.96+47.12+50.48+48.5)</f>
        <v>5856.8</v>
      </c>
    </row>
    <row r="11" spans="1:11" ht="31.5" x14ac:dyDescent="0.25">
      <c r="A11" s="281"/>
      <c r="B11" s="364"/>
      <c r="C11" s="217" t="s">
        <v>403</v>
      </c>
      <c r="D11" s="193" t="s">
        <v>396</v>
      </c>
      <c r="E11" s="11" t="s">
        <v>447</v>
      </c>
      <c r="F11" s="196">
        <f>16*(100.96+40.89+40.89+118.99+40.89+48.5+40.5)</f>
        <v>6905.92</v>
      </c>
    </row>
    <row r="12" spans="1:11" ht="15.75" x14ac:dyDescent="0.25">
      <c r="A12" s="281"/>
      <c r="B12" s="364"/>
      <c r="C12" s="212" t="s">
        <v>404</v>
      </c>
      <c r="D12" s="188" t="s">
        <v>68</v>
      </c>
      <c r="E12" s="11" t="s">
        <v>448</v>
      </c>
      <c r="F12" s="198">
        <f>16*(118.99+100.96+118.99+87.5+36.5+87.5+40.89)</f>
        <v>9461.2800000000007</v>
      </c>
    </row>
    <row r="13" spans="1:11" ht="31.5" x14ac:dyDescent="0.25">
      <c r="A13" s="281"/>
      <c r="B13" s="364"/>
      <c r="C13" s="217" t="s">
        <v>405</v>
      </c>
      <c r="D13" s="188" t="s">
        <v>71</v>
      </c>
      <c r="E13" s="11" t="s">
        <v>449</v>
      </c>
      <c r="F13" s="199">
        <f>16*(87.5+87.5+36.5+104.67+87.5+121.47+100.96)</f>
        <v>10017.6</v>
      </c>
    </row>
    <row r="14" spans="1:11" ht="30" x14ac:dyDescent="0.25">
      <c r="A14" s="281"/>
      <c r="B14" s="364"/>
      <c r="C14" s="221" t="s">
        <v>406</v>
      </c>
      <c r="D14" s="189" t="s">
        <v>70</v>
      </c>
      <c r="E14" s="11" t="s">
        <v>450</v>
      </c>
      <c r="F14" s="199">
        <f>16*(87.5+36.5+100.96+100.96+40.5+36.5)</f>
        <v>6446.7199999999993</v>
      </c>
    </row>
    <row r="15" spans="1:11" ht="30" x14ac:dyDescent="0.25">
      <c r="A15" s="276">
        <v>3</v>
      </c>
      <c r="B15" s="359" t="s">
        <v>363</v>
      </c>
      <c r="C15" s="221" t="s">
        <v>407</v>
      </c>
      <c r="D15" s="205" t="s">
        <v>68</v>
      </c>
      <c r="E15" s="221" t="s">
        <v>451</v>
      </c>
      <c r="F15" s="198">
        <f>16*(75.5+87.5+87.5+87.5+118.99+65.5+40.89+36.5+35+77.5)</f>
        <v>11398.08</v>
      </c>
    </row>
    <row r="16" spans="1:11" ht="30" x14ac:dyDescent="0.25">
      <c r="A16" s="276"/>
      <c r="B16" s="359"/>
      <c r="C16" s="221" t="s">
        <v>408</v>
      </c>
      <c r="D16" s="205" t="s">
        <v>394</v>
      </c>
      <c r="E16" s="221" t="s">
        <v>452</v>
      </c>
      <c r="F16" s="198">
        <f>16*(100.96+100.96+126.67+100.96+118.99+47.12+50.48+48.5)</f>
        <v>11114.24</v>
      </c>
    </row>
    <row r="17" spans="1:6" ht="30" x14ac:dyDescent="0.25">
      <c r="A17" s="276"/>
      <c r="B17" s="359"/>
      <c r="C17" s="221" t="s">
        <v>409</v>
      </c>
      <c r="D17" s="205" t="s">
        <v>396</v>
      </c>
      <c r="E17" s="221" t="s">
        <v>453</v>
      </c>
      <c r="F17" s="198">
        <f>16*(100.96+100.96+40.89+40.89+118.99)</f>
        <v>6443.04</v>
      </c>
    </row>
    <row r="18" spans="1:6" ht="45" x14ac:dyDescent="0.25">
      <c r="A18" s="276"/>
      <c r="B18" s="359"/>
      <c r="C18" s="221" t="s">
        <v>410</v>
      </c>
      <c r="D18" s="205" t="s">
        <v>484</v>
      </c>
      <c r="E18" s="221" t="s">
        <v>454</v>
      </c>
      <c r="F18" s="198">
        <f>16*(118.99+100.96+118.99+87.5+87.5+40.89+25+36.5)</f>
        <v>9861.2800000000007</v>
      </c>
    </row>
    <row r="19" spans="1:6" ht="15.75" x14ac:dyDescent="0.25">
      <c r="A19" s="276"/>
      <c r="B19" s="359"/>
      <c r="C19" s="221" t="s">
        <v>411</v>
      </c>
      <c r="D19" s="205" t="s">
        <v>71</v>
      </c>
      <c r="E19" s="221" t="s">
        <v>455</v>
      </c>
      <c r="F19" s="198">
        <f>16*(87.5+87.5+121.47+104.67+87.5+100.96+36.5)</f>
        <v>10017.6</v>
      </c>
    </row>
    <row r="20" spans="1:6" ht="15.75" x14ac:dyDescent="0.25">
      <c r="A20" s="277"/>
      <c r="B20" s="360"/>
      <c r="C20" s="270" t="s">
        <v>412</v>
      </c>
      <c r="D20" s="252" t="s">
        <v>70</v>
      </c>
      <c r="E20" s="270" t="s">
        <v>456</v>
      </c>
      <c r="F20" s="271">
        <f>16*(40.5+36.5+36.5+100.96+100.96+87.5+87.5)</f>
        <v>7846.7199999999993</v>
      </c>
    </row>
    <row r="21" spans="1:6" ht="15.75" x14ac:dyDescent="0.25">
      <c r="A21" s="313">
        <v>4</v>
      </c>
      <c r="B21" s="313" t="s">
        <v>415</v>
      </c>
      <c r="C21" s="272" t="s">
        <v>413</v>
      </c>
      <c r="D21" s="253" t="s">
        <v>68</v>
      </c>
      <c r="E21" s="272" t="s">
        <v>457</v>
      </c>
      <c r="F21" s="273">
        <f>16*(118.99+87.5+87.5+87.5+100.96)</f>
        <v>7719.2</v>
      </c>
    </row>
    <row r="22" spans="1:6" ht="30" x14ac:dyDescent="0.25">
      <c r="A22" s="276"/>
      <c r="B22" s="276"/>
      <c r="C22" s="221" t="s">
        <v>414</v>
      </c>
      <c r="D22" s="205" t="s">
        <v>70</v>
      </c>
      <c r="E22" s="221" t="s">
        <v>458</v>
      </c>
      <c r="F22" s="198">
        <f>16*(126.67+100.96+118.99+47.12+50.48+48.5+35+36.5+77.5+40.5)</f>
        <v>10915.52</v>
      </c>
    </row>
    <row r="23" spans="1:6" ht="15.75" x14ac:dyDescent="0.25">
      <c r="A23" s="276"/>
      <c r="B23" s="276"/>
      <c r="C23" s="221" t="s">
        <v>416</v>
      </c>
      <c r="D23" s="205" t="s">
        <v>396</v>
      </c>
      <c r="E23" s="221" t="s">
        <v>483</v>
      </c>
      <c r="F23" s="198">
        <f>16*(100.96+40.89+40.89+100.96)</f>
        <v>4539.2</v>
      </c>
    </row>
    <row r="24" spans="1:6" ht="15.75" x14ac:dyDescent="0.25">
      <c r="A24" s="276"/>
      <c r="B24" s="276"/>
      <c r="C24" s="213"/>
      <c r="D24" s="205" t="s">
        <v>484</v>
      </c>
      <c r="E24" s="221" t="s">
        <v>459</v>
      </c>
      <c r="F24" s="198">
        <f>16*(118.99+118.99+100.96)</f>
        <v>5423.04</v>
      </c>
    </row>
    <row r="25" spans="1:6" ht="15.75" x14ac:dyDescent="0.25">
      <c r="A25" s="276"/>
      <c r="B25" s="276"/>
      <c r="C25" s="221" t="s">
        <v>417</v>
      </c>
      <c r="D25" s="205" t="s">
        <v>418</v>
      </c>
      <c r="E25" s="221" t="s">
        <v>460</v>
      </c>
      <c r="F25" s="198">
        <f>16*(40.89+87.5)</f>
        <v>2054.2399999999998</v>
      </c>
    </row>
    <row r="26" spans="1:6" ht="30" x14ac:dyDescent="0.25">
      <c r="A26" s="276"/>
      <c r="B26" s="276"/>
      <c r="C26" s="221" t="s">
        <v>419</v>
      </c>
      <c r="D26" s="205" t="s">
        <v>71</v>
      </c>
      <c r="E26" s="221" t="s">
        <v>461</v>
      </c>
      <c r="F26" s="198">
        <f>16*(87.5+36.5+121.67+104.47+87.5)</f>
        <v>7002.24</v>
      </c>
    </row>
    <row r="27" spans="1:6" ht="30" x14ac:dyDescent="0.25">
      <c r="A27" s="276"/>
      <c r="B27" s="276"/>
      <c r="C27" s="221" t="s">
        <v>420</v>
      </c>
      <c r="D27" s="205" t="s">
        <v>70</v>
      </c>
      <c r="E27" s="221" t="s">
        <v>462</v>
      </c>
      <c r="F27" s="198">
        <f>16*(100.96+100.96+87.5+87.5+40.5+36.5+36.5)</f>
        <v>7846.7199999999993</v>
      </c>
    </row>
    <row r="28" spans="1:6" ht="30" x14ac:dyDescent="0.25">
      <c r="A28" s="276">
        <v>5</v>
      </c>
      <c r="B28" s="358" t="s">
        <v>201</v>
      </c>
      <c r="C28" s="221" t="s">
        <v>421</v>
      </c>
      <c r="D28" s="205" t="s">
        <v>68</v>
      </c>
      <c r="E28" s="221" t="s">
        <v>463</v>
      </c>
      <c r="F28" s="198">
        <f>16*(118.99+87.5+77.5+100.96+87.5+65.5+87.5+36.5+77.5+25+40.5)</f>
        <v>12879.2</v>
      </c>
    </row>
    <row r="29" spans="1:6" ht="15.75" x14ac:dyDescent="0.25">
      <c r="A29" s="276"/>
      <c r="B29" s="358"/>
      <c r="C29" s="213" t="s">
        <v>426</v>
      </c>
      <c r="D29" s="205" t="s">
        <v>394</v>
      </c>
      <c r="E29" s="221" t="s">
        <v>464</v>
      </c>
      <c r="F29" s="198">
        <f>16*(126.67+118.99+50.48+48.5)</f>
        <v>5514.24</v>
      </c>
    </row>
    <row r="30" spans="1:6" ht="30" x14ac:dyDescent="0.25">
      <c r="A30" s="276"/>
      <c r="B30" s="358"/>
      <c r="C30" s="221" t="s">
        <v>427</v>
      </c>
      <c r="D30" s="205" t="s">
        <v>396</v>
      </c>
      <c r="E30" s="221" t="s">
        <v>465</v>
      </c>
      <c r="F30" s="198">
        <f>16*(100.96+100.96+40.89+40.89+118.99)</f>
        <v>6443.04</v>
      </c>
    </row>
    <row r="31" spans="1:6" ht="15.75" x14ac:dyDescent="0.25">
      <c r="A31" s="276"/>
      <c r="B31" s="358"/>
      <c r="C31" s="213"/>
      <c r="D31" s="205" t="s">
        <v>484</v>
      </c>
      <c r="E31" s="221" t="s">
        <v>466</v>
      </c>
      <c r="F31" s="198">
        <f>16*(100.96+118.99+87.5+40.89+87.5+100.96)</f>
        <v>8588.7999999999993</v>
      </c>
    </row>
    <row r="32" spans="1:6" ht="30" x14ac:dyDescent="0.25">
      <c r="A32" s="276"/>
      <c r="B32" s="358"/>
      <c r="C32" s="221" t="s">
        <v>428</v>
      </c>
      <c r="D32" s="205" t="s">
        <v>71</v>
      </c>
      <c r="E32" s="221" t="s">
        <v>467</v>
      </c>
      <c r="F32" s="198">
        <f>16*(87.5+87.5+36.5+121.67+100.96+104.47+104.47+87.5+100.96)</f>
        <v>13304.480000000001</v>
      </c>
    </row>
    <row r="33" spans="1:11" ht="15.75" x14ac:dyDescent="0.25">
      <c r="A33" s="276"/>
      <c r="B33" s="358"/>
      <c r="C33" s="221" t="s">
        <v>429</v>
      </c>
      <c r="D33" s="205" t="s">
        <v>70</v>
      </c>
      <c r="E33" s="221" t="s">
        <v>468</v>
      </c>
      <c r="F33" s="198">
        <f>16*(100.96+100.96+87.5)</f>
        <v>4630.7199999999993</v>
      </c>
    </row>
    <row r="34" spans="1:11" s="8" customFormat="1" ht="18.75" x14ac:dyDescent="0.4">
      <c r="A34" s="356"/>
      <c r="B34" s="356"/>
      <c r="C34" s="356"/>
      <c r="D34" s="357"/>
      <c r="E34" s="12" t="s">
        <v>72</v>
      </c>
      <c r="F34" s="35">
        <f>SUM(F3:F33)</f>
        <v>259378.08000000005</v>
      </c>
    </row>
    <row r="35" spans="1:11" s="194" customFormat="1" ht="18.75" x14ac:dyDescent="0.4">
      <c r="A35" s="216"/>
      <c r="B35" s="216"/>
      <c r="C35" s="216"/>
      <c r="D35" s="216"/>
      <c r="E35" s="226"/>
      <c r="F35" s="227"/>
    </row>
    <row r="36" spans="1:11" s="187" customFormat="1" ht="21" thickBot="1" x14ac:dyDescent="0.3">
      <c r="A36" s="363" t="s">
        <v>440</v>
      </c>
      <c r="B36" s="363"/>
      <c r="C36" s="363"/>
      <c r="D36" s="363"/>
      <c r="E36" s="363"/>
      <c r="F36" s="363"/>
    </row>
    <row r="37" spans="1:11" s="187" customFormat="1" ht="25.5" customHeight="1" thickBot="1" x14ac:dyDescent="0.3">
      <c r="A37" s="43" t="s">
        <v>1</v>
      </c>
      <c r="B37" s="45" t="s">
        <v>3</v>
      </c>
      <c r="C37" s="44" t="s">
        <v>4</v>
      </c>
      <c r="D37" s="50" t="s">
        <v>66</v>
      </c>
      <c r="E37" s="44" t="s">
        <v>67</v>
      </c>
      <c r="F37" s="55" t="s">
        <v>9</v>
      </c>
      <c r="H37" s="214"/>
      <c r="I37" s="214"/>
      <c r="J37" s="214"/>
      <c r="K37" s="214"/>
    </row>
    <row r="38" spans="1:11" ht="30" x14ac:dyDescent="0.25">
      <c r="A38" s="361">
        <v>1</v>
      </c>
      <c r="B38" s="276" t="s">
        <v>422</v>
      </c>
      <c r="C38" s="221" t="s">
        <v>421</v>
      </c>
      <c r="D38" s="213" t="s">
        <v>68</v>
      </c>
      <c r="E38" s="221" t="s">
        <v>469</v>
      </c>
      <c r="F38" s="191">
        <f>20*(118.99+87.5+87.5+87.5+65.5+77.5+40.89+100.96+36.5+77.5+35)</f>
        <v>16306.800000000001</v>
      </c>
    </row>
    <row r="39" spans="1:11" ht="30" x14ac:dyDescent="0.25">
      <c r="A39" s="362"/>
      <c r="B39" s="276"/>
      <c r="C39" s="221"/>
      <c r="D39" s="213" t="s">
        <v>394</v>
      </c>
      <c r="E39" s="221" t="s">
        <v>470</v>
      </c>
      <c r="F39" s="191">
        <f>20*(126.67+100.96+47.12+100.96+100.96+118.99+47.12+50.48+48.5+40.5)</f>
        <v>15645.2</v>
      </c>
    </row>
    <row r="40" spans="1:11" ht="30" x14ac:dyDescent="0.25">
      <c r="A40" s="362"/>
      <c r="B40" s="276"/>
      <c r="C40" s="221" t="s">
        <v>423</v>
      </c>
      <c r="D40" s="213" t="s">
        <v>396</v>
      </c>
      <c r="E40" s="221" t="s">
        <v>471</v>
      </c>
      <c r="F40" s="191">
        <f>20*(118.99+40.89+100.96+40.89+100.96+40.89)</f>
        <v>8871.5999999999985</v>
      </c>
    </row>
    <row r="41" spans="1:11" ht="30" x14ac:dyDescent="0.25">
      <c r="A41" s="362"/>
      <c r="B41" s="276"/>
      <c r="C41" s="221"/>
      <c r="D41" s="213" t="s">
        <v>397</v>
      </c>
      <c r="E41" s="221" t="s">
        <v>472</v>
      </c>
      <c r="F41" s="191">
        <f>20*(100.96+118.99+118.99+100.96+36.5+87.5+87.5+25)</f>
        <v>13528</v>
      </c>
    </row>
    <row r="42" spans="1:11" ht="15.75" x14ac:dyDescent="0.25">
      <c r="A42" s="362"/>
      <c r="B42" s="276"/>
      <c r="C42" s="213" t="s">
        <v>424</v>
      </c>
      <c r="D42" s="213" t="s">
        <v>71</v>
      </c>
      <c r="E42" s="221" t="s">
        <v>473</v>
      </c>
      <c r="F42" s="191">
        <f>20*(87.5+36.5+121.67+100.96+104.47+87.5)</f>
        <v>10772</v>
      </c>
    </row>
    <row r="43" spans="1:11" ht="30" x14ac:dyDescent="0.25">
      <c r="A43" s="313"/>
      <c r="B43" s="276"/>
      <c r="C43" s="221" t="s">
        <v>425</v>
      </c>
      <c r="D43" s="213" t="s">
        <v>70</v>
      </c>
      <c r="E43" s="221" t="s">
        <v>474</v>
      </c>
      <c r="F43" s="191">
        <f>20*(100.96+87.5+100.96+100.96+40.5+36.5+36.5)</f>
        <v>10077.599999999999</v>
      </c>
    </row>
    <row r="44" spans="1:11" s="194" customFormat="1" ht="18.75" x14ac:dyDescent="0.4">
      <c r="A44" s="356"/>
      <c r="B44" s="356"/>
      <c r="C44" s="356"/>
      <c r="D44" s="357"/>
      <c r="E44" s="12" t="s">
        <v>72</v>
      </c>
      <c r="F44" s="35">
        <f>SUM(F38:F43)</f>
        <v>75201.2</v>
      </c>
    </row>
  </sheetData>
  <mergeCells count="16">
    <mergeCell ref="A1:F1"/>
    <mergeCell ref="B9:B14"/>
    <mergeCell ref="B3:B8"/>
    <mergeCell ref="A3:A8"/>
    <mergeCell ref="A9:A14"/>
    <mergeCell ref="A44:D44"/>
    <mergeCell ref="B28:B33"/>
    <mergeCell ref="B38:B43"/>
    <mergeCell ref="B21:B27"/>
    <mergeCell ref="B15:B20"/>
    <mergeCell ref="A34:D34"/>
    <mergeCell ref="A15:A20"/>
    <mergeCell ref="A21:A27"/>
    <mergeCell ref="A38:A43"/>
    <mergeCell ref="A28:A33"/>
    <mergeCell ref="A36:F36"/>
  </mergeCells>
  <pageMargins left="0.27" right="0.2" top="0.6" bottom="0.16" header="0.23" footer="0.16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M21" sqref="M21"/>
    </sheetView>
  </sheetViews>
  <sheetFormatPr defaultRowHeight="15" x14ac:dyDescent="0.25"/>
  <cols>
    <col min="1" max="1" width="5" customWidth="1"/>
    <col min="2" max="2" width="10.28515625" style="15" customWidth="1"/>
    <col min="3" max="3" width="11.85546875" customWidth="1"/>
    <col min="4" max="4" width="12.140625" customWidth="1"/>
    <col min="5" max="5" width="11.7109375" customWidth="1"/>
    <col min="6" max="6" width="11.42578125" customWidth="1"/>
    <col min="7" max="7" width="43.140625" customWidth="1"/>
    <col min="8" max="8" width="5.28515625" customWidth="1"/>
    <col min="9" max="9" width="8.7109375" customWidth="1"/>
  </cols>
  <sheetData>
    <row r="1" spans="1:13" ht="26.25" thickBot="1" x14ac:dyDescent="0.4">
      <c r="A1" s="372" t="s">
        <v>353</v>
      </c>
      <c r="B1" s="372"/>
      <c r="C1" s="372"/>
      <c r="D1" s="372"/>
      <c r="E1" s="372"/>
      <c r="F1" s="372"/>
      <c r="G1" s="372"/>
      <c r="H1" s="372"/>
      <c r="I1" s="372"/>
      <c r="J1" s="372"/>
    </row>
    <row r="2" spans="1:13" ht="15.75" x14ac:dyDescent="0.25">
      <c r="A2" s="373" t="s">
        <v>74</v>
      </c>
      <c r="B2" s="375" t="s">
        <v>75</v>
      </c>
      <c r="C2" s="377" t="s">
        <v>76</v>
      </c>
      <c r="D2" s="377"/>
      <c r="E2" s="377" t="s">
        <v>77</v>
      </c>
      <c r="F2" s="377"/>
      <c r="G2" s="378" t="s">
        <v>78</v>
      </c>
      <c r="H2" s="378" t="s">
        <v>79</v>
      </c>
      <c r="I2" s="380" t="s">
        <v>80</v>
      </c>
      <c r="J2" s="382" t="s">
        <v>81</v>
      </c>
    </row>
    <row r="3" spans="1:13" ht="24" customHeight="1" thickBot="1" x14ac:dyDescent="0.3">
      <c r="A3" s="374"/>
      <c r="B3" s="376"/>
      <c r="C3" s="61" t="s">
        <v>82</v>
      </c>
      <c r="D3" s="62" t="s">
        <v>86</v>
      </c>
      <c r="E3" s="61" t="s">
        <v>82</v>
      </c>
      <c r="F3" s="62" t="s">
        <v>87</v>
      </c>
      <c r="G3" s="379"/>
      <c r="H3" s="379"/>
      <c r="I3" s="381"/>
      <c r="J3" s="383"/>
    </row>
    <row r="4" spans="1:13" ht="16.5" thickBot="1" x14ac:dyDescent="0.3">
      <c r="A4" s="369" t="s">
        <v>83</v>
      </c>
      <c r="B4" s="370"/>
      <c r="C4" s="370"/>
      <c r="D4" s="370"/>
      <c r="E4" s="370"/>
      <c r="F4" s="370"/>
      <c r="G4" s="370"/>
      <c r="H4" s="370"/>
      <c r="I4" s="370"/>
      <c r="J4" s="371"/>
    </row>
    <row r="5" spans="1:13" s="16" customFormat="1" ht="12.75" x14ac:dyDescent="0.2">
      <c r="A5" s="122">
        <v>1</v>
      </c>
      <c r="B5" s="123" t="s">
        <v>231</v>
      </c>
      <c r="C5" s="122" t="s">
        <v>94</v>
      </c>
      <c r="D5" s="122" t="s">
        <v>347</v>
      </c>
      <c r="E5" s="122" t="s">
        <v>94</v>
      </c>
      <c r="F5" s="122" t="s">
        <v>348</v>
      </c>
      <c r="G5" s="69" t="s">
        <v>349</v>
      </c>
      <c r="H5" s="123" t="s">
        <v>100</v>
      </c>
      <c r="I5" s="122" t="s">
        <v>101</v>
      </c>
      <c r="J5" s="13"/>
    </row>
    <row r="6" spans="1:13" s="16" customFormat="1" ht="13.5" thickBot="1" x14ac:dyDescent="0.25">
      <c r="A6" s="122">
        <v>2</v>
      </c>
      <c r="B6" s="123" t="s">
        <v>184</v>
      </c>
      <c r="C6" s="122" t="s">
        <v>123</v>
      </c>
      <c r="D6" s="122" t="s">
        <v>350</v>
      </c>
      <c r="E6" s="122" t="s">
        <v>123</v>
      </c>
      <c r="F6" s="122" t="s">
        <v>320</v>
      </c>
      <c r="G6" s="69" t="s">
        <v>351</v>
      </c>
      <c r="H6" s="123" t="s">
        <v>102</v>
      </c>
      <c r="I6" s="122" t="s">
        <v>352</v>
      </c>
      <c r="J6" s="13"/>
    </row>
    <row r="7" spans="1:13" s="16" customFormat="1" ht="16.5" thickBot="1" x14ac:dyDescent="0.3">
      <c r="A7" s="366" t="s">
        <v>346</v>
      </c>
      <c r="B7" s="367"/>
      <c r="C7" s="367"/>
      <c r="D7" s="367"/>
      <c r="E7" s="367"/>
      <c r="F7" s="367"/>
      <c r="G7" s="367"/>
      <c r="H7" s="367"/>
      <c r="I7" s="367"/>
      <c r="J7" s="368"/>
    </row>
    <row r="8" spans="1:13" s="16" customFormat="1" ht="12.75" x14ac:dyDescent="0.2">
      <c r="A8" s="122">
        <v>1</v>
      </c>
      <c r="B8" s="123" t="s">
        <v>179</v>
      </c>
      <c r="C8" s="69" t="s">
        <v>88</v>
      </c>
      <c r="D8" s="69" t="s">
        <v>139</v>
      </c>
      <c r="E8" s="69" t="s">
        <v>88</v>
      </c>
      <c r="F8" s="69" t="s">
        <v>132</v>
      </c>
      <c r="G8" s="69" t="s">
        <v>341</v>
      </c>
      <c r="H8" s="123" t="s">
        <v>100</v>
      </c>
      <c r="I8" s="122" t="s">
        <v>342</v>
      </c>
      <c r="J8" s="69"/>
    </row>
    <row r="9" spans="1:13" s="16" customFormat="1" ht="13.5" thickBot="1" x14ac:dyDescent="0.25">
      <c r="A9" s="122">
        <v>2</v>
      </c>
      <c r="B9" s="123" t="s">
        <v>230</v>
      </c>
      <c r="C9" s="69" t="s">
        <v>88</v>
      </c>
      <c r="D9" s="69" t="s">
        <v>343</v>
      </c>
      <c r="E9" s="69" t="s">
        <v>88</v>
      </c>
      <c r="F9" s="69" t="s">
        <v>135</v>
      </c>
      <c r="G9" s="69" t="s">
        <v>344</v>
      </c>
      <c r="H9" s="123" t="s">
        <v>100</v>
      </c>
      <c r="I9" s="122" t="s">
        <v>345</v>
      </c>
      <c r="J9" s="69"/>
    </row>
    <row r="10" spans="1:13" s="16" customFormat="1" ht="16.5" thickBot="1" x14ac:dyDescent="0.3">
      <c r="A10" s="366" t="s">
        <v>84</v>
      </c>
      <c r="B10" s="367"/>
      <c r="C10" s="367"/>
      <c r="D10" s="367"/>
      <c r="E10" s="367"/>
      <c r="F10" s="367"/>
      <c r="G10" s="367"/>
      <c r="H10" s="367"/>
      <c r="I10" s="367"/>
      <c r="J10" s="368"/>
    </row>
    <row r="11" spans="1:13" s="17" customFormat="1" ht="12.75" x14ac:dyDescent="0.2">
      <c r="A11" s="122">
        <v>1</v>
      </c>
      <c r="B11" s="123" t="s">
        <v>177</v>
      </c>
      <c r="C11" s="122" t="s">
        <v>90</v>
      </c>
      <c r="D11" s="122" t="s">
        <v>327</v>
      </c>
      <c r="E11" s="122" t="s">
        <v>90</v>
      </c>
      <c r="F11" s="122" t="s">
        <v>328</v>
      </c>
      <c r="G11" s="68" t="s">
        <v>329</v>
      </c>
      <c r="H11" s="123" t="s">
        <v>100</v>
      </c>
      <c r="I11" s="122" t="s">
        <v>163</v>
      </c>
      <c r="J11" s="122"/>
    </row>
    <row r="12" spans="1:13" s="17" customFormat="1" ht="12.75" x14ac:dyDescent="0.2">
      <c r="A12" s="122">
        <v>2</v>
      </c>
      <c r="B12" s="123" t="s">
        <v>177</v>
      </c>
      <c r="C12" s="122" t="s">
        <v>281</v>
      </c>
      <c r="D12" s="122" t="s">
        <v>330</v>
      </c>
      <c r="E12" s="122" t="s">
        <v>281</v>
      </c>
      <c r="F12" s="122" t="s">
        <v>280</v>
      </c>
      <c r="G12" s="68" t="s">
        <v>331</v>
      </c>
      <c r="H12" s="123" t="s">
        <v>332</v>
      </c>
      <c r="I12" s="122" t="s">
        <v>333</v>
      </c>
      <c r="J12" s="122"/>
    </row>
    <row r="13" spans="1:13" s="17" customFormat="1" ht="12.75" x14ac:dyDescent="0.2">
      <c r="A13" s="122">
        <v>3</v>
      </c>
      <c r="B13" s="123" t="s">
        <v>224</v>
      </c>
      <c r="C13" s="122" t="s">
        <v>281</v>
      </c>
      <c r="D13" s="122" t="s">
        <v>334</v>
      </c>
      <c r="E13" s="122" t="s">
        <v>281</v>
      </c>
      <c r="F13" s="122" t="s">
        <v>335</v>
      </c>
      <c r="G13" s="68" t="s">
        <v>336</v>
      </c>
      <c r="H13" s="123" t="s">
        <v>100</v>
      </c>
      <c r="I13" s="122" t="s">
        <v>337</v>
      </c>
      <c r="J13" s="122"/>
    </row>
    <row r="14" spans="1:13" s="17" customFormat="1" ht="12.75" x14ac:dyDescent="0.2">
      <c r="A14" s="122">
        <v>4</v>
      </c>
      <c r="B14" s="123" t="s">
        <v>197</v>
      </c>
      <c r="C14" s="122" t="s">
        <v>279</v>
      </c>
      <c r="D14" s="122" t="s">
        <v>338</v>
      </c>
      <c r="E14" s="122" t="s">
        <v>279</v>
      </c>
      <c r="F14" s="122" t="s">
        <v>339</v>
      </c>
      <c r="G14" s="68" t="s">
        <v>340</v>
      </c>
      <c r="H14" s="123" t="s">
        <v>100</v>
      </c>
      <c r="I14" s="122" t="s">
        <v>101</v>
      </c>
      <c r="J14" s="122"/>
    </row>
    <row r="15" spans="1:13" x14ac:dyDescent="0.25">
      <c r="L15" s="40"/>
      <c r="M15" s="40"/>
    </row>
    <row r="16" spans="1:13" x14ac:dyDescent="0.25">
      <c r="L16" s="40"/>
      <c r="M16" s="40"/>
    </row>
    <row r="17" spans="1:16" x14ac:dyDescent="0.25">
      <c r="L17" s="40"/>
      <c r="M17" s="40"/>
    </row>
    <row r="18" spans="1:16" s="65" customFormat="1" ht="15.75" customHeight="1" x14ac:dyDescent="0.25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71"/>
      <c r="L18" s="64"/>
      <c r="M18" s="64"/>
      <c r="N18" s="64"/>
    </row>
    <row r="19" spans="1:16" s="65" customFormat="1" ht="15.75" customHeight="1" x14ac:dyDescent="0.25">
      <c r="A19" s="70"/>
      <c r="B19" s="70"/>
      <c r="C19" s="70"/>
      <c r="D19" s="70"/>
      <c r="E19" s="70"/>
      <c r="F19" s="70"/>
      <c r="G19" s="70"/>
      <c r="H19" s="70"/>
      <c r="I19" s="70"/>
      <c r="J19" s="70"/>
      <c r="K19" s="71"/>
      <c r="L19" s="64"/>
      <c r="M19" s="64"/>
      <c r="N19" s="64"/>
    </row>
    <row r="20" spans="1:16" s="65" customFormat="1" ht="15.75" customHeight="1" x14ac:dyDescent="0.25">
      <c r="A20" s="70"/>
      <c r="B20" s="70"/>
      <c r="C20" s="70"/>
      <c r="D20" s="70"/>
      <c r="E20" s="70"/>
      <c r="F20" s="70"/>
      <c r="G20" s="70"/>
      <c r="H20" s="70"/>
      <c r="I20" s="70"/>
      <c r="J20" s="70"/>
      <c r="K20" s="71"/>
      <c r="L20" s="64"/>
      <c r="M20" s="64"/>
      <c r="N20" s="64"/>
    </row>
    <row r="21" spans="1:16" s="65" customFormat="1" ht="15.75" customHeight="1" x14ac:dyDescent="0.25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71"/>
      <c r="L21" s="64"/>
      <c r="M21" s="64"/>
      <c r="N21" s="64"/>
    </row>
    <row r="22" spans="1:16" s="65" customFormat="1" ht="15.75" customHeight="1" x14ac:dyDescent="0.25">
      <c r="A22" s="70"/>
      <c r="B22" s="70"/>
      <c r="C22" s="70"/>
      <c r="D22" s="70"/>
      <c r="E22" s="70"/>
      <c r="F22" s="70"/>
      <c r="G22" s="70"/>
      <c r="H22" s="70"/>
      <c r="I22" s="70"/>
      <c r="J22" s="70"/>
      <c r="K22" s="71"/>
      <c r="L22" s="64"/>
      <c r="M22" s="64"/>
      <c r="N22" s="64"/>
    </row>
    <row r="23" spans="1:16" s="65" customFormat="1" ht="15.75" customHeight="1" x14ac:dyDescent="0.25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71"/>
      <c r="L23" s="64"/>
      <c r="M23" s="64"/>
      <c r="N23" s="64"/>
    </row>
    <row r="24" spans="1:16" s="65" customFormat="1" ht="15.75" customHeight="1" x14ac:dyDescent="0.25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1"/>
      <c r="L24" s="64"/>
      <c r="M24" s="64"/>
      <c r="N24" s="64"/>
    </row>
    <row r="25" spans="1:16" s="65" customFormat="1" ht="15.75" customHeight="1" x14ac:dyDescent="0.25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1"/>
      <c r="L25" s="64"/>
      <c r="M25" s="64"/>
      <c r="N25" s="64"/>
    </row>
    <row r="26" spans="1:16" s="65" customFormat="1" ht="15.75" customHeight="1" x14ac:dyDescent="0.25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1"/>
      <c r="L26" s="64"/>
      <c r="M26" s="64"/>
      <c r="N26" s="64"/>
    </row>
    <row r="27" spans="1:16" s="65" customFormat="1" ht="15.75" customHeight="1" x14ac:dyDescent="0.25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1"/>
      <c r="L27" s="64"/>
      <c r="M27" s="64"/>
      <c r="N27" s="64"/>
    </row>
    <row r="28" spans="1:16" s="65" customFormat="1" ht="15.75" customHeight="1" x14ac:dyDescent="0.25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1"/>
      <c r="L28" s="64"/>
      <c r="M28" s="64"/>
      <c r="N28" s="64"/>
    </row>
    <row r="29" spans="1:16" s="65" customFormat="1" ht="15.75" customHeight="1" x14ac:dyDescent="0.25">
      <c r="A29" s="70"/>
      <c r="B29" s="70"/>
      <c r="C29" s="70"/>
      <c r="D29" s="70"/>
      <c r="E29" s="70"/>
      <c r="F29" s="70"/>
      <c r="G29" s="70"/>
      <c r="H29" s="70"/>
      <c r="I29" s="70"/>
      <c r="J29" s="70"/>
      <c r="K29" s="71"/>
      <c r="L29" s="64"/>
      <c r="M29" s="64"/>
      <c r="N29" s="64"/>
    </row>
    <row r="30" spans="1:16" s="65" customFormat="1" ht="15.75" customHeight="1" x14ac:dyDescent="0.25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1"/>
      <c r="L30" s="64"/>
      <c r="M30" s="64"/>
      <c r="N30" s="64"/>
    </row>
    <row r="31" spans="1:16" s="65" customFormat="1" ht="15.75" customHeight="1" x14ac:dyDescent="0.25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</row>
    <row r="32" spans="1:16" s="65" customFormat="1" ht="15.75" customHeight="1" x14ac:dyDescent="0.25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</row>
    <row r="33" spans="1:16" s="65" customFormat="1" x14ac:dyDescent="0.25">
      <c r="A33" s="70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</row>
    <row r="34" spans="1:16" s="65" customFormat="1" ht="15.75" customHeight="1" x14ac:dyDescent="0.25">
      <c r="A34" s="70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</row>
  </sheetData>
  <mergeCells count="12">
    <mergeCell ref="A10:J10"/>
    <mergeCell ref="A4:J4"/>
    <mergeCell ref="A1:J1"/>
    <mergeCell ref="A2:A3"/>
    <mergeCell ref="B2:B3"/>
    <mergeCell ref="C2:D2"/>
    <mergeCell ref="E2:F2"/>
    <mergeCell ref="G2:G3"/>
    <mergeCell ref="H2:H3"/>
    <mergeCell ref="I2:I3"/>
    <mergeCell ref="J2:J3"/>
    <mergeCell ref="A7:J7"/>
  </mergeCells>
  <pageMargins left="0.34" right="0.16" top="0.82" bottom="0.24" header="0.3" footer="0.22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8"/>
  <sheetViews>
    <sheetView workbookViewId="0">
      <selection activeCell="N23" sqref="N23"/>
    </sheetView>
  </sheetViews>
  <sheetFormatPr defaultRowHeight="15" x14ac:dyDescent="0.25"/>
  <cols>
    <col min="1" max="1" width="3.7109375" style="18" customWidth="1"/>
    <col min="2" max="2" width="9.85546875" style="18" customWidth="1"/>
    <col min="3" max="3" width="11.28515625" style="20" bestFit="1" customWidth="1"/>
    <col min="4" max="4" width="16.5703125" style="18" customWidth="1"/>
    <col min="5" max="5" width="12.42578125" style="18" customWidth="1"/>
    <col min="6" max="6" width="12.7109375" style="9" bestFit="1" customWidth="1"/>
    <col min="7" max="7" width="12.42578125" style="9" customWidth="1"/>
    <col min="8" max="8" width="14.140625" style="9" customWidth="1"/>
    <col min="9" max="9" width="13.140625" style="9" customWidth="1"/>
    <col min="10" max="10" width="11.7109375" style="9" customWidth="1"/>
    <col min="11" max="11" width="14.7109375" style="9" customWidth="1"/>
    <col min="12" max="12" width="9.140625" style="203"/>
    <col min="13" max="16" width="9.140625" style="8"/>
  </cols>
  <sheetData>
    <row r="1" spans="1:16" ht="26.25" thickBot="1" x14ac:dyDescent="0.3">
      <c r="A1" s="278" t="s">
        <v>93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</row>
    <row r="2" spans="1:16" ht="21.75" customHeight="1" thickBot="1" x14ac:dyDescent="0.3">
      <c r="A2" s="101" t="s">
        <v>1</v>
      </c>
      <c r="B2" s="104" t="s">
        <v>2</v>
      </c>
      <c r="C2" s="103" t="s">
        <v>3</v>
      </c>
      <c r="D2" s="104" t="s">
        <v>4</v>
      </c>
      <c r="E2" s="101" t="s">
        <v>5</v>
      </c>
      <c r="F2" s="106" t="s">
        <v>6</v>
      </c>
      <c r="G2" s="106" t="s">
        <v>7</v>
      </c>
      <c r="H2" s="107" t="s">
        <v>8</v>
      </c>
      <c r="I2" s="107" t="s">
        <v>9</v>
      </c>
      <c r="J2" s="107" t="s">
        <v>89</v>
      </c>
      <c r="K2" s="106" t="s">
        <v>10</v>
      </c>
    </row>
    <row r="3" spans="1:16" s="14" customFormat="1" ht="15.75" x14ac:dyDescent="0.25">
      <c r="A3" s="147">
        <v>1</v>
      </c>
      <c r="B3" s="148">
        <v>18600</v>
      </c>
      <c r="C3" s="149" t="s">
        <v>201</v>
      </c>
      <c r="D3" s="147" t="s">
        <v>206</v>
      </c>
      <c r="E3" s="147" t="s">
        <v>258</v>
      </c>
      <c r="F3" s="154">
        <f>32*472.61</f>
        <v>15123.52</v>
      </c>
      <c r="G3" s="154">
        <f>1*(3772.41+2053.02)+2*2911.79</f>
        <v>11649.01</v>
      </c>
      <c r="H3" s="154"/>
      <c r="I3" s="154">
        <f>6*(100.96+100.96+100.96)+4*(100.96+100.96)+5.5*(100.96+100.96)</f>
        <v>3735.52</v>
      </c>
      <c r="J3" s="154"/>
      <c r="K3" s="154">
        <f t="shared" ref="K3:K34" si="0">F3+G3+H3+I3+J3</f>
        <v>30508.05</v>
      </c>
      <c r="L3" s="201"/>
      <c r="M3" s="2"/>
      <c r="N3" s="2"/>
      <c r="O3" s="2"/>
      <c r="P3" s="2"/>
    </row>
    <row r="4" spans="1:16" s="14" customFormat="1" ht="15.75" x14ac:dyDescent="0.25">
      <c r="A4" s="181">
        <v>2</v>
      </c>
      <c r="B4" s="128">
        <v>18612</v>
      </c>
      <c r="C4" s="82" t="s">
        <v>228</v>
      </c>
      <c r="D4" s="181" t="s">
        <v>120</v>
      </c>
      <c r="E4" s="181" t="s">
        <v>121</v>
      </c>
      <c r="F4" s="1">
        <v>0</v>
      </c>
      <c r="G4" s="1"/>
      <c r="H4" s="1"/>
      <c r="I4" s="1">
        <f>10*(118.99+47.12)</f>
        <v>1661.1</v>
      </c>
      <c r="J4" s="1"/>
      <c r="K4" s="1">
        <f t="shared" si="0"/>
        <v>1661.1</v>
      </c>
      <c r="L4" s="201"/>
      <c r="M4" s="2"/>
      <c r="N4" s="2"/>
      <c r="O4" s="2"/>
      <c r="P4" s="2"/>
    </row>
    <row r="5" spans="1:16" s="14" customFormat="1" ht="15.75" x14ac:dyDescent="0.25">
      <c r="A5" s="181">
        <v>3</v>
      </c>
      <c r="B5" s="128">
        <v>18514</v>
      </c>
      <c r="C5" s="82" t="s">
        <v>184</v>
      </c>
      <c r="D5" s="181" t="s">
        <v>122</v>
      </c>
      <c r="E5" s="181" t="s">
        <v>123</v>
      </c>
      <c r="F5" s="1">
        <v>0</v>
      </c>
      <c r="G5" s="1">
        <f>1*2805.6+2*2190.24</f>
        <v>7186.08</v>
      </c>
      <c r="H5" s="1"/>
      <c r="I5" s="1">
        <f>1.5*(126.67+47.12)</f>
        <v>260.685</v>
      </c>
      <c r="J5" s="1"/>
      <c r="K5" s="1">
        <f t="shared" si="0"/>
        <v>7446.7650000000003</v>
      </c>
      <c r="L5" s="201"/>
      <c r="M5" s="2"/>
      <c r="N5" s="2"/>
      <c r="O5" s="2"/>
      <c r="P5" s="2"/>
    </row>
    <row r="6" spans="1:16" s="14" customFormat="1" ht="15.75" x14ac:dyDescent="0.25">
      <c r="A6" s="181">
        <v>4</v>
      </c>
      <c r="B6" s="128">
        <v>18524</v>
      </c>
      <c r="C6" s="82" t="s">
        <v>184</v>
      </c>
      <c r="D6" s="181" t="s">
        <v>185</v>
      </c>
      <c r="E6" s="181" t="s">
        <v>150</v>
      </c>
      <c r="F6" s="1">
        <v>0</v>
      </c>
      <c r="G6" s="1"/>
      <c r="H6" s="1"/>
      <c r="I6" s="1">
        <f>0.25*100.96</f>
        <v>25.24</v>
      </c>
      <c r="J6" s="1"/>
      <c r="K6" s="1">
        <f t="shared" si="0"/>
        <v>25.24</v>
      </c>
      <c r="L6" s="201"/>
      <c r="M6" s="2"/>
      <c r="N6" s="2"/>
      <c r="O6" s="2"/>
      <c r="P6" s="2"/>
    </row>
    <row r="7" spans="1:16" s="14" customFormat="1" ht="15.75" x14ac:dyDescent="0.25">
      <c r="A7" s="142">
        <v>5</v>
      </c>
      <c r="B7" s="142">
        <v>18132</v>
      </c>
      <c r="C7" s="160" t="s">
        <v>212</v>
      </c>
      <c r="D7" s="142" t="s">
        <v>213</v>
      </c>
      <c r="E7" s="142" t="s">
        <v>123</v>
      </c>
      <c r="F7" s="162">
        <v>0</v>
      </c>
      <c r="G7" s="162">
        <f>2*2911.79+1*(2450+3772.41)+1*17319.15</f>
        <v>29365.14</v>
      </c>
      <c r="H7" s="162"/>
      <c r="I7" s="162">
        <f>14*(118.99+47.12)</f>
        <v>2325.54</v>
      </c>
      <c r="J7" s="162"/>
      <c r="K7" s="162">
        <f t="shared" si="0"/>
        <v>31690.68</v>
      </c>
      <c r="L7" s="201"/>
      <c r="M7" s="2"/>
      <c r="N7" s="2"/>
      <c r="O7" s="2"/>
      <c r="P7" s="2"/>
    </row>
    <row r="8" spans="1:16" s="14" customFormat="1" ht="15.75" x14ac:dyDescent="0.25">
      <c r="A8" s="181">
        <v>6</v>
      </c>
      <c r="B8" s="128">
        <v>18604</v>
      </c>
      <c r="C8" s="82" t="s">
        <v>199</v>
      </c>
      <c r="D8" s="181" t="s">
        <v>259</v>
      </c>
      <c r="E8" s="181" t="s">
        <v>94</v>
      </c>
      <c r="F8" s="1">
        <f>38*472.61</f>
        <v>17959.18</v>
      </c>
      <c r="G8" s="1"/>
      <c r="H8" s="1"/>
      <c r="I8" s="1">
        <f>2*(100.96+100.96)</f>
        <v>403.84</v>
      </c>
      <c r="J8" s="1"/>
      <c r="K8" s="1">
        <f t="shared" si="0"/>
        <v>18363.02</v>
      </c>
      <c r="L8" s="201"/>
      <c r="M8" s="2"/>
      <c r="N8" s="2"/>
      <c r="O8" s="2"/>
      <c r="P8" s="2"/>
    </row>
    <row r="9" spans="1:16" s="14" customFormat="1" ht="15.75" x14ac:dyDescent="0.25">
      <c r="A9" s="181">
        <v>7</v>
      </c>
      <c r="B9" s="128">
        <v>18597</v>
      </c>
      <c r="C9" s="82" t="s">
        <v>197</v>
      </c>
      <c r="D9" s="181" t="s">
        <v>260</v>
      </c>
      <c r="E9" s="181" t="s">
        <v>94</v>
      </c>
      <c r="F9" s="1">
        <f>38*472.61</f>
        <v>17959.18</v>
      </c>
      <c r="G9" s="1">
        <f>1*3530.98+2*3728.12</f>
        <v>10987.22</v>
      </c>
      <c r="H9" s="1"/>
      <c r="I9" s="1">
        <f>3*(100.96+100.96)</f>
        <v>605.76</v>
      </c>
      <c r="J9" s="1"/>
      <c r="K9" s="1">
        <f t="shared" si="0"/>
        <v>29552.16</v>
      </c>
      <c r="L9" s="201"/>
      <c r="M9" s="2"/>
      <c r="N9" s="2"/>
      <c r="O9" s="2"/>
      <c r="P9" s="2"/>
    </row>
    <row r="10" spans="1:16" s="14" customFormat="1" ht="15.75" x14ac:dyDescent="0.25">
      <c r="A10" s="181">
        <v>8</v>
      </c>
      <c r="B10" s="128">
        <v>18480</v>
      </c>
      <c r="C10" s="82" t="s">
        <v>176</v>
      </c>
      <c r="D10" s="181" t="s">
        <v>261</v>
      </c>
      <c r="E10" s="181" t="s">
        <v>262</v>
      </c>
      <c r="F10" s="1">
        <v>0</v>
      </c>
      <c r="G10" s="1"/>
      <c r="H10" s="1"/>
      <c r="I10" s="1">
        <f>4*(118.99+47.12)</f>
        <v>664.43999999999994</v>
      </c>
      <c r="J10" s="1"/>
      <c r="K10" s="1">
        <f t="shared" si="0"/>
        <v>664.43999999999994</v>
      </c>
      <c r="L10" s="201"/>
      <c r="M10" s="2"/>
      <c r="N10" s="2"/>
      <c r="O10" s="2"/>
      <c r="P10" s="2"/>
    </row>
    <row r="11" spans="1:16" s="14" customFormat="1" ht="15.75" x14ac:dyDescent="0.25">
      <c r="A11" s="142">
        <v>9</v>
      </c>
      <c r="B11" s="142">
        <v>18369</v>
      </c>
      <c r="C11" s="160" t="s">
        <v>119</v>
      </c>
      <c r="D11" s="142" t="s">
        <v>143</v>
      </c>
      <c r="E11" s="142" t="s">
        <v>94</v>
      </c>
      <c r="F11" s="162">
        <f>38*472.61</f>
        <v>17959.18</v>
      </c>
      <c r="G11" s="162">
        <f>1*17319.15+2*3691.69+1*(3275.4+4423.51+4351.23+15091.67)</f>
        <v>51844.34</v>
      </c>
      <c r="H11" s="162"/>
      <c r="I11" s="162">
        <f>4.5*(118.99+47.12)</f>
        <v>747.49499999999989</v>
      </c>
      <c r="J11" s="162"/>
      <c r="K11" s="162">
        <f t="shared" si="0"/>
        <v>70551.014999999985</v>
      </c>
      <c r="L11" s="201"/>
      <c r="M11" s="2"/>
      <c r="N11" s="2"/>
      <c r="O11" s="2"/>
      <c r="P11" s="2"/>
    </row>
    <row r="12" spans="1:16" s="14" customFormat="1" ht="15.75" x14ac:dyDescent="0.25">
      <c r="A12" s="181">
        <v>10</v>
      </c>
      <c r="B12" s="128">
        <v>18448</v>
      </c>
      <c r="C12" s="82" t="s">
        <v>233</v>
      </c>
      <c r="D12" s="181" t="s">
        <v>141</v>
      </c>
      <c r="E12" s="181" t="s">
        <v>142</v>
      </c>
      <c r="F12" s="1">
        <v>0</v>
      </c>
      <c r="G12" s="1"/>
      <c r="H12" s="1"/>
      <c r="I12" s="1">
        <f>1*(118.99+47.12)</f>
        <v>166.10999999999999</v>
      </c>
      <c r="J12" s="1"/>
      <c r="K12" s="1">
        <f t="shared" si="0"/>
        <v>166.10999999999999</v>
      </c>
      <c r="L12" s="201"/>
      <c r="M12" s="2"/>
      <c r="N12" s="2"/>
      <c r="O12" s="2"/>
      <c r="P12" s="2"/>
    </row>
    <row r="13" spans="1:16" s="14" customFormat="1" ht="15.75" x14ac:dyDescent="0.25">
      <c r="A13" s="142">
        <v>11</v>
      </c>
      <c r="B13" s="142">
        <v>18070</v>
      </c>
      <c r="C13" s="160" t="s">
        <v>251</v>
      </c>
      <c r="D13" s="142" t="s">
        <v>263</v>
      </c>
      <c r="E13" s="142" t="s">
        <v>250</v>
      </c>
      <c r="F13" s="162">
        <f>29*472.61</f>
        <v>13705.69</v>
      </c>
      <c r="G13" s="162">
        <f>1*(2911.62+1485.28+2508.3+2409.12)+7*3000+2*5950</f>
        <v>42214.32</v>
      </c>
      <c r="H13" s="162"/>
      <c r="I13" s="162">
        <f>6*(100.96+47.12)+7*(126.67+47.12+100.96)+3*(126.67+47.12)</f>
        <v>3333.1</v>
      </c>
      <c r="J13" s="162"/>
      <c r="K13" s="162">
        <f t="shared" si="0"/>
        <v>59253.11</v>
      </c>
      <c r="L13" s="201"/>
      <c r="M13" s="2"/>
      <c r="N13" s="2"/>
      <c r="O13" s="2"/>
      <c r="P13" s="2"/>
    </row>
    <row r="14" spans="1:16" s="14" customFormat="1" ht="15.75" x14ac:dyDescent="0.25">
      <c r="A14" s="181">
        <v>12</v>
      </c>
      <c r="B14" s="128">
        <v>18499</v>
      </c>
      <c r="C14" s="82" t="s">
        <v>233</v>
      </c>
      <c r="D14" s="181" t="s">
        <v>264</v>
      </c>
      <c r="E14" s="181" t="s">
        <v>94</v>
      </c>
      <c r="F14" s="1">
        <v>0</v>
      </c>
      <c r="G14" s="1">
        <f>1*1700+1*16521.74</f>
        <v>18221.740000000002</v>
      </c>
      <c r="H14" s="1"/>
      <c r="I14" s="1">
        <f>10.5*(126.67+100.96)</f>
        <v>2390.1149999999998</v>
      </c>
      <c r="J14" s="1"/>
      <c r="K14" s="1">
        <f t="shared" si="0"/>
        <v>20611.855000000003</v>
      </c>
      <c r="L14" s="201"/>
      <c r="M14" s="2"/>
      <c r="N14" s="2"/>
      <c r="O14" s="2"/>
      <c r="P14" s="2"/>
    </row>
    <row r="15" spans="1:16" s="14" customFormat="1" ht="15.75" x14ac:dyDescent="0.25">
      <c r="A15" s="142">
        <v>13</v>
      </c>
      <c r="B15" s="142">
        <v>18287</v>
      </c>
      <c r="C15" s="160" t="s">
        <v>124</v>
      </c>
      <c r="D15" s="142" t="s">
        <v>126</v>
      </c>
      <c r="E15" s="142" t="s">
        <v>94</v>
      </c>
      <c r="F15" s="162">
        <v>0</v>
      </c>
      <c r="G15" s="162">
        <f>1*12781.25+1*5752.5</f>
        <v>18533.75</v>
      </c>
      <c r="H15" s="162"/>
      <c r="I15" s="162">
        <f>11*(100.96+100.96)</f>
        <v>2221.12</v>
      </c>
      <c r="J15" s="162"/>
      <c r="K15" s="162">
        <f t="shared" si="0"/>
        <v>20754.87</v>
      </c>
      <c r="L15" s="201"/>
      <c r="M15" s="2"/>
      <c r="N15" s="2"/>
      <c r="O15" s="2"/>
      <c r="P15" s="2"/>
    </row>
    <row r="16" spans="1:16" s="14" customFormat="1" ht="15.75" x14ac:dyDescent="0.25">
      <c r="A16" s="181">
        <v>14</v>
      </c>
      <c r="B16" s="128">
        <v>18527</v>
      </c>
      <c r="C16" s="82" t="s">
        <v>183</v>
      </c>
      <c r="D16" s="181" t="s">
        <v>252</v>
      </c>
      <c r="E16" s="181" t="s">
        <v>253</v>
      </c>
      <c r="F16" s="1">
        <f>20*472.61</f>
        <v>9452.2000000000007</v>
      </c>
      <c r="G16" s="1"/>
      <c r="H16" s="1"/>
      <c r="I16" s="1">
        <f>10.5*(100.96+100.96)</f>
        <v>2120.16</v>
      </c>
      <c r="J16" s="1"/>
      <c r="K16" s="1">
        <f t="shared" si="0"/>
        <v>11572.36</v>
      </c>
      <c r="L16" s="201"/>
      <c r="M16" s="2"/>
      <c r="N16" s="2"/>
      <c r="O16" s="2"/>
      <c r="P16" s="2"/>
    </row>
    <row r="17" spans="1:16" s="14" customFormat="1" ht="15.75" x14ac:dyDescent="0.25">
      <c r="A17" s="181">
        <v>15</v>
      </c>
      <c r="B17" s="128">
        <v>18453</v>
      </c>
      <c r="C17" s="82" t="s">
        <v>231</v>
      </c>
      <c r="D17" s="181" t="s">
        <v>148</v>
      </c>
      <c r="E17" s="181" t="s">
        <v>171</v>
      </c>
      <c r="F17" s="1">
        <f>29*472.61</f>
        <v>13705.69</v>
      </c>
      <c r="G17" s="1">
        <f>1*739.13+2*(900+2800)</f>
        <v>8139.13</v>
      </c>
      <c r="H17" s="1"/>
      <c r="I17" s="1">
        <f>3*(100.96+47.12)</f>
        <v>444.23999999999995</v>
      </c>
      <c r="J17" s="1"/>
      <c r="K17" s="1">
        <f t="shared" si="0"/>
        <v>22289.06</v>
      </c>
      <c r="L17" s="201"/>
      <c r="M17" s="2"/>
      <c r="N17" s="2"/>
      <c r="O17" s="2"/>
      <c r="P17" s="2"/>
    </row>
    <row r="18" spans="1:16" s="14" customFormat="1" ht="15.75" x14ac:dyDescent="0.25">
      <c r="A18" s="181">
        <v>16</v>
      </c>
      <c r="B18" s="128">
        <v>18441</v>
      </c>
      <c r="C18" s="82" t="s">
        <v>225</v>
      </c>
      <c r="D18" s="181" t="s">
        <v>265</v>
      </c>
      <c r="E18" s="181" t="s">
        <v>94</v>
      </c>
      <c r="F18" s="1">
        <f>0</f>
        <v>0</v>
      </c>
      <c r="G18" s="1"/>
      <c r="H18" s="1"/>
      <c r="I18" s="1">
        <f>5*(126.67+47.12)+4.5*(118.99+47.12)</f>
        <v>1616.4449999999997</v>
      </c>
      <c r="J18" s="1"/>
      <c r="K18" s="1">
        <f t="shared" si="0"/>
        <v>1616.4449999999997</v>
      </c>
      <c r="L18" s="201"/>
      <c r="M18" s="2"/>
      <c r="N18" s="2"/>
      <c r="O18" s="2"/>
      <c r="P18" s="2"/>
    </row>
    <row r="19" spans="1:16" s="14" customFormat="1" ht="15.75" x14ac:dyDescent="0.25">
      <c r="A19" s="181">
        <v>17</v>
      </c>
      <c r="B19" s="128">
        <v>18466</v>
      </c>
      <c r="C19" s="82" t="s">
        <v>237</v>
      </c>
      <c r="D19" s="181" t="s">
        <v>149</v>
      </c>
      <c r="E19" s="181" t="s">
        <v>94</v>
      </c>
      <c r="F19" s="1">
        <v>0</v>
      </c>
      <c r="G19" s="1"/>
      <c r="H19" s="1"/>
      <c r="I19" s="1">
        <f>12*(100.96+100.96)</f>
        <v>2423.04</v>
      </c>
      <c r="J19" s="1"/>
      <c r="K19" s="1">
        <f t="shared" si="0"/>
        <v>2423.04</v>
      </c>
      <c r="L19" s="201"/>
      <c r="M19" s="2"/>
      <c r="N19" s="2"/>
      <c r="O19" s="2"/>
      <c r="P19" s="2"/>
    </row>
    <row r="20" spans="1:16" s="14" customFormat="1" ht="15.75" x14ac:dyDescent="0.25">
      <c r="A20" s="181">
        <v>18</v>
      </c>
      <c r="B20" s="128">
        <v>18547</v>
      </c>
      <c r="C20" s="82" t="s">
        <v>191</v>
      </c>
      <c r="D20" s="181" t="s">
        <v>194</v>
      </c>
      <c r="E20" s="181" t="s">
        <v>94</v>
      </c>
      <c r="F20" s="1">
        <v>0</v>
      </c>
      <c r="G20" s="1">
        <f>12*2196.04+15*591.79+1*(2149.71+3450.19)</f>
        <v>40829.230000000003</v>
      </c>
      <c r="H20" s="1"/>
      <c r="I20" s="1">
        <f>19.5*(118.99+47.12)</f>
        <v>3239.1449999999995</v>
      </c>
      <c r="J20" s="1"/>
      <c r="K20" s="1">
        <f t="shared" si="0"/>
        <v>44068.375</v>
      </c>
      <c r="L20" s="201"/>
      <c r="M20" s="2"/>
      <c r="N20" s="2"/>
      <c r="O20" s="2"/>
      <c r="P20" s="2"/>
    </row>
    <row r="21" spans="1:16" s="14" customFormat="1" ht="15.75" x14ac:dyDescent="0.25">
      <c r="A21" s="181">
        <v>19</v>
      </c>
      <c r="B21" s="128">
        <v>18549</v>
      </c>
      <c r="C21" s="82" t="s">
        <v>191</v>
      </c>
      <c r="D21" s="181" t="s">
        <v>205</v>
      </c>
      <c r="E21" s="181" t="s">
        <v>94</v>
      </c>
      <c r="F21" s="1">
        <f>5*220.82</f>
        <v>1104.0999999999999</v>
      </c>
      <c r="G21" s="1">
        <f>1*3450.19+1*14416.46</f>
        <v>17866.649999999998</v>
      </c>
      <c r="H21" s="1"/>
      <c r="I21" s="1">
        <f>28*(100.96+100.96)</f>
        <v>5653.7599999999993</v>
      </c>
      <c r="J21" s="1"/>
      <c r="K21" s="1">
        <f t="shared" si="0"/>
        <v>24624.509999999995</v>
      </c>
      <c r="L21" s="201"/>
      <c r="M21" s="2"/>
      <c r="N21" s="2"/>
      <c r="O21" s="2"/>
      <c r="P21" s="2"/>
    </row>
    <row r="22" spans="1:16" s="14" customFormat="1" ht="15.75" x14ac:dyDescent="0.25">
      <c r="A22" s="181">
        <v>20</v>
      </c>
      <c r="B22" s="128">
        <v>18578</v>
      </c>
      <c r="C22" s="82" t="s">
        <v>230</v>
      </c>
      <c r="D22" s="181" t="s">
        <v>266</v>
      </c>
      <c r="E22" s="181" t="s">
        <v>94</v>
      </c>
      <c r="F22" s="1">
        <f>38*472.61</f>
        <v>17959.18</v>
      </c>
      <c r="G22" s="1">
        <f>2*3728.12+1*3478.3</f>
        <v>10934.54</v>
      </c>
      <c r="H22" s="1"/>
      <c r="I22" s="1">
        <f>2.5*(126.67+47.12+100.96)</f>
        <v>686.875</v>
      </c>
      <c r="J22" s="1"/>
      <c r="K22" s="1">
        <f t="shared" si="0"/>
        <v>29580.595000000001</v>
      </c>
      <c r="L22" s="201"/>
      <c r="M22" s="2"/>
      <c r="N22" s="2"/>
      <c r="O22" s="2"/>
      <c r="P22" s="2"/>
    </row>
    <row r="23" spans="1:16" s="14" customFormat="1" ht="15.75" x14ac:dyDescent="0.25">
      <c r="A23" s="181">
        <v>21</v>
      </c>
      <c r="B23" s="128">
        <v>18484</v>
      </c>
      <c r="C23" s="82" t="s">
        <v>176</v>
      </c>
      <c r="D23" s="181" t="s">
        <v>174</v>
      </c>
      <c r="E23" s="181" t="s">
        <v>175</v>
      </c>
      <c r="F23" s="1">
        <v>0</v>
      </c>
      <c r="G23" s="1">
        <f>1*8000</f>
        <v>8000</v>
      </c>
      <c r="H23" s="1"/>
      <c r="I23" s="1">
        <f>10*(100.96+100.96)</f>
        <v>2019.1999999999998</v>
      </c>
      <c r="J23" s="1"/>
      <c r="K23" s="1">
        <f t="shared" si="0"/>
        <v>10019.200000000001</v>
      </c>
      <c r="L23" s="201"/>
      <c r="M23" s="2"/>
      <c r="N23" s="2"/>
      <c r="O23" s="2"/>
      <c r="P23" s="2"/>
    </row>
    <row r="24" spans="1:16" s="14" customFormat="1" ht="15.75" x14ac:dyDescent="0.25">
      <c r="A24" s="181">
        <v>22</v>
      </c>
      <c r="B24" s="128">
        <v>18501</v>
      </c>
      <c r="C24" s="82" t="s">
        <v>219</v>
      </c>
      <c r="D24" s="181" t="s">
        <v>267</v>
      </c>
      <c r="E24" s="181" t="s">
        <v>99</v>
      </c>
      <c r="F24" s="1">
        <v>0</v>
      </c>
      <c r="G24" s="1">
        <f>1*4033.03</f>
        <v>4033.03</v>
      </c>
      <c r="H24" s="1"/>
      <c r="I24" s="1">
        <f>5.5*100.96</f>
        <v>555.28</v>
      </c>
      <c r="J24" s="1"/>
      <c r="K24" s="1">
        <f t="shared" si="0"/>
        <v>4588.3100000000004</v>
      </c>
      <c r="L24" s="201"/>
      <c r="M24" s="2"/>
      <c r="N24" s="2"/>
      <c r="O24" s="2"/>
      <c r="P24" s="2"/>
    </row>
    <row r="25" spans="1:16" s="14" customFormat="1" ht="15.75" x14ac:dyDescent="0.25">
      <c r="A25" s="181">
        <v>23</v>
      </c>
      <c r="B25" s="128">
        <v>18550</v>
      </c>
      <c r="C25" s="82" t="s">
        <v>191</v>
      </c>
      <c r="D25" s="181" t="s">
        <v>240</v>
      </c>
      <c r="E25" s="181" t="s">
        <v>241</v>
      </c>
      <c r="F25" s="1">
        <v>0</v>
      </c>
      <c r="G25" s="1"/>
      <c r="H25" s="1"/>
      <c r="I25" s="1">
        <f>1*100.96</f>
        <v>100.96</v>
      </c>
      <c r="J25" s="1"/>
      <c r="K25" s="1">
        <f t="shared" si="0"/>
        <v>100.96</v>
      </c>
      <c r="L25" s="201"/>
      <c r="M25" s="2"/>
      <c r="N25" s="2"/>
      <c r="O25" s="2"/>
      <c r="P25" s="2"/>
    </row>
    <row r="26" spans="1:16" s="14" customFormat="1" ht="15.75" x14ac:dyDescent="0.25">
      <c r="A26" s="181">
        <v>24</v>
      </c>
      <c r="B26" s="128">
        <v>18543</v>
      </c>
      <c r="C26" s="82" t="s">
        <v>189</v>
      </c>
      <c r="D26" s="181" t="s">
        <v>196</v>
      </c>
      <c r="E26" s="181" t="s">
        <v>94</v>
      </c>
      <c r="F26" s="1">
        <f>38*472.61</f>
        <v>17959.18</v>
      </c>
      <c r="G26" s="1">
        <f>1*3450.19+1*(7782.6+6944.65)+1*5753.32+4*(2196.04+591.79)+2*3728.12+1*(3530.98+4507.54+4412.91)</f>
        <v>54989.75</v>
      </c>
      <c r="H26" s="1"/>
      <c r="I26" s="1">
        <f>20*(126.67+47.12+100.96)+6.5*(126.67+100.96)+6.5*(100.96+47.12)</f>
        <v>7937.1149999999998</v>
      </c>
      <c r="J26" s="1"/>
      <c r="K26" s="1">
        <f t="shared" si="0"/>
        <v>80886.044999999998</v>
      </c>
      <c r="L26" s="201"/>
      <c r="M26" s="2"/>
      <c r="N26" s="2"/>
      <c r="O26" s="2"/>
      <c r="P26" s="2"/>
    </row>
    <row r="27" spans="1:16" s="14" customFormat="1" ht="15.75" x14ac:dyDescent="0.25">
      <c r="A27" s="142">
        <v>25</v>
      </c>
      <c r="B27" s="142">
        <v>18374</v>
      </c>
      <c r="C27" s="160" t="s">
        <v>119</v>
      </c>
      <c r="D27" s="142" t="s">
        <v>153</v>
      </c>
      <c r="E27" s="142" t="s">
        <v>269</v>
      </c>
      <c r="F27" s="162">
        <v>0</v>
      </c>
      <c r="G27" s="162">
        <f>1*3723.68</f>
        <v>3723.68</v>
      </c>
      <c r="H27" s="162"/>
      <c r="I27" s="162">
        <f>31*(118.99+47.12)</f>
        <v>5149.41</v>
      </c>
      <c r="J27" s="162"/>
      <c r="K27" s="162">
        <f t="shared" si="0"/>
        <v>8873.09</v>
      </c>
      <c r="L27" s="201"/>
      <c r="M27" s="2"/>
      <c r="N27" s="2"/>
      <c r="O27" s="2"/>
      <c r="P27" s="2"/>
    </row>
    <row r="28" spans="1:16" s="14" customFormat="1" ht="15.75" x14ac:dyDescent="0.25">
      <c r="A28" s="181">
        <v>26</v>
      </c>
      <c r="B28" s="128">
        <v>18592</v>
      </c>
      <c r="C28" s="82" t="s">
        <v>197</v>
      </c>
      <c r="D28" s="181" t="s">
        <v>270</v>
      </c>
      <c r="E28" s="181" t="s">
        <v>94</v>
      </c>
      <c r="F28" s="1">
        <f t="shared" ref="F28:F36" si="1">38*472.61</f>
        <v>17959.18</v>
      </c>
      <c r="G28" s="1">
        <f>2*3728.12+1*3530.98</f>
        <v>10987.22</v>
      </c>
      <c r="H28" s="1"/>
      <c r="I28" s="1">
        <f>2*100.96</f>
        <v>201.92</v>
      </c>
      <c r="J28" s="1"/>
      <c r="K28" s="1">
        <f t="shared" si="0"/>
        <v>29148.32</v>
      </c>
      <c r="L28" s="201"/>
      <c r="M28" s="2"/>
      <c r="N28" s="2"/>
      <c r="O28" s="2"/>
      <c r="P28" s="2"/>
    </row>
    <row r="29" spans="1:16" s="14" customFormat="1" ht="15.75" x14ac:dyDescent="0.25">
      <c r="A29" s="181">
        <v>27</v>
      </c>
      <c r="B29" s="128">
        <v>18607</v>
      </c>
      <c r="C29" s="82" t="s">
        <v>199</v>
      </c>
      <c r="D29" s="181" t="s">
        <v>242</v>
      </c>
      <c r="E29" s="181" t="s">
        <v>94</v>
      </c>
      <c r="F29" s="1">
        <f t="shared" si="1"/>
        <v>17959.18</v>
      </c>
      <c r="G29" s="1">
        <f>2*3728.12+1*3530.98</f>
        <v>10987.22</v>
      </c>
      <c r="H29" s="1"/>
      <c r="I29" s="1">
        <f>1.5*(100.96+100.96)</f>
        <v>302.88</v>
      </c>
      <c r="J29" s="1"/>
      <c r="K29" s="1">
        <f t="shared" si="0"/>
        <v>29249.280000000002</v>
      </c>
      <c r="L29" s="201"/>
      <c r="M29" s="2"/>
      <c r="N29" s="2"/>
      <c r="O29" s="2"/>
      <c r="P29" s="2"/>
    </row>
    <row r="30" spans="1:16" s="14" customFormat="1" ht="15.75" x14ac:dyDescent="0.25">
      <c r="A30" s="181">
        <v>28</v>
      </c>
      <c r="B30" s="128">
        <v>18605</v>
      </c>
      <c r="C30" s="82" t="s">
        <v>199</v>
      </c>
      <c r="D30" s="181" t="s">
        <v>271</v>
      </c>
      <c r="E30" s="181" t="s">
        <v>94</v>
      </c>
      <c r="F30" s="1">
        <f t="shared" si="1"/>
        <v>17959.18</v>
      </c>
      <c r="G30" s="1"/>
      <c r="H30" s="1"/>
      <c r="I30" s="1">
        <f>1.5*(100.96+100.96)</f>
        <v>302.88</v>
      </c>
      <c r="J30" s="1"/>
      <c r="K30" s="1">
        <f t="shared" si="0"/>
        <v>18262.060000000001</v>
      </c>
      <c r="L30" s="201"/>
      <c r="M30" s="2"/>
      <c r="N30" s="2"/>
      <c r="O30" s="2"/>
      <c r="P30" s="2"/>
    </row>
    <row r="31" spans="1:16" s="14" customFormat="1" ht="15.75" x14ac:dyDescent="0.25">
      <c r="A31" s="181">
        <v>29</v>
      </c>
      <c r="B31" s="128">
        <v>18591</v>
      </c>
      <c r="C31" s="82" t="s">
        <v>197</v>
      </c>
      <c r="D31" s="181" t="s">
        <v>272</v>
      </c>
      <c r="E31" s="181" t="s">
        <v>94</v>
      </c>
      <c r="F31" s="1">
        <f t="shared" si="1"/>
        <v>17959.18</v>
      </c>
      <c r="G31" s="1">
        <f>2*3728.12+3530.98</f>
        <v>10987.22</v>
      </c>
      <c r="H31" s="1"/>
      <c r="I31" s="1">
        <f>1.5*(118.99+47.12)</f>
        <v>249.16499999999996</v>
      </c>
      <c r="J31" s="1"/>
      <c r="K31" s="1">
        <f t="shared" si="0"/>
        <v>29195.565000000002</v>
      </c>
      <c r="L31" s="201"/>
      <c r="M31" s="2"/>
      <c r="N31" s="2"/>
      <c r="O31" s="2"/>
      <c r="P31" s="2"/>
    </row>
    <row r="32" spans="1:16" s="14" customFormat="1" ht="15.75" x14ac:dyDescent="0.25">
      <c r="A32" s="181">
        <v>30</v>
      </c>
      <c r="B32" s="128">
        <v>18609</v>
      </c>
      <c r="C32" s="82" t="s">
        <v>201</v>
      </c>
      <c r="D32" s="181" t="s">
        <v>273</v>
      </c>
      <c r="E32" s="181" t="s">
        <v>94</v>
      </c>
      <c r="F32" s="1">
        <f t="shared" si="1"/>
        <v>17959.18</v>
      </c>
      <c r="G32" s="1"/>
      <c r="H32" s="1"/>
      <c r="I32" s="1">
        <f>1.5*(118.99+126.67)</f>
        <v>368.49</v>
      </c>
      <c r="J32" s="1"/>
      <c r="K32" s="1">
        <f t="shared" si="0"/>
        <v>18327.670000000002</v>
      </c>
      <c r="L32" s="201"/>
      <c r="M32" s="2"/>
      <c r="N32" s="2"/>
      <c r="O32" s="2"/>
      <c r="P32" s="2"/>
    </row>
    <row r="33" spans="1:16" s="14" customFormat="1" ht="15.75" x14ac:dyDescent="0.25">
      <c r="A33" s="181">
        <v>31</v>
      </c>
      <c r="B33" s="128">
        <v>18593</v>
      </c>
      <c r="C33" s="82" t="s">
        <v>197</v>
      </c>
      <c r="D33" s="181" t="s">
        <v>178</v>
      </c>
      <c r="E33" s="181" t="s">
        <v>94</v>
      </c>
      <c r="F33" s="1">
        <f t="shared" si="1"/>
        <v>17959.18</v>
      </c>
      <c r="G33" s="1">
        <f>2*3728.12+1*3530.98</f>
        <v>10987.22</v>
      </c>
      <c r="H33" s="1"/>
      <c r="I33" s="1">
        <f>1.5*(118.99+47.12)</f>
        <v>249.16499999999996</v>
      </c>
      <c r="J33" s="1"/>
      <c r="K33" s="1">
        <f t="shared" si="0"/>
        <v>29195.565000000002</v>
      </c>
      <c r="L33" s="201"/>
      <c r="M33" s="2"/>
      <c r="N33" s="2"/>
      <c r="O33" s="2"/>
      <c r="P33" s="2"/>
    </row>
    <row r="34" spans="1:16" s="14" customFormat="1" ht="15.75" x14ac:dyDescent="0.25">
      <c r="A34" s="250">
        <v>32</v>
      </c>
      <c r="B34" s="262">
        <v>18599</v>
      </c>
      <c r="C34" s="263" t="s">
        <v>197</v>
      </c>
      <c r="D34" s="250" t="s">
        <v>274</v>
      </c>
      <c r="E34" s="250" t="s">
        <v>94</v>
      </c>
      <c r="F34" s="156">
        <f t="shared" si="1"/>
        <v>17959.18</v>
      </c>
      <c r="G34" s="156">
        <f>1*3530.98+2*3728.12</f>
        <v>10987.22</v>
      </c>
      <c r="H34" s="156"/>
      <c r="I34" s="156">
        <f>1.5*(118.99+47.12)</f>
        <v>249.16499999999996</v>
      </c>
      <c r="J34" s="156"/>
      <c r="K34" s="156">
        <f t="shared" si="0"/>
        <v>29195.565000000002</v>
      </c>
      <c r="L34" s="201"/>
      <c r="M34" s="2"/>
      <c r="N34" s="2"/>
      <c r="O34" s="2"/>
      <c r="P34" s="2"/>
    </row>
    <row r="35" spans="1:16" s="14" customFormat="1" ht="15.75" x14ac:dyDescent="0.25">
      <c r="A35" s="249">
        <v>33</v>
      </c>
      <c r="B35" s="189">
        <v>18594</v>
      </c>
      <c r="C35" s="190" t="s">
        <v>197</v>
      </c>
      <c r="D35" s="249" t="s">
        <v>275</v>
      </c>
      <c r="E35" s="249" t="s">
        <v>94</v>
      </c>
      <c r="F35" s="191">
        <f t="shared" si="1"/>
        <v>17959.18</v>
      </c>
      <c r="G35" s="191">
        <f>2*3728.12+1*3530.98</f>
        <v>10987.22</v>
      </c>
      <c r="H35" s="191"/>
      <c r="I35" s="191">
        <f>1.5*(118.99+47.12)</f>
        <v>249.16499999999996</v>
      </c>
      <c r="J35" s="191"/>
      <c r="K35" s="191">
        <f t="shared" ref="K35:K62" si="2">F35+G35+H35+I35+J35</f>
        <v>29195.565000000002</v>
      </c>
      <c r="L35" s="201"/>
      <c r="M35" s="2"/>
      <c r="N35" s="2"/>
      <c r="O35" s="2"/>
      <c r="P35" s="2"/>
    </row>
    <row r="36" spans="1:16" s="14" customFormat="1" ht="15.75" x14ac:dyDescent="0.25">
      <c r="A36" s="249">
        <v>34</v>
      </c>
      <c r="B36" s="189">
        <v>18588</v>
      </c>
      <c r="C36" s="190" t="s">
        <v>197</v>
      </c>
      <c r="D36" s="249" t="s">
        <v>173</v>
      </c>
      <c r="E36" s="249" t="s">
        <v>94</v>
      </c>
      <c r="F36" s="191">
        <f t="shared" si="1"/>
        <v>17959.18</v>
      </c>
      <c r="G36" s="191">
        <f>2*3728.12+1*3530.98</f>
        <v>10987.22</v>
      </c>
      <c r="H36" s="191"/>
      <c r="I36" s="191">
        <f>3*(100.96+100.96)</f>
        <v>605.76</v>
      </c>
      <c r="J36" s="191"/>
      <c r="K36" s="191">
        <f t="shared" si="2"/>
        <v>29552.16</v>
      </c>
      <c r="L36" s="201"/>
      <c r="M36" s="2"/>
      <c r="N36" s="2"/>
      <c r="O36" s="2"/>
      <c r="P36" s="2"/>
    </row>
    <row r="37" spans="1:16" s="14" customFormat="1" ht="15.75" x14ac:dyDescent="0.25">
      <c r="A37" s="249">
        <v>35</v>
      </c>
      <c r="B37" s="189">
        <v>18511</v>
      </c>
      <c r="C37" s="190" t="s">
        <v>182</v>
      </c>
      <c r="D37" s="249" t="s">
        <v>306</v>
      </c>
      <c r="E37" s="249" t="s">
        <v>94</v>
      </c>
      <c r="F37" s="191">
        <v>0</v>
      </c>
      <c r="G37" s="191"/>
      <c r="H37" s="191"/>
      <c r="I37" s="191">
        <f>0.5*(156.96+100.96)</f>
        <v>128.96</v>
      </c>
      <c r="J37" s="191"/>
      <c r="K37" s="191">
        <f t="shared" si="2"/>
        <v>128.96</v>
      </c>
      <c r="L37" s="201"/>
      <c r="M37" s="2"/>
      <c r="N37" s="2"/>
      <c r="O37" s="2"/>
      <c r="P37" s="2"/>
    </row>
    <row r="38" spans="1:16" s="14" customFormat="1" ht="15.75" x14ac:dyDescent="0.25">
      <c r="A38" s="249">
        <v>36</v>
      </c>
      <c r="B38" s="189">
        <v>18617</v>
      </c>
      <c r="C38" s="190" t="s">
        <v>203</v>
      </c>
      <c r="D38" s="249" t="s">
        <v>325</v>
      </c>
      <c r="E38" s="249" t="s">
        <v>94</v>
      </c>
      <c r="F38" s="191">
        <f>38*472.61</f>
        <v>17959.18</v>
      </c>
      <c r="G38" s="191"/>
      <c r="H38" s="191"/>
      <c r="I38" s="191">
        <f>2.5*(118.99+47.12)</f>
        <v>415.27499999999998</v>
      </c>
      <c r="J38" s="191"/>
      <c r="K38" s="191">
        <f t="shared" si="2"/>
        <v>18374.455000000002</v>
      </c>
      <c r="L38" s="201"/>
      <c r="M38" s="2"/>
      <c r="N38" s="2"/>
      <c r="O38" s="2"/>
      <c r="P38" s="2"/>
    </row>
    <row r="39" spans="1:16" s="14" customFormat="1" ht="15.75" x14ac:dyDescent="0.25">
      <c r="A39" s="249">
        <v>37</v>
      </c>
      <c r="B39" s="189">
        <v>18598</v>
      </c>
      <c r="C39" s="190" t="s">
        <v>199</v>
      </c>
      <c r="D39" s="249" t="s">
        <v>165</v>
      </c>
      <c r="E39" s="249" t="s">
        <v>94</v>
      </c>
      <c r="F39" s="191"/>
      <c r="G39" s="191"/>
      <c r="H39" s="191"/>
      <c r="I39" s="191">
        <f>17.5*(100.96+100.96)</f>
        <v>3533.6</v>
      </c>
      <c r="J39" s="191"/>
      <c r="K39" s="191">
        <f t="shared" si="2"/>
        <v>3533.6</v>
      </c>
      <c r="L39" s="201"/>
      <c r="M39" s="2"/>
      <c r="N39" s="2"/>
      <c r="O39" s="2"/>
      <c r="P39" s="2"/>
    </row>
    <row r="40" spans="1:16" s="14" customFormat="1" ht="15.75" x14ac:dyDescent="0.25">
      <c r="A40" s="281">
        <v>38</v>
      </c>
      <c r="B40" s="189">
        <v>18463</v>
      </c>
      <c r="C40" s="190" t="s">
        <v>179</v>
      </c>
      <c r="D40" s="281" t="s">
        <v>257</v>
      </c>
      <c r="E40" s="281" t="s">
        <v>94</v>
      </c>
      <c r="F40" s="191">
        <f>38*472.61</f>
        <v>17959.18</v>
      </c>
      <c r="G40" s="191">
        <f>1*3530.98+2*3728.12</f>
        <v>10987.22</v>
      </c>
      <c r="H40" s="191"/>
      <c r="I40" s="191">
        <f>10*(118.99+47.12)</f>
        <v>1661.1</v>
      </c>
      <c r="J40" s="191"/>
      <c r="K40" s="191">
        <f t="shared" si="2"/>
        <v>30607.5</v>
      </c>
      <c r="L40" s="201"/>
      <c r="M40" s="2"/>
      <c r="N40" s="2"/>
      <c r="O40" s="2"/>
      <c r="P40" s="2"/>
    </row>
    <row r="41" spans="1:16" s="14" customFormat="1" ht="15.75" x14ac:dyDescent="0.25">
      <c r="A41" s="281"/>
      <c r="B41" s="189">
        <v>18589</v>
      </c>
      <c r="C41" s="190" t="s">
        <v>197</v>
      </c>
      <c r="D41" s="281"/>
      <c r="E41" s="281"/>
      <c r="F41" s="191">
        <f>38*472.61</f>
        <v>17959.18</v>
      </c>
      <c r="G41" s="191"/>
      <c r="H41" s="191"/>
      <c r="I41" s="191">
        <f>1.5*100.96+3.5*118.96</f>
        <v>567.79999999999995</v>
      </c>
      <c r="J41" s="191"/>
      <c r="K41" s="191">
        <f t="shared" si="2"/>
        <v>18526.98</v>
      </c>
      <c r="L41" s="201"/>
      <c r="M41" s="2"/>
      <c r="N41" s="2"/>
      <c r="O41" s="2"/>
      <c r="P41" s="2"/>
    </row>
    <row r="42" spans="1:16" s="14" customFormat="1" ht="15.75" x14ac:dyDescent="0.25">
      <c r="A42" s="281">
        <v>39</v>
      </c>
      <c r="B42" s="189">
        <v>18447</v>
      </c>
      <c r="C42" s="190" t="s">
        <v>233</v>
      </c>
      <c r="D42" s="281" t="s">
        <v>268</v>
      </c>
      <c r="E42" s="281" t="s">
        <v>94</v>
      </c>
      <c r="F42" s="191">
        <v>0</v>
      </c>
      <c r="G42" s="191"/>
      <c r="H42" s="191"/>
      <c r="I42" s="191">
        <f>0.5*156.96</f>
        <v>78.48</v>
      </c>
      <c r="J42" s="191"/>
      <c r="K42" s="191">
        <f t="shared" si="2"/>
        <v>78.48</v>
      </c>
      <c r="L42" s="201"/>
      <c r="M42" s="2"/>
      <c r="N42" s="2"/>
      <c r="O42" s="2"/>
      <c r="P42" s="2"/>
    </row>
    <row r="43" spans="1:16" s="14" customFormat="1" ht="15.75" x14ac:dyDescent="0.25">
      <c r="A43" s="281"/>
      <c r="B43" s="189">
        <v>18610</v>
      </c>
      <c r="C43" s="190" t="s">
        <v>201</v>
      </c>
      <c r="D43" s="281"/>
      <c r="E43" s="281"/>
      <c r="F43" s="191">
        <f>38*472.61</f>
        <v>17959.18</v>
      </c>
      <c r="G43" s="191"/>
      <c r="H43" s="191"/>
      <c r="I43" s="191">
        <f>1.5*(118.99+47.12)</f>
        <v>249.16499999999996</v>
      </c>
      <c r="J43" s="191"/>
      <c r="K43" s="191">
        <f t="shared" si="2"/>
        <v>18208.345000000001</v>
      </c>
      <c r="L43" s="201"/>
      <c r="M43" s="2"/>
      <c r="N43" s="2"/>
      <c r="O43" s="2"/>
      <c r="P43" s="2"/>
    </row>
    <row r="44" spans="1:16" s="14" customFormat="1" ht="15.75" x14ac:dyDescent="0.25">
      <c r="A44" s="249">
        <v>40</v>
      </c>
      <c r="B44" s="189">
        <v>18608</v>
      </c>
      <c r="C44" s="190" t="s">
        <v>201</v>
      </c>
      <c r="D44" s="249" t="s">
        <v>209</v>
      </c>
      <c r="E44" s="249" t="s">
        <v>123</v>
      </c>
      <c r="F44" s="191"/>
      <c r="G44" s="191"/>
      <c r="H44" s="191"/>
      <c r="I44" s="191">
        <f>2*58.48</f>
        <v>116.96</v>
      </c>
      <c r="J44" s="191"/>
      <c r="K44" s="191">
        <f t="shared" si="2"/>
        <v>116.96</v>
      </c>
      <c r="L44" s="201"/>
      <c r="M44" s="2"/>
      <c r="N44" s="2"/>
      <c r="O44" s="2"/>
      <c r="P44" s="2"/>
    </row>
    <row r="45" spans="1:16" s="14" customFormat="1" ht="15.75" x14ac:dyDescent="0.25">
      <c r="A45" s="249">
        <v>41</v>
      </c>
      <c r="B45" s="189">
        <v>18526</v>
      </c>
      <c r="C45" s="190" t="s">
        <v>187</v>
      </c>
      <c r="D45" s="249" t="s">
        <v>246</v>
      </c>
      <c r="E45" s="249" t="s">
        <v>247</v>
      </c>
      <c r="F45" s="191"/>
      <c r="G45" s="191"/>
      <c r="H45" s="191"/>
      <c r="I45" s="191">
        <f>2*(50.48+48.32+48.32)</f>
        <v>294.24</v>
      </c>
      <c r="J45" s="191"/>
      <c r="K45" s="191">
        <f t="shared" si="2"/>
        <v>294.24</v>
      </c>
      <c r="L45" s="201"/>
      <c r="M45" s="2"/>
      <c r="N45" s="2"/>
      <c r="O45" s="2"/>
      <c r="P45" s="2"/>
    </row>
    <row r="46" spans="1:16" s="14" customFormat="1" ht="15.75" x14ac:dyDescent="0.25">
      <c r="A46" s="249">
        <v>42</v>
      </c>
      <c r="B46" s="189">
        <v>18534</v>
      </c>
      <c r="C46" s="190" t="s">
        <v>190</v>
      </c>
      <c r="D46" s="249" t="s">
        <v>120</v>
      </c>
      <c r="E46" s="249" t="s">
        <v>121</v>
      </c>
      <c r="F46" s="191"/>
      <c r="G46" s="191"/>
      <c r="H46" s="191"/>
      <c r="I46" s="191">
        <f>2*(50.48+48.32+48.32)</f>
        <v>294.24</v>
      </c>
      <c r="J46" s="191"/>
      <c r="K46" s="191">
        <f t="shared" si="2"/>
        <v>294.24</v>
      </c>
      <c r="L46" s="201"/>
      <c r="M46" s="2"/>
      <c r="N46" s="2"/>
      <c r="O46" s="2"/>
      <c r="P46" s="2"/>
    </row>
    <row r="47" spans="1:16" s="14" customFormat="1" ht="15.75" x14ac:dyDescent="0.25">
      <c r="A47" s="249">
        <v>43</v>
      </c>
      <c r="B47" s="189">
        <v>18567</v>
      </c>
      <c r="C47" s="190" t="s">
        <v>193</v>
      </c>
      <c r="D47" s="249" t="s">
        <v>356</v>
      </c>
      <c r="E47" s="249" t="s">
        <v>99</v>
      </c>
      <c r="F47" s="191"/>
      <c r="G47" s="191"/>
      <c r="H47" s="191"/>
      <c r="I47" s="191">
        <f>3*58.48</f>
        <v>175.44</v>
      </c>
      <c r="J47" s="191"/>
      <c r="K47" s="191">
        <f t="shared" si="2"/>
        <v>175.44</v>
      </c>
      <c r="L47" s="201"/>
      <c r="M47" s="2"/>
      <c r="N47" s="2"/>
      <c r="O47" s="2"/>
      <c r="P47" s="2"/>
    </row>
    <row r="48" spans="1:16" s="14" customFormat="1" ht="15.75" x14ac:dyDescent="0.25">
      <c r="A48" s="249">
        <v>44</v>
      </c>
      <c r="B48" s="189">
        <v>18453</v>
      </c>
      <c r="C48" s="190" t="s">
        <v>231</v>
      </c>
      <c r="D48" s="249" t="s">
        <v>148</v>
      </c>
      <c r="E48" s="249" t="s">
        <v>171</v>
      </c>
      <c r="F48" s="191"/>
      <c r="G48" s="191"/>
      <c r="H48" s="191"/>
      <c r="I48" s="191">
        <f>2*(50.48+48.32+48.32)</f>
        <v>294.24</v>
      </c>
      <c r="J48" s="191"/>
      <c r="K48" s="191">
        <f t="shared" si="2"/>
        <v>294.24</v>
      </c>
      <c r="L48" s="201"/>
      <c r="M48" s="2"/>
      <c r="N48" s="2"/>
      <c r="O48" s="2"/>
      <c r="P48" s="2"/>
    </row>
    <row r="49" spans="1:16" s="14" customFormat="1" ht="15.75" x14ac:dyDescent="0.25">
      <c r="A49" s="249">
        <v>45</v>
      </c>
      <c r="B49" s="189">
        <v>18473</v>
      </c>
      <c r="C49" s="190" t="s">
        <v>177</v>
      </c>
      <c r="D49" s="249" t="s">
        <v>348</v>
      </c>
      <c r="E49" s="249" t="s">
        <v>94</v>
      </c>
      <c r="F49" s="191"/>
      <c r="G49" s="191"/>
      <c r="H49" s="191"/>
      <c r="I49" s="191">
        <f>5*50.48+3*48.32</f>
        <v>397.36</v>
      </c>
      <c r="J49" s="191"/>
      <c r="K49" s="191">
        <f t="shared" si="2"/>
        <v>397.36</v>
      </c>
      <c r="L49" s="201"/>
      <c r="M49" s="2"/>
      <c r="N49" s="2"/>
      <c r="O49" s="2"/>
      <c r="P49" s="2"/>
    </row>
    <row r="50" spans="1:16" s="14" customFormat="1" ht="15.75" x14ac:dyDescent="0.25">
      <c r="A50" s="142">
        <v>46</v>
      </c>
      <c r="B50" s="142">
        <v>18420</v>
      </c>
      <c r="C50" s="160" t="s">
        <v>357</v>
      </c>
      <c r="D50" s="142" t="s">
        <v>358</v>
      </c>
      <c r="E50" s="142" t="s">
        <v>94</v>
      </c>
      <c r="F50" s="162"/>
      <c r="G50" s="162"/>
      <c r="H50" s="162">
        <f>4*60487.51</f>
        <v>241950.04</v>
      </c>
      <c r="I50" s="162">
        <f>3*(50.48+48.32+48.32)</f>
        <v>441.36</v>
      </c>
      <c r="J50" s="162"/>
      <c r="K50" s="162">
        <f t="shared" si="2"/>
        <v>242391.4</v>
      </c>
      <c r="L50" s="201"/>
      <c r="M50" s="2"/>
      <c r="N50" s="2"/>
      <c r="O50" s="2"/>
      <c r="P50" s="2"/>
    </row>
    <row r="51" spans="1:16" s="14" customFormat="1" ht="15.75" x14ac:dyDescent="0.25">
      <c r="A51" s="249">
        <v>47</v>
      </c>
      <c r="B51" s="189">
        <v>18483</v>
      </c>
      <c r="C51" s="190" t="s">
        <v>176</v>
      </c>
      <c r="D51" s="249" t="s">
        <v>271</v>
      </c>
      <c r="E51" s="249" t="s">
        <v>94</v>
      </c>
      <c r="F51" s="191"/>
      <c r="G51" s="191"/>
      <c r="H51" s="191"/>
      <c r="I51" s="191">
        <f>2*(50.48+48.32+48.32)</f>
        <v>294.24</v>
      </c>
      <c r="J51" s="191"/>
      <c r="K51" s="191">
        <f t="shared" si="2"/>
        <v>294.24</v>
      </c>
      <c r="L51" s="201"/>
      <c r="M51" s="2"/>
      <c r="N51" s="2"/>
      <c r="O51" s="2"/>
      <c r="P51" s="2"/>
    </row>
    <row r="52" spans="1:16" s="14" customFormat="1" ht="15.75" x14ac:dyDescent="0.25">
      <c r="A52" s="249">
        <v>48</v>
      </c>
      <c r="B52" s="189">
        <v>18450</v>
      </c>
      <c r="C52" s="190" t="s">
        <v>359</v>
      </c>
      <c r="D52" s="249" t="s">
        <v>249</v>
      </c>
      <c r="E52" s="249" t="s">
        <v>250</v>
      </c>
      <c r="F52" s="191"/>
      <c r="G52" s="191"/>
      <c r="H52" s="191"/>
      <c r="I52" s="191">
        <f>2*58.48</f>
        <v>116.96</v>
      </c>
      <c r="J52" s="191"/>
      <c r="K52" s="191">
        <f t="shared" si="2"/>
        <v>116.96</v>
      </c>
      <c r="L52" s="201"/>
      <c r="M52" s="2"/>
      <c r="N52" s="2"/>
      <c r="O52" s="2"/>
      <c r="P52" s="2"/>
    </row>
    <row r="53" spans="1:16" s="14" customFormat="1" ht="15.75" x14ac:dyDescent="0.25">
      <c r="A53" s="249">
        <v>49</v>
      </c>
      <c r="B53" s="189">
        <v>18597</v>
      </c>
      <c r="C53" s="190" t="s">
        <v>363</v>
      </c>
      <c r="D53" s="249" t="s">
        <v>260</v>
      </c>
      <c r="E53" s="249" t="s">
        <v>94</v>
      </c>
      <c r="F53" s="191"/>
      <c r="G53" s="191"/>
      <c r="H53" s="191">
        <f>4*20341.2</f>
        <v>81364.800000000003</v>
      </c>
      <c r="I53" s="191">
        <f>3*(50.48+48.32+48.32)</f>
        <v>441.36</v>
      </c>
      <c r="J53" s="191"/>
      <c r="K53" s="191">
        <f t="shared" si="2"/>
        <v>81806.16</v>
      </c>
      <c r="L53" s="201"/>
      <c r="M53" s="2"/>
      <c r="N53" s="2"/>
      <c r="O53" s="2"/>
      <c r="P53" s="2"/>
    </row>
    <row r="54" spans="1:16" s="14" customFormat="1" ht="15.75" x14ac:dyDescent="0.25">
      <c r="A54" s="249">
        <v>50</v>
      </c>
      <c r="B54" s="189">
        <v>14483</v>
      </c>
      <c r="C54" s="190" t="s">
        <v>221</v>
      </c>
      <c r="D54" s="249" t="s">
        <v>364</v>
      </c>
      <c r="E54" s="249" t="s">
        <v>365</v>
      </c>
      <c r="F54" s="191"/>
      <c r="G54" s="191">
        <f>28*35.09</f>
        <v>982.5200000000001</v>
      </c>
      <c r="H54" s="191"/>
      <c r="I54" s="191">
        <f>5*50.48+3*(48.5+48.5)</f>
        <v>543.4</v>
      </c>
      <c r="J54" s="191"/>
      <c r="K54" s="191">
        <f t="shared" si="2"/>
        <v>1525.92</v>
      </c>
      <c r="L54" s="201"/>
      <c r="M54" s="2"/>
      <c r="N54" s="2"/>
      <c r="O54" s="2"/>
      <c r="P54" s="2"/>
    </row>
    <row r="55" spans="1:16" s="14" customFormat="1" ht="15.75" x14ac:dyDescent="0.25">
      <c r="A55" s="142">
        <v>51</v>
      </c>
      <c r="B55" s="142">
        <v>18377</v>
      </c>
      <c r="C55" s="160" t="s">
        <v>390</v>
      </c>
      <c r="D55" s="142" t="s">
        <v>391</v>
      </c>
      <c r="E55" s="142" t="s">
        <v>94</v>
      </c>
      <c r="F55" s="162"/>
      <c r="G55" s="162"/>
      <c r="H55" s="162">
        <f>1*(3442.85+2000)</f>
        <v>5442.85</v>
      </c>
      <c r="I55" s="162">
        <f>2*(50.48+48.32+48.32)</f>
        <v>294.24</v>
      </c>
      <c r="J55" s="162"/>
      <c r="K55" s="162">
        <f t="shared" si="2"/>
        <v>5737.09</v>
      </c>
      <c r="L55" s="201"/>
      <c r="M55" s="2"/>
      <c r="N55" s="2"/>
      <c r="O55" s="2"/>
      <c r="P55" s="2"/>
    </row>
    <row r="56" spans="1:16" s="14" customFormat="1" ht="15.75" x14ac:dyDescent="0.25">
      <c r="A56" s="249">
        <v>52</v>
      </c>
      <c r="B56" s="189">
        <v>18578</v>
      </c>
      <c r="C56" s="190" t="s">
        <v>177</v>
      </c>
      <c r="D56" s="249" t="s">
        <v>266</v>
      </c>
      <c r="E56" s="249" t="s">
        <v>94</v>
      </c>
      <c r="F56" s="191"/>
      <c r="G56" s="191"/>
      <c r="H56" s="191">
        <f>2*60661.75</f>
        <v>121323.5</v>
      </c>
      <c r="I56" s="191">
        <f>3*(50.48+48.32+48.32)</f>
        <v>441.36</v>
      </c>
      <c r="J56" s="191"/>
      <c r="K56" s="191">
        <f t="shared" si="2"/>
        <v>121764.86</v>
      </c>
      <c r="L56" s="201"/>
      <c r="M56" s="2"/>
      <c r="N56" s="2"/>
      <c r="O56" s="2"/>
      <c r="P56" s="2"/>
    </row>
    <row r="57" spans="1:16" s="14" customFormat="1" ht="15.75" x14ac:dyDescent="0.25">
      <c r="A57" s="142">
        <v>53</v>
      </c>
      <c r="B57" s="142">
        <v>18594</v>
      </c>
      <c r="C57" s="160" t="s">
        <v>390</v>
      </c>
      <c r="D57" s="142" t="s">
        <v>275</v>
      </c>
      <c r="E57" s="142" t="s">
        <v>94</v>
      </c>
      <c r="F57" s="162"/>
      <c r="G57" s="162"/>
      <c r="H57" s="162">
        <f>1*(3442.84+2000)</f>
        <v>5442.84</v>
      </c>
      <c r="I57" s="162">
        <f>2*(50.48+48.32)</f>
        <v>197.6</v>
      </c>
      <c r="J57" s="162"/>
      <c r="K57" s="162">
        <f t="shared" si="2"/>
        <v>5640.4400000000005</v>
      </c>
      <c r="L57" s="201"/>
      <c r="M57" s="2"/>
      <c r="N57" s="2"/>
      <c r="O57" s="2"/>
      <c r="P57" s="2"/>
    </row>
    <row r="58" spans="1:16" s="14" customFormat="1" ht="15.75" x14ac:dyDescent="0.25">
      <c r="A58" s="281">
        <v>54</v>
      </c>
      <c r="B58" s="189">
        <v>18626</v>
      </c>
      <c r="C58" s="190" t="s">
        <v>207</v>
      </c>
      <c r="D58" s="281" t="s">
        <v>261</v>
      </c>
      <c r="E58" s="281" t="s">
        <v>262</v>
      </c>
      <c r="F58" s="191"/>
      <c r="G58" s="191"/>
      <c r="H58" s="191"/>
      <c r="I58" s="191">
        <f>3*(50.48+48.32)</f>
        <v>296.39999999999998</v>
      </c>
      <c r="J58" s="191"/>
      <c r="K58" s="191">
        <f t="shared" si="2"/>
        <v>296.39999999999998</v>
      </c>
      <c r="L58" s="201"/>
      <c r="M58" s="2"/>
      <c r="N58" s="2"/>
      <c r="O58" s="2"/>
      <c r="P58" s="2"/>
    </row>
    <row r="59" spans="1:16" s="14" customFormat="1" ht="15.75" x14ac:dyDescent="0.25">
      <c r="A59" s="281"/>
      <c r="B59" s="189">
        <v>18566</v>
      </c>
      <c r="C59" s="190" t="s">
        <v>193</v>
      </c>
      <c r="D59" s="281"/>
      <c r="E59" s="281"/>
      <c r="F59" s="191"/>
      <c r="G59" s="191"/>
      <c r="H59" s="191"/>
      <c r="I59" s="191">
        <f>2*(50.48+48.32+48.32)</f>
        <v>294.24</v>
      </c>
      <c r="J59" s="191"/>
      <c r="K59" s="191">
        <f t="shared" si="2"/>
        <v>294.24</v>
      </c>
      <c r="L59" s="201"/>
      <c r="M59" s="2"/>
      <c r="N59" s="2"/>
      <c r="O59" s="2"/>
      <c r="P59" s="2"/>
    </row>
    <row r="60" spans="1:16" s="14" customFormat="1" ht="15.75" x14ac:dyDescent="0.25">
      <c r="A60" s="281">
        <v>55</v>
      </c>
      <c r="B60" s="249">
        <v>18606</v>
      </c>
      <c r="C60" s="190" t="s">
        <v>199</v>
      </c>
      <c r="D60" s="281" t="s">
        <v>129</v>
      </c>
      <c r="E60" s="281" t="s">
        <v>94</v>
      </c>
      <c r="F60" s="191"/>
      <c r="G60" s="191"/>
      <c r="H60" s="191"/>
      <c r="I60" s="191">
        <f>3*(50.48+48.32)</f>
        <v>296.39999999999998</v>
      </c>
      <c r="J60" s="191"/>
      <c r="K60" s="191">
        <f t="shared" si="2"/>
        <v>296.39999999999998</v>
      </c>
      <c r="L60" s="201"/>
      <c r="M60" s="2"/>
      <c r="N60" s="2"/>
      <c r="O60" s="2"/>
      <c r="P60" s="2"/>
    </row>
    <row r="61" spans="1:16" s="14" customFormat="1" ht="16.5" thickBot="1" x14ac:dyDescent="0.3">
      <c r="A61" s="281"/>
      <c r="B61" s="249">
        <v>18439</v>
      </c>
      <c r="C61" s="190" t="s">
        <v>245</v>
      </c>
      <c r="D61" s="281"/>
      <c r="E61" s="282"/>
      <c r="F61" s="156"/>
      <c r="G61" s="156"/>
      <c r="H61" s="156"/>
      <c r="I61" s="156">
        <f>3*(50.48+48.32+48.32)</f>
        <v>441.36</v>
      </c>
      <c r="J61" s="156"/>
      <c r="K61" s="156">
        <f t="shared" si="2"/>
        <v>441.36</v>
      </c>
      <c r="L61" s="201"/>
      <c r="M61" s="2"/>
      <c r="N61" s="2"/>
      <c r="O61" s="2"/>
      <c r="P61" s="2"/>
    </row>
    <row r="62" spans="1:16" s="141" customFormat="1" ht="16.5" thickBot="1" x14ac:dyDescent="0.3">
      <c r="A62" s="280"/>
      <c r="B62" s="280"/>
      <c r="C62" s="280"/>
      <c r="D62" s="280"/>
      <c r="E62" s="186" t="s">
        <v>19</v>
      </c>
      <c r="F62" s="157">
        <f>SUM(F3:F61)</f>
        <v>376356.43999999994</v>
      </c>
      <c r="G62" s="157">
        <f>SUM(G3:G61)</f>
        <v>427397.88999999978</v>
      </c>
      <c r="H62" s="157">
        <f>SUM(H3:H61)</f>
        <v>455524.03</v>
      </c>
      <c r="I62" s="157">
        <f>SUM(I3:I61)</f>
        <v>65570.064999999988</v>
      </c>
      <c r="J62" s="176">
        <f>SUM(J3:J61)</f>
        <v>0</v>
      </c>
      <c r="K62" s="184">
        <f t="shared" si="2"/>
        <v>1324848.4249999998</v>
      </c>
      <c r="L62" s="139"/>
      <c r="M62" s="140"/>
      <c r="N62" s="140"/>
      <c r="O62" s="140"/>
      <c r="P62" s="140"/>
    </row>
    <row r="63" spans="1:16" s="14" customFormat="1" ht="15.75" x14ac:dyDescent="0.25">
      <c r="A63" s="254"/>
      <c r="B63" s="254"/>
      <c r="C63" s="261"/>
      <c r="D63" s="254"/>
      <c r="E63" s="254"/>
      <c r="F63" s="260"/>
      <c r="G63" s="260"/>
      <c r="H63" s="260"/>
      <c r="I63" s="260"/>
      <c r="J63" s="260"/>
      <c r="K63" s="260"/>
      <c r="L63" s="201"/>
      <c r="M63" s="2"/>
      <c r="N63" s="2"/>
      <c r="O63" s="2"/>
      <c r="P63" s="2"/>
    </row>
    <row r="64" spans="1:16" s="14" customFormat="1" ht="15.75" x14ac:dyDescent="0.25">
      <c r="A64" s="254"/>
      <c r="B64" s="254"/>
      <c r="C64" s="261"/>
      <c r="D64" s="254"/>
      <c r="E64" s="254"/>
      <c r="F64" s="260"/>
      <c r="G64" s="260"/>
      <c r="H64" s="260"/>
      <c r="I64" s="260"/>
      <c r="J64" s="260"/>
      <c r="K64" s="260"/>
      <c r="L64" s="201"/>
      <c r="M64" s="2"/>
      <c r="N64" s="2"/>
      <c r="O64" s="2"/>
      <c r="P64" s="2"/>
    </row>
    <row r="65" spans="1:16" s="14" customFormat="1" ht="15.75" x14ac:dyDescent="0.25">
      <c r="A65" s="254"/>
      <c r="B65" s="254"/>
      <c r="C65" s="261"/>
      <c r="D65" s="254"/>
      <c r="E65" s="267"/>
      <c r="F65" s="267"/>
      <c r="G65" s="267"/>
      <c r="H65" s="267"/>
      <c r="I65" s="267"/>
      <c r="J65" s="267"/>
      <c r="K65" s="267"/>
      <c r="L65" s="201"/>
      <c r="M65" s="2"/>
      <c r="N65" s="2"/>
      <c r="O65" s="2"/>
      <c r="P65" s="2"/>
    </row>
    <row r="66" spans="1:16" s="14" customFormat="1" ht="15.75" x14ac:dyDescent="0.25">
      <c r="A66" s="254"/>
      <c r="B66" s="254"/>
      <c r="C66" s="261"/>
      <c r="D66" s="254"/>
      <c r="E66" s="267"/>
      <c r="F66" s="267"/>
      <c r="G66" s="267"/>
      <c r="H66" s="267"/>
      <c r="I66" s="267"/>
      <c r="J66" s="267"/>
      <c r="K66" s="267"/>
      <c r="L66" s="201"/>
      <c r="M66" s="2"/>
      <c r="N66" s="2"/>
      <c r="O66" s="2"/>
      <c r="P66" s="2"/>
    </row>
    <row r="67" spans="1:16" s="14" customFormat="1" ht="15.75" x14ac:dyDescent="0.25">
      <c r="A67" s="254"/>
      <c r="B67" s="254"/>
      <c r="C67" s="261"/>
      <c r="D67" s="254"/>
      <c r="E67" s="254"/>
      <c r="F67" s="267"/>
      <c r="G67" s="267"/>
      <c r="H67" s="267"/>
      <c r="I67" s="267"/>
      <c r="J67" s="267"/>
      <c r="K67" s="267"/>
      <c r="L67" s="201"/>
      <c r="M67" s="2"/>
      <c r="N67" s="2"/>
      <c r="O67" s="2"/>
      <c r="P67" s="2"/>
    </row>
    <row r="68" spans="1:16" s="14" customFormat="1" ht="15.75" x14ac:dyDescent="0.25">
      <c r="A68" s="254"/>
      <c r="B68" s="254"/>
      <c r="C68" s="261"/>
      <c r="D68" s="254"/>
      <c r="E68" s="254"/>
      <c r="F68" s="260"/>
      <c r="G68" s="260"/>
      <c r="H68" s="260"/>
      <c r="I68" s="260"/>
      <c r="J68" s="260"/>
      <c r="K68" s="260"/>
      <c r="L68" s="201"/>
      <c r="M68" s="2"/>
      <c r="N68" s="2"/>
      <c r="O68" s="2"/>
      <c r="P68" s="2"/>
    </row>
    <row r="69" spans="1:16" s="14" customFormat="1" ht="15.75" x14ac:dyDescent="0.25">
      <c r="A69" s="254"/>
      <c r="B69" s="254"/>
      <c r="C69" s="261"/>
      <c r="D69" s="254"/>
      <c r="E69" s="254"/>
      <c r="F69" s="260"/>
      <c r="G69" s="260"/>
      <c r="H69" s="260"/>
      <c r="I69" s="260"/>
      <c r="J69" s="260"/>
      <c r="K69" s="260"/>
      <c r="L69" s="201"/>
      <c r="M69" s="2"/>
      <c r="N69" s="2"/>
      <c r="O69" s="2"/>
      <c r="P69" s="2"/>
    </row>
    <row r="70" spans="1:16" s="14" customFormat="1" ht="15.75" x14ac:dyDescent="0.25">
      <c r="A70" s="66"/>
      <c r="B70" s="66"/>
      <c r="C70" s="19"/>
      <c r="D70" s="66"/>
      <c r="E70" s="66"/>
      <c r="F70" s="3"/>
      <c r="G70" s="3"/>
      <c r="H70" s="3"/>
      <c r="I70" s="3"/>
      <c r="J70" s="3"/>
      <c r="K70" s="3"/>
      <c r="L70" s="201"/>
      <c r="M70" s="2"/>
      <c r="N70" s="2"/>
      <c r="O70" s="2"/>
      <c r="P70" s="2"/>
    </row>
    <row r="71" spans="1:16" s="14" customFormat="1" ht="15.75" x14ac:dyDescent="0.25">
      <c r="A71" s="66"/>
      <c r="B71" s="66"/>
      <c r="C71" s="19"/>
      <c r="D71" s="66"/>
      <c r="E71" s="66"/>
      <c r="F71" s="3"/>
      <c r="G71" s="3"/>
      <c r="H71" s="3"/>
      <c r="I71" s="3"/>
      <c r="J71" s="3"/>
      <c r="K71" s="3"/>
      <c r="L71" s="201"/>
      <c r="M71" s="2"/>
      <c r="N71" s="2"/>
      <c r="O71" s="2"/>
      <c r="P71" s="2"/>
    </row>
    <row r="72" spans="1:16" s="14" customFormat="1" ht="15.75" x14ac:dyDescent="0.25">
      <c r="A72" s="66"/>
      <c r="B72" s="66"/>
      <c r="C72" s="19"/>
      <c r="D72" s="66"/>
      <c r="E72" s="66"/>
      <c r="F72" s="3"/>
      <c r="G72" s="3"/>
      <c r="H72" s="3"/>
      <c r="I72" s="3"/>
      <c r="J72" s="3"/>
      <c r="K72" s="3"/>
      <c r="L72" s="201"/>
      <c r="M72" s="2"/>
      <c r="N72" s="2"/>
      <c r="O72" s="2"/>
      <c r="P72" s="2"/>
    </row>
    <row r="73" spans="1:16" s="14" customFormat="1" ht="15.75" x14ac:dyDescent="0.25">
      <c r="A73" s="66"/>
      <c r="B73" s="66"/>
      <c r="C73" s="19"/>
      <c r="D73" s="66"/>
      <c r="E73" s="66"/>
      <c r="F73" s="3"/>
      <c r="G73" s="3"/>
      <c r="H73" s="3"/>
      <c r="I73" s="3"/>
      <c r="J73" s="3"/>
      <c r="K73" s="3"/>
      <c r="L73" s="201"/>
      <c r="M73" s="2"/>
      <c r="N73" s="2"/>
      <c r="O73" s="2"/>
      <c r="P73" s="2"/>
    </row>
    <row r="74" spans="1:16" s="14" customFormat="1" ht="15.75" x14ac:dyDescent="0.25">
      <c r="A74" s="66"/>
      <c r="B74" s="66"/>
      <c r="C74" s="19"/>
      <c r="D74" s="66"/>
      <c r="E74" s="66"/>
      <c r="F74" s="3"/>
      <c r="G74" s="3"/>
      <c r="H74" s="3"/>
      <c r="I74" s="3"/>
      <c r="J74" s="3"/>
      <c r="K74" s="3"/>
      <c r="L74" s="201"/>
      <c r="M74" s="2"/>
      <c r="N74" s="2"/>
      <c r="O74" s="2"/>
      <c r="P74" s="2"/>
    </row>
    <row r="75" spans="1:16" s="14" customFormat="1" ht="15.75" x14ac:dyDescent="0.25">
      <c r="A75" s="66"/>
      <c r="B75" s="66"/>
      <c r="C75" s="19"/>
      <c r="D75" s="66"/>
      <c r="E75" s="66"/>
      <c r="F75" s="3"/>
      <c r="G75" s="3"/>
      <c r="H75" s="3"/>
      <c r="I75" s="3"/>
      <c r="J75" s="3"/>
      <c r="K75" s="3"/>
      <c r="L75" s="201"/>
      <c r="M75" s="2"/>
      <c r="N75" s="2"/>
      <c r="O75" s="2"/>
      <c r="P75" s="2"/>
    </row>
    <row r="76" spans="1:16" s="14" customFormat="1" ht="15.75" x14ac:dyDescent="0.25">
      <c r="A76" s="66"/>
      <c r="B76" s="66"/>
      <c r="C76" s="19"/>
      <c r="D76" s="66"/>
      <c r="E76" s="66"/>
      <c r="F76" s="3"/>
      <c r="G76" s="3"/>
      <c r="H76" s="3"/>
      <c r="I76" s="3"/>
      <c r="J76" s="3"/>
      <c r="K76" s="3"/>
      <c r="L76" s="201"/>
      <c r="M76" s="2"/>
      <c r="N76" s="2"/>
      <c r="O76" s="2"/>
      <c r="P76" s="2"/>
    </row>
    <row r="77" spans="1:16" s="14" customFormat="1" ht="15.75" x14ac:dyDescent="0.25">
      <c r="A77" s="66"/>
      <c r="B77" s="66"/>
      <c r="C77" s="19"/>
      <c r="D77" s="66"/>
      <c r="E77" s="66"/>
      <c r="F77" s="3"/>
      <c r="G77" s="3"/>
      <c r="H77" s="3"/>
      <c r="I77" s="3"/>
      <c r="J77" s="3"/>
      <c r="K77" s="3"/>
      <c r="L77" s="201"/>
      <c r="M77" s="2"/>
      <c r="N77" s="2"/>
      <c r="O77" s="2"/>
      <c r="P77" s="2"/>
    </row>
    <row r="78" spans="1:16" s="14" customFormat="1" ht="15.75" x14ac:dyDescent="0.25">
      <c r="A78" s="66"/>
      <c r="B78" s="66"/>
      <c r="C78" s="19"/>
      <c r="D78" s="66"/>
      <c r="E78" s="66"/>
      <c r="F78" s="3"/>
      <c r="G78" s="3"/>
      <c r="H78" s="3"/>
      <c r="I78" s="3"/>
      <c r="J78" s="3"/>
      <c r="K78" s="3"/>
      <c r="L78" s="201"/>
      <c r="M78" s="2"/>
      <c r="N78" s="2"/>
      <c r="O78" s="2"/>
      <c r="P78" s="2"/>
    </row>
    <row r="79" spans="1:16" s="14" customFormat="1" ht="15.75" x14ac:dyDescent="0.25">
      <c r="A79" s="66"/>
      <c r="B79" s="66"/>
      <c r="C79" s="19"/>
      <c r="D79" s="66"/>
      <c r="E79" s="66"/>
      <c r="F79" s="3"/>
      <c r="G79" s="3"/>
      <c r="H79" s="3"/>
      <c r="I79" s="3"/>
      <c r="J79" s="3"/>
      <c r="K79" s="3"/>
      <c r="L79" s="201"/>
      <c r="M79" s="2"/>
      <c r="N79" s="2"/>
      <c r="O79" s="2"/>
      <c r="P79" s="2"/>
    </row>
    <row r="80" spans="1:16" s="14" customFormat="1" ht="15.75" x14ac:dyDescent="0.25">
      <c r="A80" s="66"/>
      <c r="B80" s="66"/>
      <c r="C80" s="19"/>
      <c r="D80" s="66"/>
      <c r="E80" s="66"/>
      <c r="F80" s="3"/>
      <c r="G80" s="3"/>
      <c r="H80" s="3"/>
      <c r="I80" s="3"/>
      <c r="J80" s="3"/>
      <c r="K80" s="3"/>
      <c r="L80" s="201"/>
      <c r="M80" s="2"/>
      <c r="N80" s="2"/>
      <c r="O80" s="2"/>
      <c r="P80" s="2"/>
    </row>
    <row r="81" spans="1:16" s="14" customFormat="1" ht="15.75" x14ac:dyDescent="0.25">
      <c r="A81" s="66"/>
      <c r="B81" s="66"/>
      <c r="C81" s="19"/>
      <c r="D81" s="66"/>
      <c r="E81" s="66"/>
      <c r="F81" s="3"/>
      <c r="G81" s="3"/>
      <c r="H81" s="3"/>
      <c r="I81" s="3"/>
      <c r="J81" s="3"/>
      <c r="K81" s="3"/>
      <c r="L81" s="201"/>
      <c r="M81" s="2"/>
      <c r="N81" s="2"/>
      <c r="O81" s="2"/>
      <c r="P81" s="2"/>
    </row>
    <row r="82" spans="1:16" s="14" customFormat="1" ht="15.75" x14ac:dyDescent="0.25">
      <c r="A82" s="66"/>
      <c r="B82" s="66"/>
      <c r="C82" s="19"/>
      <c r="D82" s="66"/>
      <c r="E82" s="66"/>
      <c r="F82" s="3"/>
      <c r="G82" s="3"/>
      <c r="H82" s="3"/>
      <c r="I82" s="3"/>
      <c r="J82" s="3"/>
      <c r="K82" s="3"/>
      <c r="L82" s="201"/>
      <c r="M82" s="2"/>
      <c r="N82" s="2"/>
      <c r="O82" s="2"/>
      <c r="P82" s="2"/>
    </row>
    <row r="83" spans="1:16" s="14" customFormat="1" ht="15.75" x14ac:dyDescent="0.25">
      <c r="A83" s="66"/>
      <c r="B83" s="66"/>
      <c r="C83" s="19"/>
      <c r="D83" s="66"/>
      <c r="E83" s="66"/>
      <c r="F83" s="3"/>
      <c r="G83" s="3"/>
      <c r="H83" s="3"/>
      <c r="I83" s="3"/>
      <c r="J83" s="3"/>
      <c r="K83" s="3"/>
      <c r="L83" s="201"/>
      <c r="M83" s="2"/>
      <c r="N83" s="2"/>
      <c r="O83" s="2"/>
      <c r="P83" s="2"/>
    </row>
    <row r="84" spans="1:16" s="14" customFormat="1" ht="15.75" x14ac:dyDescent="0.25">
      <c r="A84" s="66"/>
      <c r="B84" s="66"/>
      <c r="C84" s="19"/>
      <c r="D84" s="66"/>
      <c r="E84" s="66"/>
      <c r="F84" s="3"/>
      <c r="G84" s="3"/>
      <c r="H84" s="3"/>
      <c r="I84" s="3"/>
      <c r="J84" s="3"/>
      <c r="K84" s="3"/>
      <c r="L84" s="201"/>
      <c r="M84" s="2"/>
      <c r="N84" s="2"/>
      <c r="O84" s="2"/>
      <c r="P84" s="2"/>
    </row>
    <row r="85" spans="1:16" s="14" customFormat="1" ht="15.75" x14ac:dyDescent="0.25">
      <c r="A85" s="66"/>
      <c r="B85" s="66"/>
      <c r="C85" s="19"/>
      <c r="D85" s="66"/>
      <c r="E85" s="66"/>
      <c r="F85" s="3"/>
      <c r="G85" s="3"/>
      <c r="H85" s="3"/>
      <c r="I85" s="3"/>
      <c r="J85" s="3"/>
      <c r="K85" s="3"/>
      <c r="L85" s="201"/>
      <c r="M85" s="2"/>
      <c r="N85" s="2"/>
      <c r="O85" s="2"/>
      <c r="P85" s="2"/>
    </row>
    <row r="86" spans="1:16" s="14" customFormat="1" ht="15.75" x14ac:dyDescent="0.25">
      <c r="A86" s="66"/>
      <c r="B86" s="66"/>
      <c r="C86" s="19"/>
      <c r="D86" s="66"/>
      <c r="E86" s="66"/>
      <c r="F86" s="3"/>
      <c r="G86" s="3"/>
      <c r="H86" s="3"/>
      <c r="I86" s="3"/>
      <c r="J86" s="3"/>
      <c r="K86" s="3"/>
      <c r="L86" s="201"/>
      <c r="M86" s="2"/>
      <c r="N86" s="2"/>
      <c r="O86" s="2"/>
      <c r="P86" s="2"/>
    </row>
    <row r="87" spans="1:16" s="14" customFormat="1" ht="15.75" x14ac:dyDescent="0.25">
      <c r="A87" s="66"/>
      <c r="B87" s="66"/>
      <c r="C87" s="19"/>
      <c r="D87" s="66"/>
      <c r="E87" s="66"/>
      <c r="F87" s="3"/>
      <c r="G87" s="3"/>
      <c r="H87" s="3"/>
      <c r="I87" s="3"/>
      <c r="J87" s="3"/>
      <c r="K87" s="3"/>
      <c r="L87" s="201"/>
      <c r="M87" s="2"/>
      <c r="N87" s="2"/>
      <c r="O87" s="2"/>
      <c r="P87" s="2"/>
    </row>
    <row r="88" spans="1:16" s="14" customFormat="1" ht="15.75" x14ac:dyDescent="0.25">
      <c r="A88" s="66"/>
      <c r="B88" s="66"/>
      <c r="C88" s="19"/>
      <c r="D88" s="66"/>
      <c r="E88" s="66"/>
      <c r="F88" s="3"/>
      <c r="G88" s="3"/>
      <c r="H88" s="3"/>
      <c r="I88" s="3"/>
      <c r="J88" s="3"/>
      <c r="K88" s="3"/>
      <c r="L88" s="201"/>
      <c r="M88" s="2"/>
      <c r="N88" s="2"/>
      <c r="O88" s="2"/>
      <c r="P88" s="2"/>
    </row>
    <row r="89" spans="1:16" s="14" customFormat="1" ht="15.75" x14ac:dyDescent="0.25">
      <c r="A89" s="66"/>
      <c r="B89" s="66"/>
      <c r="C89" s="19"/>
      <c r="D89" s="66"/>
      <c r="E89" s="66"/>
      <c r="F89" s="3"/>
      <c r="G89" s="3"/>
      <c r="H89" s="3"/>
      <c r="I89" s="3"/>
      <c r="J89" s="3"/>
      <c r="K89" s="3"/>
      <c r="L89" s="201"/>
      <c r="M89" s="2"/>
      <c r="N89" s="2"/>
      <c r="O89" s="2"/>
      <c r="P89" s="2"/>
    </row>
    <row r="90" spans="1:16" s="14" customFormat="1" ht="15.75" x14ac:dyDescent="0.25">
      <c r="A90" s="66"/>
      <c r="B90" s="66"/>
      <c r="C90" s="19"/>
      <c r="D90" s="66"/>
      <c r="E90" s="66"/>
      <c r="F90" s="3"/>
      <c r="G90" s="3"/>
      <c r="H90" s="3"/>
      <c r="I90" s="3"/>
      <c r="J90" s="3"/>
      <c r="K90" s="3"/>
      <c r="L90" s="201"/>
      <c r="M90" s="2"/>
      <c r="N90" s="2"/>
      <c r="O90" s="2"/>
      <c r="P90" s="2"/>
    </row>
    <row r="91" spans="1:16" s="14" customFormat="1" ht="15.75" x14ac:dyDescent="0.25">
      <c r="A91" s="66"/>
      <c r="B91" s="66"/>
      <c r="C91" s="19"/>
      <c r="D91" s="66"/>
      <c r="E91" s="66"/>
      <c r="F91" s="3"/>
      <c r="G91" s="3"/>
      <c r="H91" s="3"/>
      <c r="I91" s="3"/>
      <c r="J91" s="3"/>
      <c r="K91" s="3"/>
      <c r="L91" s="201"/>
      <c r="M91" s="2"/>
      <c r="N91" s="2"/>
      <c r="O91" s="2"/>
      <c r="P91" s="2"/>
    </row>
    <row r="92" spans="1:16" s="14" customFormat="1" ht="15.75" x14ac:dyDescent="0.25">
      <c r="A92" s="66"/>
      <c r="B92" s="66"/>
      <c r="C92" s="19"/>
      <c r="D92" s="66"/>
      <c r="E92" s="66"/>
      <c r="F92" s="3"/>
      <c r="G92" s="3"/>
      <c r="H92" s="3"/>
      <c r="I92" s="3"/>
      <c r="J92" s="3"/>
      <c r="K92" s="3"/>
      <c r="L92" s="201"/>
      <c r="M92" s="2"/>
      <c r="N92" s="2"/>
      <c r="O92" s="2"/>
      <c r="P92" s="2"/>
    </row>
    <row r="93" spans="1:16" s="14" customFormat="1" ht="15.75" x14ac:dyDescent="0.25">
      <c r="A93" s="66"/>
      <c r="B93" s="66"/>
      <c r="C93" s="19"/>
      <c r="D93" s="66"/>
      <c r="E93" s="66"/>
      <c r="F93" s="3"/>
      <c r="G93" s="3"/>
      <c r="H93" s="3"/>
      <c r="I93" s="3"/>
      <c r="J93" s="3"/>
      <c r="K93" s="3"/>
      <c r="L93" s="201"/>
      <c r="M93" s="2"/>
      <c r="N93" s="2"/>
      <c r="O93" s="2"/>
      <c r="P93" s="2"/>
    </row>
    <row r="94" spans="1:16" s="14" customFormat="1" ht="15.75" x14ac:dyDescent="0.25">
      <c r="A94" s="66"/>
      <c r="B94" s="66"/>
      <c r="C94" s="19"/>
      <c r="D94" s="66"/>
      <c r="E94" s="66"/>
      <c r="F94" s="3"/>
      <c r="G94" s="3"/>
      <c r="H94" s="3"/>
      <c r="I94" s="3"/>
      <c r="J94" s="3"/>
      <c r="K94" s="3"/>
      <c r="L94" s="201"/>
      <c r="M94" s="2"/>
      <c r="N94" s="2"/>
      <c r="O94" s="2"/>
      <c r="P94" s="2"/>
    </row>
    <row r="95" spans="1:16" s="14" customFormat="1" ht="15.75" x14ac:dyDescent="0.25">
      <c r="A95" s="66"/>
      <c r="B95" s="66"/>
      <c r="C95" s="19"/>
      <c r="D95" s="66"/>
      <c r="E95" s="66"/>
      <c r="F95" s="3"/>
      <c r="G95" s="3"/>
      <c r="H95" s="3"/>
      <c r="I95" s="3"/>
      <c r="J95" s="3"/>
      <c r="K95" s="3"/>
      <c r="L95" s="201"/>
      <c r="M95" s="2"/>
      <c r="N95" s="2"/>
      <c r="O95" s="2"/>
      <c r="P95" s="2"/>
    </row>
    <row r="96" spans="1:16" s="14" customFormat="1" ht="15.75" x14ac:dyDescent="0.25">
      <c r="A96" s="66"/>
      <c r="B96" s="66"/>
      <c r="C96" s="19"/>
      <c r="D96" s="66"/>
      <c r="E96" s="66"/>
      <c r="F96" s="3"/>
      <c r="G96" s="3"/>
      <c r="H96" s="3"/>
      <c r="I96" s="3"/>
      <c r="J96" s="3"/>
      <c r="K96" s="3"/>
      <c r="L96" s="201"/>
      <c r="M96" s="2"/>
      <c r="N96" s="2"/>
      <c r="O96" s="2"/>
      <c r="P96" s="2"/>
    </row>
    <row r="97" spans="1:16" s="14" customFormat="1" ht="15.75" x14ac:dyDescent="0.25">
      <c r="A97" s="66"/>
      <c r="B97" s="66"/>
      <c r="C97" s="19"/>
      <c r="D97" s="66"/>
      <c r="E97" s="66"/>
      <c r="F97" s="3"/>
      <c r="G97" s="3"/>
      <c r="H97" s="3"/>
      <c r="I97" s="3"/>
      <c r="J97" s="3"/>
      <c r="K97" s="3"/>
      <c r="L97" s="201"/>
      <c r="M97" s="2"/>
      <c r="N97" s="2"/>
      <c r="O97" s="2"/>
      <c r="P97" s="2"/>
    </row>
    <row r="98" spans="1:16" s="14" customFormat="1" ht="15.75" x14ac:dyDescent="0.25">
      <c r="A98" s="66"/>
      <c r="B98" s="66"/>
      <c r="C98" s="19"/>
      <c r="D98" s="66"/>
      <c r="E98" s="66"/>
      <c r="F98" s="3"/>
      <c r="G98" s="3"/>
      <c r="H98" s="3"/>
      <c r="I98" s="3"/>
      <c r="J98" s="3"/>
      <c r="K98" s="3"/>
      <c r="L98" s="201"/>
      <c r="M98" s="2"/>
      <c r="N98" s="2"/>
      <c r="O98" s="2"/>
      <c r="P98" s="2"/>
    </row>
    <row r="99" spans="1:16" s="14" customFormat="1" ht="15.75" x14ac:dyDescent="0.25">
      <c r="A99" s="66"/>
      <c r="B99" s="66"/>
      <c r="C99" s="19"/>
      <c r="D99" s="66"/>
      <c r="E99" s="66"/>
      <c r="F99" s="3"/>
      <c r="G99" s="3"/>
      <c r="H99" s="3"/>
      <c r="I99" s="3"/>
      <c r="J99" s="3"/>
      <c r="K99" s="3"/>
      <c r="L99" s="201"/>
      <c r="M99" s="2"/>
      <c r="N99" s="2"/>
      <c r="O99" s="2"/>
      <c r="P99" s="2"/>
    </row>
    <row r="100" spans="1:16" s="14" customFormat="1" ht="15.75" x14ac:dyDescent="0.25">
      <c r="A100" s="66"/>
      <c r="B100" s="66"/>
      <c r="C100" s="19"/>
      <c r="D100" s="66"/>
      <c r="E100" s="66"/>
      <c r="F100" s="3"/>
      <c r="G100" s="3"/>
      <c r="H100" s="3"/>
      <c r="I100" s="3"/>
      <c r="J100" s="3"/>
      <c r="K100" s="3"/>
      <c r="L100" s="201"/>
      <c r="M100" s="2"/>
      <c r="N100" s="2"/>
      <c r="O100" s="2"/>
      <c r="P100" s="2"/>
    </row>
    <row r="101" spans="1:16" s="14" customFormat="1" ht="15.75" x14ac:dyDescent="0.25">
      <c r="A101" s="66"/>
      <c r="B101" s="66"/>
      <c r="C101" s="19"/>
      <c r="D101" s="66"/>
      <c r="E101" s="66"/>
      <c r="F101" s="3"/>
      <c r="G101" s="3"/>
      <c r="H101" s="3"/>
      <c r="I101" s="3"/>
      <c r="J101" s="3"/>
      <c r="K101" s="3"/>
      <c r="L101" s="201"/>
      <c r="M101" s="2"/>
      <c r="N101" s="2"/>
      <c r="O101" s="2"/>
      <c r="P101" s="2"/>
    </row>
    <row r="102" spans="1:16" s="14" customFormat="1" ht="15.75" x14ac:dyDescent="0.25">
      <c r="A102" s="66"/>
      <c r="B102" s="66"/>
      <c r="C102" s="19"/>
      <c r="D102" s="66"/>
      <c r="E102" s="66"/>
      <c r="F102" s="3"/>
      <c r="G102" s="3"/>
      <c r="H102" s="3"/>
      <c r="I102" s="3"/>
      <c r="J102" s="3"/>
      <c r="K102" s="3"/>
      <c r="L102" s="201"/>
      <c r="M102" s="2"/>
      <c r="N102" s="2"/>
      <c r="O102" s="2"/>
      <c r="P102" s="2"/>
    </row>
    <row r="103" spans="1:16" s="14" customFormat="1" ht="15.75" x14ac:dyDescent="0.25">
      <c r="A103" s="66"/>
      <c r="B103" s="66"/>
      <c r="C103" s="19"/>
      <c r="D103" s="66"/>
      <c r="E103" s="66"/>
      <c r="F103" s="3"/>
      <c r="G103" s="3"/>
      <c r="H103" s="3"/>
      <c r="I103" s="3"/>
      <c r="J103" s="3"/>
      <c r="K103" s="3"/>
      <c r="L103" s="201"/>
      <c r="M103" s="2"/>
      <c r="N103" s="2"/>
      <c r="O103" s="2"/>
      <c r="P103" s="2"/>
    </row>
    <row r="104" spans="1:16" s="14" customFormat="1" ht="15.75" x14ac:dyDescent="0.25">
      <c r="A104" s="66"/>
      <c r="B104" s="66"/>
      <c r="C104" s="19"/>
      <c r="D104" s="66"/>
      <c r="E104" s="66"/>
      <c r="F104" s="3"/>
      <c r="G104" s="3"/>
      <c r="H104" s="3"/>
      <c r="I104" s="3"/>
      <c r="J104" s="3"/>
      <c r="K104" s="3"/>
      <c r="L104" s="201"/>
      <c r="M104" s="2"/>
      <c r="N104" s="2"/>
      <c r="O104" s="2"/>
      <c r="P104" s="2"/>
    </row>
    <row r="105" spans="1:16" s="14" customFormat="1" ht="15.75" x14ac:dyDescent="0.25">
      <c r="A105" s="66"/>
      <c r="B105" s="66"/>
      <c r="C105" s="19"/>
      <c r="D105" s="66"/>
      <c r="E105" s="66"/>
      <c r="F105" s="3"/>
      <c r="G105" s="3"/>
      <c r="H105" s="3"/>
      <c r="I105" s="3"/>
      <c r="J105" s="3"/>
      <c r="K105" s="3"/>
      <c r="L105" s="201"/>
      <c r="M105" s="2"/>
      <c r="N105" s="2"/>
      <c r="O105" s="2"/>
      <c r="P105" s="2"/>
    </row>
    <row r="106" spans="1:16" s="14" customFormat="1" ht="15.75" x14ac:dyDescent="0.25">
      <c r="A106" s="66"/>
      <c r="B106" s="66"/>
      <c r="C106" s="19"/>
      <c r="D106" s="66"/>
      <c r="E106" s="66"/>
      <c r="F106" s="3"/>
      <c r="G106" s="3"/>
      <c r="H106" s="3"/>
      <c r="I106" s="3"/>
      <c r="J106" s="3"/>
      <c r="K106" s="3"/>
      <c r="L106" s="201"/>
      <c r="M106" s="2"/>
      <c r="N106" s="2"/>
      <c r="O106" s="2"/>
      <c r="P106" s="2"/>
    </row>
    <row r="107" spans="1:16" s="14" customFormat="1" ht="15.75" x14ac:dyDescent="0.25">
      <c r="A107" s="66"/>
      <c r="B107" s="66"/>
      <c r="C107" s="19"/>
      <c r="D107" s="66"/>
      <c r="E107" s="66"/>
      <c r="F107" s="3"/>
      <c r="G107" s="3"/>
      <c r="H107" s="3"/>
      <c r="I107" s="3"/>
      <c r="J107" s="3"/>
      <c r="K107" s="3"/>
      <c r="L107" s="201"/>
      <c r="M107" s="2"/>
      <c r="N107" s="2"/>
      <c r="O107" s="2"/>
      <c r="P107" s="2"/>
    </row>
    <row r="108" spans="1:16" s="14" customFormat="1" ht="15.75" x14ac:dyDescent="0.25">
      <c r="A108" s="66"/>
      <c r="B108" s="66"/>
      <c r="C108" s="19"/>
      <c r="D108" s="66"/>
      <c r="E108" s="66"/>
      <c r="F108" s="3"/>
      <c r="G108" s="3"/>
      <c r="H108" s="3"/>
      <c r="I108" s="3"/>
      <c r="J108" s="3"/>
      <c r="K108" s="3"/>
      <c r="L108" s="201"/>
      <c r="M108" s="2"/>
      <c r="N108" s="2"/>
      <c r="O108" s="2"/>
      <c r="P108" s="2"/>
    </row>
    <row r="109" spans="1:16" s="14" customFormat="1" ht="15.75" x14ac:dyDescent="0.25">
      <c r="A109" s="66"/>
      <c r="B109" s="66"/>
      <c r="C109" s="19"/>
      <c r="D109" s="66"/>
      <c r="E109" s="66"/>
      <c r="F109" s="3"/>
      <c r="G109" s="3"/>
      <c r="H109" s="3"/>
      <c r="I109" s="3"/>
      <c r="J109" s="3"/>
      <c r="K109" s="3"/>
      <c r="L109" s="201"/>
      <c r="M109" s="2"/>
      <c r="N109" s="2"/>
      <c r="O109" s="2"/>
      <c r="P109" s="2"/>
    </row>
    <row r="110" spans="1:16" s="14" customFormat="1" ht="15.75" x14ac:dyDescent="0.25">
      <c r="A110" s="66"/>
      <c r="B110" s="66"/>
      <c r="C110" s="19"/>
      <c r="D110" s="66"/>
      <c r="E110" s="66"/>
      <c r="F110" s="3"/>
      <c r="G110" s="3"/>
      <c r="H110" s="3"/>
      <c r="I110" s="3"/>
      <c r="J110" s="3"/>
      <c r="K110" s="3"/>
      <c r="L110" s="201"/>
      <c r="M110" s="2"/>
      <c r="N110" s="2"/>
      <c r="O110" s="2"/>
      <c r="P110" s="2"/>
    </row>
    <row r="111" spans="1:16" s="14" customFormat="1" ht="15.75" x14ac:dyDescent="0.25">
      <c r="A111" s="66"/>
      <c r="B111" s="66"/>
      <c r="C111" s="19"/>
      <c r="D111" s="66"/>
      <c r="E111" s="66"/>
      <c r="F111" s="3"/>
      <c r="G111" s="3"/>
      <c r="H111" s="3"/>
      <c r="I111" s="3"/>
      <c r="J111" s="3"/>
      <c r="K111" s="3"/>
      <c r="L111" s="201"/>
      <c r="M111" s="2"/>
      <c r="N111" s="2"/>
      <c r="O111" s="2"/>
      <c r="P111" s="2"/>
    </row>
    <row r="112" spans="1:16" s="14" customFormat="1" ht="15.75" x14ac:dyDescent="0.25">
      <c r="A112" s="66"/>
      <c r="B112" s="66"/>
      <c r="C112" s="19"/>
      <c r="D112" s="66"/>
      <c r="E112" s="66"/>
      <c r="F112" s="3"/>
      <c r="G112" s="3"/>
      <c r="H112" s="3"/>
      <c r="I112" s="3"/>
      <c r="J112" s="3"/>
      <c r="K112" s="3"/>
      <c r="L112" s="201"/>
      <c r="M112" s="2"/>
      <c r="N112" s="2"/>
      <c r="O112" s="2"/>
      <c r="P112" s="2"/>
    </row>
    <row r="113" spans="1:16" s="14" customFormat="1" ht="15.75" x14ac:dyDescent="0.25">
      <c r="A113" s="66"/>
      <c r="B113" s="66"/>
      <c r="C113" s="19"/>
      <c r="D113" s="66"/>
      <c r="E113" s="66"/>
      <c r="F113" s="3"/>
      <c r="G113" s="3"/>
      <c r="H113" s="3"/>
      <c r="I113" s="3"/>
      <c r="J113" s="3"/>
      <c r="K113" s="3"/>
      <c r="L113" s="201"/>
      <c r="M113" s="2"/>
      <c r="N113" s="2"/>
      <c r="O113" s="2"/>
      <c r="P113" s="2"/>
    </row>
    <row r="114" spans="1:16" s="14" customFormat="1" ht="15.75" x14ac:dyDescent="0.25">
      <c r="A114" s="66"/>
      <c r="B114" s="66"/>
      <c r="C114" s="19"/>
      <c r="D114" s="66"/>
      <c r="E114" s="66"/>
      <c r="F114" s="3"/>
      <c r="G114" s="3"/>
      <c r="H114" s="3"/>
      <c r="I114" s="3"/>
      <c r="J114" s="3"/>
      <c r="K114" s="3"/>
      <c r="L114" s="201"/>
      <c r="M114" s="2"/>
      <c r="N114" s="2"/>
      <c r="O114" s="2"/>
      <c r="P114" s="2"/>
    </row>
    <row r="115" spans="1:16" s="14" customFormat="1" ht="15.75" x14ac:dyDescent="0.25">
      <c r="A115" s="66"/>
      <c r="B115" s="66"/>
      <c r="C115" s="19"/>
      <c r="D115" s="66"/>
      <c r="E115" s="66"/>
      <c r="F115" s="3"/>
      <c r="G115" s="3"/>
      <c r="H115" s="3"/>
      <c r="I115" s="3"/>
      <c r="J115" s="3"/>
      <c r="K115" s="3"/>
      <c r="L115" s="201"/>
      <c r="M115" s="2"/>
      <c r="N115" s="2"/>
      <c r="O115" s="2"/>
      <c r="P115" s="2"/>
    </row>
    <row r="116" spans="1:16" s="14" customFormat="1" ht="15.75" x14ac:dyDescent="0.25">
      <c r="A116" s="66"/>
      <c r="B116" s="66"/>
      <c r="C116" s="19"/>
      <c r="D116" s="66"/>
      <c r="E116" s="66"/>
      <c r="F116" s="3"/>
      <c r="G116" s="3"/>
      <c r="H116" s="3"/>
      <c r="I116" s="3"/>
      <c r="J116" s="3"/>
      <c r="K116" s="3"/>
      <c r="L116" s="201"/>
      <c r="M116" s="2"/>
      <c r="N116" s="2"/>
      <c r="O116" s="2"/>
      <c r="P116" s="2"/>
    </row>
    <row r="117" spans="1:16" s="14" customFormat="1" ht="15.75" x14ac:dyDescent="0.25">
      <c r="A117" s="66"/>
      <c r="B117" s="66"/>
      <c r="C117" s="19"/>
      <c r="D117" s="66"/>
      <c r="E117" s="66"/>
      <c r="F117" s="3"/>
      <c r="G117" s="3"/>
      <c r="H117" s="3"/>
      <c r="I117" s="3"/>
      <c r="J117" s="3"/>
      <c r="K117" s="3"/>
      <c r="L117" s="201"/>
      <c r="M117" s="2"/>
      <c r="N117" s="2"/>
      <c r="O117" s="2"/>
      <c r="P117" s="2"/>
    </row>
    <row r="118" spans="1:16" s="14" customFormat="1" ht="15.75" x14ac:dyDescent="0.25">
      <c r="A118" s="66"/>
      <c r="B118" s="66"/>
      <c r="C118" s="19"/>
      <c r="D118" s="66"/>
      <c r="E118" s="66"/>
      <c r="F118" s="3"/>
      <c r="G118" s="3"/>
      <c r="H118" s="3"/>
      <c r="I118" s="3"/>
      <c r="J118" s="3"/>
      <c r="K118" s="3"/>
      <c r="L118" s="201"/>
      <c r="M118" s="2"/>
      <c r="N118" s="2"/>
      <c r="O118" s="2"/>
      <c r="P118" s="2"/>
    </row>
    <row r="119" spans="1:16" s="14" customFormat="1" ht="15.75" x14ac:dyDescent="0.25">
      <c r="A119" s="66"/>
      <c r="B119" s="66"/>
      <c r="C119" s="19"/>
      <c r="D119" s="66"/>
      <c r="E119" s="66"/>
      <c r="F119" s="3"/>
      <c r="G119" s="3"/>
      <c r="H119" s="3"/>
      <c r="I119" s="3"/>
      <c r="J119" s="3"/>
      <c r="K119" s="3"/>
      <c r="L119" s="201"/>
      <c r="M119" s="2"/>
      <c r="N119" s="2"/>
      <c r="O119" s="2"/>
      <c r="P119" s="2"/>
    </row>
    <row r="120" spans="1:16" s="14" customFormat="1" ht="15.75" x14ac:dyDescent="0.25">
      <c r="A120" s="66"/>
      <c r="B120" s="66"/>
      <c r="C120" s="19"/>
      <c r="D120" s="66"/>
      <c r="E120" s="66"/>
      <c r="F120" s="3"/>
      <c r="G120" s="3"/>
      <c r="H120" s="3"/>
      <c r="I120" s="3"/>
      <c r="J120" s="3"/>
      <c r="K120" s="3"/>
      <c r="L120" s="201"/>
      <c r="M120" s="2"/>
      <c r="N120" s="2"/>
      <c r="O120" s="2"/>
      <c r="P120" s="2"/>
    </row>
    <row r="121" spans="1:16" s="14" customFormat="1" ht="15.75" x14ac:dyDescent="0.25">
      <c r="A121" s="66"/>
      <c r="B121" s="66"/>
      <c r="C121" s="19"/>
      <c r="D121" s="66"/>
      <c r="E121" s="66"/>
      <c r="F121" s="3"/>
      <c r="G121" s="3"/>
      <c r="H121" s="3"/>
      <c r="I121" s="3"/>
      <c r="J121" s="3"/>
      <c r="K121" s="3"/>
      <c r="L121" s="201"/>
      <c r="M121" s="2"/>
      <c r="N121" s="2"/>
      <c r="O121" s="2"/>
      <c r="P121" s="2"/>
    </row>
    <row r="122" spans="1:16" s="14" customFormat="1" ht="15.75" x14ac:dyDescent="0.25">
      <c r="A122" s="66"/>
      <c r="B122" s="66"/>
      <c r="C122" s="19"/>
      <c r="D122" s="66"/>
      <c r="E122" s="66"/>
      <c r="F122" s="3"/>
      <c r="G122" s="3"/>
      <c r="H122" s="3"/>
      <c r="I122" s="3"/>
      <c r="J122" s="3"/>
      <c r="K122" s="3"/>
      <c r="L122" s="201"/>
      <c r="M122" s="2"/>
      <c r="N122" s="2"/>
      <c r="O122" s="2"/>
      <c r="P122" s="2"/>
    </row>
    <row r="123" spans="1:16" s="14" customFormat="1" ht="15.75" x14ac:dyDescent="0.25">
      <c r="A123" s="66"/>
      <c r="B123" s="66"/>
      <c r="C123" s="19"/>
      <c r="D123" s="66"/>
      <c r="E123" s="66"/>
      <c r="F123" s="3"/>
      <c r="G123" s="3"/>
      <c r="H123" s="3"/>
      <c r="I123" s="3"/>
      <c r="J123" s="3"/>
      <c r="K123" s="3"/>
      <c r="L123" s="201"/>
      <c r="M123" s="2"/>
      <c r="N123" s="2"/>
      <c r="O123" s="2"/>
      <c r="P123" s="2"/>
    </row>
    <row r="124" spans="1:16" s="14" customFormat="1" ht="15.75" x14ac:dyDescent="0.25">
      <c r="A124" s="66"/>
      <c r="B124" s="66"/>
      <c r="C124" s="19"/>
      <c r="D124" s="66"/>
      <c r="E124" s="66"/>
      <c r="F124" s="3"/>
      <c r="G124" s="3"/>
      <c r="H124" s="3"/>
      <c r="I124" s="3"/>
      <c r="J124" s="3"/>
      <c r="K124" s="3"/>
      <c r="L124" s="201"/>
      <c r="M124" s="2"/>
      <c r="N124" s="2"/>
      <c r="O124" s="2"/>
      <c r="P124" s="2"/>
    </row>
    <row r="125" spans="1:16" s="14" customFormat="1" ht="15.75" x14ac:dyDescent="0.25">
      <c r="A125" s="66"/>
      <c r="B125" s="66"/>
      <c r="C125" s="19"/>
      <c r="D125" s="66"/>
      <c r="E125" s="66"/>
      <c r="F125" s="3"/>
      <c r="G125" s="3"/>
      <c r="H125" s="3"/>
      <c r="I125" s="3"/>
      <c r="J125" s="3"/>
      <c r="K125" s="3"/>
      <c r="L125" s="201"/>
      <c r="M125" s="2"/>
      <c r="N125" s="2"/>
      <c r="O125" s="2"/>
      <c r="P125" s="2"/>
    </row>
    <row r="126" spans="1:16" s="14" customFormat="1" ht="15.75" x14ac:dyDescent="0.25">
      <c r="A126" s="66"/>
      <c r="B126" s="66"/>
      <c r="C126" s="19"/>
      <c r="D126" s="66"/>
      <c r="E126" s="66"/>
      <c r="F126" s="3"/>
      <c r="G126" s="3"/>
      <c r="H126" s="3"/>
      <c r="I126" s="3"/>
      <c r="J126" s="3"/>
      <c r="K126" s="3"/>
      <c r="L126" s="201"/>
      <c r="M126" s="2"/>
      <c r="N126" s="2"/>
      <c r="O126" s="2"/>
      <c r="P126" s="2"/>
    </row>
    <row r="127" spans="1:16" s="14" customFormat="1" ht="15.75" x14ac:dyDescent="0.25">
      <c r="A127" s="66"/>
      <c r="B127" s="66"/>
      <c r="C127" s="19"/>
      <c r="D127" s="66"/>
      <c r="E127" s="66"/>
      <c r="F127" s="3"/>
      <c r="G127" s="3"/>
      <c r="H127" s="3"/>
      <c r="I127" s="3"/>
      <c r="J127" s="3"/>
      <c r="K127" s="3"/>
      <c r="L127" s="201"/>
      <c r="M127" s="2"/>
      <c r="N127" s="2"/>
      <c r="O127" s="2"/>
      <c r="P127" s="2"/>
    </row>
    <row r="128" spans="1:16" s="14" customFormat="1" ht="15.75" x14ac:dyDescent="0.25">
      <c r="A128" s="66"/>
      <c r="B128" s="66"/>
      <c r="C128" s="19"/>
      <c r="D128" s="66"/>
      <c r="E128" s="66"/>
      <c r="F128" s="3"/>
      <c r="G128" s="3"/>
      <c r="H128" s="3"/>
      <c r="I128" s="3"/>
      <c r="J128" s="3"/>
      <c r="K128" s="3"/>
      <c r="L128" s="201"/>
      <c r="M128" s="2"/>
      <c r="N128" s="2"/>
      <c r="O128" s="2"/>
      <c r="P128" s="2"/>
    </row>
    <row r="129" spans="1:16" s="14" customFormat="1" ht="15.75" x14ac:dyDescent="0.25">
      <c r="A129" s="66"/>
      <c r="B129" s="66"/>
      <c r="C129" s="19"/>
      <c r="D129" s="66"/>
      <c r="E129" s="66"/>
      <c r="F129" s="3"/>
      <c r="G129" s="3"/>
      <c r="H129" s="3"/>
      <c r="I129" s="3"/>
      <c r="J129" s="3"/>
      <c r="K129" s="3"/>
      <c r="L129" s="201"/>
      <c r="M129" s="2"/>
      <c r="N129" s="2"/>
      <c r="O129" s="2"/>
      <c r="P129" s="2"/>
    </row>
    <row r="130" spans="1:16" s="14" customFormat="1" ht="15.75" x14ac:dyDescent="0.25">
      <c r="A130" s="66"/>
      <c r="B130" s="66"/>
      <c r="C130" s="19"/>
      <c r="D130" s="66"/>
      <c r="E130" s="66"/>
      <c r="F130" s="3"/>
      <c r="G130" s="3"/>
      <c r="H130" s="3"/>
      <c r="I130" s="3"/>
      <c r="J130" s="3"/>
      <c r="K130" s="3"/>
      <c r="L130" s="201"/>
      <c r="M130" s="2"/>
      <c r="N130" s="2"/>
      <c r="O130" s="2"/>
      <c r="P130" s="2"/>
    </row>
    <row r="131" spans="1:16" s="14" customFormat="1" ht="15.75" x14ac:dyDescent="0.25">
      <c r="A131" s="66"/>
      <c r="B131" s="66"/>
      <c r="C131" s="19"/>
      <c r="D131" s="66"/>
      <c r="E131" s="66"/>
      <c r="F131" s="3"/>
      <c r="G131" s="3"/>
      <c r="H131" s="3"/>
      <c r="I131" s="3"/>
      <c r="J131" s="3"/>
      <c r="K131" s="3"/>
      <c r="L131" s="201"/>
      <c r="M131" s="2"/>
      <c r="N131" s="2"/>
      <c r="O131" s="2"/>
      <c r="P131" s="2"/>
    </row>
    <row r="132" spans="1:16" s="14" customFormat="1" ht="15.75" x14ac:dyDescent="0.25">
      <c r="A132" s="66"/>
      <c r="B132" s="66"/>
      <c r="C132" s="19"/>
      <c r="D132" s="66"/>
      <c r="E132" s="66"/>
      <c r="F132" s="3"/>
      <c r="G132" s="3"/>
      <c r="H132" s="3"/>
      <c r="I132" s="3"/>
      <c r="J132" s="3"/>
      <c r="K132" s="3"/>
      <c r="L132" s="201"/>
      <c r="M132" s="2"/>
      <c r="N132" s="2"/>
      <c r="O132" s="2"/>
      <c r="P132" s="2"/>
    </row>
    <row r="133" spans="1:16" s="14" customFormat="1" ht="15.75" x14ac:dyDescent="0.25">
      <c r="A133" s="66"/>
      <c r="B133" s="66"/>
      <c r="C133" s="19"/>
      <c r="D133" s="66"/>
      <c r="E133" s="66"/>
      <c r="F133" s="3"/>
      <c r="G133" s="3"/>
      <c r="H133" s="3"/>
      <c r="I133" s="3"/>
      <c r="J133" s="3"/>
      <c r="K133" s="3"/>
      <c r="L133" s="201"/>
      <c r="M133" s="2"/>
      <c r="N133" s="2"/>
      <c r="O133" s="2"/>
      <c r="P133" s="2"/>
    </row>
    <row r="134" spans="1:16" s="14" customFormat="1" ht="15.75" x14ac:dyDescent="0.25">
      <c r="A134" s="66"/>
      <c r="B134" s="66"/>
      <c r="C134" s="19"/>
      <c r="D134" s="66"/>
      <c r="E134" s="66"/>
      <c r="F134" s="3"/>
      <c r="G134" s="3"/>
      <c r="H134" s="3"/>
      <c r="I134" s="3"/>
      <c r="J134" s="3"/>
      <c r="K134" s="3"/>
      <c r="L134" s="201"/>
      <c r="M134" s="2"/>
      <c r="N134" s="2"/>
      <c r="O134" s="2"/>
      <c r="P134" s="2"/>
    </row>
    <row r="135" spans="1:16" s="14" customFormat="1" ht="15.75" x14ac:dyDescent="0.25">
      <c r="A135" s="66"/>
      <c r="B135" s="66"/>
      <c r="C135" s="19"/>
      <c r="D135" s="66"/>
      <c r="E135" s="66"/>
      <c r="F135" s="3"/>
      <c r="G135" s="3"/>
      <c r="H135" s="3"/>
      <c r="I135" s="3"/>
      <c r="J135" s="3"/>
      <c r="K135" s="3"/>
      <c r="L135" s="201"/>
      <c r="M135" s="2"/>
      <c r="N135" s="2"/>
      <c r="O135" s="2"/>
      <c r="P135" s="2"/>
    </row>
    <row r="136" spans="1:16" s="14" customFormat="1" ht="15.75" x14ac:dyDescent="0.25">
      <c r="A136" s="66"/>
      <c r="B136" s="66"/>
      <c r="C136" s="19"/>
      <c r="D136" s="66"/>
      <c r="E136" s="66"/>
      <c r="F136" s="3"/>
      <c r="G136" s="3"/>
      <c r="H136" s="3"/>
      <c r="I136" s="3"/>
      <c r="J136" s="3"/>
      <c r="K136" s="3"/>
      <c r="L136" s="201"/>
      <c r="M136" s="2"/>
      <c r="N136" s="2"/>
      <c r="O136" s="2"/>
      <c r="P136" s="2"/>
    </row>
    <row r="137" spans="1:16" s="14" customFormat="1" ht="15.75" x14ac:dyDescent="0.25">
      <c r="A137" s="66"/>
      <c r="B137" s="66"/>
      <c r="C137" s="19"/>
      <c r="D137" s="66"/>
      <c r="E137" s="66"/>
      <c r="F137" s="3"/>
      <c r="G137" s="3"/>
      <c r="H137" s="3"/>
      <c r="I137" s="3"/>
      <c r="J137" s="3"/>
      <c r="K137" s="3"/>
      <c r="L137" s="201"/>
      <c r="M137" s="2"/>
      <c r="N137" s="2"/>
      <c r="O137" s="2"/>
      <c r="P137" s="2"/>
    </row>
    <row r="138" spans="1:16" s="14" customFormat="1" ht="15.75" x14ac:dyDescent="0.25">
      <c r="A138" s="66"/>
      <c r="B138" s="66"/>
      <c r="C138" s="19"/>
      <c r="D138" s="66"/>
      <c r="E138" s="66"/>
      <c r="F138" s="3"/>
      <c r="G138" s="3"/>
      <c r="H138" s="3"/>
      <c r="I138" s="3"/>
      <c r="J138" s="3"/>
      <c r="K138" s="3"/>
      <c r="L138" s="201"/>
      <c r="M138" s="2"/>
      <c r="N138" s="2"/>
      <c r="O138" s="2"/>
      <c r="P138" s="2"/>
    </row>
    <row r="139" spans="1:16" s="14" customFormat="1" ht="15.75" x14ac:dyDescent="0.25">
      <c r="A139" s="66"/>
      <c r="B139" s="66"/>
      <c r="C139" s="19"/>
      <c r="D139" s="66"/>
      <c r="E139" s="66"/>
      <c r="F139" s="3"/>
      <c r="G139" s="3"/>
      <c r="H139" s="3"/>
      <c r="I139" s="3"/>
      <c r="J139" s="3"/>
      <c r="K139" s="3"/>
      <c r="L139" s="201"/>
      <c r="M139" s="2"/>
      <c r="N139" s="2"/>
      <c r="O139" s="2"/>
      <c r="P139" s="2"/>
    </row>
    <row r="140" spans="1:16" s="14" customFormat="1" ht="15.75" x14ac:dyDescent="0.25">
      <c r="A140" s="66"/>
      <c r="B140" s="66"/>
      <c r="C140" s="19"/>
      <c r="D140" s="66"/>
      <c r="E140" s="66"/>
      <c r="F140" s="3"/>
      <c r="G140" s="3"/>
      <c r="H140" s="3"/>
      <c r="I140" s="3"/>
      <c r="J140" s="3"/>
      <c r="K140" s="3"/>
      <c r="L140" s="201"/>
      <c r="M140" s="2"/>
      <c r="N140" s="2"/>
      <c r="O140" s="2"/>
      <c r="P140" s="2"/>
    </row>
    <row r="141" spans="1:16" s="14" customFormat="1" ht="15.75" x14ac:dyDescent="0.25">
      <c r="A141" s="66"/>
      <c r="B141" s="66"/>
      <c r="C141" s="19"/>
      <c r="D141" s="66"/>
      <c r="E141" s="66"/>
      <c r="F141" s="3"/>
      <c r="G141" s="3"/>
      <c r="H141" s="3"/>
      <c r="I141" s="3"/>
      <c r="J141" s="3"/>
      <c r="K141" s="3"/>
      <c r="L141" s="201"/>
      <c r="M141" s="2"/>
      <c r="N141" s="2"/>
      <c r="O141" s="2"/>
      <c r="P141" s="2"/>
    </row>
    <row r="142" spans="1:16" s="14" customFormat="1" ht="15.75" x14ac:dyDescent="0.25">
      <c r="A142" s="66"/>
      <c r="B142" s="66"/>
      <c r="C142" s="19"/>
      <c r="D142" s="66"/>
      <c r="E142" s="66"/>
      <c r="F142" s="3"/>
      <c r="G142" s="3"/>
      <c r="H142" s="3"/>
      <c r="I142" s="3"/>
      <c r="J142" s="3"/>
      <c r="K142" s="3"/>
      <c r="L142" s="201"/>
      <c r="M142" s="2"/>
      <c r="N142" s="2"/>
      <c r="O142" s="2"/>
      <c r="P142" s="2"/>
    </row>
    <row r="143" spans="1:16" s="14" customFormat="1" ht="15.75" x14ac:dyDescent="0.25">
      <c r="A143" s="66"/>
      <c r="B143" s="66"/>
      <c r="C143" s="19"/>
      <c r="D143" s="66"/>
      <c r="E143" s="66"/>
      <c r="F143" s="3"/>
      <c r="G143" s="3"/>
      <c r="H143" s="3"/>
      <c r="I143" s="3"/>
      <c r="J143" s="3"/>
      <c r="K143" s="3"/>
      <c r="L143" s="201"/>
      <c r="M143" s="2"/>
      <c r="N143" s="2"/>
      <c r="O143" s="2"/>
      <c r="P143" s="2"/>
    </row>
    <row r="144" spans="1:16" s="14" customFormat="1" ht="15.75" x14ac:dyDescent="0.25">
      <c r="A144" s="66"/>
      <c r="B144" s="66"/>
      <c r="C144" s="19"/>
      <c r="D144" s="66"/>
      <c r="E144" s="66"/>
      <c r="F144" s="3"/>
      <c r="G144" s="3"/>
      <c r="H144" s="3"/>
      <c r="I144" s="3"/>
      <c r="J144" s="3"/>
      <c r="K144" s="3"/>
      <c r="L144" s="201"/>
      <c r="M144" s="2"/>
      <c r="N144" s="2"/>
      <c r="O144" s="2"/>
      <c r="P144" s="2"/>
    </row>
    <row r="145" spans="1:16" s="14" customFormat="1" ht="15.75" x14ac:dyDescent="0.25">
      <c r="A145" s="66"/>
      <c r="B145" s="66"/>
      <c r="C145" s="19"/>
      <c r="D145" s="66"/>
      <c r="E145" s="66"/>
      <c r="F145" s="3"/>
      <c r="G145" s="3"/>
      <c r="H145" s="3"/>
      <c r="I145" s="3"/>
      <c r="J145" s="3"/>
      <c r="K145" s="3"/>
      <c r="L145" s="201"/>
      <c r="M145" s="2"/>
      <c r="N145" s="2"/>
      <c r="O145" s="2"/>
      <c r="P145" s="2"/>
    </row>
    <row r="146" spans="1:16" s="14" customFormat="1" ht="15.75" x14ac:dyDescent="0.25">
      <c r="A146" s="66"/>
      <c r="B146" s="66"/>
      <c r="C146" s="19"/>
      <c r="D146" s="66"/>
      <c r="E146" s="66"/>
      <c r="F146" s="3"/>
      <c r="G146" s="3"/>
      <c r="H146" s="3"/>
      <c r="I146" s="3"/>
      <c r="J146" s="3"/>
      <c r="K146" s="3"/>
      <c r="L146" s="201"/>
      <c r="M146" s="2"/>
      <c r="N146" s="2"/>
      <c r="O146" s="2"/>
      <c r="P146" s="2"/>
    </row>
    <row r="147" spans="1:16" s="14" customFormat="1" ht="15.75" x14ac:dyDescent="0.25">
      <c r="A147" s="66"/>
      <c r="B147" s="66"/>
      <c r="C147" s="19"/>
      <c r="D147" s="66"/>
      <c r="E147" s="66"/>
      <c r="F147" s="3"/>
      <c r="G147" s="3"/>
      <c r="H147" s="3"/>
      <c r="I147" s="3"/>
      <c r="J147" s="3"/>
      <c r="K147" s="3"/>
      <c r="L147" s="201"/>
      <c r="M147" s="2"/>
      <c r="N147" s="2"/>
      <c r="O147" s="2"/>
      <c r="P147" s="2"/>
    </row>
    <row r="148" spans="1:16" s="14" customFormat="1" ht="15.75" x14ac:dyDescent="0.25">
      <c r="A148" s="66"/>
      <c r="B148" s="66"/>
      <c r="C148" s="19"/>
      <c r="D148" s="66"/>
      <c r="E148" s="66"/>
      <c r="F148" s="3"/>
      <c r="G148" s="3"/>
      <c r="H148" s="3"/>
      <c r="I148" s="3"/>
      <c r="J148" s="3"/>
      <c r="K148" s="3"/>
      <c r="L148" s="201"/>
      <c r="M148" s="2"/>
      <c r="N148" s="2"/>
      <c r="O148" s="2"/>
      <c r="P148" s="2"/>
    </row>
    <row r="149" spans="1:16" s="14" customFormat="1" ht="15.75" x14ac:dyDescent="0.25">
      <c r="A149" s="66"/>
      <c r="B149" s="66"/>
      <c r="C149" s="19"/>
      <c r="D149" s="66"/>
      <c r="E149" s="66"/>
      <c r="F149" s="3"/>
      <c r="G149" s="3"/>
      <c r="H149" s="3"/>
      <c r="I149" s="3"/>
      <c r="J149" s="3"/>
      <c r="K149" s="3"/>
      <c r="L149" s="201"/>
      <c r="M149" s="2"/>
      <c r="N149" s="2"/>
      <c r="O149" s="2"/>
      <c r="P149" s="2"/>
    </row>
    <row r="150" spans="1:16" s="14" customFormat="1" ht="15.75" x14ac:dyDescent="0.25">
      <c r="A150" s="66"/>
      <c r="B150" s="66"/>
      <c r="C150" s="19"/>
      <c r="D150" s="66"/>
      <c r="E150" s="66"/>
      <c r="F150" s="3"/>
      <c r="G150" s="3"/>
      <c r="H150" s="3"/>
      <c r="I150" s="3"/>
      <c r="J150" s="3"/>
      <c r="K150" s="3"/>
      <c r="L150" s="201"/>
      <c r="M150" s="2"/>
      <c r="N150" s="2"/>
      <c r="O150" s="2"/>
      <c r="P150" s="2"/>
    </row>
    <row r="151" spans="1:16" s="14" customFormat="1" ht="15.75" x14ac:dyDescent="0.25">
      <c r="A151" s="66"/>
      <c r="B151" s="66"/>
      <c r="C151" s="19"/>
      <c r="D151" s="66"/>
      <c r="E151" s="66"/>
      <c r="F151" s="3"/>
      <c r="G151" s="3"/>
      <c r="H151" s="3"/>
      <c r="I151" s="3"/>
      <c r="J151" s="3"/>
      <c r="K151" s="3"/>
      <c r="L151" s="201"/>
      <c r="M151" s="2"/>
      <c r="N151" s="2"/>
      <c r="O151" s="2"/>
      <c r="P151" s="2"/>
    </row>
    <row r="152" spans="1:16" s="14" customFormat="1" ht="15.75" x14ac:dyDescent="0.25">
      <c r="A152" s="66"/>
      <c r="B152" s="66"/>
      <c r="C152" s="19"/>
      <c r="D152" s="66"/>
      <c r="E152" s="66"/>
      <c r="F152" s="3"/>
      <c r="G152" s="3"/>
      <c r="H152" s="3"/>
      <c r="I152" s="3"/>
      <c r="J152" s="3"/>
      <c r="K152" s="3"/>
      <c r="L152" s="201"/>
      <c r="M152" s="2"/>
      <c r="N152" s="2"/>
      <c r="O152" s="2"/>
      <c r="P152" s="2"/>
    </row>
    <row r="153" spans="1:16" s="14" customFormat="1" ht="15.75" x14ac:dyDescent="0.25">
      <c r="A153" s="66"/>
      <c r="B153" s="66"/>
      <c r="C153" s="19"/>
      <c r="D153" s="66"/>
      <c r="E153" s="66"/>
      <c r="F153" s="3"/>
      <c r="G153" s="3"/>
      <c r="H153" s="3"/>
      <c r="I153" s="3"/>
      <c r="J153" s="3"/>
      <c r="K153" s="3"/>
      <c r="L153" s="201"/>
      <c r="M153" s="2"/>
      <c r="N153" s="2"/>
      <c r="O153" s="2"/>
      <c r="P153" s="2"/>
    </row>
    <row r="154" spans="1:16" s="14" customFormat="1" ht="15.75" x14ac:dyDescent="0.25">
      <c r="A154" s="66"/>
      <c r="B154" s="66"/>
      <c r="C154" s="19"/>
      <c r="D154" s="66"/>
      <c r="E154" s="66"/>
      <c r="F154" s="3"/>
      <c r="G154" s="3"/>
      <c r="H154" s="3"/>
      <c r="I154" s="3"/>
      <c r="J154" s="3"/>
      <c r="K154" s="3"/>
      <c r="L154" s="201"/>
      <c r="M154" s="2"/>
      <c r="N154" s="2"/>
      <c r="O154" s="2"/>
      <c r="P154" s="2"/>
    </row>
    <row r="155" spans="1:16" s="14" customFormat="1" ht="15.75" x14ac:dyDescent="0.25">
      <c r="A155" s="66"/>
      <c r="B155" s="66"/>
      <c r="C155" s="19"/>
      <c r="D155" s="66"/>
      <c r="E155" s="66"/>
      <c r="F155" s="3"/>
      <c r="G155" s="3"/>
      <c r="H155" s="3"/>
      <c r="I155" s="3"/>
      <c r="J155" s="3"/>
      <c r="K155" s="3"/>
      <c r="L155" s="201"/>
      <c r="M155" s="2"/>
      <c r="N155" s="2"/>
      <c r="O155" s="2"/>
      <c r="P155" s="2"/>
    </row>
    <row r="156" spans="1:16" s="14" customFormat="1" ht="15.75" x14ac:dyDescent="0.25">
      <c r="A156" s="66"/>
      <c r="B156" s="66"/>
      <c r="C156" s="19"/>
      <c r="D156" s="66"/>
      <c r="E156" s="66"/>
      <c r="F156" s="3"/>
      <c r="G156" s="3"/>
      <c r="H156" s="3"/>
      <c r="I156" s="3"/>
      <c r="J156" s="3"/>
      <c r="K156" s="3"/>
      <c r="L156" s="201"/>
      <c r="M156" s="2"/>
      <c r="N156" s="2"/>
      <c r="O156" s="2"/>
      <c r="P156" s="2"/>
    </row>
    <row r="157" spans="1:16" s="14" customFormat="1" ht="15.75" x14ac:dyDescent="0.25">
      <c r="A157" s="66"/>
      <c r="B157" s="66"/>
      <c r="C157" s="19"/>
      <c r="D157" s="66"/>
      <c r="E157" s="66"/>
      <c r="F157" s="3"/>
      <c r="G157" s="3"/>
      <c r="H157" s="3"/>
      <c r="I157" s="3"/>
      <c r="J157" s="3"/>
      <c r="K157" s="3"/>
      <c r="L157" s="201"/>
      <c r="M157" s="2"/>
      <c r="N157" s="2"/>
      <c r="O157" s="2"/>
      <c r="P157" s="2"/>
    </row>
    <row r="158" spans="1:16" s="14" customFormat="1" ht="15.75" x14ac:dyDescent="0.25">
      <c r="A158" s="66"/>
      <c r="B158" s="66"/>
      <c r="C158" s="19"/>
      <c r="D158" s="66"/>
      <c r="E158" s="66"/>
      <c r="F158" s="3"/>
      <c r="G158" s="3"/>
      <c r="H158" s="3"/>
      <c r="I158" s="3"/>
      <c r="J158" s="3"/>
      <c r="K158" s="3"/>
      <c r="L158" s="201"/>
      <c r="M158" s="2"/>
      <c r="N158" s="2"/>
      <c r="O158" s="2"/>
      <c r="P158" s="2"/>
    </row>
    <row r="159" spans="1:16" s="14" customFormat="1" ht="15.75" x14ac:dyDescent="0.25">
      <c r="A159" s="66"/>
      <c r="B159" s="66"/>
      <c r="C159" s="19"/>
      <c r="D159" s="66"/>
      <c r="E159" s="66"/>
      <c r="F159" s="3"/>
      <c r="G159" s="3"/>
      <c r="H159" s="3"/>
      <c r="I159" s="3"/>
      <c r="J159" s="3"/>
      <c r="K159" s="3"/>
      <c r="L159" s="201"/>
      <c r="M159" s="2"/>
      <c r="N159" s="2"/>
      <c r="O159" s="2"/>
      <c r="P159" s="2"/>
    </row>
    <row r="160" spans="1:16" s="14" customFormat="1" ht="15.75" x14ac:dyDescent="0.25">
      <c r="A160" s="66"/>
      <c r="B160" s="66"/>
      <c r="C160" s="19"/>
      <c r="D160" s="66"/>
      <c r="E160" s="66"/>
      <c r="F160" s="3"/>
      <c r="G160" s="3"/>
      <c r="H160" s="3"/>
      <c r="I160" s="3"/>
      <c r="J160" s="3"/>
      <c r="K160" s="3"/>
      <c r="L160" s="201"/>
      <c r="M160" s="2"/>
      <c r="N160" s="2"/>
      <c r="O160" s="2"/>
      <c r="P160" s="2"/>
    </row>
    <row r="161" spans="1:16" s="14" customFormat="1" ht="15.75" x14ac:dyDescent="0.25">
      <c r="A161" s="66"/>
      <c r="B161" s="66"/>
      <c r="C161" s="19"/>
      <c r="D161" s="66"/>
      <c r="E161" s="66"/>
      <c r="F161" s="3"/>
      <c r="G161" s="3"/>
      <c r="H161" s="3"/>
      <c r="I161" s="3"/>
      <c r="J161" s="3"/>
      <c r="K161" s="3"/>
      <c r="L161" s="201"/>
      <c r="M161" s="2"/>
      <c r="N161" s="2"/>
      <c r="O161" s="2"/>
      <c r="P161" s="2"/>
    </row>
    <row r="162" spans="1:16" s="14" customFormat="1" ht="15.75" x14ac:dyDescent="0.25">
      <c r="A162" s="66"/>
      <c r="B162" s="66"/>
      <c r="C162" s="19"/>
      <c r="D162" s="66"/>
      <c r="E162" s="66"/>
      <c r="F162" s="3"/>
      <c r="G162" s="3"/>
      <c r="H162" s="3"/>
      <c r="I162" s="3"/>
      <c r="J162" s="3"/>
      <c r="K162" s="3"/>
      <c r="L162" s="201"/>
      <c r="M162" s="2"/>
      <c r="N162" s="2"/>
      <c r="O162" s="2"/>
      <c r="P162" s="2"/>
    </row>
    <row r="163" spans="1:16" s="14" customFormat="1" ht="15.75" x14ac:dyDescent="0.25">
      <c r="A163" s="66"/>
      <c r="B163" s="66"/>
      <c r="C163" s="19"/>
      <c r="D163" s="66"/>
      <c r="E163" s="66"/>
      <c r="F163" s="3"/>
      <c r="G163" s="3"/>
      <c r="H163" s="3"/>
      <c r="I163" s="3"/>
      <c r="J163" s="3"/>
      <c r="K163" s="3"/>
      <c r="L163" s="201"/>
      <c r="M163" s="2"/>
      <c r="N163" s="2"/>
      <c r="O163" s="2"/>
      <c r="P163" s="2"/>
    </row>
    <row r="164" spans="1:16" s="14" customFormat="1" ht="15.75" x14ac:dyDescent="0.25">
      <c r="A164" s="66"/>
      <c r="B164" s="66"/>
      <c r="C164" s="19"/>
      <c r="D164" s="66"/>
      <c r="E164" s="66"/>
      <c r="F164" s="3"/>
      <c r="G164" s="3"/>
      <c r="H164" s="3"/>
      <c r="I164" s="3"/>
      <c r="J164" s="3"/>
      <c r="K164" s="3"/>
      <c r="L164" s="201"/>
      <c r="M164" s="2"/>
      <c r="N164" s="2"/>
      <c r="O164" s="2"/>
      <c r="P164" s="2"/>
    </row>
    <row r="165" spans="1:16" s="14" customFormat="1" ht="15.75" x14ac:dyDescent="0.25">
      <c r="A165" s="66"/>
      <c r="B165" s="66"/>
      <c r="C165" s="19"/>
      <c r="D165" s="66"/>
      <c r="E165" s="66"/>
      <c r="F165" s="3"/>
      <c r="G165" s="3"/>
      <c r="H165" s="3"/>
      <c r="I165" s="3"/>
      <c r="J165" s="3"/>
      <c r="K165" s="3"/>
      <c r="L165" s="201"/>
      <c r="M165" s="2"/>
      <c r="N165" s="2"/>
      <c r="O165" s="2"/>
      <c r="P165" s="2"/>
    </row>
    <row r="166" spans="1:16" s="14" customFormat="1" ht="15.75" x14ac:dyDescent="0.25">
      <c r="A166" s="66"/>
      <c r="B166" s="66"/>
      <c r="C166" s="19"/>
      <c r="D166" s="66"/>
      <c r="E166" s="66"/>
      <c r="F166" s="3"/>
      <c r="G166" s="3"/>
      <c r="H166" s="3"/>
      <c r="I166" s="3"/>
      <c r="J166" s="3"/>
      <c r="K166" s="3"/>
      <c r="L166" s="201"/>
      <c r="M166" s="2"/>
      <c r="N166" s="2"/>
      <c r="O166" s="2"/>
      <c r="P166" s="2"/>
    </row>
    <row r="167" spans="1:16" s="14" customFormat="1" ht="15.75" x14ac:dyDescent="0.25">
      <c r="A167" s="66"/>
      <c r="B167" s="66"/>
      <c r="C167" s="19"/>
      <c r="D167" s="66"/>
      <c r="E167" s="66"/>
      <c r="F167" s="3"/>
      <c r="G167" s="3"/>
      <c r="H167" s="3"/>
      <c r="I167" s="3"/>
      <c r="J167" s="3"/>
      <c r="K167" s="3"/>
      <c r="L167" s="201"/>
      <c r="M167" s="2"/>
      <c r="N167" s="2"/>
      <c r="O167" s="2"/>
      <c r="P167" s="2"/>
    </row>
    <row r="168" spans="1:16" s="14" customFormat="1" ht="15.75" x14ac:dyDescent="0.25">
      <c r="A168" s="66"/>
      <c r="B168" s="66"/>
      <c r="C168" s="19"/>
      <c r="D168" s="66"/>
      <c r="E168" s="66"/>
      <c r="F168" s="3"/>
      <c r="G168" s="3"/>
      <c r="H168" s="3"/>
      <c r="I168" s="3"/>
      <c r="J168" s="3"/>
      <c r="K168" s="3"/>
      <c r="L168" s="201"/>
      <c r="M168" s="2"/>
      <c r="N168" s="2"/>
      <c r="O168" s="2"/>
      <c r="P168" s="2"/>
    </row>
    <row r="169" spans="1:16" s="14" customFormat="1" ht="15.75" x14ac:dyDescent="0.25">
      <c r="A169" s="66"/>
      <c r="B169" s="66"/>
      <c r="C169" s="19"/>
      <c r="D169" s="66"/>
      <c r="E169" s="66"/>
      <c r="F169" s="3"/>
      <c r="G169" s="3"/>
      <c r="H169" s="3"/>
      <c r="I169" s="3"/>
      <c r="J169" s="3"/>
      <c r="K169" s="3"/>
      <c r="L169" s="201"/>
      <c r="M169" s="2"/>
      <c r="N169" s="2"/>
      <c r="O169" s="2"/>
      <c r="P169" s="2"/>
    </row>
    <row r="170" spans="1:16" s="14" customFormat="1" ht="15.75" x14ac:dyDescent="0.25">
      <c r="A170" s="66"/>
      <c r="B170" s="66"/>
      <c r="C170" s="19"/>
      <c r="D170" s="66"/>
      <c r="E170" s="66"/>
      <c r="F170" s="3"/>
      <c r="G170" s="3"/>
      <c r="H170" s="3"/>
      <c r="I170" s="3"/>
      <c r="J170" s="3"/>
      <c r="K170" s="3"/>
      <c r="L170" s="201"/>
      <c r="M170" s="2"/>
      <c r="N170" s="2"/>
      <c r="O170" s="2"/>
      <c r="P170" s="2"/>
    </row>
    <row r="171" spans="1:16" s="14" customFormat="1" ht="15.75" x14ac:dyDescent="0.25">
      <c r="A171" s="66"/>
      <c r="B171" s="66"/>
      <c r="C171" s="19"/>
      <c r="D171" s="66"/>
      <c r="E171" s="66"/>
      <c r="F171" s="3"/>
      <c r="G171" s="3"/>
      <c r="H171" s="3"/>
      <c r="I171" s="3"/>
      <c r="J171" s="3"/>
      <c r="K171" s="3"/>
      <c r="L171" s="201"/>
      <c r="M171" s="2"/>
      <c r="N171" s="2"/>
      <c r="O171" s="2"/>
      <c r="P171" s="2"/>
    </row>
    <row r="172" spans="1:16" s="14" customFormat="1" ht="15.75" x14ac:dyDescent="0.25">
      <c r="A172" s="66"/>
      <c r="B172" s="66"/>
      <c r="C172" s="19"/>
      <c r="D172" s="66"/>
      <c r="E172" s="66"/>
      <c r="F172" s="3"/>
      <c r="G172" s="3"/>
      <c r="H172" s="3"/>
      <c r="I172" s="3"/>
      <c r="J172" s="3"/>
      <c r="K172" s="3"/>
      <c r="L172" s="201"/>
      <c r="M172" s="2"/>
      <c r="N172" s="2"/>
      <c r="O172" s="2"/>
      <c r="P172" s="2"/>
    </row>
    <row r="173" spans="1:16" s="14" customFormat="1" ht="15.75" x14ac:dyDescent="0.25">
      <c r="A173" s="66"/>
      <c r="B173" s="66"/>
      <c r="C173" s="19"/>
      <c r="D173" s="66"/>
      <c r="E173" s="66"/>
      <c r="F173" s="3"/>
      <c r="G173" s="3"/>
      <c r="H173" s="3"/>
      <c r="I173" s="3"/>
      <c r="J173" s="3"/>
      <c r="K173" s="3"/>
      <c r="L173" s="201"/>
      <c r="M173" s="2"/>
      <c r="N173" s="2"/>
      <c r="O173" s="2"/>
      <c r="P173" s="2"/>
    </row>
    <row r="174" spans="1:16" s="14" customFormat="1" ht="15.75" x14ac:dyDescent="0.25">
      <c r="A174" s="66"/>
      <c r="B174" s="66"/>
      <c r="C174" s="19"/>
      <c r="D174" s="66"/>
      <c r="E174" s="66"/>
      <c r="F174" s="3"/>
      <c r="G174" s="3"/>
      <c r="H174" s="3"/>
      <c r="I174" s="3"/>
      <c r="J174" s="3"/>
      <c r="K174" s="3"/>
      <c r="L174" s="201"/>
      <c r="M174" s="2"/>
      <c r="N174" s="2"/>
      <c r="O174" s="2"/>
      <c r="P174" s="2"/>
    </row>
    <row r="175" spans="1:16" s="14" customFormat="1" ht="15.75" x14ac:dyDescent="0.25">
      <c r="A175" s="66"/>
      <c r="B175" s="66"/>
      <c r="C175" s="19"/>
      <c r="D175" s="66"/>
      <c r="E175" s="66"/>
      <c r="F175" s="3"/>
      <c r="G175" s="3"/>
      <c r="H175" s="3"/>
      <c r="I175" s="3"/>
      <c r="J175" s="3"/>
      <c r="K175" s="3"/>
      <c r="L175" s="201"/>
      <c r="M175" s="2"/>
      <c r="N175" s="2"/>
      <c r="O175" s="2"/>
      <c r="P175" s="2"/>
    </row>
    <row r="176" spans="1:16" s="14" customFormat="1" ht="15.75" x14ac:dyDescent="0.25">
      <c r="A176" s="66"/>
      <c r="B176" s="66"/>
      <c r="C176" s="19"/>
      <c r="D176" s="66"/>
      <c r="E176" s="66"/>
      <c r="F176" s="3"/>
      <c r="G176" s="3"/>
      <c r="H176" s="3"/>
      <c r="I176" s="3"/>
      <c r="J176" s="3"/>
      <c r="K176" s="3"/>
      <c r="L176" s="201"/>
      <c r="M176" s="2"/>
      <c r="N176" s="2"/>
      <c r="O176" s="2"/>
      <c r="P176" s="2"/>
    </row>
    <row r="177" spans="1:16" s="14" customFormat="1" ht="15.75" x14ac:dyDescent="0.25">
      <c r="A177" s="66"/>
      <c r="B177" s="66"/>
      <c r="C177" s="19"/>
      <c r="D177" s="66"/>
      <c r="E177" s="66"/>
      <c r="F177" s="3"/>
      <c r="G177" s="3"/>
      <c r="H177" s="3"/>
      <c r="I177" s="3"/>
      <c r="J177" s="3"/>
      <c r="K177" s="3"/>
      <c r="L177" s="201"/>
      <c r="M177" s="2"/>
      <c r="N177" s="2"/>
      <c r="O177" s="2"/>
      <c r="P177" s="2"/>
    </row>
    <row r="178" spans="1:16" s="14" customFormat="1" ht="15.75" x14ac:dyDescent="0.25">
      <c r="A178" s="66"/>
      <c r="B178" s="66"/>
      <c r="C178" s="19"/>
      <c r="D178" s="66"/>
      <c r="E178" s="66"/>
      <c r="F178" s="3"/>
      <c r="G178" s="3"/>
      <c r="H178" s="3"/>
      <c r="I178" s="3"/>
      <c r="J178" s="3"/>
      <c r="K178" s="3"/>
      <c r="L178" s="201"/>
      <c r="M178" s="2"/>
      <c r="N178" s="2"/>
      <c r="O178" s="2"/>
      <c r="P178" s="2"/>
    </row>
    <row r="179" spans="1:16" s="14" customFormat="1" ht="15.75" x14ac:dyDescent="0.25">
      <c r="A179" s="66"/>
      <c r="B179" s="66"/>
      <c r="C179" s="19"/>
      <c r="D179" s="66"/>
      <c r="E179" s="66"/>
      <c r="F179" s="3"/>
      <c r="G179" s="3"/>
      <c r="H179" s="3"/>
      <c r="I179" s="3"/>
      <c r="J179" s="3"/>
      <c r="K179" s="3"/>
      <c r="L179" s="201"/>
      <c r="M179" s="2"/>
      <c r="N179" s="2"/>
      <c r="O179" s="2"/>
      <c r="P179" s="2"/>
    </row>
    <row r="180" spans="1:16" s="14" customFormat="1" ht="15.75" x14ac:dyDescent="0.25">
      <c r="A180" s="66"/>
      <c r="B180" s="66"/>
      <c r="C180" s="19"/>
      <c r="D180" s="66"/>
      <c r="E180" s="66"/>
      <c r="F180" s="3"/>
      <c r="G180" s="3"/>
      <c r="H180" s="3"/>
      <c r="I180" s="3"/>
      <c r="J180" s="3"/>
      <c r="K180" s="3"/>
      <c r="L180" s="201"/>
      <c r="M180" s="2"/>
      <c r="N180" s="2"/>
      <c r="O180" s="2"/>
      <c r="P180" s="2"/>
    </row>
    <row r="181" spans="1:16" s="14" customFormat="1" ht="15.75" x14ac:dyDescent="0.25">
      <c r="A181" s="66"/>
      <c r="B181" s="66"/>
      <c r="C181" s="19"/>
      <c r="D181" s="66"/>
      <c r="E181" s="66"/>
      <c r="F181" s="3"/>
      <c r="G181" s="3"/>
      <c r="H181" s="3"/>
      <c r="I181" s="3"/>
      <c r="J181" s="3"/>
      <c r="K181" s="3"/>
      <c r="L181" s="201"/>
      <c r="M181" s="2"/>
      <c r="N181" s="2"/>
      <c r="O181" s="2"/>
      <c r="P181" s="2"/>
    </row>
    <row r="182" spans="1:16" s="14" customFormat="1" ht="15.75" x14ac:dyDescent="0.25">
      <c r="A182" s="66"/>
      <c r="B182" s="66"/>
      <c r="C182" s="19"/>
      <c r="D182" s="66"/>
      <c r="E182" s="66"/>
      <c r="F182" s="3"/>
      <c r="G182" s="3"/>
      <c r="H182" s="3"/>
      <c r="I182" s="3"/>
      <c r="J182" s="3"/>
      <c r="K182" s="3"/>
      <c r="L182" s="201"/>
      <c r="M182" s="2"/>
      <c r="N182" s="2"/>
      <c r="O182" s="2"/>
      <c r="P182" s="2"/>
    </row>
    <row r="183" spans="1:16" s="14" customFormat="1" ht="15.75" x14ac:dyDescent="0.25">
      <c r="A183" s="66"/>
      <c r="B183" s="66"/>
      <c r="C183" s="19"/>
      <c r="D183" s="66"/>
      <c r="E183" s="66"/>
      <c r="F183" s="3"/>
      <c r="G183" s="3"/>
      <c r="H183" s="3"/>
      <c r="I183" s="3"/>
      <c r="J183" s="3"/>
      <c r="K183" s="3"/>
      <c r="L183" s="201"/>
      <c r="M183" s="2"/>
      <c r="N183" s="2"/>
      <c r="O183" s="2"/>
      <c r="P183" s="2"/>
    </row>
    <row r="184" spans="1:16" s="14" customFormat="1" ht="15.75" x14ac:dyDescent="0.25">
      <c r="A184" s="66"/>
      <c r="B184" s="66"/>
      <c r="C184" s="19"/>
      <c r="D184" s="66"/>
      <c r="E184" s="66"/>
      <c r="F184" s="3"/>
      <c r="G184" s="3"/>
      <c r="H184" s="3"/>
      <c r="I184" s="3"/>
      <c r="J184" s="3"/>
      <c r="K184" s="3"/>
      <c r="L184" s="201"/>
      <c r="M184" s="2"/>
      <c r="N184" s="2"/>
      <c r="O184" s="2"/>
      <c r="P184" s="2"/>
    </row>
    <row r="185" spans="1:16" s="14" customFormat="1" ht="15.75" x14ac:dyDescent="0.25">
      <c r="A185" s="66"/>
      <c r="B185" s="66"/>
      <c r="C185" s="19"/>
      <c r="D185" s="66"/>
      <c r="E185" s="66"/>
      <c r="F185" s="3"/>
      <c r="G185" s="3"/>
      <c r="H185" s="3"/>
      <c r="I185" s="3"/>
      <c r="J185" s="3"/>
      <c r="K185" s="3"/>
      <c r="L185" s="201"/>
      <c r="M185" s="2"/>
      <c r="N185" s="2"/>
      <c r="O185" s="2"/>
      <c r="P185" s="2"/>
    </row>
    <row r="186" spans="1:16" s="14" customFormat="1" ht="15.75" x14ac:dyDescent="0.25">
      <c r="A186" s="66"/>
      <c r="B186" s="66"/>
      <c r="C186" s="19"/>
      <c r="D186" s="66"/>
      <c r="E186" s="66"/>
      <c r="F186" s="3"/>
      <c r="G186" s="3"/>
      <c r="H186" s="3"/>
      <c r="I186" s="3"/>
      <c r="J186" s="3"/>
      <c r="K186" s="3"/>
      <c r="L186" s="201"/>
      <c r="M186" s="2"/>
      <c r="N186" s="2"/>
      <c r="O186" s="2"/>
      <c r="P186" s="2"/>
    </row>
    <row r="187" spans="1:16" s="14" customFormat="1" ht="15.75" x14ac:dyDescent="0.25">
      <c r="A187" s="66"/>
      <c r="B187" s="66"/>
      <c r="C187" s="19"/>
      <c r="D187" s="66"/>
      <c r="E187" s="66"/>
      <c r="F187" s="3"/>
      <c r="G187" s="3"/>
      <c r="H187" s="3"/>
      <c r="I187" s="3"/>
      <c r="J187" s="3"/>
      <c r="K187" s="3"/>
      <c r="L187" s="201"/>
      <c r="M187" s="2"/>
      <c r="N187" s="2"/>
      <c r="O187" s="2"/>
      <c r="P187" s="2"/>
    </row>
    <row r="188" spans="1:16" s="14" customFormat="1" ht="15.75" x14ac:dyDescent="0.25">
      <c r="A188" s="66"/>
      <c r="B188" s="66"/>
      <c r="C188" s="19"/>
      <c r="D188" s="66"/>
      <c r="E188" s="66"/>
      <c r="F188" s="3"/>
      <c r="G188" s="3"/>
      <c r="H188" s="3"/>
      <c r="I188" s="3"/>
      <c r="J188" s="3"/>
      <c r="K188" s="3"/>
      <c r="L188" s="201"/>
      <c r="M188" s="2"/>
      <c r="N188" s="2"/>
      <c r="O188" s="2"/>
      <c r="P188" s="2"/>
    </row>
  </sheetData>
  <mergeCells count="14">
    <mergeCell ref="A62:D62"/>
    <mergeCell ref="A1:K1"/>
    <mergeCell ref="E60:E61"/>
    <mergeCell ref="D60:D61"/>
    <mergeCell ref="A60:A61"/>
    <mergeCell ref="E40:E41"/>
    <mergeCell ref="D40:D41"/>
    <mergeCell ref="A40:A41"/>
    <mergeCell ref="A58:A59"/>
    <mergeCell ref="D58:D59"/>
    <mergeCell ref="E58:E59"/>
    <mergeCell ref="E42:E43"/>
    <mergeCell ref="D42:D43"/>
    <mergeCell ref="A42:A43"/>
  </mergeCells>
  <pageMargins left="0.16" right="0.16" top="0.63" bottom="0.16" header="0.3" footer="0.16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workbookViewId="0">
      <selection activeCell="H19" sqref="H19"/>
    </sheetView>
  </sheetViews>
  <sheetFormatPr defaultRowHeight="15" x14ac:dyDescent="0.25"/>
  <cols>
    <col min="1" max="1" width="5.140625" style="18" bestFit="1" customWidth="1"/>
    <col min="2" max="2" width="9.85546875" style="18" customWidth="1"/>
    <col min="3" max="3" width="11.140625" style="20" customWidth="1"/>
    <col min="4" max="4" width="16.42578125" style="18" customWidth="1"/>
    <col min="5" max="5" width="12.85546875" style="18" customWidth="1"/>
    <col min="6" max="6" width="12.28515625" style="9" customWidth="1"/>
    <col min="7" max="7" width="11.85546875" style="9" customWidth="1"/>
    <col min="8" max="8" width="10" style="9" customWidth="1"/>
    <col min="9" max="9" width="14.42578125" style="9" customWidth="1"/>
    <col min="10" max="10" width="12" style="9" customWidth="1"/>
    <col min="11" max="11" width="14.5703125" style="9" bestFit="1" customWidth="1"/>
    <col min="12" max="12" width="9.140625" style="203"/>
    <col min="13" max="16" width="9.140625" style="8"/>
  </cols>
  <sheetData>
    <row r="1" spans="1:16" ht="23.25" thickBot="1" x14ac:dyDescent="0.3">
      <c r="A1" s="283" t="s">
        <v>11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</row>
    <row r="2" spans="1:16" ht="25.5" customHeight="1" x14ac:dyDescent="0.25">
      <c r="A2" s="120" t="s">
        <v>1</v>
      </c>
      <c r="B2" s="121" t="s">
        <v>2</v>
      </c>
      <c r="C2" s="243" t="s">
        <v>3</v>
      </c>
      <c r="D2" s="244" t="s">
        <v>85</v>
      </c>
      <c r="E2" s="120" t="s">
        <v>5</v>
      </c>
      <c r="F2" s="245" t="s">
        <v>6</v>
      </c>
      <c r="G2" s="245" t="s">
        <v>7</v>
      </c>
      <c r="H2" s="246" t="s">
        <v>8</v>
      </c>
      <c r="I2" s="246" t="s">
        <v>9</v>
      </c>
      <c r="J2" s="246" t="s">
        <v>12</v>
      </c>
      <c r="K2" s="245" t="s">
        <v>10</v>
      </c>
    </row>
    <row r="3" spans="1:16" ht="15.75" x14ac:dyDescent="0.25">
      <c r="A3" s="188">
        <v>1</v>
      </c>
      <c r="B3" s="189">
        <v>18627</v>
      </c>
      <c r="C3" s="190" t="s">
        <v>207</v>
      </c>
      <c r="D3" s="188" t="s">
        <v>276</v>
      </c>
      <c r="E3" s="188" t="s">
        <v>118</v>
      </c>
      <c r="F3" s="191">
        <v>0</v>
      </c>
      <c r="G3" s="191"/>
      <c r="H3" s="191"/>
      <c r="I3" s="191">
        <f>3*(118.99+40.89)</f>
        <v>479.64</v>
      </c>
      <c r="J3" s="191"/>
      <c r="K3" s="191">
        <f>F3+G3+H3+I3+J3</f>
        <v>479.64</v>
      </c>
      <c r="L3" s="201"/>
      <c r="M3" s="2"/>
    </row>
    <row r="4" spans="1:16" ht="15.75" x14ac:dyDescent="0.25">
      <c r="A4" s="142">
        <v>2</v>
      </c>
      <c r="B4" s="142">
        <v>17711</v>
      </c>
      <c r="C4" s="160" t="s">
        <v>277</v>
      </c>
      <c r="D4" s="142" t="s">
        <v>278</v>
      </c>
      <c r="E4" s="142" t="s">
        <v>279</v>
      </c>
      <c r="F4" s="162">
        <v>0</v>
      </c>
      <c r="G4" s="162">
        <f>1*113.9</f>
        <v>113.9</v>
      </c>
      <c r="H4" s="162"/>
      <c r="I4" s="162">
        <f>14*(118.99+87.5)</f>
        <v>2890.86</v>
      </c>
      <c r="J4" s="162"/>
      <c r="K4" s="162">
        <f t="shared" ref="K4:K15" si="0">F4+G4+H4+I4+J4</f>
        <v>3004.76</v>
      </c>
      <c r="L4" s="201"/>
      <c r="M4" s="2"/>
    </row>
    <row r="5" spans="1:16" ht="15.75" x14ac:dyDescent="0.25">
      <c r="A5" s="188">
        <v>3</v>
      </c>
      <c r="B5" s="189">
        <v>18575</v>
      </c>
      <c r="C5" s="190" t="s">
        <v>230</v>
      </c>
      <c r="D5" s="188" t="s">
        <v>280</v>
      </c>
      <c r="E5" s="188" t="s">
        <v>281</v>
      </c>
      <c r="F5" s="191">
        <v>0</v>
      </c>
      <c r="G5" s="191"/>
      <c r="H5" s="191"/>
      <c r="I5" s="191">
        <f>4*(75.5+87.5)</f>
        <v>652</v>
      </c>
      <c r="J5" s="191"/>
      <c r="K5" s="191">
        <f t="shared" si="0"/>
        <v>652</v>
      </c>
      <c r="L5" s="201"/>
      <c r="M5" s="2"/>
    </row>
    <row r="6" spans="1:16" ht="15.75" x14ac:dyDescent="0.25">
      <c r="A6" s="188">
        <v>4</v>
      </c>
      <c r="B6" s="189">
        <v>18535</v>
      </c>
      <c r="C6" s="190" t="s">
        <v>190</v>
      </c>
      <c r="D6" s="188" t="s">
        <v>152</v>
      </c>
      <c r="E6" s="188" t="s">
        <v>107</v>
      </c>
      <c r="F6" s="191">
        <f>40*472.61</f>
        <v>18904.400000000001</v>
      </c>
      <c r="G6" s="191">
        <f>1*739.13+1*(1533.01+896.37)</f>
        <v>3168.51</v>
      </c>
      <c r="H6" s="191"/>
      <c r="I6" s="191">
        <f>3*(118.99+40.89)</f>
        <v>479.64</v>
      </c>
      <c r="J6" s="191"/>
      <c r="K6" s="191">
        <f t="shared" si="0"/>
        <v>22552.550000000003</v>
      </c>
      <c r="L6" s="201"/>
      <c r="M6" s="2"/>
    </row>
    <row r="7" spans="1:16" ht="15.75" x14ac:dyDescent="0.25">
      <c r="A7" s="188">
        <v>5</v>
      </c>
      <c r="B7" s="189">
        <v>18429</v>
      </c>
      <c r="C7" s="190" t="s">
        <v>176</v>
      </c>
      <c r="D7" s="188" t="s">
        <v>97</v>
      </c>
      <c r="E7" s="188" t="s">
        <v>92</v>
      </c>
      <c r="F7" s="191">
        <v>0</v>
      </c>
      <c r="G7" s="191"/>
      <c r="H7" s="191"/>
      <c r="I7" s="191">
        <f>16*(87.5+65.5)</f>
        <v>2448</v>
      </c>
      <c r="J7" s="191"/>
      <c r="K7" s="191">
        <f t="shared" si="0"/>
        <v>2448</v>
      </c>
      <c r="L7" s="201"/>
      <c r="M7" s="2"/>
    </row>
    <row r="8" spans="1:16" ht="15.75" x14ac:dyDescent="0.25">
      <c r="A8" s="188">
        <v>6</v>
      </c>
      <c r="B8" s="189">
        <v>18541</v>
      </c>
      <c r="C8" s="190" t="s">
        <v>189</v>
      </c>
      <c r="D8" s="188" t="s">
        <v>91</v>
      </c>
      <c r="E8" s="188" t="s">
        <v>92</v>
      </c>
      <c r="F8" s="191">
        <v>0</v>
      </c>
      <c r="G8" s="191"/>
      <c r="H8" s="191"/>
      <c r="I8" s="191">
        <f>14*(87.5+65.5)</f>
        <v>2142</v>
      </c>
      <c r="J8" s="191"/>
      <c r="K8" s="191">
        <f t="shared" si="0"/>
        <v>2142</v>
      </c>
      <c r="L8" s="201"/>
      <c r="M8" s="2"/>
    </row>
    <row r="9" spans="1:16" ht="15.75" x14ac:dyDescent="0.25">
      <c r="A9" s="188">
        <v>7</v>
      </c>
      <c r="B9" s="189">
        <v>18520</v>
      </c>
      <c r="C9" s="190" t="s">
        <v>184</v>
      </c>
      <c r="D9" s="188" t="s">
        <v>167</v>
      </c>
      <c r="E9" s="188" t="s">
        <v>90</v>
      </c>
      <c r="F9" s="191">
        <v>0</v>
      </c>
      <c r="G9" s="191">
        <f>25*(180.06+260.96+161.1)+1*(1750.62+24156.04+635.68+4374.45)+2*9220.69+1*14431.15</f>
        <v>78842.319999999992</v>
      </c>
      <c r="H9" s="191"/>
      <c r="I9" s="191">
        <f>1*(87.5+75.5)</f>
        <v>163</v>
      </c>
      <c r="J9" s="191"/>
      <c r="K9" s="191">
        <f t="shared" si="0"/>
        <v>79005.319999999992</v>
      </c>
      <c r="L9" s="201"/>
      <c r="M9" s="2"/>
    </row>
    <row r="10" spans="1:16" ht="15.75" x14ac:dyDescent="0.25">
      <c r="A10" s="188">
        <v>8</v>
      </c>
      <c r="B10" s="189">
        <v>18548</v>
      </c>
      <c r="C10" s="190" t="s">
        <v>189</v>
      </c>
      <c r="D10" s="188" t="s">
        <v>282</v>
      </c>
      <c r="E10" s="188" t="s">
        <v>283</v>
      </c>
      <c r="F10" s="191">
        <v>0</v>
      </c>
      <c r="G10" s="191"/>
      <c r="H10" s="191"/>
      <c r="I10" s="191">
        <f>17*(118.99+40.89+87.5)</f>
        <v>4205.46</v>
      </c>
      <c r="J10" s="191"/>
      <c r="K10" s="191">
        <f t="shared" si="0"/>
        <v>4205.46</v>
      </c>
      <c r="L10" s="201"/>
      <c r="M10" s="2"/>
    </row>
    <row r="11" spans="1:16" ht="15.75" x14ac:dyDescent="0.25">
      <c r="A11" s="188">
        <v>9</v>
      </c>
      <c r="B11" s="189">
        <v>18562</v>
      </c>
      <c r="C11" s="190" t="s">
        <v>224</v>
      </c>
      <c r="D11" s="188" t="s">
        <v>284</v>
      </c>
      <c r="E11" s="188" t="s">
        <v>90</v>
      </c>
      <c r="F11" s="191">
        <v>0</v>
      </c>
      <c r="G11" s="191"/>
      <c r="H11" s="191"/>
      <c r="I11" s="191">
        <f>2*(75.5+87.5)</f>
        <v>326</v>
      </c>
      <c r="J11" s="191"/>
      <c r="K11" s="191">
        <f t="shared" si="0"/>
        <v>326</v>
      </c>
      <c r="L11" s="201"/>
      <c r="M11" s="2"/>
    </row>
    <row r="12" spans="1:16" ht="15.75" x14ac:dyDescent="0.25">
      <c r="A12" s="188">
        <v>10</v>
      </c>
      <c r="B12" s="188">
        <v>18529</v>
      </c>
      <c r="C12" s="190" t="s">
        <v>187</v>
      </c>
      <c r="D12" s="188" t="s">
        <v>360</v>
      </c>
      <c r="E12" s="188" t="s">
        <v>107</v>
      </c>
      <c r="F12" s="191"/>
      <c r="G12" s="191"/>
      <c r="H12" s="191"/>
      <c r="I12" s="191">
        <f>3*(58.48+48.32+48.32)</f>
        <v>465.36</v>
      </c>
      <c r="J12" s="191"/>
      <c r="K12" s="191">
        <f t="shared" si="0"/>
        <v>465.36</v>
      </c>
      <c r="L12" s="201"/>
      <c r="M12" s="2"/>
    </row>
    <row r="13" spans="1:16" ht="15.75" x14ac:dyDescent="0.25">
      <c r="A13" s="281">
        <v>11</v>
      </c>
      <c r="B13" s="188">
        <v>18456</v>
      </c>
      <c r="C13" s="190" t="s">
        <v>231</v>
      </c>
      <c r="D13" s="284" t="s">
        <v>282</v>
      </c>
      <c r="E13" s="281" t="s">
        <v>283</v>
      </c>
      <c r="F13" s="191"/>
      <c r="G13" s="191"/>
      <c r="H13" s="191"/>
      <c r="I13" s="191">
        <f>2*(58.48+48.32)</f>
        <v>213.6</v>
      </c>
      <c r="J13" s="191"/>
      <c r="K13" s="191">
        <f t="shared" si="0"/>
        <v>213.6</v>
      </c>
      <c r="L13" s="201"/>
      <c r="M13" s="2"/>
    </row>
    <row r="14" spans="1:16" ht="16.5" thickBot="1" x14ac:dyDescent="0.3">
      <c r="A14" s="281"/>
      <c r="B14" s="188">
        <v>18571</v>
      </c>
      <c r="C14" s="190" t="s">
        <v>256</v>
      </c>
      <c r="D14" s="284"/>
      <c r="E14" s="282"/>
      <c r="F14" s="156"/>
      <c r="G14" s="156"/>
      <c r="H14" s="156"/>
      <c r="I14" s="156">
        <f>2*50.48</f>
        <v>100.96</v>
      </c>
      <c r="J14" s="156"/>
      <c r="K14" s="156">
        <f t="shared" si="0"/>
        <v>100.96</v>
      </c>
      <c r="L14" s="201"/>
      <c r="M14" s="2"/>
    </row>
    <row r="15" spans="1:16" s="42" customFormat="1" ht="16.5" thickBot="1" x14ac:dyDescent="0.3">
      <c r="A15" s="275"/>
      <c r="B15" s="275"/>
      <c r="C15" s="275"/>
      <c r="D15" s="275"/>
      <c r="E15" s="145" t="s">
        <v>489</v>
      </c>
      <c r="F15" s="157">
        <f>SUM(F3:F14)</f>
        <v>18904.400000000001</v>
      </c>
      <c r="G15" s="157">
        <f t="shared" ref="G15:J15" si="1">SUM(G3:G14)</f>
        <v>82124.73</v>
      </c>
      <c r="H15" s="157">
        <f t="shared" si="1"/>
        <v>0</v>
      </c>
      <c r="I15" s="157">
        <f t="shared" si="1"/>
        <v>14566.519999999999</v>
      </c>
      <c r="J15" s="176">
        <f t="shared" si="1"/>
        <v>0</v>
      </c>
      <c r="K15" s="184">
        <f t="shared" si="0"/>
        <v>115595.65000000001</v>
      </c>
      <c r="L15" s="139"/>
      <c r="M15" s="140"/>
      <c r="N15" s="242"/>
      <c r="O15" s="242"/>
      <c r="P15" s="242"/>
    </row>
    <row r="16" spans="1:16" ht="15.75" x14ac:dyDescent="0.25">
      <c r="A16" s="34"/>
      <c r="B16" s="34"/>
      <c r="C16" s="19"/>
      <c r="D16" s="34"/>
      <c r="E16" s="34"/>
      <c r="F16" s="3"/>
      <c r="G16" s="3"/>
      <c r="H16" s="3"/>
      <c r="I16" s="3"/>
      <c r="J16" s="3"/>
      <c r="K16" s="3"/>
      <c r="L16" s="201"/>
      <c r="M16" s="2"/>
    </row>
    <row r="17" spans="1:13" ht="15.75" x14ac:dyDescent="0.25">
      <c r="A17" s="34"/>
      <c r="B17" s="34"/>
      <c r="C17" s="19"/>
      <c r="D17" s="34"/>
      <c r="E17" s="34"/>
      <c r="F17" s="3"/>
      <c r="G17" s="3"/>
      <c r="H17" s="3"/>
      <c r="I17" s="3"/>
      <c r="J17" s="3"/>
      <c r="K17" s="3"/>
      <c r="L17" s="201"/>
      <c r="M17" s="2"/>
    </row>
    <row r="21" spans="1:13" ht="15.75" x14ac:dyDescent="0.25">
      <c r="A21" s="34"/>
      <c r="B21" s="34"/>
      <c r="C21" s="19"/>
      <c r="D21" s="34"/>
      <c r="E21" s="34"/>
      <c r="L21" s="201"/>
      <c r="M21" s="2"/>
    </row>
    <row r="22" spans="1:13" ht="15.75" x14ac:dyDescent="0.25">
      <c r="A22" s="34"/>
      <c r="B22" s="34"/>
      <c r="C22" s="19"/>
      <c r="D22" s="34"/>
      <c r="E22" s="34"/>
      <c r="F22" s="3"/>
      <c r="G22" s="3"/>
      <c r="H22" s="3"/>
      <c r="I22" s="3"/>
      <c r="J22" s="3"/>
      <c r="K22" s="3"/>
      <c r="L22" s="201"/>
      <c r="M22" s="2"/>
    </row>
    <row r="23" spans="1:13" ht="15.75" x14ac:dyDescent="0.25">
      <c r="A23" s="34"/>
      <c r="B23" s="34"/>
      <c r="C23" s="19"/>
      <c r="D23" s="34"/>
      <c r="E23" s="34"/>
      <c r="F23" s="3"/>
      <c r="G23" s="3"/>
      <c r="H23" s="3"/>
      <c r="I23" s="3"/>
      <c r="J23" s="3"/>
      <c r="K23" s="3"/>
      <c r="L23" s="201"/>
      <c r="M23" s="2"/>
    </row>
    <row r="24" spans="1:13" ht="15.75" x14ac:dyDescent="0.25">
      <c r="A24" s="34"/>
      <c r="B24" s="34"/>
      <c r="C24" s="19"/>
      <c r="D24" s="34"/>
      <c r="E24" s="34"/>
      <c r="F24" s="3"/>
      <c r="G24" s="3"/>
      <c r="H24" s="3"/>
      <c r="I24" s="3"/>
      <c r="J24" s="3"/>
      <c r="K24" s="3"/>
      <c r="L24" s="201"/>
      <c r="M24" s="2"/>
    </row>
    <row r="25" spans="1:13" ht="15.75" x14ac:dyDescent="0.25">
      <c r="A25" s="34"/>
      <c r="B25" s="34"/>
      <c r="C25" s="19"/>
      <c r="D25" s="34"/>
      <c r="E25" s="34"/>
      <c r="F25" s="3"/>
      <c r="G25" s="3"/>
      <c r="H25" s="3"/>
      <c r="I25" s="3"/>
      <c r="J25" s="3"/>
      <c r="K25" s="3"/>
      <c r="L25" s="201"/>
      <c r="M25" s="2"/>
    </row>
    <row r="26" spans="1:13" ht="15.75" x14ac:dyDescent="0.25">
      <c r="A26" s="34"/>
      <c r="B26" s="34"/>
      <c r="C26" s="19"/>
      <c r="D26" s="34"/>
      <c r="E26" s="34"/>
      <c r="F26" s="3"/>
      <c r="G26" s="3"/>
      <c r="H26" s="3"/>
      <c r="I26" s="3"/>
      <c r="J26" s="3"/>
      <c r="K26" s="3"/>
      <c r="L26" s="201"/>
      <c r="M26" s="2"/>
    </row>
    <row r="27" spans="1:13" ht="15.75" x14ac:dyDescent="0.25">
      <c r="A27" s="34"/>
      <c r="B27" s="34"/>
      <c r="C27" s="19"/>
      <c r="D27" s="34"/>
      <c r="E27" s="34"/>
      <c r="F27" s="3"/>
      <c r="G27" s="3"/>
      <c r="H27" s="3"/>
      <c r="I27" s="3"/>
      <c r="J27" s="3"/>
      <c r="K27" s="3"/>
      <c r="L27" s="201"/>
      <c r="M27" s="2"/>
    </row>
    <row r="28" spans="1:13" ht="15.75" x14ac:dyDescent="0.25">
      <c r="A28" s="34"/>
      <c r="B28" s="34"/>
      <c r="C28" s="19"/>
      <c r="D28" s="34"/>
      <c r="E28" s="34"/>
      <c r="F28" s="3"/>
      <c r="G28" s="3"/>
      <c r="H28" s="3"/>
      <c r="I28" s="3"/>
      <c r="J28" s="3"/>
      <c r="K28" s="3"/>
      <c r="L28" s="201"/>
      <c r="M28" s="2"/>
    </row>
    <row r="29" spans="1:13" ht="15.75" x14ac:dyDescent="0.25">
      <c r="A29" s="34"/>
      <c r="B29" s="34"/>
      <c r="C29" s="19"/>
      <c r="D29" s="34"/>
      <c r="E29" s="34"/>
      <c r="F29" s="3"/>
      <c r="G29" s="3"/>
      <c r="H29" s="3"/>
      <c r="I29" s="3"/>
      <c r="J29" s="3"/>
      <c r="K29" s="3"/>
      <c r="L29" s="201"/>
      <c r="M29" s="2"/>
    </row>
    <row r="30" spans="1:13" ht="15.75" x14ac:dyDescent="0.25">
      <c r="A30" s="34"/>
      <c r="B30" s="34"/>
      <c r="C30" s="19"/>
      <c r="D30" s="34"/>
      <c r="E30" s="34"/>
      <c r="F30" s="3"/>
      <c r="G30" s="3"/>
      <c r="H30" s="3"/>
      <c r="I30" s="3"/>
      <c r="J30" s="3"/>
      <c r="K30" s="3"/>
      <c r="L30" s="201"/>
      <c r="M30" s="2"/>
    </row>
    <row r="31" spans="1:13" ht="15.75" x14ac:dyDescent="0.25">
      <c r="A31" s="34"/>
      <c r="B31" s="34"/>
      <c r="C31" s="19"/>
      <c r="D31" s="34"/>
      <c r="E31" s="34"/>
      <c r="F31" s="3"/>
      <c r="G31" s="3"/>
      <c r="H31" s="3"/>
      <c r="I31" s="3"/>
      <c r="J31" s="3"/>
      <c r="K31" s="3"/>
      <c r="L31" s="201"/>
      <c r="M31" s="2"/>
    </row>
    <row r="32" spans="1:13" ht="15.75" x14ac:dyDescent="0.25">
      <c r="A32" s="34"/>
      <c r="B32" s="34"/>
      <c r="C32" s="19"/>
      <c r="D32" s="34"/>
      <c r="E32" s="34"/>
      <c r="F32" s="3"/>
      <c r="G32" s="3"/>
      <c r="H32" s="3"/>
      <c r="I32" s="3"/>
      <c r="J32" s="3"/>
      <c r="K32" s="3"/>
      <c r="L32" s="201"/>
      <c r="M32" s="2"/>
    </row>
    <row r="33" spans="1:13" ht="15.75" x14ac:dyDescent="0.25">
      <c r="A33" s="34"/>
      <c r="B33" s="34"/>
      <c r="C33" s="19"/>
      <c r="D33" s="34"/>
      <c r="E33" s="34"/>
      <c r="F33" s="3"/>
      <c r="G33" s="3"/>
      <c r="H33" s="3"/>
      <c r="I33" s="3"/>
      <c r="J33" s="3"/>
      <c r="K33" s="3"/>
      <c r="L33" s="201"/>
      <c r="M33" s="2"/>
    </row>
    <row r="34" spans="1:13" ht="15.75" x14ac:dyDescent="0.25">
      <c r="A34" s="34"/>
      <c r="B34" s="34"/>
      <c r="C34" s="19"/>
      <c r="D34" s="34"/>
      <c r="E34" s="34"/>
      <c r="F34" s="3"/>
      <c r="G34" s="3"/>
      <c r="H34" s="3"/>
      <c r="I34" s="3"/>
      <c r="J34" s="3"/>
      <c r="K34" s="3"/>
      <c r="L34" s="201"/>
      <c r="M34" s="2"/>
    </row>
    <row r="35" spans="1:13" ht="15.75" x14ac:dyDescent="0.25">
      <c r="A35" s="34"/>
      <c r="B35" s="34"/>
      <c r="C35" s="19"/>
      <c r="D35" s="34"/>
      <c r="E35" s="34"/>
      <c r="F35" s="3"/>
      <c r="G35" s="3"/>
      <c r="H35" s="3"/>
      <c r="I35" s="3"/>
      <c r="J35" s="3"/>
      <c r="K35" s="3"/>
      <c r="L35" s="201"/>
      <c r="M35" s="2"/>
    </row>
    <row r="36" spans="1:13" ht="15.75" x14ac:dyDescent="0.25">
      <c r="A36" s="34"/>
      <c r="B36" s="34"/>
      <c r="C36" s="19"/>
      <c r="D36" s="34"/>
      <c r="E36" s="34"/>
      <c r="F36" s="3"/>
      <c r="G36" s="3"/>
      <c r="H36" s="3"/>
      <c r="I36" s="3"/>
      <c r="J36" s="3"/>
      <c r="K36" s="3"/>
      <c r="L36" s="201"/>
      <c r="M36" s="2"/>
    </row>
    <row r="37" spans="1:13" ht="15.75" x14ac:dyDescent="0.25">
      <c r="A37" s="34"/>
      <c r="B37" s="34"/>
      <c r="C37" s="19"/>
      <c r="D37" s="34"/>
      <c r="E37" s="34"/>
      <c r="F37" s="3"/>
      <c r="G37" s="3"/>
      <c r="H37" s="3"/>
      <c r="I37" s="3"/>
      <c r="J37" s="3"/>
      <c r="K37" s="3"/>
      <c r="L37" s="201"/>
      <c r="M37" s="2"/>
    </row>
    <row r="38" spans="1:13" ht="15.75" x14ac:dyDescent="0.25">
      <c r="A38" s="34"/>
      <c r="B38" s="34"/>
      <c r="C38" s="19"/>
      <c r="D38" s="34"/>
      <c r="E38" s="34"/>
      <c r="F38" s="3"/>
      <c r="G38" s="3"/>
      <c r="H38" s="3"/>
      <c r="I38" s="3"/>
      <c r="J38" s="3"/>
      <c r="K38" s="3"/>
      <c r="L38" s="201"/>
      <c r="M38" s="2"/>
    </row>
    <row r="39" spans="1:13" ht="15.75" x14ac:dyDescent="0.25">
      <c r="A39" s="34"/>
      <c r="B39" s="34"/>
      <c r="C39" s="19"/>
      <c r="D39" s="34"/>
      <c r="E39" s="34"/>
      <c r="F39" s="3"/>
      <c r="G39" s="3"/>
      <c r="H39" s="3"/>
      <c r="I39" s="3"/>
      <c r="J39" s="3"/>
      <c r="K39" s="3"/>
      <c r="L39" s="201"/>
      <c r="M39" s="2"/>
    </row>
    <row r="40" spans="1:13" ht="15.75" x14ac:dyDescent="0.25">
      <c r="A40" s="34"/>
      <c r="B40" s="34"/>
      <c r="C40" s="19"/>
      <c r="D40" s="34"/>
      <c r="E40" s="34"/>
      <c r="F40" s="3"/>
      <c r="G40" s="3"/>
      <c r="H40" s="3"/>
      <c r="I40" s="3"/>
      <c r="J40" s="3"/>
      <c r="K40" s="3"/>
      <c r="L40" s="201"/>
      <c r="M40" s="2"/>
    </row>
    <row r="41" spans="1:13" ht="15.75" x14ac:dyDescent="0.25">
      <c r="A41" s="34"/>
      <c r="B41" s="34"/>
      <c r="C41" s="19"/>
      <c r="D41" s="34"/>
      <c r="E41" s="34"/>
      <c r="F41" s="3"/>
      <c r="G41" s="3"/>
      <c r="H41" s="3"/>
      <c r="I41" s="3"/>
      <c r="J41" s="3"/>
      <c r="K41" s="3"/>
      <c r="L41" s="201"/>
      <c r="M41" s="2"/>
    </row>
    <row r="42" spans="1:13" ht="15.75" x14ac:dyDescent="0.25">
      <c r="A42" s="34"/>
      <c r="B42" s="34"/>
      <c r="C42" s="19"/>
      <c r="D42" s="34"/>
      <c r="E42" s="34"/>
      <c r="F42" s="3"/>
      <c r="G42" s="3"/>
      <c r="H42" s="3"/>
      <c r="I42" s="3"/>
      <c r="J42" s="3"/>
      <c r="K42" s="3"/>
      <c r="L42" s="201"/>
      <c r="M42" s="2"/>
    </row>
    <row r="43" spans="1:13" ht="15.75" x14ac:dyDescent="0.25">
      <c r="A43" s="34"/>
      <c r="B43" s="34"/>
      <c r="C43" s="19"/>
      <c r="D43" s="34"/>
      <c r="E43" s="34"/>
      <c r="F43" s="3"/>
      <c r="G43" s="3"/>
      <c r="H43" s="3"/>
      <c r="I43" s="3"/>
      <c r="J43" s="3"/>
      <c r="K43" s="3"/>
      <c r="L43" s="201"/>
      <c r="M43" s="2"/>
    </row>
    <row r="44" spans="1:13" ht="15.75" x14ac:dyDescent="0.25">
      <c r="A44" s="34"/>
      <c r="B44" s="34"/>
      <c r="C44" s="19"/>
      <c r="D44" s="34"/>
      <c r="E44" s="34"/>
      <c r="F44" s="3"/>
      <c r="G44" s="3"/>
      <c r="H44" s="3"/>
      <c r="I44" s="3"/>
      <c r="J44" s="3"/>
      <c r="K44" s="3"/>
      <c r="L44" s="201"/>
      <c r="M44" s="2"/>
    </row>
    <row r="45" spans="1:13" ht="15.75" x14ac:dyDescent="0.25">
      <c r="A45" s="34"/>
      <c r="B45" s="34"/>
      <c r="C45" s="19"/>
      <c r="D45" s="34"/>
      <c r="E45" s="34"/>
      <c r="F45" s="3"/>
      <c r="G45" s="3"/>
      <c r="H45" s="3"/>
      <c r="I45" s="3"/>
      <c r="J45" s="3"/>
      <c r="K45" s="3"/>
      <c r="L45" s="201"/>
      <c r="M45" s="2"/>
    </row>
    <row r="46" spans="1:13" ht="15.75" x14ac:dyDescent="0.25">
      <c r="A46" s="34"/>
      <c r="B46" s="34"/>
      <c r="C46" s="19"/>
      <c r="D46" s="34"/>
      <c r="E46" s="34"/>
      <c r="F46" s="3"/>
      <c r="G46" s="3"/>
      <c r="H46" s="3"/>
      <c r="I46" s="3"/>
      <c r="J46" s="3"/>
      <c r="K46" s="3"/>
      <c r="L46" s="201"/>
      <c r="M46" s="2"/>
    </row>
    <row r="47" spans="1:13" ht="15.75" x14ac:dyDescent="0.25">
      <c r="A47" s="34"/>
      <c r="B47" s="34"/>
      <c r="C47" s="19"/>
      <c r="D47" s="34"/>
      <c r="E47" s="34"/>
      <c r="F47" s="3"/>
      <c r="G47" s="3"/>
      <c r="H47" s="3"/>
      <c r="I47" s="3"/>
      <c r="J47" s="3"/>
      <c r="K47" s="3"/>
      <c r="L47" s="201"/>
      <c r="M47" s="2"/>
    </row>
    <row r="48" spans="1:13" ht="15.75" x14ac:dyDescent="0.25">
      <c r="A48" s="34"/>
      <c r="B48" s="34"/>
      <c r="C48" s="19"/>
      <c r="D48" s="34"/>
      <c r="E48" s="34"/>
      <c r="F48" s="3"/>
      <c r="G48" s="3"/>
      <c r="H48" s="3"/>
      <c r="I48" s="3"/>
      <c r="J48" s="3"/>
      <c r="K48" s="3"/>
      <c r="L48" s="201"/>
      <c r="M48" s="2"/>
    </row>
    <row r="49" spans="1:13" ht="15.75" x14ac:dyDescent="0.25">
      <c r="A49" s="34"/>
      <c r="B49" s="34"/>
      <c r="C49" s="19"/>
      <c r="D49" s="34"/>
      <c r="E49" s="34"/>
      <c r="F49" s="3"/>
      <c r="G49" s="3"/>
      <c r="H49" s="3"/>
      <c r="I49" s="3"/>
      <c r="J49" s="3"/>
      <c r="K49" s="3"/>
      <c r="L49" s="201"/>
      <c r="M49" s="2"/>
    </row>
    <row r="50" spans="1:13" ht="15.75" x14ac:dyDescent="0.25">
      <c r="A50" s="34"/>
      <c r="B50" s="34"/>
      <c r="C50" s="19"/>
      <c r="D50" s="34"/>
      <c r="E50" s="34"/>
      <c r="F50" s="3"/>
      <c r="G50" s="3"/>
      <c r="H50" s="3"/>
      <c r="I50" s="3"/>
      <c r="J50" s="3"/>
      <c r="K50" s="3"/>
      <c r="L50" s="201"/>
      <c r="M50" s="2"/>
    </row>
    <row r="51" spans="1:13" ht="15.75" x14ac:dyDescent="0.25">
      <c r="A51" s="34"/>
      <c r="B51" s="34"/>
      <c r="C51" s="19"/>
      <c r="D51" s="34"/>
      <c r="E51" s="34"/>
      <c r="F51" s="3"/>
      <c r="G51" s="3"/>
      <c r="H51" s="3"/>
      <c r="I51" s="3"/>
      <c r="J51" s="3"/>
      <c r="K51" s="3"/>
      <c r="L51" s="201"/>
      <c r="M51" s="2"/>
    </row>
    <row r="52" spans="1:13" ht="15.75" x14ac:dyDescent="0.25">
      <c r="A52" s="34"/>
      <c r="B52" s="34"/>
      <c r="C52" s="19"/>
      <c r="D52" s="34"/>
      <c r="E52" s="34"/>
      <c r="F52" s="3"/>
      <c r="G52" s="3"/>
      <c r="H52" s="3"/>
      <c r="I52" s="3"/>
      <c r="J52" s="3"/>
      <c r="K52" s="3"/>
      <c r="L52" s="201"/>
      <c r="M52" s="2"/>
    </row>
    <row r="53" spans="1:13" ht="15.75" x14ac:dyDescent="0.25">
      <c r="A53" s="34"/>
      <c r="B53" s="34"/>
      <c r="C53" s="19"/>
      <c r="D53" s="34"/>
      <c r="E53" s="34"/>
      <c r="F53" s="3"/>
      <c r="G53" s="3"/>
      <c r="H53" s="3"/>
      <c r="I53" s="3"/>
      <c r="J53" s="3"/>
      <c r="K53" s="3"/>
      <c r="L53" s="201"/>
      <c r="M53" s="2"/>
    </row>
    <row r="54" spans="1:13" ht="15.75" x14ac:dyDescent="0.25">
      <c r="A54" s="34"/>
      <c r="B54" s="34"/>
      <c r="C54" s="19"/>
      <c r="D54" s="34"/>
      <c r="E54" s="34"/>
      <c r="F54" s="3"/>
      <c r="G54" s="3"/>
      <c r="H54" s="3"/>
      <c r="I54" s="3"/>
      <c r="J54" s="3"/>
      <c r="K54" s="3"/>
      <c r="L54" s="201"/>
      <c r="M54" s="2"/>
    </row>
    <row r="55" spans="1:13" ht="15.75" x14ac:dyDescent="0.25">
      <c r="A55" s="34"/>
      <c r="B55" s="34"/>
      <c r="C55" s="19"/>
      <c r="D55" s="34"/>
      <c r="E55" s="34"/>
      <c r="F55" s="3"/>
      <c r="G55" s="3"/>
      <c r="H55" s="3"/>
      <c r="I55" s="3"/>
      <c r="J55" s="3"/>
      <c r="K55" s="3"/>
      <c r="L55" s="201"/>
      <c r="M55" s="2"/>
    </row>
    <row r="56" spans="1:13" ht="15.75" x14ac:dyDescent="0.25">
      <c r="A56" s="34"/>
      <c r="B56" s="34"/>
      <c r="C56" s="19"/>
      <c r="D56" s="34"/>
      <c r="E56" s="34"/>
      <c r="F56" s="3"/>
      <c r="G56" s="3"/>
      <c r="H56" s="3"/>
      <c r="I56" s="3"/>
      <c r="J56" s="3"/>
      <c r="K56" s="3"/>
      <c r="L56" s="201"/>
      <c r="M56" s="2"/>
    </row>
    <row r="57" spans="1:13" ht="15.75" x14ac:dyDescent="0.25">
      <c r="A57" s="34"/>
      <c r="B57" s="34"/>
      <c r="C57" s="19"/>
      <c r="D57" s="34"/>
      <c r="E57" s="34"/>
      <c r="F57" s="3"/>
      <c r="G57" s="3"/>
      <c r="H57" s="3"/>
      <c r="I57" s="3"/>
      <c r="J57" s="3"/>
      <c r="K57" s="3"/>
      <c r="L57" s="201"/>
      <c r="M57" s="2"/>
    </row>
    <row r="58" spans="1:13" ht="15.75" x14ac:dyDescent="0.25">
      <c r="A58" s="34"/>
      <c r="B58" s="34"/>
      <c r="C58" s="19"/>
      <c r="D58" s="34"/>
      <c r="E58" s="34"/>
      <c r="F58" s="3"/>
      <c r="G58" s="3"/>
      <c r="H58" s="3"/>
      <c r="I58" s="3"/>
      <c r="J58" s="3"/>
      <c r="K58" s="3"/>
      <c r="L58" s="201"/>
      <c r="M58" s="2"/>
    </row>
    <row r="59" spans="1:13" ht="15.75" x14ac:dyDescent="0.25">
      <c r="A59" s="34"/>
      <c r="B59" s="34"/>
      <c r="C59" s="19"/>
      <c r="D59" s="34"/>
      <c r="E59" s="34"/>
      <c r="F59" s="3"/>
      <c r="G59" s="3"/>
      <c r="H59" s="3"/>
      <c r="I59" s="3"/>
      <c r="J59" s="3"/>
      <c r="K59" s="3"/>
      <c r="L59" s="201"/>
      <c r="M59" s="2"/>
    </row>
    <row r="60" spans="1:13" ht="15.75" x14ac:dyDescent="0.25">
      <c r="A60" s="34"/>
      <c r="B60" s="34"/>
      <c r="C60" s="19"/>
      <c r="D60" s="34"/>
      <c r="E60" s="34"/>
      <c r="F60" s="3"/>
      <c r="G60" s="3"/>
      <c r="H60" s="3"/>
      <c r="I60" s="3"/>
      <c r="J60" s="3"/>
      <c r="K60" s="3"/>
      <c r="L60" s="201"/>
      <c r="M60" s="2"/>
    </row>
    <row r="61" spans="1:13" ht="15.75" x14ac:dyDescent="0.25">
      <c r="A61" s="34"/>
      <c r="B61" s="34"/>
      <c r="C61" s="19"/>
      <c r="D61" s="34"/>
      <c r="E61" s="34"/>
      <c r="F61" s="3"/>
      <c r="G61" s="3"/>
      <c r="H61" s="3"/>
      <c r="I61" s="3"/>
      <c r="J61" s="3"/>
      <c r="K61" s="3"/>
      <c r="L61" s="201"/>
      <c r="M61" s="2"/>
    </row>
    <row r="62" spans="1:13" ht="15.75" x14ac:dyDescent="0.25">
      <c r="A62" s="34"/>
      <c r="B62" s="34"/>
      <c r="C62" s="19"/>
      <c r="D62" s="34"/>
      <c r="E62" s="34"/>
      <c r="F62" s="3"/>
      <c r="G62" s="3"/>
      <c r="H62" s="3"/>
      <c r="I62" s="3"/>
      <c r="J62" s="3"/>
      <c r="K62" s="3"/>
      <c r="L62" s="201"/>
      <c r="M62" s="2"/>
    </row>
    <row r="63" spans="1:13" ht="15.75" x14ac:dyDescent="0.25">
      <c r="A63" s="34"/>
      <c r="B63" s="34"/>
      <c r="C63" s="19"/>
      <c r="D63" s="34"/>
      <c r="E63" s="34"/>
      <c r="F63" s="3"/>
      <c r="G63" s="3"/>
      <c r="H63" s="3"/>
      <c r="I63" s="3"/>
      <c r="J63" s="3"/>
      <c r="K63" s="3"/>
      <c r="L63" s="201"/>
      <c r="M63" s="2"/>
    </row>
    <row r="64" spans="1:13" ht="15.75" x14ac:dyDescent="0.25">
      <c r="A64" s="34"/>
      <c r="B64" s="34"/>
      <c r="C64" s="19"/>
      <c r="D64" s="34"/>
      <c r="E64" s="34"/>
      <c r="F64" s="3"/>
      <c r="G64" s="3"/>
      <c r="H64" s="3"/>
      <c r="I64" s="3"/>
      <c r="J64" s="3"/>
      <c r="K64" s="3"/>
      <c r="L64" s="201"/>
      <c r="M64" s="2"/>
    </row>
    <row r="65" spans="1:13" ht="15.75" x14ac:dyDescent="0.25">
      <c r="A65" s="34"/>
      <c r="B65" s="34"/>
      <c r="C65" s="19"/>
      <c r="D65" s="34"/>
      <c r="E65" s="34"/>
      <c r="F65" s="3"/>
      <c r="G65" s="3"/>
      <c r="H65" s="3"/>
      <c r="I65" s="3"/>
      <c r="J65" s="3"/>
      <c r="K65" s="3"/>
      <c r="L65" s="201"/>
      <c r="M65" s="2"/>
    </row>
    <row r="66" spans="1:13" ht="15.75" x14ac:dyDescent="0.25">
      <c r="A66" s="34"/>
      <c r="B66" s="34"/>
      <c r="C66" s="19"/>
      <c r="D66" s="34"/>
      <c r="E66" s="34"/>
      <c r="F66" s="3"/>
      <c r="G66" s="3"/>
      <c r="H66" s="3"/>
      <c r="I66" s="3"/>
      <c r="J66" s="3"/>
      <c r="K66" s="3"/>
      <c r="L66" s="201"/>
      <c r="M66" s="2"/>
    </row>
    <row r="67" spans="1:13" ht="15.75" x14ac:dyDescent="0.25">
      <c r="A67" s="34"/>
      <c r="B67" s="34"/>
      <c r="C67" s="19"/>
      <c r="D67" s="34"/>
      <c r="E67" s="34"/>
      <c r="F67" s="3"/>
      <c r="G67" s="3"/>
      <c r="H67" s="3"/>
      <c r="I67" s="3"/>
      <c r="J67" s="3"/>
      <c r="K67" s="3"/>
      <c r="L67" s="201"/>
      <c r="M67" s="2"/>
    </row>
    <row r="68" spans="1:13" ht="15.75" x14ac:dyDescent="0.25">
      <c r="A68" s="34"/>
      <c r="B68" s="34"/>
      <c r="C68" s="19"/>
      <c r="D68" s="34"/>
      <c r="E68" s="34"/>
      <c r="F68" s="3"/>
      <c r="G68" s="3"/>
      <c r="H68" s="3"/>
      <c r="I68" s="3"/>
      <c r="J68" s="3"/>
      <c r="K68" s="3"/>
      <c r="L68" s="201"/>
      <c r="M68" s="2"/>
    </row>
    <row r="69" spans="1:13" ht="15.75" x14ac:dyDescent="0.25">
      <c r="A69" s="34"/>
      <c r="B69" s="34"/>
      <c r="C69" s="19"/>
      <c r="D69" s="34"/>
      <c r="E69" s="34"/>
      <c r="F69" s="3"/>
      <c r="G69" s="3"/>
      <c r="H69" s="3"/>
      <c r="I69" s="3"/>
      <c r="J69" s="3"/>
      <c r="K69" s="3"/>
      <c r="L69" s="201"/>
      <c r="M69" s="2"/>
    </row>
    <row r="70" spans="1:13" ht="15.75" x14ac:dyDescent="0.25">
      <c r="A70" s="34"/>
      <c r="B70" s="34"/>
      <c r="C70" s="19"/>
      <c r="D70" s="34"/>
      <c r="E70" s="34"/>
      <c r="F70" s="3"/>
      <c r="G70" s="3"/>
      <c r="H70" s="3"/>
      <c r="I70" s="3"/>
      <c r="J70" s="3"/>
      <c r="K70" s="3"/>
      <c r="L70" s="201"/>
      <c r="M70" s="2"/>
    </row>
    <row r="71" spans="1:13" ht="15.75" x14ac:dyDescent="0.25">
      <c r="A71" s="34"/>
      <c r="B71" s="34"/>
      <c r="C71" s="19"/>
      <c r="D71" s="34"/>
      <c r="E71" s="34"/>
      <c r="F71" s="3"/>
      <c r="G71" s="3"/>
      <c r="H71" s="3"/>
      <c r="I71" s="3"/>
      <c r="J71" s="3"/>
      <c r="K71" s="3"/>
      <c r="L71" s="201"/>
      <c r="M71" s="2"/>
    </row>
    <row r="72" spans="1:13" ht="15.75" x14ac:dyDescent="0.25">
      <c r="A72" s="34"/>
      <c r="B72" s="34"/>
      <c r="C72" s="19"/>
      <c r="D72" s="34"/>
      <c r="E72" s="34"/>
      <c r="F72" s="3"/>
      <c r="G72" s="3"/>
      <c r="H72" s="3"/>
      <c r="I72" s="3"/>
      <c r="J72" s="3"/>
      <c r="K72" s="3"/>
      <c r="L72" s="201"/>
      <c r="M72" s="2"/>
    </row>
    <row r="73" spans="1:13" ht="15.75" x14ac:dyDescent="0.25">
      <c r="A73" s="34"/>
      <c r="B73" s="34"/>
      <c r="C73" s="19"/>
      <c r="D73" s="34"/>
      <c r="E73" s="34"/>
      <c r="F73" s="3"/>
      <c r="G73" s="3"/>
      <c r="H73" s="3"/>
      <c r="I73" s="3"/>
      <c r="J73" s="3"/>
      <c r="K73" s="3"/>
      <c r="L73" s="201"/>
      <c r="M73" s="2"/>
    </row>
    <row r="74" spans="1:13" ht="15.75" x14ac:dyDescent="0.25">
      <c r="A74" s="34"/>
      <c r="B74" s="34"/>
      <c r="C74" s="19"/>
      <c r="D74" s="34"/>
      <c r="E74" s="34"/>
      <c r="F74" s="3"/>
      <c r="G74" s="3"/>
      <c r="H74" s="3"/>
      <c r="I74" s="3"/>
      <c r="J74" s="3"/>
      <c r="K74" s="3"/>
      <c r="L74" s="201"/>
      <c r="M74" s="2"/>
    </row>
    <row r="75" spans="1:13" ht="15.75" x14ac:dyDescent="0.25">
      <c r="A75" s="34"/>
      <c r="B75" s="34"/>
      <c r="C75" s="19"/>
      <c r="D75" s="34"/>
      <c r="E75" s="34"/>
      <c r="F75" s="3"/>
      <c r="G75" s="3"/>
      <c r="H75" s="3"/>
      <c r="I75" s="3"/>
      <c r="J75" s="3"/>
      <c r="K75" s="3"/>
      <c r="L75" s="201"/>
      <c r="M75" s="2"/>
    </row>
    <row r="76" spans="1:13" ht="15.75" x14ac:dyDescent="0.25">
      <c r="A76" s="34"/>
      <c r="B76" s="34"/>
      <c r="C76" s="19"/>
      <c r="D76" s="34"/>
      <c r="E76" s="34"/>
      <c r="F76" s="3"/>
      <c r="G76" s="3"/>
      <c r="H76" s="3"/>
      <c r="I76" s="3"/>
      <c r="J76" s="3"/>
      <c r="K76" s="3"/>
      <c r="L76" s="201"/>
      <c r="M76" s="2"/>
    </row>
    <row r="77" spans="1:13" ht="15.75" x14ac:dyDescent="0.25">
      <c r="A77" s="34"/>
      <c r="B77" s="34"/>
      <c r="C77" s="19"/>
      <c r="D77" s="34"/>
      <c r="E77" s="34"/>
      <c r="F77" s="3"/>
      <c r="G77" s="3"/>
      <c r="H77" s="3"/>
      <c r="I77" s="3"/>
      <c r="J77" s="3"/>
      <c r="K77" s="3"/>
      <c r="L77" s="201"/>
      <c r="M77" s="2"/>
    </row>
    <row r="78" spans="1:13" ht="15.75" x14ac:dyDescent="0.25">
      <c r="A78" s="34"/>
      <c r="B78" s="34"/>
      <c r="C78" s="19"/>
      <c r="D78" s="34"/>
      <c r="E78" s="34"/>
      <c r="F78" s="3"/>
      <c r="G78" s="3"/>
      <c r="H78" s="3"/>
      <c r="I78" s="3"/>
      <c r="J78" s="3"/>
      <c r="K78" s="3"/>
      <c r="L78" s="201"/>
      <c r="M78" s="2"/>
    </row>
    <row r="79" spans="1:13" ht="15.75" x14ac:dyDescent="0.25">
      <c r="A79" s="34"/>
      <c r="B79" s="34"/>
      <c r="C79" s="19"/>
      <c r="D79" s="34"/>
      <c r="E79" s="34"/>
      <c r="F79" s="3"/>
      <c r="G79" s="3"/>
      <c r="H79" s="3"/>
      <c r="I79" s="3"/>
      <c r="J79" s="3"/>
      <c r="K79" s="3"/>
      <c r="L79" s="201"/>
      <c r="M79" s="2"/>
    </row>
    <row r="80" spans="1:13" ht="15.75" x14ac:dyDescent="0.25">
      <c r="A80" s="34"/>
      <c r="B80" s="34"/>
      <c r="C80" s="19"/>
      <c r="D80" s="34"/>
      <c r="E80" s="34"/>
      <c r="F80" s="3"/>
      <c r="G80" s="3"/>
      <c r="H80" s="3"/>
      <c r="I80" s="3"/>
      <c r="J80" s="3"/>
      <c r="K80" s="3"/>
      <c r="L80" s="201"/>
      <c r="M80" s="2"/>
    </row>
    <row r="81" spans="1:13" ht="15.75" x14ac:dyDescent="0.25">
      <c r="A81" s="34"/>
      <c r="B81" s="34"/>
      <c r="C81" s="19"/>
      <c r="D81" s="34"/>
      <c r="E81" s="34"/>
      <c r="F81" s="3"/>
      <c r="G81" s="3"/>
      <c r="H81" s="3"/>
      <c r="I81" s="3"/>
      <c r="J81" s="3"/>
      <c r="K81" s="3"/>
      <c r="L81" s="201"/>
      <c r="M81" s="2"/>
    </row>
    <row r="82" spans="1:13" ht="15.75" x14ac:dyDescent="0.25">
      <c r="A82" s="34"/>
      <c r="B82" s="34"/>
      <c r="C82" s="19"/>
      <c r="D82" s="34"/>
      <c r="E82" s="34"/>
      <c r="F82" s="3"/>
      <c r="G82" s="3"/>
      <c r="H82" s="3"/>
      <c r="I82" s="3"/>
      <c r="J82" s="3"/>
      <c r="K82" s="3"/>
      <c r="L82" s="201"/>
      <c r="M82" s="2"/>
    </row>
  </sheetData>
  <mergeCells count="5">
    <mergeCell ref="A1:K1"/>
    <mergeCell ref="D13:D14"/>
    <mergeCell ref="A13:A14"/>
    <mergeCell ref="E13:E14"/>
    <mergeCell ref="A15:D15"/>
  </mergeCells>
  <pageMargins left="0.16" right="0.16" top="0.89" bottom="0.23" header="0.3" footer="0.21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2"/>
  <sheetViews>
    <sheetView workbookViewId="0">
      <selection activeCell="H21" sqref="H21"/>
    </sheetView>
  </sheetViews>
  <sheetFormatPr defaultRowHeight="15" x14ac:dyDescent="0.25"/>
  <cols>
    <col min="1" max="1" width="5.140625" style="18" customWidth="1"/>
    <col min="2" max="2" width="10.7109375" style="18" customWidth="1"/>
    <col min="3" max="3" width="13.7109375" style="20" customWidth="1"/>
    <col min="4" max="4" width="14.140625" style="18" customWidth="1"/>
    <col min="5" max="5" width="14.85546875" style="136" customWidth="1"/>
    <col min="6" max="6" width="8.42578125" style="9" customWidth="1"/>
    <col min="7" max="7" width="12.7109375" style="9" bestFit="1" customWidth="1"/>
    <col min="8" max="8" width="10.140625" style="9" customWidth="1"/>
    <col min="9" max="9" width="13.85546875" style="9" customWidth="1"/>
    <col min="10" max="10" width="15.85546875" style="9" customWidth="1"/>
    <col min="11" max="11" width="13.85546875" style="9" customWidth="1"/>
    <col min="12" max="12" width="9.140625" style="204"/>
    <col min="13" max="13" width="9.140625" style="27"/>
    <col min="14" max="17" width="9.140625" style="8"/>
  </cols>
  <sheetData>
    <row r="1" spans="1:13" ht="26.25" thickBot="1" x14ac:dyDescent="0.3">
      <c r="A1" s="278" t="s">
        <v>13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</row>
    <row r="2" spans="1:13" ht="21.75" customHeight="1" thickBot="1" x14ac:dyDescent="0.3">
      <c r="A2" s="101" t="s">
        <v>1</v>
      </c>
      <c r="B2" s="102" t="s">
        <v>2</v>
      </c>
      <c r="C2" s="103" t="s">
        <v>3</v>
      </c>
      <c r="D2" s="104" t="s">
        <v>4</v>
      </c>
      <c r="E2" s="105" t="s">
        <v>5</v>
      </c>
      <c r="F2" s="106" t="s">
        <v>6</v>
      </c>
      <c r="G2" s="106" t="s">
        <v>7</v>
      </c>
      <c r="H2" s="107" t="s">
        <v>8</v>
      </c>
      <c r="I2" s="107" t="s">
        <v>9</v>
      </c>
      <c r="J2" s="107" t="s">
        <v>12</v>
      </c>
      <c r="K2" s="106" t="s">
        <v>10</v>
      </c>
    </row>
    <row r="3" spans="1:13" s="2" customFormat="1" ht="15.75" x14ac:dyDescent="0.25">
      <c r="A3" s="288">
        <v>1</v>
      </c>
      <c r="B3" s="148">
        <v>18564</v>
      </c>
      <c r="C3" s="149" t="s">
        <v>224</v>
      </c>
      <c r="D3" s="288" t="s">
        <v>138</v>
      </c>
      <c r="E3" s="288" t="s">
        <v>130</v>
      </c>
      <c r="F3" s="154"/>
      <c r="G3" s="154"/>
      <c r="H3" s="154"/>
      <c r="I3" s="154">
        <f>2*(87.5+36)</f>
        <v>247</v>
      </c>
      <c r="J3" s="154"/>
      <c r="K3" s="154">
        <f t="shared" ref="K3:K34" si="0">F3+G3+H3+I3+J3</f>
        <v>247</v>
      </c>
      <c r="L3" s="202"/>
      <c r="M3" s="25"/>
    </row>
    <row r="4" spans="1:13" s="2" customFormat="1" ht="15.75" x14ac:dyDescent="0.25">
      <c r="A4" s="281"/>
      <c r="B4" s="128">
        <v>18443</v>
      </c>
      <c r="C4" s="82" t="s">
        <v>225</v>
      </c>
      <c r="D4" s="281"/>
      <c r="E4" s="281"/>
      <c r="F4" s="1"/>
      <c r="G4" s="1"/>
      <c r="H4" s="1"/>
      <c r="I4" s="1">
        <f>4*(146.15+87.5)</f>
        <v>934.6</v>
      </c>
      <c r="J4" s="1"/>
      <c r="K4" s="154">
        <f t="shared" si="0"/>
        <v>934.6</v>
      </c>
      <c r="L4" s="202"/>
      <c r="M4" s="25"/>
    </row>
    <row r="5" spans="1:13" s="2" customFormat="1" ht="15.75" x14ac:dyDescent="0.25">
      <c r="A5" s="134">
        <v>2</v>
      </c>
      <c r="B5" s="128">
        <v>18508</v>
      </c>
      <c r="C5" s="82" t="s">
        <v>182</v>
      </c>
      <c r="D5" s="134" t="s">
        <v>217</v>
      </c>
      <c r="E5" s="133" t="s">
        <v>130</v>
      </c>
      <c r="F5" s="6"/>
      <c r="G5" s="6"/>
      <c r="H5" s="6"/>
      <c r="I5" s="6">
        <f>2*(146.15+87.5)</f>
        <v>467.3</v>
      </c>
      <c r="J5" s="6"/>
      <c r="K5" s="154">
        <f t="shared" si="0"/>
        <v>467.3</v>
      </c>
      <c r="L5" s="202"/>
      <c r="M5" s="25"/>
    </row>
    <row r="6" spans="1:13" s="2" customFormat="1" ht="15.75" x14ac:dyDescent="0.25">
      <c r="A6" s="134">
        <v>3</v>
      </c>
      <c r="B6" s="128">
        <v>18489</v>
      </c>
      <c r="C6" s="84">
        <v>43081</v>
      </c>
      <c r="D6" s="134" t="s">
        <v>131</v>
      </c>
      <c r="E6" s="133" t="s">
        <v>130</v>
      </c>
      <c r="F6" s="1"/>
      <c r="G6" s="6"/>
      <c r="H6" s="6"/>
      <c r="I6" s="6">
        <f>2*(87.5+40.89)</f>
        <v>256.77999999999997</v>
      </c>
      <c r="J6" s="6"/>
      <c r="K6" s="154">
        <f t="shared" si="0"/>
        <v>256.77999999999997</v>
      </c>
      <c r="L6" s="202"/>
      <c r="M6" s="25"/>
    </row>
    <row r="7" spans="1:13" s="2" customFormat="1" ht="15.75" x14ac:dyDescent="0.25">
      <c r="A7" s="134">
        <v>4</v>
      </c>
      <c r="B7" s="128">
        <v>18547</v>
      </c>
      <c r="C7" s="82" t="s">
        <v>193</v>
      </c>
      <c r="D7" s="134" t="s">
        <v>194</v>
      </c>
      <c r="E7" s="133" t="s">
        <v>94</v>
      </c>
      <c r="F7" s="1"/>
      <c r="G7" s="1"/>
      <c r="H7" s="1"/>
      <c r="I7" s="1">
        <f>4*(87.5+36)</f>
        <v>494</v>
      </c>
      <c r="J7" s="1"/>
      <c r="K7" s="154">
        <f t="shared" si="0"/>
        <v>494</v>
      </c>
      <c r="L7" s="202"/>
      <c r="M7" s="25"/>
    </row>
    <row r="8" spans="1:13" s="2" customFormat="1" ht="15.75" x14ac:dyDescent="0.25">
      <c r="A8" s="134">
        <v>5</v>
      </c>
      <c r="B8" s="128">
        <v>18622</v>
      </c>
      <c r="C8" s="82" t="s">
        <v>207</v>
      </c>
      <c r="D8" s="134" t="s">
        <v>226</v>
      </c>
      <c r="E8" s="133" t="s">
        <v>227</v>
      </c>
      <c r="F8" s="1"/>
      <c r="G8" s="1"/>
      <c r="H8" s="1"/>
      <c r="I8" s="1">
        <f>3*(40.89+36)</f>
        <v>230.67000000000002</v>
      </c>
      <c r="J8" s="1"/>
      <c r="K8" s="154">
        <f t="shared" si="0"/>
        <v>230.67000000000002</v>
      </c>
      <c r="L8" s="202"/>
      <c r="M8" s="25"/>
    </row>
    <row r="9" spans="1:13" s="2" customFormat="1" ht="15.75" x14ac:dyDescent="0.25">
      <c r="A9" s="134">
        <v>6</v>
      </c>
      <c r="B9" s="128">
        <v>18565</v>
      </c>
      <c r="C9" s="82" t="s">
        <v>193</v>
      </c>
      <c r="D9" s="134" t="s">
        <v>132</v>
      </c>
      <c r="E9" s="133" t="s">
        <v>133</v>
      </c>
      <c r="F9" s="1"/>
      <c r="G9" s="1"/>
      <c r="H9" s="1"/>
      <c r="I9" s="1">
        <f>2*(87.5+36)</f>
        <v>247</v>
      </c>
      <c r="J9" s="1"/>
      <c r="K9" s="154">
        <f t="shared" si="0"/>
        <v>247</v>
      </c>
      <c r="L9" s="202"/>
      <c r="M9" s="25"/>
    </row>
    <row r="10" spans="1:13" s="2" customFormat="1" ht="15.75" x14ac:dyDescent="0.25">
      <c r="A10" s="134">
        <v>7</v>
      </c>
      <c r="B10" s="128">
        <v>18614</v>
      </c>
      <c r="C10" s="82" t="s">
        <v>228</v>
      </c>
      <c r="D10" s="134" t="s">
        <v>229</v>
      </c>
      <c r="E10" s="133" t="s">
        <v>88</v>
      </c>
      <c r="F10" s="1"/>
      <c r="G10" s="1"/>
      <c r="H10" s="1"/>
      <c r="I10" s="1">
        <f>16*(87.5+36)</f>
        <v>1976</v>
      </c>
      <c r="J10" s="1"/>
      <c r="K10" s="154">
        <f t="shared" si="0"/>
        <v>1976</v>
      </c>
      <c r="L10" s="202"/>
      <c r="M10" s="25"/>
    </row>
    <row r="11" spans="1:13" s="2" customFormat="1" ht="15.75" x14ac:dyDescent="0.25">
      <c r="A11" s="134">
        <v>8</v>
      </c>
      <c r="B11" s="128">
        <v>18590</v>
      </c>
      <c r="C11" s="82" t="s">
        <v>197</v>
      </c>
      <c r="D11" s="134" t="s">
        <v>210</v>
      </c>
      <c r="E11" s="133" t="s">
        <v>88</v>
      </c>
      <c r="F11" s="1"/>
      <c r="G11" s="1"/>
      <c r="H11" s="1"/>
      <c r="I11" s="1">
        <f>2*(87.5+36)</f>
        <v>247</v>
      </c>
      <c r="J11" s="1"/>
      <c r="K11" s="154">
        <f t="shared" si="0"/>
        <v>247</v>
      </c>
      <c r="L11" s="202"/>
      <c r="M11" s="25"/>
    </row>
    <row r="12" spans="1:13" s="2" customFormat="1" ht="15.75" x14ac:dyDescent="0.25">
      <c r="A12" s="281">
        <v>9</v>
      </c>
      <c r="B12" s="128">
        <v>18577</v>
      </c>
      <c r="C12" s="82" t="s">
        <v>230</v>
      </c>
      <c r="D12" s="281" t="s">
        <v>147</v>
      </c>
      <c r="E12" s="281" t="s">
        <v>88</v>
      </c>
      <c r="F12" s="1"/>
      <c r="G12" s="1"/>
      <c r="H12" s="1"/>
      <c r="I12" s="1">
        <f>2*(40.89+36)</f>
        <v>153.78</v>
      </c>
      <c r="J12" s="1"/>
      <c r="K12" s="154">
        <f t="shared" si="0"/>
        <v>153.78</v>
      </c>
      <c r="L12" s="202"/>
      <c r="M12" s="25"/>
    </row>
    <row r="13" spans="1:13" s="2" customFormat="1" ht="15.75" x14ac:dyDescent="0.25">
      <c r="A13" s="281"/>
      <c r="B13" s="128">
        <v>18445</v>
      </c>
      <c r="C13" s="82" t="s">
        <v>233</v>
      </c>
      <c r="D13" s="281"/>
      <c r="E13" s="281"/>
      <c r="F13" s="1"/>
      <c r="G13" s="1"/>
      <c r="H13" s="1"/>
      <c r="I13" s="1">
        <f>4*(87.5+40.89)</f>
        <v>513.55999999999995</v>
      </c>
      <c r="J13" s="1"/>
      <c r="K13" s="154">
        <f t="shared" si="0"/>
        <v>513.55999999999995</v>
      </c>
      <c r="L13" s="202"/>
      <c r="M13" s="25"/>
    </row>
    <row r="14" spans="1:13" s="2" customFormat="1" ht="15.75" x14ac:dyDescent="0.25">
      <c r="A14" s="281"/>
      <c r="B14" s="128">
        <v>18551</v>
      </c>
      <c r="C14" s="82" t="s">
        <v>191</v>
      </c>
      <c r="D14" s="281"/>
      <c r="E14" s="281"/>
      <c r="F14" s="1"/>
      <c r="G14" s="1"/>
      <c r="H14" s="1"/>
      <c r="I14" s="1">
        <f>1*(87.5+40.89)</f>
        <v>128.38999999999999</v>
      </c>
      <c r="J14" s="1"/>
      <c r="K14" s="154">
        <f t="shared" si="0"/>
        <v>128.38999999999999</v>
      </c>
      <c r="L14" s="202"/>
      <c r="M14" s="25"/>
    </row>
    <row r="15" spans="1:13" s="2" customFormat="1" ht="15.75" x14ac:dyDescent="0.25">
      <c r="A15" s="134">
        <v>10</v>
      </c>
      <c r="B15" s="128">
        <v>18478</v>
      </c>
      <c r="C15" s="82" t="s">
        <v>176</v>
      </c>
      <c r="D15" s="134" t="s">
        <v>222</v>
      </c>
      <c r="E15" s="133" t="s">
        <v>88</v>
      </c>
      <c r="F15" s="1"/>
      <c r="G15" s="1"/>
      <c r="H15" s="1"/>
      <c r="I15" s="1">
        <f>1*(87.5+36)</f>
        <v>123.5</v>
      </c>
      <c r="J15" s="1"/>
      <c r="K15" s="154">
        <f t="shared" si="0"/>
        <v>123.5</v>
      </c>
      <c r="L15" s="202"/>
      <c r="M15" s="25"/>
    </row>
    <row r="16" spans="1:13" s="2" customFormat="1" ht="15.75" x14ac:dyDescent="0.25">
      <c r="A16" s="134">
        <v>11</v>
      </c>
      <c r="B16" s="128">
        <v>18455</v>
      </c>
      <c r="C16" s="82" t="s">
        <v>231</v>
      </c>
      <c r="D16" s="134" t="s">
        <v>232</v>
      </c>
      <c r="E16" s="133" t="s">
        <v>88</v>
      </c>
      <c r="F16" s="1"/>
      <c r="G16" s="1"/>
      <c r="H16" s="1"/>
      <c r="I16" s="1">
        <f>2*(40.89+36)</f>
        <v>153.78</v>
      </c>
      <c r="J16" s="1"/>
      <c r="K16" s="154">
        <f t="shared" si="0"/>
        <v>153.78</v>
      </c>
      <c r="L16" s="202"/>
      <c r="M16" s="25"/>
    </row>
    <row r="17" spans="1:13" s="2" customFormat="1" ht="15.75" x14ac:dyDescent="0.25">
      <c r="A17" s="134">
        <v>12</v>
      </c>
      <c r="B17" s="128">
        <v>18504</v>
      </c>
      <c r="C17" s="82" t="s">
        <v>172</v>
      </c>
      <c r="D17" s="134" t="s">
        <v>234</v>
      </c>
      <c r="E17" s="133" t="s">
        <v>88</v>
      </c>
      <c r="F17" s="1"/>
      <c r="G17" s="1"/>
      <c r="H17" s="1"/>
      <c r="I17" s="1">
        <f>3*87.5</f>
        <v>262.5</v>
      </c>
      <c r="J17" s="1"/>
      <c r="K17" s="154">
        <f t="shared" si="0"/>
        <v>262.5</v>
      </c>
      <c r="L17" s="202"/>
      <c r="M17" s="25"/>
    </row>
    <row r="18" spans="1:13" s="2" customFormat="1" ht="15.75" x14ac:dyDescent="0.25">
      <c r="A18" s="134">
        <v>13</v>
      </c>
      <c r="B18" s="128">
        <v>18461</v>
      </c>
      <c r="C18" s="82" t="s">
        <v>179</v>
      </c>
      <c r="D18" s="134" t="s">
        <v>235</v>
      </c>
      <c r="E18" s="133" t="s">
        <v>88</v>
      </c>
      <c r="F18" s="1"/>
      <c r="G18" s="1"/>
      <c r="H18" s="1"/>
      <c r="I18" s="1">
        <f>4*(87.5+40.89)</f>
        <v>513.55999999999995</v>
      </c>
      <c r="J18" s="1"/>
      <c r="K18" s="154">
        <f t="shared" si="0"/>
        <v>513.55999999999995</v>
      </c>
      <c r="L18" s="202"/>
      <c r="M18" s="25"/>
    </row>
    <row r="19" spans="1:13" s="2" customFormat="1" ht="15.75" x14ac:dyDescent="0.25">
      <c r="A19" s="134">
        <v>14</v>
      </c>
      <c r="B19" s="128">
        <v>18444</v>
      </c>
      <c r="C19" s="82" t="s">
        <v>225</v>
      </c>
      <c r="D19" s="134" t="s">
        <v>236</v>
      </c>
      <c r="E19" s="133" t="s">
        <v>88</v>
      </c>
      <c r="F19" s="1"/>
      <c r="G19" s="1"/>
      <c r="H19" s="1"/>
      <c r="I19" s="1">
        <f>4*(87.5+87.5)</f>
        <v>700</v>
      </c>
      <c r="J19" s="1"/>
      <c r="K19" s="154">
        <f t="shared" si="0"/>
        <v>700</v>
      </c>
      <c r="L19" s="202"/>
      <c r="M19" s="25"/>
    </row>
    <row r="20" spans="1:13" s="2" customFormat="1" ht="15.75" x14ac:dyDescent="0.25">
      <c r="A20" s="134">
        <v>15</v>
      </c>
      <c r="B20" s="128">
        <v>18615</v>
      </c>
      <c r="C20" s="82" t="s">
        <v>228</v>
      </c>
      <c r="D20" s="134" t="s">
        <v>145</v>
      </c>
      <c r="E20" s="133" t="s">
        <v>137</v>
      </c>
      <c r="F20" s="1"/>
      <c r="G20" s="1"/>
      <c r="H20" s="1"/>
      <c r="I20" s="1">
        <f>4*(146.15+40.89)</f>
        <v>748.16000000000008</v>
      </c>
      <c r="J20" s="1"/>
      <c r="K20" s="154">
        <f t="shared" si="0"/>
        <v>748.16000000000008</v>
      </c>
      <c r="L20" s="202"/>
      <c r="M20" s="25"/>
    </row>
    <row r="21" spans="1:13" s="2" customFormat="1" ht="15.75" x14ac:dyDescent="0.25">
      <c r="A21" s="134">
        <v>16</v>
      </c>
      <c r="B21" s="128">
        <v>18467</v>
      </c>
      <c r="C21" s="82" t="s">
        <v>237</v>
      </c>
      <c r="D21" s="134" t="s">
        <v>238</v>
      </c>
      <c r="E21" s="133" t="s">
        <v>239</v>
      </c>
      <c r="F21" s="1"/>
      <c r="G21" s="1"/>
      <c r="H21" s="1"/>
      <c r="I21" s="1">
        <f>2*146.15</f>
        <v>292.3</v>
      </c>
      <c r="J21" s="1"/>
      <c r="K21" s="154">
        <f t="shared" si="0"/>
        <v>292.3</v>
      </c>
      <c r="L21" s="202"/>
      <c r="M21" s="25"/>
    </row>
    <row r="22" spans="1:13" s="2" customFormat="1" ht="15.75" x14ac:dyDescent="0.25">
      <c r="A22" s="134">
        <v>17</v>
      </c>
      <c r="B22" s="128">
        <v>18539</v>
      </c>
      <c r="C22" s="82" t="s">
        <v>190</v>
      </c>
      <c r="D22" s="134" t="s">
        <v>141</v>
      </c>
      <c r="E22" s="133" t="s">
        <v>142</v>
      </c>
      <c r="F22" s="1"/>
      <c r="G22" s="1"/>
      <c r="H22" s="1"/>
      <c r="I22" s="1">
        <f>2*40.89</f>
        <v>81.78</v>
      </c>
      <c r="J22" s="1"/>
      <c r="K22" s="154">
        <f t="shared" si="0"/>
        <v>81.78</v>
      </c>
      <c r="L22" s="202"/>
      <c r="M22" s="25"/>
    </row>
    <row r="23" spans="1:13" s="2" customFormat="1" ht="15.75" x14ac:dyDescent="0.25">
      <c r="A23" s="134">
        <v>18</v>
      </c>
      <c r="B23" s="128">
        <v>18549</v>
      </c>
      <c r="C23" s="82" t="s">
        <v>191</v>
      </c>
      <c r="D23" s="134" t="s">
        <v>205</v>
      </c>
      <c r="E23" s="133" t="s">
        <v>94</v>
      </c>
      <c r="F23" s="1"/>
      <c r="G23" s="1"/>
      <c r="H23" s="1"/>
      <c r="I23" s="1">
        <f>2*(87.5+36)</f>
        <v>247</v>
      </c>
      <c r="J23" s="1"/>
      <c r="K23" s="154">
        <f t="shared" si="0"/>
        <v>247</v>
      </c>
      <c r="L23" s="202"/>
      <c r="M23" s="25"/>
    </row>
    <row r="24" spans="1:13" s="2" customFormat="1" ht="15.75" x14ac:dyDescent="0.25">
      <c r="A24" s="134">
        <v>19</v>
      </c>
      <c r="B24" s="128">
        <v>18550</v>
      </c>
      <c r="C24" s="82" t="s">
        <v>191</v>
      </c>
      <c r="D24" s="134" t="s">
        <v>240</v>
      </c>
      <c r="E24" s="133" t="s">
        <v>241</v>
      </c>
      <c r="F24" s="1"/>
      <c r="G24" s="1">
        <f>2*20105.59+1*13500</f>
        <v>53711.18</v>
      </c>
      <c r="H24" s="1"/>
      <c r="I24" s="1">
        <f>2*(40.89+36)</f>
        <v>153.78</v>
      </c>
      <c r="J24" s="1"/>
      <c r="K24" s="154">
        <f t="shared" si="0"/>
        <v>53864.959999999999</v>
      </c>
      <c r="L24" s="202"/>
      <c r="M24" s="25"/>
    </row>
    <row r="25" spans="1:13" s="2" customFormat="1" ht="15.75" x14ac:dyDescent="0.25">
      <c r="A25" s="281">
        <v>20</v>
      </c>
      <c r="B25" s="128">
        <v>18534</v>
      </c>
      <c r="C25" s="82" t="s">
        <v>190</v>
      </c>
      <c r="D25" s="281" t="s">
        <v>120</v>
      </c>
      <c r="E25" s="281" t="s">
        <v>121</v>
      </c>
      <c r="F25" s="1"/>
      <c r="G25" s="1"/>
      <c r="H25" s="1"/>
      <c r="I25" s="1">
        <f>4*(87.5+36)</f>
        <v>494</v>
      </c>
      <c r="J25" s="1"/>
      <c r="K25" s="154">
        <f t="shared" si="0"/>
        <v>494</v>
      </c>
      <c r="L25" s="202"/>
      <c r="M25" s="25"/>
    </row>
    <row r="26" spans="1:13" s="2" customFormat="1" ht="15.75" x14ac:dyDescent="0.25">
      <c r="A26" s="281"/>
      <c r="B26" s="128">
        <v>18507</v>
      </c>
      <c r="C26" s="82" t="s">
        <v>182</v>
      </c>
      <c r="D26" s="281"/>
      <c r="E26" s="281"/>
      <c r="F26" s="1"/>
      <c r="G26" s="1"/>
      <c r="H26" s="1"/>
      <c r="I26" s="1">
        <f>1*(146.15+40.89)</f>
        <v>187.04000000000002</v>
      </c>
      <c r="J26" s="1"/>
      <c r="K26" s="154">
        <f t="shared" si="0"/>
        <v>187.04000000000002</v>
      </c>
      <c r="L26" s="202"/>
      <c r="M26" s="25"/>
    </row>
    <row r="27" spans="1:13" s="2" customFormat="1" ht="15.75" x14ac:dyDescent="0.25">
      <c r="A27" s="281"/>
      <c r="B27" s="128">
        <v>18612</v>
      </c>
      <c r="C27" s="82" t="s">
        <v>228</v>
      </c>
      <c r="D27" s="281"/>
      <c r="E27" s="281"/>
      <c r="F27" s="1"/>
      <c r="G27" s="1"/>
      <c r="H27" s="1"/>
      <c r="I27" s="1">
        <f>3*(100.96+87.5)</f>
        <v>565.37999999999988</v>
      </c>
      <c r="J27" s="1"/>
      <c r="K27" s="154">
        <f t="shared" si="0"/>
        <v>565.37999999999988</v>
      </c>
      <c r="L27" s="202"/>
      <c r="M27" s="25"/>
    </row>
    <row r="28" spans="1:13" s="2" customFormat="1" ht="15.75" x14ac:dyDescent="0.25">
      <c r="A28" s="134">
        <v>21</v>
      </c>
      <c r="B28" s="128">
        <v>18543</v>
      </c>
      <c r="C28" s="82" t="s">
        <v>189</v>
      </c>
      <c r="D28" s="134" t="s">
        <v>196</v>
      </c>
      <c r="E28" s="133" t="s">
        <v>94</v>
      </c>
      <c r="F28" s="1"/>
      <c r="G28" s="1"/>
      <c r="H28" s="1"/>
      <c r="I28" s="1">
        <f>4*(100.96+36)</f>
        <v>547.83999999999992</v>
      </c>
      <c r="J28" s="1"/>
      <c r="K28" s="154">
        <f t="shared" si="0"/>
        <v>547.83999999999992</v>
      </c>
      <c r="L28" s="202"/>
      <c r="M28" s="25"/>
    </row>
    <row r="29" spans="1:13" s="2" customFormat="1" ht="15.75" x14ac:dyDescent="0.25">
      <c r="A29" s="134">
        <v>22</v>
      </c>
      <c r="B29" s="128">
        <v>18523</v>
      </c>
      <c r="C29" s="82" t="s">
        <v>184</v>
      </c>
      <c r="D29" s="134" t="s">
        <v>242</v>
      </c>
      <c r="E29" s="133" t="s">
        <v>94</v>
      </c>
      <c r="F29" s="1"/>
      <c r="G29" s="1"/>
      <c r="H29" s="1"/>
      <c r="I29" s="1">
        <f>2*(87.5+40.89)</f>
        <v>256.77999999999997</v>
      </c>
      <c r="J29" s="1"/>
      <c r="K29" s="154">
        <f t="shared" si="0"/>
        <v>256.77999999999997</v>
      </c>
      <c r="L29" s="202"/>
      <c r="M29" s="25"/>
    </row>
    <row r="30" spans="1:13" s="2" customFormat="1" ht="15.75" x14ac:dyDescent="0.25">
      <c r="A30" s="281">
        <v>23</v>
      </c>
      <c r="B30" s="128">
        <v>18524</v>
      </c>
      <c r="C30" s="82" t="s">
        <v>184</v>
      </c>
      <c r="D30" s="281" t="s">
        <v>185</v>
      </c>
      <c r="E30" s="281" t="s">
        <v>243</v>
      </c>
      <c r="F30" s="1"/>
      <c r="G30" s="1"/>
      <c r="H30" s="1"/>
      <c r="I30" s="1">
        <f>3*(87.5+36)</f>
        <v>370.5</v>
      </c>
      <c r="J30" s="1"/>
      <c r="K30" s="154">
        <f t="shared" si="0"/>
        <v>370.5</v>
      </c>
      <c r="L30" s="202"/>
      <c r="M30" s="25"/>
    </row>
    <row r="31" spans="1:13" s="2" customFormat="1" ht="15.75" x14ac:dyDescent="0.25">
      <c r="A31" s="281"/>
      <c r="B31" s="128">
        <v>18439</v>
      </c>
      <c r="C31" s="82" t="s">
        <v>245</v>
      </c>
      <c r="D31" s="281"/>
      <c r="E31" s="281"/>
      <c r="F31" s="1"/>
      <c r="G31" s="1"/>
      <c r="H31" s="1"/>
      <c r="I31" s="1">
        <f>4*(87.5+40.89)</f>
        <v>513.55999999999995</v>
      </c>
      <c r="J31" s="1"/>
      <c r="K31" s="154">
        <f t="shared" si="0"/>
        <v>513.55999999999995</v>
      </c>
      <c r="L31" s="202"/>
      <c r="M31" s="25"/>
    </row>
    <row r="32" spans="1:13" s="2" customFormat="1" ht="15.75" x14ac:dyDescent="0.25">
      <c r="A32" s="134">
        <v>24</v>
      </c>
      <c r="B32" s="128">
        <v>18522</v>
      </c>
      <c r="C32" s="82" t="s">
        <v>184</v>
      </c>
      <c r="D32" s="134" t="s">
        <v>127</v>
      </c>
      <c r="E32" s="133" t="s">
        <v>94</v>
      </c>
      <c r="F32" s="1"/>
      <c r="G32" s="1"/>
      <c r="H32" s="1"/>
      <c r="I32" s="1">
        <f>2*(87.5+36)</f>
        <v>247</v>
      </c>
      <c r="J32" s="1"/>
      <c r="K32" s="154">
        <f t="shared" si="0"/>
        <v>247</v>
      </c>
      <c r="L32" s="202"/>
      <c r="M32" s="25"/>
    </row>
    <row r="33" spans="1:13" s="2" customFormat="1" ht="15.75" x14ac:dyDescent="0.25">
      <c r="A33" s="134">
        <v>25</v>
      </c>
      <c r="B33" s="128">
        <v>18514</v>
      </c>
      <c r="C33" s="82" t="s">
        <v>184</v>
      </c>
      <c r="D33" s="134" t="s">
        <v>122</v>
      </c>
      <c r="E33" s="133" t="s">
        <v>123</v>
      </c>
      <c r="F33" s="1"/>
      <c r="G33" s="1"/>
      <c r="H33" s="1"/>
      <c r="I33" s="1">
        <f>2*(87.5+36)</f>
        <v>247</v>
      </c>
      <c r="J33" s="1"/>
      <c r="K33" s="154">
        <f t="shared" si="0"/>
        <v>247</v>
      </c>
      <c r="L33" s="202"/>
      <c r="M33" s="25"/>
    </row>
    <row r="34" spans="1:13" s="2" customFormat="1" ht="15.75" x14ac:dyDescent="0.25">
      <c r="A34" s="250">
        <v>26</v>
      </c>
      <c r="B34" s="262">
        <v>18492</v>
      </c>
      <c r="C34" s="263" t="s">
        <v>219</v>
      </c>
      <c r="D34" s="250" t="s">
        <v>149</v>
      </c>
      <c r="E34" s="248" t="s">
        <v>94</v>
      </c>
      <c r="F34" s="156"/>
      <c r="G34" s="156"/>
      <c r="H34" s="156"/>
      <c r="I34" s="156">
        <f>2*(87.5+40.89)</f>
        <v>256.77999999999997</v>
      </c>
      <c r="J34" s="156"/>
      <c r="K34" s="183">
        <f t="shared" si="0"/>
        <v>256.77999999999997</v>
      </c>
      <c r="L34" s="202"/>
      <c r="M34" s="25"/>
    </row>
    <row r="35" spans="1:13" s="2" customFormat="1" ht="15.75" x14ac:dyDescent="0.25">
      <c r="A35" s="249">
        <v>27</v>
      </c>
      <c r="B35" s="189">
        <v>18486</v>
      </c>
      <c r="C35" s="190" t="s">
        <v>221</v>
      </c>
      <c r="D35" s="249" t="s">
        <v>244</v>
      </c>
      <c r="E35" s="247" t="s">
        <v>109</v>
      </c>
      <c r="F35" s="191"/>
      <c r="G35" s="191"/>
      <c r="H35" s="191"/>
      <c r="I35" s="191">
        <f>4*(87.5+40.89)</f>
        <v>513.55999999999995</v>
      </c>
      <c r="J35" s="191"/>
      <c r="K35" s="191">
        <f t="shared" ref="K35:K56" si="1">F35+G35+H35+I35+J35</f>
        <v>513.55999999999995</v>
      </c>
      <c r="L35" s="202"/>
      <c r="M35" s="25"/>
    </row>
    <row r="36" spans="1:13" s="2" customFormat="1" ht="15.75" x14ac:dyDescent="0.25">
      <c r="A36" s="281">
        <v>28</v>
      </c>
      <c r="B36" s="189">
        <v>18484</v>
      </c>
      <c r="C36" s="190" t="s">
        <v>176</v>
      </c>
      <c r="D36" s="281" t="s">
        <v>174</v>
      </c>
      <c r="E36" s="281" t="s">
        <v>175</v>
      </c>
      <c r="F36" s="191"/>
      <c r="G36" s="191"/>
      <c r="H36" s="191"/>
      <c r="I36" s="191">
        <f>2*(87.5+40.89)</f>
        <v>256.77999999999997</v>
      </c>
      <c r="J36" s="191"/>
      <c r="K36" s="154">
        <f t="shared" si="1"/>
        <v>256.77999999999997</v>
      </c>
      <c r="L36" s="202"/>
      <c r="M36" s="25"/>
    </row>
    <row r="37" spans="1:13" s="2" customFormat="1" ht="15.75" x14ac:dyDescent="0.25">
      <c r="A37" s="281"/>
      <c r="B37" s="189">
        <v>18542</v>
      </c>
      <c r="C37" s="190" t="s">
        <v>189</v>
      </c>
      <c r="D37" s="281"/>
      <c r="E37" s="281"/>
      <c r="F37" s="191"/>
      <c r="G37" s="191">
        <f>1*4480.1+2*4500</f>
        <v>13480.1</v>
      </c>
      <c r="H37" s="191"/>
      <c r="I37" s="191">
        <f>4*(87.5+40.89)</f>
        <v>513.55999999999995</v>
      </c>
      <c r="J37" s="191"/>
      <c r="K37" s="154">
        <f t="shared" si="1"/>
        <v>13993.66</v>
      </c>
      <c r="L37" s="202"/>
      <c r="M37" s="25"/>
    </row>
    <row r="38" spans="1:13" s="2" customFormat="1" ht="15.75" x14ac:dyDescent="0.25">
      <c r="A38" s="134">
        <v>29</v>
      </c>
      <c r="B38" s="128">
        <v>18526</v>
      </c>
      <c r="C38" s="82" t="s">
        <v>187</v>
      </c>
      <c r="D38" s="134" t="s">
        <v>246</v>
      </c>
      <c r="E38" s="133" t="s">
        <v>247</v>
      </c>
      <c r="F38" s="1"/>
      <c r="G38" s="1"/>
      <c r="H38" s="1"/>
      <c r="I38" s="1">
        <f>4*(87.5+40.89)</f>
        <v>513.55999999999995</v>
      </c>
      <c r="J38" s="1"/>
      <c r="K38" s="154">
        <f t="shared" si="1"/>
        <v>513.55999999999995</v>
      </c>
      <c r="L38" s="202"/>
      <c r="M38" s="25"/>
    </row>
    <row r="39" spans="1:13" s="2" customFormat="1" ht="15.75" x14ac:dyDescent="0.25">
      <c r="A39" s="134">
        <v>30</v>
      </c>
      <c r="B39" s="128">
        <v>18490</v>
      </c>
      <c r="C39" s="82" t="s">
        <v>219</v>
      </c>
      <c r="D39" s="134" t="s">
        <v>248</v>
      </c>
      <c r="E39" s="133" t="s">
        <v>99</v>
      </c>
      <c r="F39" s="1"/>
      <c r="G39" s="1"/>
      <c r="H39" s="1"/>
      <c r="I39" s="1">
        <f>4*(87.5+40.89)</f>
        <v>513.55999999999995</v>
      </c>
      <c r="J39" s="1"/>
      <c r="K39" s="154">
        <f t="shared" si="1"/>
        <v>513.55999999999995</v>
      </c>
      <c r="L39" s="202"/>
      <c r="M39" s="25"/>
    </row>
    <row r="40" spans="1:13" s="2" customFormat="1" ht="15.75" x14ac:dyDescent="0.25">
      <c r="A40" s="134">
        <v>31</v>
      </c>
      <c r="B40" s="128">
        <v>18532</v>
      </c>
      <c r="C40" s="82" t="s">
        <v>187</v>
      </c>
      <c r="D40" s="134" t="s">
        <v>249</v>
      </c>
      <c r="E40" s="133" t="s">
        <v>250</v>
      </c>
      <c r="F40" s="1"/>
      <c r="G40" s="1"/>
      <c r="H40" s="1"/>
      <c r="I40" s="1">
        <f>2*(40.89+87.5)</f>
        <v>256.77999999999997</v>
      </c>
      <c r="J40" s="1"/>
      <c r="K40" s="154">
        <f t="shared" si="1"/>
        <v>256.77999999999997</v>
      </c>
      <c r="L40" s="202"/>
      <c r="M40" s="25"/>
    </row>
    <row r="41" spans="1:13" s="2" customFormat="1" ht="15.75" x14ac:dyDescent="0.25">
      <c r="A41" s="134">
        <v>32</v>
      </c>
      <c r="B41" s="128">
        <v>18600</v>
      </c>
      <c r="C41" s="82" t="s">
        <v>201</v>
      </c>
      <c r="D41" s="134" t="s">
        <v>206</v>
      </c>
      <c r="E41" s="133" t="s">
        <v>123</v>
      </c>
      <c r="F41" s="1"/>
      <c r="G41" s="1"/>
      <c r="H41" s="1"/>
      <c r="I41" s="1">
        <f>2*(87.5+36)</f>
        <v>247</v>
      </c>
      <c r="J41" s="1"/>
      <c r="K41" s="154">
        <f t="shared" si="1"/>
        <v>247</v>
      </c>
      <c r="L41" s="202"/>
      <c r="M41" s="25"/>
    </row>
    <row r="42" spans="1:13" s="2" customFormat="1" ht="15.75" x14ac:dyDescent="0.25">
      <c r="A42" s="142">
        <v>33</v>
      </c>
      <c r="B42" s="142">
        <v>18485</v>
      </c>
      <c r="C42" s="160" t="s">
        <v>251</v>
      </c>
      <c r="D42" s="142" t="s">
        <v>111</v>
      </c>
      <c r="E42" s="161" t="s">
        <v>88</v>
      </c>
      <c r="F42" s="162"/>
      <c r="G42" s="162"/>
      <c r="H42" s="162"/>
      <c r="I42" s="162">
        <f>2*(146.15+87.5)</f>
        <v>467.3</v>
      </c>
      <c r="J42" s="162"/>
      <c r="K42" s="163">
        <f t="shared" si="1"/>
        <v>467.3</v>
      </c>
      <c r="L42" s="202"/>
      <c r="M42" s="25"/>
    </row>
    <row r="43" spans="1:13" s="2" customFormat="1" ht="15.75" x14ac:dyDescent="0.25">
      <c r="A43" s="281">
        <v>34</v>
      </c>
      <c r="B43" s="128">
        <v>18573</v>
      </c>
      <c r="C43" s="82" t="s">
        <v>230</v>
      </c>
      <c r="D43" s="281" t="s">
        <v>112</v>
      </c>
      <c r="E43" s="281" t="s">
        <v>106</v>
      </c>
      <c r="F43" s="1"/>
      <c r="G43" s="1"/>
      <c r="H43" s="1"/>
      <c r="I43" s="1">
        <f>2*(87.5+40.89)</f>
        <v>256.77999999999997</v>
      </c>
      <c r="J43" s="1"/>
      <c r="K43" s="154">
        <f t="shared" si="1"/>
        <v>256.77999999999997</v>
      </c>
      <c r="L43" s="202"/>
      <c r="M43" s="25"/>
    </row>
    <row r="44" spans="1:13" s="2" customFormat="1" ht="15.75" x14ac:dyDescent="0.25">
      <c r="A44" s="281"/>
      <c r="B44" s="128">
        <v>18505</v>
      </c>
      <c r="C44" s="82" t="s">
        <v>172</v>
      </c>
      <c r="D44" s="281"/>
      <c r="E44" s="281"/>
      <c r="F44" s="1"/>
      <c r="G44" s="1"/>
      <c r="H44" s="1"/>
      <c r="I44" s="1">
        <f>2*(87.5+40.89)</f>
        <v>256.77999999999997</v>
      </c>
      <c r="J44" s="1"/>
      <c r="K44" s="154">
        <f t="shared" si="1"/>
        <v>256.77999999999997</v>
      </c>
      <c r="L44" s="202"/>
      <c r="M44" s="25"/>
    </row>
    <row r="45" spans="1:13" s="2" customFormat="1" ht="15.75" x14ac:dyDescent="0.25">
      <c r="A45" s="134">
        <v>35</v>
      </c>
      <c r="B45" s="128">
        <v>18527</v>
      </c>
      <c r="C45" s="82" t="s">
        <v>183</v>
      </c>
      <c r="D45" s="134" t="s">
        <v>252</v>
      </c>
      <c r="E45" s="133" t="s">
        <v>253</v>
      </c>
      <c r="F45" s="1"/>
      <c r="G45" s="1"/>
      <c r="H45" s="1"/>
      <c r="I45" s="1">
        <f>2*(87.5+36)</f>
        <v>247</v>
      </c>
      <c r="J45" s="1"/>
      <c r="K45" s="154">
        <f t="shared" si="1"/>
        <v>247</v>
      </c>
      <c r="L45" s="202"/>
      <c r="M45" s="25"/>
    </row>
    <row r="46" spans="1:13" s="2" customFormat="1" ht="15.75" x14ac:dyDescent="0.25">
      <c r="A46" s="134">
        <v>36</v>
      </c>
      <c r="B46" s="128">
        <v>18487</v>
      </c>
      <c r="C46" s="82" t="s">
        <v>221</v>
      </c>
      <c r="D46" s="134" t="s">
        <v>136</v>
      </c>
      <c r="E46" s="133" t="s">
        <v>106</v>
      </c>
      <c r="F46" s="1"/>
      <c r="G46" s="1"/>
      <c r="H46" s="1"/>
      <c r="I46" s="1">
        <f>2*(40.89+87.5)</f>
        <v>256.77999999999997</v>
      </c>
      <c r="J46" s="1"/>
      <c r="K46" s="154">
        <f t="shared" si="1"/>
        <v>256.77999999999997</v>
      </c>
      <c r="L46" s="202"/>
      <c r="M46" s="25"/>
    </row>
    <row r="47" spans="1:13" s="2" customFormat="1" ht="15.75" x14ac:dyDescent="0.25">
      <c r="A47" s="134">
        <v>37</v>
      </c>
      <c r="B47" s="128">
        <v>18392</v>
      </c>
      <c r="C47" s="82" t="s">
        <v>184</v>
      </c>
      <c r="D47" s="134" t="s">
        <v>162</v>
      </c>
      <c r="E47" s="133" t="s">
        <v>216</v>
      </c>
      <c r="F47" s="1"/>
      <c r="G47" s="1"/>
      <c r="H47" s="1"/>
      <c r="I47" s="1">
        <f>5*(146.15+40.89)</f>
        <v>935.2</v>
      </c>
      <c r="J47" s="1"/>
      <c r="K47" s="154">
        <f t="shared" si="1"/>
        <v>935.2</v>
      </c>
      <c r="L47" s="202"/>
      <c r="M47" s="25"/>
    </row>
    <row r="48" spans="1:13" s="2" customFormat="1" ht="15.75" x14ac:dyDescent="0.25">
      <c r="A48" s="134">
        <v>38</v>
      </c>
      <c r="B48" s="128">
        <v>18625</v>
      </c>
      <c r="C48" s="82" t="s">
        <v>207</v>
      </c>
      <c r="D48" s="134" t="s">
        <v>254</v>
      </c>
      <c r="E48" s="133" t="s">
        <v>88</v>
      </c>
      <c r="F48" s="1"/>
      <c r="G48" s="1">
        <f>1*11304.35</f>
        <v>11304.35</v>
      </c>
      <c r="H48" s="1"/>
      <c r="I48" s="1">
        <f>2*87.5</f>
        <v>175</v>
      </c>
      <c r="J48" s="1"/>
      <c r="K48" s="154">
        <f t="shared" si="1"/>
        <v>11479.35</v>
      </c>
      <c r="L48" s="202"/>
      <c r="M48" s="25"/>
    </row>
    <row r="49" spans="1:13" s="2" customFormat="1" ht="15.75" x14ac:dyDescent="0.25">
      <c r="A49" s="134">
        <v>39</v>
      </c>
      <c r="B49" s="128">
        <v>18616</v>
      </c>
      <c r="C49" s="82" t="s">
        <v>228</v>
      </c>
      <c r="D49" s="134" t="s">
        <v>255</v>
      </c>
      <c r="E49" s="133" t="s">
        <v>88</v>
      </c>
      <c r="F49" s="1"/>
      <c r="G49" s="1"/>
      <c r="H49" s="1"/>
      <c r="I49" s="1">
        <f>8*(100.96+87.5)</f>
        <v>1507.6799999999998</v>
      </c>
      <c r="J49" s="1"/>
      <c r="K49" s="154">
        <f t="shared" si="1"/>
        <v>1507.6799999999998</v>
      </c>
      <c r="L49" s="202"/>
      <c r="M49" s="25"/>
    </row>
    <row r="50" spans="1:13" s="2" customFormat="1" ht="15.75" x14ac:dyDescent="0.25">
      <c r="A50" s="134">
        <v>40</v>
      </c>
      <c r="B50" s="128">
        <v>18572</v>
      </c>
      <c r="C50" s="82" t="s">
        <v>256</v>
      </c>
      <c r="D50" s="134" t="s">
        <v>135</v>
      </c>
      <c r="E50" s="133" t="s">
        <v>88</v>
      </c>
      <c r="F50" s="1"/>
      <c r="G50" s="1"/>
      <c r="H50" s="1"/>
      <c r="I50" s="1">
        <f>2*87.5</f>
        <v>175</v>
      </c>
      <c r="J50" s="1"/>
      <c r="K50" s="154">
        <f t="shared" si="1"/>
        <v>175</v>
      </c>
      <c r="L50" s="202"/>
      <c r="M50" s="25"/>
    </row>
    <row r="51" spans="1:13" s="2" customFormat="1" ht="15.75" x14ac:dyDescent="0.25">
      <c r="A51" s="134">
        <v>41</v>
      </c>
      <c r="B51" s="128">
        <v>18608</v>
      </c>
      <c r="C51" s="82" t="s">
        <v>201</v>
      </c>
      <c r="D51" s="134" t="s">
        <v>209</v>
      </c>
      <c r="E51" s="133" t="s">
        <v>123</v>
      </c>
      <c r="F51" s="1"/>
      <c r="G51" s="1"/>
      <c r="H51" s="1"/>
      <c r="I51" s="1">
        <f>6*(100.96+87.5)</f>
        <v>1130.7599999999998</v>
      </c>
      <c r="J51" s="1"/>
      <c r="K51" s="154">
        <f t="shared" si="1"/>
        <v>1130.7599999999998</v>
      </c>
      <c r="L51" s="202"/>
      <c r="M51" s="25"/>
    </row>
    <row r="52" spans="1:13" s="2" customFormat="1" ht="15.75" x14ac:dyDescent="0.25">
      <c r="A52" s="134">
        <v>42</v>
      </c>
      <c r="B52" s="128">
        <v>18584</v>
      </c>
      <c r="C52" s="82" t="s">
        <v>230</v>
      </c>
      <c r="D52" s="134" t="s">
        <v>69</v>
      </c>
      <c r="E52" s="133" t="s">
        <v>118</v>
      </c>
      <c r="F52" s="1"/>
      <c r="G52" s="1">
        <f>1*11304.35</f>
        <v>11304.35</v>
      </c>
      <c r="H52" s="1"/>
      <c r="I52" s="1">
        <f>2*(87.5+40.89)</f>
        <v>256.77999999999997</v>
      </c>
      <c r="J52" s="1"/>
      <c r="K52" s="154">
        <f t="shared" si="1"/>
        <v>11561.130000000001</v>
      </c>
      <c r="L52" s="202"/>
      <c r="M52" s="25"/>
    </row>
    <row r="53" spans="1:13" s="2" customFormat="1" ht="15.75" x14ac:dyDescent="0.25">
      <c r="A53" s="134">
        <v>43</v>
      </c>
      <c r="B53" s="134">
        <v>18541</v>
      </c>
      <c r="C53" s="82" t="s">
        <v>190</v>
      </c>
      <c r="D53" s="134" t="s">
        <v>91</v>
      </c>
      <c r="E53" s="133" t="s">
        <v>92</v>
      </c>
      <c r="F53" s="1"/>
      <c r="G53" s="1">
        <f>1*18000</f>
        <v>18000</v>
      </c>
      <c r="H53" s="1"/>
      <c r="I53" s="1">
        <f>3*(156.96+146.15)</f>
        <v>909.33</v>
      </c>
      <c r="J53" s="1"/>
      <c r="K53" s="154">
        <f t="shared" si="1"/>
        <v>18909.330000000002</v>
      </c>
      <c r="L53" s="202"/>
      <c r="M53" s="25"/>
    </row>
    <row r="54" spans="1:13" s="2" customFormat="1" ht="15.75" x14ac:dyDescent="0.25">
      <c r="A54" s="134">
        <v>44</v>
      </c>
      <c r="B54" s="134">
        <v>18610</v>
      </c>
      <c r="C54" s="82" t="s">
        <v>197</v>
      </c>
      <c r="D54" s="134" t="s">
        <v>268</v>
      </c>
      <c r="E54" s="158" t="s">
        <v>94</v>
      </c>
      <c r="F54" s="156"/>
      <c r="G54" s="156">
        <f>2*26086.96</f>
        <v>52173.919999999998</v>
      </c>
      <c r="H54" s="156"/>
      <c r="I54" s="156">
        <f>3*(87.5+40.89)</f>
        <v>385.16999999999996</v>
      </c>
      <c r="J54" s="156"/>
      <c r="K54" s="154">
        <f t="shared" si="1"/>
        <v>52559.09</v>
      </c>
      <c r="L54" s="202"/>
      <c r="M54" s="25"/>
    </row>
    <row r="55" spans="1:13" s="2" customFormat="1" ht="16.5" thickBot="1" x14ac:dyDescent="0.3">
      <c r="A55" s="285" t="s">
        <v>361</v>
      </c>
      <c r="B55" s="286"/>
      <c r="C55" s="286"/>
      <c r="D55" s="286"/>
      <c r="E55" s="287"/>
      <c r="F55" s="1"/>
      <c r="G55" s="1"/>
      <c r="H55" s="1"/>
      <c r="I55" s="1"/>
      <c r="J55" s="1">
        <f>20*34.55</f>
        <v>691</v>
      </c>
      <c r="K55" s="183">
        <f t="shared" si="1"/>
        <v>691</v>
      </c>
      <c r="L55" s="202"/>
      <c r="M55" s="25"/>
    </row>
    <row r="56" spans="1:13" s="140" customFormat="1" ht="16.5" thickBot="1" x14ac:dyDescent="0.3">
      <c r="A56" s="280"/>
      <c r="B56" s="280"/>
      <c r="C56" s="280"/>
      <c r="D56" s="280"/>
      <c r="E56" s="159" t="s">
        <v>19</v>
      </c>
      <c r="F56" s="157">
        <f>SUM(F3:F55)</f>
        <v>0</v>
      </c>
      <c r="G56" s="157">
        <f>SUM(G3:G55)</f>
        <v>159973.90000000002</v>
      </c>
      <c r="H56" s="157">
        <f>SUM(H3:H55)</f>
        <v>0</v>
      </c>
      <c r="I56" s="157">
        <f>SUM(I3:I55)</f>
        <v>22632.679999999997</v>
      </c>
      <c r="J56" s="176">
        <f>SUM(J3:J55)</f>
        <v>691</v>
      </c>
      <c r="K56" s="184">
        <f t="shared" si="1"/>
        <v>183297.58000000002</v>
      </c>
      <c r="L56" s="155"/>
      <c r="M56" s="139"/>
    </row>
    <row r="57" spans="1:13" s="2" customFormat="1" ht="15.75" x14ac:dyDescent="0.25">
      <c r="A57" s="100"/>
      <c r="B57" s="100"/>
      <c r="C57" s="19"/>
      <c r="D57" s="100"/>
      <c r="E57" s="137"/>
      <c r="F57" s="3"/>
      <c r="G57" s="3"/>
      <c r="H57" s="3"/>
      <c r="I57" s="3"/>
      <c r="J57" s="3"/>
      <c r="K57" s="3"/>
      <c r="L57" s="202"/>
      <c r="M57" s="25"/>
    </row>
    <row r="58" spans="1:13" s="2" customFormat="1" ht="15.75" x14ac:dyDescent="0.25">
      <c r="A58" s="100"/>
      <c r="B58" s="100"/>
      <c r="C58" s="19"/>
      <c r="D58" s="100"/>
      <c r="E58" s="137"/>
      <c r="F58" s="3"/>
      <c r="G58" s="3"/>
      <c r="H58" s="3"/>
      <c r="I58" s="3"/>
      <c r="J58" s="3"/>
      <c r="K58" s="3"/>
      <c r="L58" s="202"/>
      <c r="M58" s="25"/>
    </row>
    <row r="62" spans="1:13" s="2" customFormat="1" ht="15.75" x14ac:dyDescent="0.25">
      <c r="L62" s="202"/>
      <c r="M62" s="25"/>
    </row>
    <row r="63" spans="1:13" s="2" customFormat="1" ht="15.75" x14ac:dyDescent="0.25">
      <c r="L63" s="202"/>
      <c r="M63" s="25"/>
    </row>
    <row r="64" spans="1:13" s="2" customFormat="1" ht="15.75" x14ac:dyDescent="0.25">
      <c r="F64" s="3"/>
      <c r="G64" s="3"/>
      <c r="H64" s="3"/>
      <c r="I64" s="3"/>
      <c r="J64" s="3"/>
      <c r="K64" s="3"/>
      <c r="L64" s="202"/>
      <c r="M64" s="25"/>
    </row>
    <row r="65" spans="1:13" s="2" customFormat="1" ht="15.75" x14ac:dyDescent="0.25">
      <c r="F65" s="3"/>
      <c r="G65" s="3"/>
      <c r="H65" s="3"/>
      <c r="I65" s="3"/>
      <c r="J65" s="3"/>
      <c r="K65" s="3"/>
      <c r="L65" s="202"/>
      <c r="M65" s="25"/>
    </row>
    <row r="66" spans="1:13" s="2" customFormat="1" ht="15.75" x14ac:dyDescent="0.25">
      <c r="F66" s="3"/>
      <c r="G66" s="3"/>
      <c r="H66" s="3"/>
      <c r="I66" s="3"/>
      <c r="J66" s="3"/>
      <c r="K66" s="3"/>
      <c r="L66" s="202"/>
      <c r="M66" s="25"/>
    </row>
    <row r="67" spans="1:13" s="2" customFormat="1" ht="15.75" x14ac:dyDescent="0.25">
      <c r="F67" s="3"/>
      <c r="G67" s="3"/>
      <c r="H67" s="3"/>
      <c r="I67" s="3"/>
      <c r="J67" s="3"/>
      <c r="K67" s="3"/>
      <c r="L67" s="202"/>
      <c r="M67" s="25"/>
    </row>
    <row r="68" spans="1:13" s="2" customFormat="1" ht="15.75" x14ac:dyDescent="0.25">
      <c r="F68" s="3"/>
      <c r="G68" s="3"/>
      <c r="H68" s="3"/>
      <c r="I68" s="3"/>
      <c r="J68" s="3"/>
      <c r="K68" s="3"/>
      <c r="L68" s="202"/>
      <c r="M68" s="25"/>
    </row>
    <row r="69" spans="1:13" s="2" customFormat="1" ht="15.75" x14ac:dyDescent="0.25">
      <c r="F69" s="3"/>
      <c r="G69" s="3"/>
      <c r="H69" s="3"/>
      <c r="I69" s="3"/>
      <c r="J69" s="3"/>
      <c r="K69" s="3"/>
      <c r="L69" s="202"/>
      <c r="M69" s="25"/>
    </row>
    <row r="70" spans="1:13" s="2" customFormat="1" ht="15.75" x14ac:dyDescent="0.25">
      <c r="A70" s="100"/>
      <c r="B70" s="100"/>
      <c r="C70" s="19"/>
      <c r="D70" s="100"/>
      <c r="E70" s="137"/>
      <c r="F70" s="3"/>
      <c r="G70" s="3"/>
      <c r="H70" s="3"/>
      <c r="I70" s="3"/>
      <c r="J70" s="3"/>
      <c r="K70" s="3"/>
      <c r="L70" s="202"/>
      <c r="M70" s="25"/>
    </row>
    <row r="71" spans="1:13" s="2" customFormat="1" ht="15.75" x14ac:dyDescent="0.25">
      <c r="A71" s="100"/>
      <c r="B71" s="100"/>
      <c r="C71" s="19"/>
      <c r="D71" s="100"/>
      <c r="E71" s="137"/>
      <c r="F71" s="3"/>
      <c r="G71" s="3"/>
      <c r="H71" s="3"/>
      <c r="I71" s="3"/>
      <c r="J71" s="3"/>
      <c r="K71" s="3"/>
      <c r="L71" s="202"/>
      <c r="M71" s="25"/>
    </row>
    <row r="72" spans="1:13" s="2" customFormat="1" ht="15.75" x14ac:dyDescent="0.25">
      <c r="A72" s="100"/>
      <c r="B72" s="100"/>
      <c r="C72" s="19"/>
      <c r="D72" s="100"/>
      <c r="E72" s="137"/>
      <c r="F72" s="3"/>
      <c r="G72" s="3"/>
      <c r="H72" s="3"/>
      <c r="I72" s="3"/>
      <c r="J72" s="3"/>
      <c r="K72" s="3"/>
      <c r="L72" s="202"/>
      <c r="M72" s="25"/>
    </row>
    <row r="73" spans="1:13" s="2" customFormat="1" ht="15.75" x14ac:dyDescent="0.25">
      <c r="A73" s="100"/>
      <c r="B73" s="100"/>
      <c r="C73" s="19"/>
      <c r="D73" s="100"/>
      <c r="E73" s="137"/>
      <c r="F73" s="3"/>
      <c r="G73" s="3"/>
      <c r="H73" s="3"/>
      <c r="I73" s="3"/>
      <c r="J73" s="3"/>
      <c r="K73" s="3"/>
      <c r="L73" s="202"/>
      <c r="M73" s="25"/>
    </row>
    <row r="74" spans="1:13" s="2" customFormat="1" ht="15.75" x14ac:dyDescent="0.25">
      <c r="A74" s="100"/>
      <c r="B74" s="100"/>
      <c r="C74" s="19"/>
      <c r="D74" s="100"/>
      <c r="E74" s="137"/>
      <c r="F74" s="3"/>
      <c r="G74" s="3"/>
      <c r="H74" s="3"/>
      <c r="I74" s="3"/>
      <c r="J74" s="3"/>
      <c r="K74" s="3"/>
      <c r="L74" s="202"/>
      <c r="M74" s="25"/>
    </row>
    <row r="75" spans="1:13" s="2" customFormat="1" ht="15.75" x14ac:dyDescent="0.25">
      <c r="A75" s="100"/>
      <c r="B75" s="100"/>
      <c r="C75" s="19"/>
      <c r="D75" s="100"/>
      <c r="E75" s="137"/>
      <c r="F75" s="3"/>
      <c r="G75" s="3"/>
      <c r="H75" s="3"/>
      <c r="I75" s="3"/>
      <c r="J75" s="3"/>
      <c r="K75" s="3"/>
      <c r="L75" s="202"/>
      <c r="M75" s="25"/>
    </row>
    <row r="76" spans="1:13" s="2" customFormat="1" ht="15.75" x14ac:dyDescent="0.25">
      <c r="A76" s="100"/>
      <c r="B76" s="100"/>
      <c r="C76" s="19"/>
      <c r="D76" s="100"/>
      <c r="E76" s="137"/>
      <c r="F76" s="3"/>
      <c r="G76" s="3"/>
      <c r="H76" s="3"/>
      <c r="I76" s="3"/>
      <c r="J76" s="3"/>
      <c r="K76" s="3"/>
      <c r="L76" s="202"/>
      <c r="M76" s="25"/>
    </row>
    <row r="77" spans="1:13" s="2" customFormat="1" ht="15.75" x14ac:dyDescent="0.25">
      <c r="A77" s="100"/>
      <c r="B77" s="100"/>
      <c r="C77" s="19"/>
      <c r="D77" s="100"/>
      <c r="E77" s="137"/>
      <c r="F77" s="3"/>
      <c r="G77" s="3"/>
      <c r="H77" s="3"/>
      <c r="I77" s="3"/>
      <c r="J77" s="3"/>
      <c r="K77" s="3"/>
      <c r="L77" s="202"/>
      <c r="M77" s="25"/>
    </row>
    <row r="78" spans="1:13" s="2" customFormat="1" ht="15.75" x14ac:dyDescent="0.25">
      <c r="A78" s="100"/>
      <c r="B78" s="100"/>
      <c r="C78" s="19"/>
      <c r="D78" s="100"/>
      <c r="E78" s="137"/>
      <c r="F78" s="3"/>
      <c r="G78" s="3"/>
      <c r="H78" s="3"/>
      <c r="I78" s="3"/>
      <c r="J78" s="3"/>
      <c r="K78" s="3"/>
      <c r="L78" s="202"/>
      <c r="M78" s="25"/>
    </row>
    <row r="79" spans="1:13" s="2" customFormat="1" ht="15.75" x14ac:dyDescent="0.25">
      <c r="A79" s="100"/>
      <c r="B79" s="100"/>
      <c r="C79" s="19"/>
      <c r="D79" s="100"/>
      <c r="E79" s="137"/>
      <c r="F79" s="3"/>
      <c r="G79" s="3"/>
      <c r="H79" s="3"/>
      <c r="I79" s="3"/>
      <c r="J79" s="3"/>
      <c r="K79" s="3"/>
      <c r="L79" s="202"/>
      <c r="M79" s="25"/>
    </row>
    <row r="80" spans="1:13" s="2" customFormat="1" ht="15.75" x14ac:dyDescent="0.25">
      <c r="A80" s="100"/>
      <c r="B80" s="100"/>
      <c r="C80" s="19"/>
      <c r="D80" s="100"/>
      <c r="E80" s="137"/>
      <c r="F80" s="3"/>
      <c r="G80" s="3"/>
      <c r="H80" s="3"/>
      <c r="I80" s="3"/>
      <c r="J80" s="3"/>
      <c r="K80" s="3"/>
      <c r="L80" s="202"/>
      <c r="M80" s="25"/>
    </row>
    <row r="81" spans="1:13" s="2" customFormat="1" ht="15.75" x14ac:dyDescent="0.25">
      <c r="A81" s="100"/>
      <c r="B81" s="100"/>
      <c r="C81" s="19"/>
      <c r="D81" s="100"/>
      <c r="E81" s="137"/>
      <c r="F81" s="3"/>
      <c r="G81" s="3"/>
      <c r="H81" s="3"/>
      <c r="I81" s="3"/>
      <c r="J81" s="3"/>
      <c r="K81" s="3"/>
      <c r="L81" s="202"/>
      <c r="M81" s="25"/>
    </row>
    <row r="82" spans="1:13" s="2" customFormat="1" ht="15.75" x14ac:dyDescent="0.25">
      <c r="A82" s="100"/>
      <c r="B82" s="100"/>
      <c r="C82" s="19"/>
      <c r="D82" s="100"/>
      <c r="E82" s="137"/>
      <c r="F82" s="3"/>
      <c r="G82" s="3"/>
      <c r="H82" s="3"/>
      <c r="I82" s="3"/>
      <c r="J82" s="3"/>
      <c r="K82" s="3"/>
      <c r="L82" s="202"/>
      <c r="M82" s="25"/>
    </row>
    <row r="83" spans="1:13" s="2" customFormat="1" ht="15.75" x14ac:dyDescent="0.25">
      <c r="A83" s="100"/>
      <c r="B83" s="100"/>
      <c r="C83" s="19"/>
      <c r="D83" s="100"/>
      <c r="E83" s="137"/>
      <c r="F83" s="3"/>
      <c r="G83" s="3"/>
      <c r="H83" s="3"/>
      <c r="I83" s="3"/>
      <c r="J83" s="3"/>
      <c r="K83" s="3"/>
      <c r="L83" s="202"/>
      <c r="M83" s="25"/>
    </row>
    <row r="84" spans="1:13" s="2" customFormat="1" ht="15.75" x14ac:dyDescent="0.25">
      <c r="A84" s="100"/>
      <c r="B84" s="100"/>
      <c r="C84" s="19"/>
      <c r="D84" s="100"/>
      <c r="E84" s="137"/>
      <c r="F84" s="3"/>
      <c r="G84" s="3"/>
      <c r="H84" s="3"/>
      <c r="I84" s="3"/>
      <c r="J84" s="3"/>
      <c r="K84" s="3"/>
      <c r="L84" s="202"/>
      <c r="M84" s="25"/>
    </row>
    <row r="85" spans="1:13" s="2" customFormat="1" ht="15.75" x14ac:dyDescent="0.25">
      <c r="A85" s="100"/>
      <c r="B85" s="100"/>
      <c r="C85" s="19"/>
      <c r="D85" s="100"/>
      <c r="E85" s="137"/>
      <c r="F85" s="3"/>
      <c r="G85" s="3"/>
      <c r="H85" s="3"/>
      <c r="I85" s="3"/>
      <c r="J85" s="3"/>
      <c r="K85" s="3"/>
      <c r="L85" s="202"/>
      <c r="M85" s="25"/>
    </row>
    <row r="86" spans="1:13" s="2" customFormat="1" ht="15.75" x14ac:dyDescent="0.25">
      <c r="A86" s="100"/>
      <c r="B86" s="100"/>
      <c r="C86" s="19"/>
      <c r="D86" s="100"/>
      <c r="E86" s="137"/>
      <c r="F86" s="3"/>
      <c r="G86" s="3"/>
      <c r="H86" s="3"/>
      <c r="I86" s="3"/>
      <c r="J86" s="3"/>
      <c r="K86" s="3"/>
      <c r="L86" s="202"/>
      <c r="M86" s="25"/>
    </row>
    <row r="87" spans="1:13" s="2" customFormat="1" ht="15.75" x14ac:dyDescent="0.25">
      <c r="A87" s="100"/>
      <c r="B87" s="100"/>
      <c r="C87" s="19"/>
      <c r="D87" s="100"/>
      <c r="E87" s="137"/>
      <c r="F87" s="3"/>
      <c r="G87" s="3"/>
      <c r="H87" s="3"/>
      <c r="I87" s="3"/>
      <c r="J87" s="3"/>
      <c r="K87" s="3"/>
      <c r="L87" s="202"/>
      <c r="M87" s="25"/>
    </row>
    <row r="88" spans="1:13" s="2" customFormat="1" ht="15.75" x14ac:dyDescent="0.25">
      <c r="A88" s="100"/>
      <c r="B88" s="100"/>
      <c r="C88" s="19"/>
      <c r="D88" s="100"/>
      <c r="E88" s="137"/>
      <c r="F88" s="3"/>
      <c r="G88" s="3"/>
      <c r="H88" s="3"/>
      <c r="I88" s="3"/>
      <c r="J88" s="3"/>
      <c r="K88" s="3"/>
      <c r="L88" s="202"/>
      <c r="M88" s="25"/>
    </row>
    <row r="89" spans="1:13" s="2" customFormat="1" ht="15.75" x14ac:dyDescent="0.25">
      <c r="A89" s="100"/>
      <c r="B89" s="100"/>
      <c r="C89" s="19"/>
      <c r="D89" s="100"/>
      <c r="E89" s="137"/>
      <c r="F89" s="3"/>
      <c r="G89" s="3"/>
      <c r="H89" s="3"/>
      <c r="I89" s="3"/>
      <c r="J89" s="3"/>
      <c r="K89" s="3"/>
      <c r="L89" s="202"/>
      <c r="M89" s="25"/>
    </row>
    <row r="90" spans="1:13" s="2" customFormat="1" ht="15.75" x14ac:dyDescent="0.25">
      <c r="A90" s="100"/>
      <c r="B90" s="100"/>
      <c r="C90" s="19"/>
      <c r="D90" s="100"/>
      <c r="E90" s="137"/>
      <c r="F90" s="3"/>
      <c r="G90" s="3"/>
      <c r="H90" s="3"/>
      <c r="I90" s="3"/>
      <c r="J90" s="3"/>
      <c r="K90" s="3"/>
      <c r="L90" s="202"/>
      <c r="M90" s="25"/>
    </row>
    <row r="91" spans="1:13" s="2" customFormat="1" ht="15.75" x14ac:dyDescent="0.25">
      <c r="A91" s="100"/>
      <c r="B91" s="100"/>
      <c r="C91" s="19"/>
      <c r="D91" s="100"/>
      <c r="E91" s="137"/>
      <c r="F91" s="3"/>
      <c r="G91" s="3"/>
      <c r="H91" s="3"/>
      <c r="I91" s="3"/>
      <c r="J91" s="3"/>
      <c r="K91" s="3"/>
      <c r="L91" s="202"/>
      <c r="M91" s="25"/>
    </row>
    <row r="92" spans="1:13" s="2" customFormat="1" ht="15.75" x14ac:dyDescent="0.25">
      <c r="A92" s="100"/>
      <c r="B92" s="100"/>
      <c r="C92" s="19"/>
      <c r="D92" s="100"/>
      <c r="E92" s="137"/>
      <c r="F92" s="3"/>
      <c r="G92" s="3"/>
      <c r="H92" s="3"/>
      <c r="I92" s="3"/>
      <c r="J92" s="3"/>
      <c r="K92" s="3"/>
      <c r="L92" s="202"/>
      <c r="M92" s="25"/>
    </row>
    <row r="93" spans="1:13" s="2" customFormat="1" ht="15.75" x14ac:dyDescent="0.25">
      <c r="A93" s="100"/>
      <c r="B93" s="100"/>
      <c r="C93" s="19"/>
      <c r="D93" s="100"/>
      <c r="E93" s="137"/>
      <c r="F93" s="3"/>
      <c r="G93" s="3"/>
      <c r="H93" s="3"/>
      <c r="I93" s="3"/>
      <c r="J93" s="3"/>
      <c r="K93" s="3"/>
      <c r="L93" s="202"/>
      <c r="M93" s="25"/>
    </row>
    <row r="94" spans="1:13" s="2" customFormat="1" ht="15.75" x14ac:dyDescent="0.25">
      <c r="A94" s="100"/>
      <c r="B94" s="100"/>
      <c r="C94" s="19"/>
      <c r="D94" s="100"/>
      <c r="E94" s="137"/>
      <c r="F94" s="3"/>
      <c r="G94" s="3"/>
      <c r="H94" s="3"/>
      <c r="I94" s="3"/>
      <c r="J94" s="3"/>
      <c r="K94" s="3"/>
      <c r="L94" s="202"/>
      <c r="M94" s="25"/>
    </row>
    <row r="95" spans="1:13" s="2" customFormat="1" ht="15.75" x14ac:dyDescent="0.25">
      <c r="A95" s="100"/>
      <c r="B95" s="100"/>
      <c r="C95" s="19"/>
      <c r="D95" s="100"/>
      <c r="E95" s="137"/>
      <c r="F95" s="3"/>
      <c r="G95" s="3"/>
      <c r="H95" s="3"/>
      <c r="I95" s="3"/>
      <c r="J95" s="3"/>
      <c r="K95" s="3"/>
      <c r="L95" s="202"/>
      <c r="M95" s="25"/>
    </row>
    <row r="96" spans="1:13" s="2" customFormat="1" ht="15.75" x14ac:dyDescent="0.25">
      <c r="A96" s="100"/>
      <c r="B96" s="100"/>
      <c r="C96" s="19"/>
      <c r="D96" s="100"/>
      <c r="E96" s="137"/>
      <c r="F96" s="3"/>
      <c r="G96" s="3"/>
      <c r="H96" s="3"/>
      <c r="I96" s="3"/>
      <c r="J96" s="3"/>
      <c r="K96" s="3"/>
      <c r="L96" s="202"/>
      <c r="M96" s="25"/>
    </row>
    <row r="97" spans="1:13" s="2" customFormat="1" ht="15.75" x14ac:dyDescent="0.25">
      <c r="A97" s="100"/>
      <c r="B97" s="100"/>
      <c r="C97" s="19"/>
      <c r="D97" s="100"/>
      <c r="E97" s="137"/>
      <c r="F97" s="3"/>
      <c r="G97" s="3"/>
      <c r="H97" s="3"/>
      <c r="I97" s="3"/>
      <c r="J97" s="3"/>
      <c r="K97" s="3"/>
      <c r="L97" s="202"/>
      <c r="M97" s="25"/>
    </row>
    <row r="98" spans="1:13" s="2" customFormat="1" ht="15.75" x14ac:dyDescent="0.25">
      <c r="A98" s="100"/>
      <c r="B98" s="100"/>
      <c r="C98" s="19"/>
      <c r="D98" s="100"/>
      <c r="E98" s="137"/>
      <c r="F98" s="3"/>
      <c r="G98" s="3"/>
      <c r="H98" s="3"/>
      <c r="I98" s="3"/>
      <c r="J98" s="3"/>
      <c r="K98" s="3"/>
      <c r="L98" s="202"/>
      <c r="M98" s="25"/>
    </row>
    <row r="99" spans="1:13" s="2" customFormat="1" ht="15.75" x14ac:dyDescent="0.25">
      <c r="A99" s="100"/>
      <c r="B99" s="100"/>
      <c r="C99" s="19"/>
      <c r="D99" s="100"/>
      <c r="E99" s="137"/>
      <c r="F99" s="3"/>
      <c r="G99" s="3"/>
      <c r="H99" s="3"/>
      <c r="I99" s="3"/>
      <c r="J99" s="3"/>
      <c r="K99" s="3"/>
      <c r="L99" s="202"/>
      <c r="M99" s="25"/>
    </row>
    <row r="100" spans="1:13" s="2" customFormat="1" ht="15.75" x14ac:dyDescent="0.25">
      <c r="A100" s="100"/>
      <c r="B100" s="100"/>
      <c r="C100" s="19"/>
      <c r="D100" s="100"/>
      <c r="E100" s="137"/>
      <c r="F100" s="3"/>
      <c r="G100" s="3"/>
      <c r="H100" s="3"/>
      <c r="I100" s="3"/>
      <c r="J100" s="3"/>
      <c r="K100" s="3"/>
      <c r="L100" s="202"/>
      <c r="M100" s="25"/>
    </row>
    <row r="101" spans="1:13" s="2" customFormat="1" ht="15.75" x14ac:dyDescent="0.25">
      <c r="A101" s="100"/>
      <c r="B101" s="100"/>
      <c r="C101" s="19"/>
      <c r="D101" s="100"/>
      <c r="E101" s="137"/>
      <c r="F101" s="3"/>
      <c r="G101" s="3"/>
      <c r="H101" s="3"/>
      <c r="I101" s="3"/>
      <c r="J101" s="3"/>
      <c r="K101" s="3"/>
      <c r="L101" s="202"/>
      <c r="M101" s="25"/>
    </row>
    <row r="102" spans="1:13" s="2" customFormat="1" ht="15.75" x14ac:dyDescent="0.25">
      <c r="A102" s="100"/>
      <c r="B102" s="100"/>
      <c r="C102" s="19"/>
      <c r="D102" s="100"/>
      <c r="E102" s="137"/>
      <c r="F102" s="3"/>
      <c r="G102" s="3"/>
      <c r="H102" s="3"/>
      <c r="I102" s="3"/>
      <c r="J102" s="3"/>
      <c r="K102" s="3"/>
      <c r="L102" s="202"/>
      <c r="M102" s="25"/>
    </row>
    <row r="103" spans="1:13" s="2" customFormat="1" ht="15.75" x14ac:dyDescent="0.25">
      <c r="A103" s="100"/>
      <c r="B103" s="100"/>
      <c r="C103" s="19"/>
      <c r="D103" s="100"/>
      <c r="E103" s="137"/>
      <c r="F103" s="3"/>
      <c r="G103" s="3"/>
      <c r="H103" s="3"/>
      <c r="I103" s="3"/>
      <c r="J103" s="3"/>
      <c r="K103" s="3"/>
      <c r="L103" s="202"/>
      <c r="M103" s="25"/>
    </row>
    <row r="104" spans="1:13" s="2" customFormat="1" ht="15.75" x14ac:dyDescent="0.25">
      <c r="A104" s="100"/>
      <c r="B104" s="100"/>
      <c r="C104" s="19"/>
      <c r="D104" s="100"/>
      <c r="E104" s="137"/>
      <c r="F104" s="3"/>
      <c r="G104" s="3"/>
      <c r="H104" s="3"/>
      <c r="I104" s="3"/>
      <c r="J104" s="3"/>
      <c r="K104" s="3"/>
      <c r="L104" s="202"/>
      <c r="M104" s="25"/>
    </row>
    <row r="105" spans="1:13" s="2" customFormat="1" ht="15.75" x14ac:dyDescent="0.25">
      <c r="A105" s="100"/>
      <c r="B105" s="100"/>
      <c r="C105" s="19"/>
      <c r="D105" s="100"/>
      <c r="E105" s="137"/>
      <c r="F105" s="3"/>
      <c r="G105" s="3"/>
      <c r="H105" s="3"/>
      <c r="I105" s="3"/>
      <c r="J105" s="3"/>
      <c r="K105" s="3"/>
      <c r="L105" s="202"/>
      <c r="M105" s="25"/>
    </row>
    <row r="106" spans="1:13" s="2" customFormat="1" ht="15.75" x14ac:dyDescent="0.25">
      <c r="A106" s="100"/>
      <c r="B106" s="100"/>
      <c r="C106" s="19"/>
      <c r="D106" s="100"/>
      <c r="E106" s="137"/>
      <c r="F106" s="3"/>
      <c r="G106" s="3"/>
      <c r="H106" s="3"/>
      <c r="I106" s="3"/>
      <c r="J106" s="3"/>
      <c r="K106" s="3"/>
      <c r="L106" s="202"/>
      <c r="M106" s="25"/>
    </row>
    <row r="107" spans="1:13" s="2" customFormat="1" ht="15.75" x14ac:dyDescent="0.25">
      <c r="A107" s="100"/>
      <c r="B107" s="100"/>
      <c r="C107" s="19"/>
      <c r="D107" s="100"/>
      <c r="E107" s="137"/>
      <c r="F107" s="3"/>
      <c r="G107" s="3"/>
      <c r="H107" s="3"/>
      <c r="I107" s="3"/>
      <c r="J107" s="3"/>
      <c r="K107" s="3"/>
      <c r="L107" s="202"/>
      <c r="M107" s="25"/>
    </row>
    <row r="108" spans="1:13" s="2" customFormat="1" ht="15.75" x14ac:dyDescent="0.25">
      <c r="A108" s="100"/>
      <c r="B108" s="100"/>
      <c r="C108" s="19"/>
      <c r="D108" s="100"/>
      <c r="E108" s="137"/>
      <c r="F108" s="3"/>
      <c r="G108" s="3"/>
      <c r="H108" s="3"/>
      <c r="I108" s="3"/>
      <c r="J108" s="3"/>
      <c r="K108" s="3"/>
      <c r="L108" s="202"/>
      <c r="M108" s="25"/>
    </row>
    <row r="109" spans="1:13" s="2" customFormat="1" ht="15.75" x14ac:dyDescent="0.25">
      <c r="A109" s="100"/>
      <c r="B109" s="100"/>
      <c r="C109" s="19"/>
      <c r="D109" s="100"/>
      <c r="E109" s="137"/>
      <c r="F109" s="3"/>
      <c r="G109" s="3"/>
      <c r="H109" s="3"/>
      <c r="I109" s="3"/>
      <c r="J109" s="3"/>
      <c r="K109" s="3"/>
      <c r="L109" s="202"/>
      <c r="M109" s="25"/>
    </row>
    <row r="110" spans="1:13" s="2" customFormat="1" ht="15.75" x14ac:dyDescent="0.25">
      <c r="A110" s="100"/>
      <c r="B110" s="100"/>
      <c r="C110" s="19"/>
      <c r="D110" s="100"/>
      <c r="E110" s="137"/>
      <c r="F110" s="3"/>
      <c r="G110" s="3"/>
      <c r="H110" s="3"/>
      <c r="I110" s="3"/>
      <c r="J110" s="3"/>
      <c r="K110" s="3"/>
      <c r="L110" s="202"/>
      <c r="M110" s="25"/>
    </row>
    <row r="111" spans="1:13" s="2" customFormat="1" ht="15.75" x14ac:dyDescent="0.25">
      <c r="A111" s="100"/>
      <c r="B111" s="100"/>
      <c r="C111" s="19"/>
      <c r="D111" s="100"/>
      <c r="E111" s="137"/>
      <c r="F111" s="3"/>
      <c r="G111" s="3"/>
      <c r="H111" s="3"/>
      <c r="I111" s="3"/>
      <c r="J111" s="3"/>
      <c r="K111" s="3"/>
      <c r="L111" s="202"/>
      <c r="M111" s="25"/>
    </row>
    <row r="112" spans="1:13" s="2" customFormat="1" ht="15.75" x14ac:dyDescent="0.25">
      <c r="A112" s="100"/>
      <c r="B112" s="100"/>
      <c r="C112" s="19"/>
      <c r="D112" s="100"/>
      <c r="E112" s="137"/>
      <c r="F112" s="3"/>
      <c r="G112" s="3"/>
      <c r="H112" s="3"/>
      <c r="I112" s="3"/>
      <c r="J112" s="3"/>
      <c r="K112" s="3"/>
      <c r="L112" s="202"/>
      <c r="M112" s="25"/>
    </row>
    <row r="113" spans="1:13" s="2" customFormat="1" ht="15.75" x14ac:dyDescent="0.25">
      <c r="A113" s="100"/>
      <c r="B113" s="100"/>
      <c r="C113" s="19"/>
      <c r="D113" s="100"/>
      <c r="E113" s="137"/>
      <c r="F113" s="3"/>
      <c r="G113" s="3"/>
      <c r="H113" s="3"/>
      <c r="I113" s="3"/>
      <c r="J113" s="3"/>
      <c r="K113" s="3"/>
      <c r="L113" s="202"/>
      <c r="M113" s="25"/>
    </row>
    <row r="114" spans="1:13" s="2" customFormat="1" ht="15.75" x14ac:dyDescent="0.25">
      <c r="A114" s="100"/>
      <c r="B114" s="100"/>
      <c r="C114" s="19"/>
      <c r="D114" s="100"/>
      <c r="E114" s="137"/>
      <c r="F114" s="3"/>
      <c r="G114" s="3"/>
      <c r="H114" s="3"/>
      <c r="I114" s="3"/>
      <c r="J114" s="3"/>
      <c r="K114" s="3"/>
      <c r="L114" s="202"/>
      <c r="M114" s="25"/>
    </row>
    <row r="115" spans="1:13" s="2" customFormat="1" ht="15.75" x14ac:dyDescent="0.25">
      <c r="A115" s="100"/>
      <c r="B115" s="100"/>
      <c r="C115" s="19"/>
      <c r="D115" s="100"/>
      <c r="E115" s="137"/>
      <c r="F115" s="3"/>
      <c r="G115" s="3"/>
      <c r="H115" s="3"/>
      <c r="I115" s="3"/>
      <c r="J115" s="3"/>
      <c r="K115" s="3"/>
      <c r="L115" s="202"/>
      <c r="M115" s="25"/>
    </row>
    <row r="116" spans="1:13" s="2" customFormat="1" ht="15.75" x14ac:dyDescent="0.25">
      <c r="A116" s="100"/>
      <c r="B116" s="100"/>
      <c r="C116" s="19"/>
      <c r="D116" s="100"/>
      <c r="E116" s="137"/>
      <c r="F116" s="3"/>
      <c r="G116" s="3"/>
      <c r="H116" s="3"/>
      <c r="I116" s="3"/>
      <c r="J116" s="3"/>
      <c r="K116" s="3"/>
      <c r="L116" s="202"/>
      <c r="M116" s="25"/>
    </row>
    <row r="117" spans="1:13" s="2" customFormat="1" ht="15.75" x14ac:dyDescent="0.25">
      <c r="A117" s="100"/>
      <c r="B117" s="100"/>
      <c r="C117" s="19"/>
      <c r="D117" s="100"/>
      <c r="E117" s="137"/>
      <c r="F117" s="3"/>
      <c r="G117" s="3"/>
      <c r="H117" s="3"/>
      <c r="I117" s="3"/>
      <c r="J117" s="3"/>
      <c r="K117" s="3"/>
      <c r="L117" s="202"/>
      <c r="M117" s="25"/>
    </row>
    <row r="118" spans="1:13" s="2" customFormat="1" ht="15.75" x14ac:dyDescent="0.25">
      <c r="A118" s="100"/>
      <c r="B118" s="100"/>
      <c r="C118" s="19"/>
      <c r="D118" s="100"/>
      <c r="E118" s="137"/>
      <c r="F118" s="3"/>
      <c r="G118" s="3"/>
      <c r="H118" s="3"/>
      <c r="I118" s="3"/>
      <c r="J118" s="3"/>
      <c r="K118" s="3"/>
      <c r="L118" s="202"/>
      <c r="M118" s="25"/>
    </row>
    <row r="119" spans="1:13" s="2" customFormat="1" ht="15.75" x14ac:dyDescent="0.25">
      <c r="A119" s="100"/>
      <c r="B119" s="100"/>
      <c r="C119" s="19"/>
      <c r="D119" s="100"/>
      <c r="E119" s="137"/>
      <c r="F119" s="3"/>
      <c r="G119" s="3"/>
      <c r="H119" s="3"/>
      <c r="I119" s="3"/>
      <c r="J119" s="3"/>
      <c r="K119" s="3"/>
      <c r="L119" s="202"/>
      <c r="M119" s="25"/>
    </row>
    <row r="120" spans="1:13" s="2" customFormat="1" ht="15.75" x14ac:dyDescent="0.25">
      <c r="A120" s="100"/>
      <c r="B120" s="100"/>
      <c r="C120" s="19"/>
      <c r="D120" s="100"/>
      <c r="E120" s="137"/>
      <c r="F120" s="3"/>
      <c r="G120" s="3"/>
      <c r="H120" s="3"/>
      <c r="I120" s="3"/>
      <c r="J120" s="3"/>
      <c r="K120" s="3"/>
      <c r="L120" s="202"/>
      <c r="M120" s="25"/>
    </row>
    <row r="121" spans="1:13" s="2" customFormat="1" ht="15.75" x14ac:dyDescent="0.25">
      <c r="A121" s="100"/>
      <c r="B121" s="100"/>
      <c r="C121" s="19"/>
      <c r="D121" s="100"/>
      <c r="E121" s="137"/>
      <c r="F121" s="3"/>
      <c r="G121" s="3"/>
      <c r="H121" s="3"/>
      <c r="I121" s="3"/>
      <c r="J121" s="3"/>
      <c r="K121" s="3"/>
      <c r="L121" s="202"/>
      <c r="M121" s="25"/>
    </row>
    <row r="122" spans="1:13" s="2" customFormat="1" ht="15.75" x14ac:dyDescent="0.25">
      <c r="A122" s="100"/>
      <c r="B122" s="100"/>
      <c r="C122" s="19"/>
      <c r="D122" s="100"/>
      <c r="E122" s="137"/>
      <c r="F122" s="3"/>
      <c r="G122" s="3"/>
      <c r="H122" s="3"/>
      <c r="I122" s="3"/>
      <c r="J122" s="3"/>
      <c r="K122" s="3"/>
      <c r="L122" s="202"/>
      <c r="M122" s="25"/>
    </row>
    <row r="123" spans="1:13" s="2" customFormat="1" ht="15.75" x14ac:dyDescent="0.25">
      <c r="A123" s="100"/>
      <c r="B123" s="100"/>
      <c r="C123" s="19"/>
      <c r="D123" s="100"/>
      <c r="E123" s="137"/>
      <c r="F123" s="3"/>
      <c r="G123" s="3"/>
      <c r="H123" s="3"/>
      <c r="I123" s="3"/>
      <c r="J123" s="3"/>
      <c r="K123" s="3"/>
      <c r="L123" s="202"/>
      <c r="M123" s="25"/>
    </row>
    <row r="124" spans="1:13" s="2" customFormat="1" ht="15.75" x14ac:dyDescent="0.25">
      <c r="A124" s="100"/>
      <c r="B124" s="100"/>
      <c r="C124" s="19"/>
      <c r="D124" s="100"/>
      <c r="E124" s="137"/>
      <c r="F124" s="3"/>
      <c r="G124" s="3"/>
      <c r="H124" s="3"/>
      <c r="I124" s="3"/>
      <c r="J124" s="3"/>
      <c r="K124" s="3"/>
      <c r="L124" s="202"/>
      <c r="M124" s="25"/>
    </row>
    <row r="125" spans="1:13" s="2" customFormat="1" ht="15.75" x14ac:dyDescent="0.25">
      <c r="A125" s="100"/>
      <c r="B125" s="100"/>
      <c r="C125" s="19"/>
      <c r="D125" s="100"/>
      <c r="E125" s="137"/>
      <c r="F125" s="3"/>
      <c r="G125" s="3"/>
      <c r="H125" s="3"/>
      <c r="I125" s="3"/>
      <c r="J125" s="3"/>
      <c r="K125" s="3"/>
      <c r="L125" s="202"/>
      <c r="M125" s="25"/>
    </row>
    <row r="126" spans="1:13" s="2" customFormat="1" ht="15.75" x14ac:dyDescent="0.25">
      <c r="A126" s="100"/>
      <c r="B126" s="100"/>
      <c r="C126" s="19"/>
      <c r="D126" s="100"/>
      <c r="E126" s="137"/>
      <c r="F126" s="3"/>
      <c r="G126" s="3"/>
      <c r="H126" s="3"/>
      <c r="I126" s="3"/>
      <c r="J126" s="3"/>
      <c r="K126" s="3"/>
      <c r="L126" s="202"/>
      <c r="M126" s="25"/>
    </row>
    <row r="127" spans="1:13" s="2" customFormat="1" ht="15.75" x14ac:dyDescent="0.25">
      <c r="A127" s="100"/>
      <c r="B127" s="100"/>
      <c r="C127" s="19"/>
      <c r="D127" s="100"/>
      <c r="E127" s="137"/>
      <c r="F127" s="3"/>
      <c r="G127" s="3"/>
      <c r="H127" s="3"/>
      <c r="I127" s="3"/>
      <c r="J127" s="3"/>
      <c r="K127" s="3"/>
      <c r="L127" s="202"/>
      <c r="M127" s="25"/>
    </row>
    <row r="128" spans="1:13" s="2" customFormat="1" ht="15.75" x14ac:dyDescent="0.25">
      <c r="A128" s="100"/>
      <c r="B128" s="100"/>
      <c r="C128" s="19"/>
      <c r="D128" s="100"/>
      <c r="E128" s="137"/>
      <c r="F128" s="3"/>
      <c r="G128" s="3"/>
      <c r="H128" s="3"/>
      <c r="I128" s="3"/>
      <c r="J128" s="3"/>
      <c r="K128" s="3"/>
      <c r="L128" s="202"/>
      <c r="M128" s="25"/>
    </row>
    <row r="129" spans="1:13" s="2" customFormat="1" ht="15.75" x14ac:dyDescent="0.25">
      <c r="A129" s="100"/>
      <c r="B129" s="100"/>
      <c r="C129" s="19"/>
      <c r="D129" s="100"/>
      <c r="E129" s="137"/>
      <c r="F129" s="3"/>
      <c r="G129" s="3"/>
      <c r="H129" s="3"/>
      <c r="I129" s="3"/>
      <c r="J129" s="3"/>
      <c r="K129" s="3"/>
      <c r="L129" s="202"/>
      <c r="M129" s="25"/>
    </row>
    <row r="130" spans="1:13" s="2" customFormat="1" ht="15.75" x14ac:dyDescent="0.25">
      <c r="A130" s="100"/>
      <c r="B130" s="100"/>
      <c r="C130" s="19"/>
      <c r="D130" s="100"/>
      <c r="E130" s="137"/>
      <c r="F130" s="3"/>
      <c r="G130" s="3"/>
      <c r="H130" s="3"/>
      <c r="I130" s="3"/>
      <c r="J130" s="3"/>
      <c r="K130" s="3"/>
      <c r="L130" s="202"/>
      <c r="M130" s="25"/>
    </row>
    <row r="131" spans="1:13" s="2" customFormat="1" ht="15.75" x14ac:dyDescent="0.25">
      <c r="A131" s="100"/>
      <c r="B131" s="100"/>
      <c r="C131" s="19"/>
      <c r="D131" s="100"/>
      <c r="E131" s="137"/>
      <c r="F131" s="3"/>
      <c r="G131" s="3"/>
      <c r="H131" s="3"/>
      <c r="I131" s="3"/>
      <c r="J131" s="3"/>
      <c r="K131" s="3"/>
      <c r="L131" s="202"/>
      <c r="M131" s="25"/>
    </row>
    <row r="132" spans="1:13" s="2" customFormat="1" ht="15.75" x14ac:dyDescent="0.25">
      <c r="A132" s="100"/>
      <c r="B132" s="100"/>
      <c r="C132" s="19"/>
      <c r="D132" s="100"/>
      <c r="E132" s="137"/>
      <c r="F132" s="3"/>
      <c r="G132" s="3"/>
      <c r="H132" s="3"/>
      <c r="I132" s="3"/>
      <c r="J132" s="3"/>
      <c r="K132" s="3"/>
      <c r="L132" s="202"/>
      <c r="M132" s="25"/>
    </row>
    <row r="133" spans="1:13" s="2" customFormat="1" ht="15.75" x14ac:dyDescent="0.25">
      <c r="A133" s="100"/>
      <c r="B133" s="100"/>
      <c r="C133" s="19"/>
      <c r="D133" s="100"/>
      <c r="E133" s="137"/>
      <c r="F133" s="3"/>
      <c r="G133" s="3"/>
      <c r="H133" s="3"/>
      <c r="I133" s="3"/>
      <c r="J133" s="3"/>
      <c r="K133" s="3"/>
      <c r="L133" s="202"/>
      <c r="M133" s="25"/>
    </row>
    <row r="134" spans="1:13" s="2" customFormat="1" ht="15.75" x14ac:dyDescent="0.25">
      <c r="A134" s="100"/>
      <c r="B134" s="100"/>
      <c r="C134" s="19"/>
      <c r="D134" s="100"/>
      <c r="E134" s="137"/>
      <c r="F134" s="3"/>
      <c r="G134" s="3"/>
      <c r="H134" s="3"/>
      <c r="I134" s="3"/>
      <c r="J134" s="3"/>
      <c r="K134" s="3"/>
      <c r="L134" s="202"/>
      <c r="M134" s="25"/>
    </row>
    <row r="135" spans="1:13" s="2" customFormat="1" ht="15.75" x14ac:dyDescent="0.25">
      <c r="A135" s="100"/>
      <c r="B135" s="100"/>
      <c r="C135" s="19"/>
      <c r="D135" s="100"/>
      <c r="E135" s="137"/>
      <c r="F135" s="3"/>
      <c r="G135" s="3"/>
      <c r="H135" s="3"/>
      <c r="I135" s="3"/>
      <c r="J135" s="3"/>
      <c r="K135" s="3"/>
      <c r="L135" s="202"/>
      <c r="M135" s="25"/>
    </row>
    <row r="136" spans="1:13" s="2" customFormat="1" ht="15.75" x14ac:dyDescent="0.25">
      <c r="A136" s="100"/>
      <c r="B136" s="100"/>
      <c r="C136" s="19"/>
      <c r="D136" s="100"/>
      <c r="E136" s="137"/>
      <c r="F136" s="3"/>
      <c r="G136" s="3"/>
      <c r="H136" s="3"/>
      <c r="I136" s="3"/>
      <c r="J136" s="3"/>
      <c r="K136" s="3"/>
      <c r="L136" s="202"/>
      <c r="M136" s="25"/>
    </row>
    <row r="137" spans="1:13" s="2" customFormat="1" ht="15.75" x14ac:dyDescent="0.25">
      <c r="A137" s="100"/>
      <c r="B137" s="100"/>
      <c r="C137" s="19"/>
      <c r="D137" s="100"/>
      <c r="E137" s="137"/>
      <c r="F137" s="3"/>
      <c r="G137" s="3"/>
      <c r="H137" s="3"/>
      <c r="I137" s="3"/>
      <c r="J137" s="3"/>
      <c r="K137" s="3"/>
      <c r="L137" s="202"/>
      <c r="M137" s="25"/>
    </row>
    <row r="138" spans="1:13" s="2" customFormat="1" ht="15.75" x14ac:dyDescent="0.25">
      <c r="A138" s="100"/>
      <c r="B138" s="100"/>
      <c r="C138" s="19"/>
      <c r="D138" s="100"/>
      <c r="E138" s="137"/>
      <c r="F138" s="3"/>
      <c r="G138" s="3"/>
      <c r="H138" s="3"/>
      <c r="I138" s="3"/>
      <c r="J138" s="3"/>
      <c r="K138" s="3"/>
      <c r="L138" s="202"/>
      <c r="M138" s="25"/>
    </row>
    <row r="139" spans="1:13" s="2" customFormat="1" ht="15.75" x14ac:dyDescent="0.25">
      <c r="A139" s="100"/>
      <c r="B139" s="100"/>
      <c r="C139" s="19"/>
      <c r="D139" s="100"/>
      <c r="E139" s="137"/>
      <c r="F139" s="3"/>
      <c r="G139" s="3"/>
      <c r="H139" s="3"/>
      <c r="I139" s="3"/>
      <c r="J139" s="3"/>
      <c r="K139" s="3"/>
      <c r="L139" s="202"/>
      <c r="M139" s="25"/>
    </row>
    <row r="140" spans="1:13" s="2" customFormat="1" ht="15.75" x14ac:dyDescent="0.25">
      <c r="A140" s="100"/>
      <c r="B140" s="100"/>
      <c r="C140" s="19"/>
      <c r="D140" s="100"/>
      <c r="E140" s="137"/>
      <c r="F140" s="3"/>
      <c r="G140" s="3"/>
      <c r="H140" s="3"/>
      <c r="I140" s="3"/>
      <c r="J140" s="3"/>
      <c r="K140" s="3"/>
      <c r="L140" s="202"/>
      <c r="M140" s="25"/>
    </row>
    <row r="141" spans="1:13" s="2" customFormat="1" ht="15.75" x14ac:dyDescent="0.25">
      <c r="A141" s="100"/>
      <c r="B141" s="100"/>
      <c r="C141" s="19"/>
      <c r="D141" s="100"/>
      <c r="E141" s="137"/>
      <c r="F141" s="3"/>
      <c r="G141" s="3"/>
      <c r="H141" s="3"/>
      <c r="I141" s="3"/>
      <c r="J141" s="3"/>
      <c r="K141" s="3"/>
      <c r="L141" s="202"/>
      <c r="M141" s="25"/>
    </row>
    <row r="142" spans="1:13" s="2" customFormat="1" ht="15.75" x14ac:dyDescent="0.25">
      <c r="A142" s="100"/>
      <c r="B142" s="100"/>
      <c r="C142" s="19"/>
      <c r="D142" s="100"/>
      <c r="E142" s="137"/>
      <c r="F142" s="3"/>
      <c r="G142" s="3"/>
      <c r="H142" s="3"/>
      <c r="I142" s="3"/>
      <c r="J142" s="3"/>
      <c r="K142" s="3"/>
      <c r="L142" s="202"/>
      <c r="M142" s="25"/>
    </row>
    <row r="143" spans="1:13" s="2" customFormat="1" ht="15.75" x14ac:dyDescent="0.25">
      <c r="A143" s="100"/>
      <c r="B143" s="100"/>
      <c r="C143" s="19"/>
      <c r="D143" s="100"/>
      <c r="E143" s="137"/>
      <c r="F143" s="3"/>
      <c r="G143" s="3"/>
      <c r="H143" s="3"/>
      <c r="I143" s="3"/>
      <c r="J143" s="3"/>
      <c r="K143" s="3"/>
      <c r="L143" s="202"/>
      <c r="M143" s="25"/>
    </row>
    <row r="144" spans="1:13" s="2" customFormat="1" ht="15.75" x14ac:dyDescent="0.25">
      <c r="A144" s="100"/>
      <c r="B144" s="100"/>
      <c r="C144" s="19"/>
      <c r="D144" s="100"/>
      <c r="E144" s="137"/>
      <c r="F144" s="3"/>
      <c r="G144" s="3"/>
      <c r="H144" s="3"/>
      <c r="I144" s="3"/>
      <c r="J144" s="3"/>
      <c r="K144" s="3"/>
      <c r="L144" s="202"/>
      <c r="M144" s="25"/>
    </row>
    <row r="145" spans="1:13" s="2" customFormat="1" ht="15.75" x14ac:dyDescent="0.25">
      <c r="A145" s="100"/>
      <c r="B145" s="100"/>
      <c r="C145" s="19"/>
      <c r="D145" s="100"/>
      <c r="E145" s="137"/>
      <c r="F145" s="3"/>
      <c r="G145" s="3"/>
      <c r="H145" s="3"/>
      <c r="I145" s="3"/>
      <c r="J145" s="3"/>
      <c r="K145" s="3"/>
      <c r="L145" s="202"/>
      <c r="M145" s="25"/>
    </row>
    <row r="146" spans="1:13" s="2" customFormat="1" ht="15.75" x14ac:dyDescent="0.25">
      <c r="A146" s="100"/>
      <c r="B146" s="100"/>
      <c r="C146" s="19"/>
      <c r="D146" s="100"/>
      <c r="E146" s="137"/>
      <c r="F146" s="3"/>
      <c r="G146" s="3"/>
      <c r="H146" s="3"/>
      <c r="I146" s="3"/>
      <c r="J146" s="3"/>
      <c r="K146" s="3"/>
      <c r="L146" s="202"/>
      <c r="M146" s="25"/>
    </row>
    <row r="147" spans="1:13" s="2" customFormat="1" ht="15.75" x14ac:dyDescent="0.25">
      <c r="A147" s="100"/>
      <c r="B147" s="100"/>
      <c r="C147" s="19"/>
      <c r="D147" s="100"/>
      <c r="E147" s="137"/>
      <c r="F147" s="3"/>
      <c r="G147" s="3"/>
      <c r="H147" s="3"/>
      <c r="I147" s="3"/>
      <c r="J147" s="3"/>
      <c r="K147" s="3"/>
      <c r="L147" s="202"/>
      <c r="M147" s="25"/>
    </row>
    <row r="148" spans="1:13" s="2" customFormat="1" ht="15.75" x14ac:dyDescent="0.25">
      <c r="A148" s="100"/>
      <c r="B148" s="100"/>
      <c r="C148" s="19"/>
      <c r="D148" s="100"/>
      <c r="E148" s="137"/>
      <c r="F148" s="3"/>
      <c r="G148" s="3"/>
      <c r="H148" s="3"/>
      <c r="I148" s="3"/>
      <c r="J148" s="3"/>
      <c r="K148" s="3"/>
      <c r="L148" s="202"/>
      <c r="M148" s="25"/>
    </row>
    <row r="149" spans="1:13" s="2" customFormat="1" ht="15.75" x14ac:dyDescent="0.25">
      <c r="A149" s="100"/>
      <c r="B149" s="100"/>
      <c r="C149" s="19"/>
      <c r="D149" s="100"/>
      <c r="E149" s="137"/>
      <c r="F149" s="3"/>
      <c r="G149" s="3"/>
      <c r="H149" s="3"/>
      <c r="I149" s="3"/>
      <c r="J149" s="3"/>
      <c r="K149" s="3"/>
      <c r="L149" s="202"/>
      <c r="M149" s="25"/>
    </row>
    <row r="150" spans="1:13" s="2" customFormat="1" ht="15.75" x14ac:dyDescent="0.25">
      <c r="A150" s="100"/>
      <c r="B150" s="100"/>
      <c r="C150" s="19"/>
      <c r="D150" s="100"/>
      <c r="E150" s="137"/>
      <c r="F150" s="3"/>
      <c r="G150" s="3"/>
      <c r="H150" s="3"/>
      <c r="I150" s="3"/>
      <c r="J150" s="3"/>
      <c r="K150" s="3"/>
      <c r="L150" s="202"/>
      <c r="M150" s="25"/>
    </row>
    <row r="151" spans="1:13" s="2" customFormat="1" ht="15.75" x14ac:dyDescent="0.25">
      <c r="A151" s="100"/>
      <c r="B151" s="100"/>
      <c r="C151" s="19"/>
      <c r="D151" s="100"/>
      <c r="E151" s="137"/>
      <c r="F151" s="3"/>
      <c r="G151" s="3"/>
      <c r="H151" s="3"/>
      <c r="I151" s="3"/>
      <c r="J151" s="3"/>
      <c r="K151" s="3"/>
      <c r="L151" s="202"/>
      <c r="M151" s="25"/>
    </row>
    <row r="152" spans="1:13" s="2" customFormat="1" ht="15.75" x14ac:dyDescent="0.25">
      <c r="A152" s="100"/>
      <c r="B152" s="100"/>
      <c r="C152" s="19"/>
      <c r="D152" s="100"/>
      <c r="E152" s="137"/>
      <c r="F152" s="3"/>
      <c r="G152" s="3"/>
      <c r="H152" s="3"/>
      <c r="I152" s="3"/>
      <c r="J152" s="3"/>
      <c r="K152" s="3"/>
      <c r="L152" s="202"/>
      <c r="M152" s="25"/>
    </row>
    <row r="153" spans="1:13" s="2" customFormat="1" ht="15.75" x14ac:dyDescent="0.25">
      <c r="A153" s="100"/>
      <c r="B153" s="100"/>
      <c r="C153" s="19"/>
      <c r="D153" s="100"/>
      <c r="E153" s="137"/>
      <c r="F153" s="3"/>
      <c r="G153" s="3"/>
      <c r="H153" s="3"/>
      <c r="I153" s="3"/>
      <c r="J153" s="3"/>
      <c r="K153" s="3"/>
      <c r="L153" s="202"/>
      <c r="M153" s="25"/>
    </row>
    <row r="154" spans="1:13" s="2" customFormat="1" ht="15.75" x14ac:dyDescent="0.25">
      <c r="A154" s="100"/>
      <c r="B154" s="100"/>
      <c r="C154" s="19"/>
      <c r="D154" s="100"/>
      <c r="E154" s="137"/>
      <c r="F154" s="3"/>
      <c r="G154" s="3"/>
      <c r="H154" s="3"/>
      <c r="I154" s="3"/>
      <c r="J154" s="3"/>
      <c r="K154" s="3"/>
      <c r="L154" s="202"/>
      <c r="M154" s="25"/>
    </row>
    <row r="155" spans="1:13" s="2" customFormat="1" ht="15.75" x14ac:dyDescent="0.25">
      <c r="A155" s="100"/>
      <c r="B155" s="100"/>
      <c r="C155" s="19"/>
      <c r="D155" s="100"/>
      <c r="E155" s="137"/>
      <c r="F155" s="3"/>
      <c r="G155" s="3"/>
      <c r="H155" s="3"/>
      <c r="I155" s="3"/>
      <c r="J155" s="3"/>
      <c r="K155" s="3"/>
      <c r="L155" s="202"/>
      <c r="M155" s="25"/>
    </row>
    <row r="156" spans="1:13" s="2" customFormat="1" ht="15.75" x14ac:dyDescent="0.25">
      <c r="A156" s="100"/>
      <c r="B156" s="100"/>
      <c r="C156" s="19"/>
      <c r="D156" s="100"/>
      <c r="E156" s="137"/>
      <c r="F156" s="3"/>
      <c r="G156" s="3"/>
      <c r="H156" s="3"/>
      <c r="I156" s="3"/>
      <c r="J156" s="3"/>
      <c r="K156" s="3"/>
      <c r="L156" s="202"/>
      <c r="M156" s="25"/>
    </row>
    <row r="157" spans="1:13" s="2" customFormat="1" ht="15.75" x14ac:dyDescent="0.25">
      <c r="A157" s="100"/>
      <c r="B157" s="100"/>
      <c r="C157" s="19"/>
      <c r="D157" s="100"/>
      <c r="E157" s="137"/>
      <c r="F157" s="3"/>
      <c r="G157" s="3"/>
      <c r="H157" s="3"/>
      <c r="I157" s="3"/>
      <c r="J157" s="3"/>
      <c r="K157" s="3"/>
      <c r="L157" s="202"/>
      <c r="M157" s="25"/>
    </row>
    <row r="158" spans="1:13" s="2" customFormat="1" ht="15.75" x14ac:dyDescent="0.25">
      <c r="A158" s="100"/>
      <c r="B158" s="100"/>
      <c r="C158" s="19"/>
      <c r="D158" s="100"/>
      <c r="E158" s="137"/>
      <c r="F158" s="3"/>
      <c r="G158" s="3"/>
      <c r="H158" s="3"/>
      <c r="I158" s="3"/>
      <c r="J158" s="3"/>
      <c r="K158" s="3"/>
      <c r="L158" s="202"/>
      <c r="M158" s="25"/>
    </row>
    <row r="159" spans="1:13" s="2" customFormat="1" ht="15.75" x14ac:dyDescent="0.25">
      <c r="A159" s="100"/>
      <c r="B159" s="100"/>
      <c r="C159" s="19"/>
      <c r="D159" s="100"/>
      <c r="E159" s="137"/>
      <c r="F159" s="3"/>
      <c r="G159" s="3"/>
      <c r="H159" s="3"/>
      <c r="I159" s="3"/>
      <c r="J159" s="3"/>
      <c r="K159" s="3"/>
      <c r="L159" s="202"/>
      <c r="M159" s="25"/>
    </row>
    <row r="160" spans="1:13" s="2" customFormat="1" ht="15.75" x14ac:dyDescent="0.25">
      <c r="A160" s="100"/>
      <c r="B160" s="100"/>
      <c r="C160" s="19"/>
      <c r="D160" s="100"/>
      <c r="E160" s="137"/>
      <c r="F160" s="3"/>
      <c r="G160" s="3"/>
      <c r="H160" s="3"/>
      <c r="I160" s="3"/>
      <c r="J160" s="3"/>
      <c r="K160" s="3"/>
      <c r="L160" s="202"/>
      <c r="M160" s="25"/>
    </row>
    <row r="161" spans="1:13" s="2" customFormat="1" ht="15.75" x14ac:dyDescent="0.25">
      <c r="A161" s="100"/>
      <c r="B161" s="100"/>
      <c r="C161" s="19"/>
      <c r="D161" s="100"/>
      <c r="E161" s="137"/>
      <c r="F161" s="3"/>
      <c r="G161" s="3"/>
      <c r="H161" s="3"/>
      <c r="I161" s="3"/>
      <c r="J161" s="3"/>
      <c r="K161" s="3"/>
      <c r="L161" s="202"/>
      <c r="M161" s="25"/>
    </row>
    <row r="162" spans="1:13" s="2" customFormat="1" ht="15.75" x14ac:dyDescent="0.25">
      <c r="A162" s="100"/>
      <c r="B162" s="100"/>
      <c r="C162" s="19"/>
      <c r="D162" s="100"/>
      <c r="E162" s="137"/>
      <c r="F162" s="3"/>
      <c r="G162" s="3"/>
      <c r="H162" s="3"/>
      <c r="I162" s="3"/>
      <c r="J162" s="3"/>
      <c r="K162" s="3"/>
      <c r="L162" s="202"/>
      <c r="M162" s="25"/>
    </row>
    <row r="163" spans="1:13" s="2" customFormat="1" ht="15.75" x14ac:dyDescent="0.25">
      <c r="A163" s="100"/>
      <c r="B163" s="100"/>
      <c r="C163" s="19"/>
      <c r="D163" s="100"/>
      <c r="E163" s="137"/>
      <c r="F163" s="3"/>
      <c r="G163" s="3"/>
      <c r="H163" s="3"/>
      <c r="I163" s="3"/>
      <c r="J163" s="3"/>
      <c r="K163" s="3"/>
      <c r="L163" s="202"/>
      <c r="M163" s="25"/>
    </row>
    <row r="164" spans="1:13" s="2" customFormat="1" ht="15.75" x14ac:dyDescent="0.25">
      <c r="A164" s="100"/>
      <c r="B164" s="100"/>
      <c r="C164" s="19"/>
      <c r="D164" s="100"/>
      <c r="E164" s="137"/>
      <c r="F164" s="3"/>
      <c r="G164" s="3"/>
      <c r="H164" s="3"/>
      <c r="I164" s="3"/>
      <c r="J164" s="3"/>
      <c r="K164" s="3"/>
      <c r="L164" s="202"/>
      <c r="M164" s="25"/>
    </row>
    <row r="165" spans="1:13" s="2" customFormat="1" ht="15.75" x14ac:dyDescent="0.25">
      <c r="A165" s="100"/>
      <c r="B165" s="100"/>
      <c r="C165" s="19"/>
      <c r="D165" s="100"/>
      <c r="E165" s="137"/>
      <c r="F165" s="3"/>
      <c r="G165" s="3"/>
      <c r="H165" s="3"/>
      <c r="I165" s="3"/>
      <c r="J165" s="3"/>
      <c r="K165" s="3"/>
      <c r="L165" s="202"/>
      <c r="M165" s="25"/>
    </row>
    <row r="166" spans="1:13" s="2" customFormat="1" ht="15.75" x14ac:dyDescent="0.25">
      <c r="A166" s="100"/>
      <c r="B166" s="100"/>
      <c r="C166" s="19"/>
      <c r="D166" s="100"/>
      <c r="E166" s="137"/>
      <c r="F166" s="3"/>
      <c r="G166" s="3"/>
      <c r="H166" s="3"/>
      <c r="I166" s="3"/>
      <c r="J166" s="3"/>
      <c r="K166" s="3"/>
      <c r="L166" s="202"/>
      <c r="M166" s="25"/>
    </row>
    <row r="167" spans="1:13" s="2" customFormat="1" ht="15.75" x14ac:dyDescent="0.25">
      <c r="A167" s="100"/>
      <c r="B167" s="100"/>
      <c r="C167" s="19"/>
      <c r="D167" s="100"/>
      <c r="E167" s="137"/>
      <c r="F167" s="3"/>
      <c r="G167" s="3"/>
      <c r="H167" s="3"/>
      <c r="I167" s="3"/>
      <c r="J167" s="3"/>
      <c r="K167" s="3"/>
      <c r="L167" s="202"/>
      <c r="M167" s="25"/>
    </row>
    <row r="168" spans="1:13" s="2" customFormat="1" ht="15.75" x14ac:dyDescent="0.25">
      <c r="A168" s="100"/>
      <c r="B168" s="100"/>
      <c r="C168" s="19"/>
      <c r="D168" s="100"/>
      <c r="E168" s="137"/>
      <c r="F168" s="3"/>
      <c r="G168" s="3"/>
      <c r="H168" s="3"/>
      <c r="I168" s="3"/>
      <c r="J168" s="3"/>
      <c r="K168" s="3"/>
      <c r="L168" s="202"/>
      <c r="M168" s="25"/>
    </row>
    <row r="169" spans="1:13" s="2" customFormat="1" ht="15.75" x14ac:dyDescent="0.25">
      <c r="A169" s="100"/>
      <c r="B169" s="100"/>
      <c r="C169" s="19"/>
      <c r="D169" s="100"/>
      <c r="E169" s="137"/>
      <c r="F169" s="3"/>
      <c r="G169" s="3"/>
      <c r="H169" s="3"/>
      <c r="I169" s="3"/>
      <c r="J169" s="3"/>
      <c r="K169" s="3"/>
      <c r="L169" s="202"/>
      <c r="M169" s="25"/>
    </row>
    <row r="170" spans="1:13" s="2" customFormat="1" ht="15.75" x14ac:dyDescent="0.25">
      <c r="A170" s="100"/>
      <c r="B170" s="100"/>
      <c r="C170" s="19"/>
      <c r="D170" s="100"/>
      <c r="E170" s="137"/>
      <c r="F170" s="3"/>
      <c r="G170" s="3"/>
      <c r="H170" s="3"/>
      <c r="I170" s="3"/>
      <c r="J170" s="3"/>
      <c r="K170" s="3"/>
      <c r="L170" s="202"/>
      <c r="M170" s="25"/>
    </row>
    <row r="171" spans="1:13" s="2" customFormat="1" ht="15.75" x14ac:dyDescent="0.25">
      <c r="A171" s="100"/>
      <c r="B171" s="100"/>
      <c r="C171" s="19"/>
      <c r="D171" s="100"/>
      <c r="E171" s="137"/>
      <c r="F171" s="3"/>
      <c r="G171" s="3"/>
      <c r="H171" s="3"/>
      <c r="I171" s="3"/>
      <c r="J171" s="3"/>
      <c r="K171" s="3"/>
      <c r="L171" s="202"/>
      <c r="M171" s="25"/>
    </row>
    <row r="172" spans="1:13" s="2" customFormat="1" ht="15.75" x14ac:dyDescent="0.25">
      <c r="A172" s="100"/>
      <c r="B172" s="100"/>
      <c r="C172" s="19"/>
      <c r="D172" s="100"/>
      <c r="E172" s="137"/>
      <c r="F172" s="3"/>
      <c r="G172" s="3"/>
      <c r="H172" s="3"/>
      <c r="I172" s="3"/>
      <c r="J172" s="3"/>
      <c r="K172" s="3"/>
      <c r="L172" s="202"/>
      <c r="M172" s="25"/>
    </row>
    <row r="173" spans="1:13" s="2" customFormat="1" ht="15.75" x14ac:dyDescent="0.25">
      <c r="A173" s="100"/>
      <c r="B173" s="100"/>
      <c r="C173" s="19"/>
      <c r="D173" s="100"/>
      <c r="E173" s="137"/>
      <c r="F173" s="3"/>
      <c r="G173" s="3"/>
      <c r="H173" s="3"/>
      <c r="I173" s="3"/>
      <c r="J173" s="3"/>
      <c r="K173" s="3"/>
      <c r="L173" s="202"/>
      <c r="M173" s="25"/>
    </row>
    <row r="174" spans="1:13" s="2" customFormat="1" ht="15.75" x14ac:dyDescent="0.25">
      <c r="A174" s="100"/>
      <c r="B174" s="100"/>
      <c r="C174" s="19"/>
      <c r="D174" s="100"/>
      <c r="E174" s="137"/>
      <c r="F174" s="3"/>
      <c r="G174" s="3"/>
      <c r="H174" s="3"/>
      <c r="I174" s="3"/>
      <c r="J174" s="3"/>
      <c r="K174" s="3"/>
      <c r="L174" s="202"/>
      <c r="M174" s="25"/>
    </row>
    <row r="175" spans="1:13" s="2" customFormat="1" ht="15.75" x14ac:dyDescent="0.25">
      <c r="A175" s="100"/>
      <c r="B175" s="100"/>
      <c r="C175" s="19"/>
      <c r="D175" s="100"/>
      <c r="E175" s="137"/>
      <c r="F175" s="3"/>
      <c r="G175" s="3"/>
      <c r="H175" s="3"/>
      <c r="I175" s="3"/>
      <c r="J175" s="3"/>
      <c r="K175" s="3"/>
      <c r="L175" s="202"/>
      <c r="M175" s="25"/>
    </row>
    <row r="176" spans="1:13" s="2" customFormat="1" ht="15.75" x14ac:dyDescent="0.25">
      <c r="A176" s="100"/>
      <c r="B176" s="100"/>
      <c r="C176" s="19"/>
      <c r="D176" s="100"/>
      <c r="E176" s="137"/>
      <c r="F176" s="3"/>
      <c r="G176" s="3"/>
      <c r="H176" s="3"/>
      <c r="I176" s="3"/>
      <c r="J176" s="3"/>
      <c r="K176" s="3"/>
      <c r="L176" s="202"/>
      <c r="M176" s="25"/>
    </row>
    <row r="177" spans="1:13" s="2" customFormat="1" ht="15.75" x14ac:dyDescent="0.25">
      <c r="A177" s="100"/>
      <c r="B177" s="100"/>
      <c r="C177" s="19"/>
      <c r="D177" s="100"/>
      <c r="E177" s="137"/>
      <c r="F177" s="3"/>
      <c r="G177" s="3"/>
      <c r="H177" s="3"/>
      <c r="I177" s="3"/>
      <c r="J177" s="3"/>
      <c r="K177" s="3"/>
      <c r="L177" s="202"/>
      <c r="M177" s="25"/>
    </row>
    <row r="178" spans="1:13" s="2" customFormat="1" ht="15.75" x14ac:dyDescent="0.25">
      <c r="A178" s="100"/>
      <c r="B178" s="100"/>
      <c r="C178" s="19"/>
      <c r="D178" s="100"/>
      <c r="E178" s="137"/>
      <c r="F178" s="3"/>
      <c r="G178" s="3"/>
      <c r="H178" s="3"/>
      <c r="I178" s="3"/>
      <c r="J178" s="3"/>
      <c r="K178" s="3"/>
      <c r="L178" s="202"/>
      <c r="M178" s="25"/>
    </row>
    <row r="179" spans="1:13" s="2" customFormat="1" ht="15.75" x14ac:dyDescent="0.25">
      <c r="A179" s="100"/>
      <c r="B179" s="100"/>
      <c r="C179" s="19"/>
      <c r="D179" s="100"/>
      <c r="E179" s="137"/>
      <c r="F179" s="3"/>
      <c r="G179" s="3"/>
      <c r="H179" s="3"/>
      <c r="I179" s="3"/>
      <c r="J179" s="3"/>
      <c r="K179" s="3"/>
      <c r="L179" s="202"/>
      <c r="M179" s="25"/>
    </row>
    <row r="180" spans="1:13" s="2" customFormat="1" ht="15.75" x14ac:dyDescent="0.25">
      <c r="A180" s="100"/>
      <c r="B180" s="100"/>
      <c r="C180" s="19"/>
      <c r="D180" s="100"/>
      <c r="E180" s="137"/>
      <c r="F180" s="3"/>
      <c r="G180" s="3"/>
      <c r="H180" s="3"/>
      <c r="I180" s="3"/>
      <c r="J180" s="3"/>
      <c r="K180" s="3"/>
      <c r="L180" s="202"/>
      <c r="M180" s="25"/>
    </row>
    <row r="181" spans="1:13" s="2" customFormat="1" ht="15.75" x14ac:dyDescent="0.25">
      <c r="A181" s="100"/>
      <c r="B181" s="100"/>
      <c r="C181" s="19"/>
      <c r="D181" s="100"/>
      <c r="E181" s="137"/>
      <c r="F181" s="3"/>
      <c r="G181" s="3"/>
      <c r="H181" s="3"/>
      <c r="I181" s="3"/>
      <c r="J181" s="3"/>
      <c r="K181" s="3"/>
      <c r="L181" s="202"/>
      <c r="M181" s="25"/>
    </row>
    <row r="182" spans="1:13" s="2" customFormat="1" ht="15.75" x14ac:dyDescent="0.25">
      <c r="A182" s="100"/>
      <c r="B182" s="100"/>
      <c r="C182" s="19"/>
      <c r="D182" s="100"/>
      <c r="E182" s="137"/>
      <c r="F182" s="3"/>
      <c r="G182" s="3"/>
      <c r="H182" s="3"/>
      <c r="I182" s="3"/>
      <c r="J182" s="3"/>
      <c r="K182" s="3"/>
      <c r="L182" s="202"/>
      <c r="M182" s="25"/>
    </row>
    <row r="183" spans="1:13" s="2" customFormat="1" ht="15.75" x14ac:dyDescent="0.25">
      <c r="A183" s="100"/>
      <c r="B183" s="100"/>
      <c r="C183" s="19"/>
      <c r="D183" s="100"/>
      <c r="E183" s="137"/>
      <c r="F183" s="3"/>
      <c r="G183" s="3"/>
      <c r="H183" s="3"/>
      <c r="I183" s="3"/>
      <c r="J183" s="3"/>
      <c r="K183" s="3"/>
      <c r="L183" s="202"/>
      <c r="M183" s="25"/>
    </row>
    <row r="184" spans="1:13" s="2" customFormat="1" ht="15.75" x14ac:dyDescent="0.25">
      <c r="A184" s="100"/>
      <c r="B184" s="100"/>
      <c r="C184" s="19"/>
      <c r="D184" s="100"/>
      <c r="E184" s="137"/>
      <c r="F184" s="3"/>
      <c r="G184" s="3"/>
      <c r="H184" s="3"/>
      <c r="I184" s="3"/>
      <c r="J184" s="3"/>
      <c r="K184" s="3"/>
      <c r="L184" s="202"/>
      <c r="M184" s="25"/>
    </row>
    <row r="185" spans="1:13" s="2" customFormat="1" ht="15.75" x14ac:dyDescent="0.25">
      <c r="A185" s="100"/>
      <c r="B185" s="100"/>
      <c r="C185" s="19"/>
      <c r="D185" s="100"/>
      <c r="E185" s="137"/>
      <c r="F185" s="3"/>
      <c r="G185" s="3"/>
      <c r="H185" s="3"/>
      <c r="I185" s="3"/>
      <c r="J185" s="3"/>
      <c r="K185" s="3"/>
      <c r="L185" s="202"/>
      <c r="M185" s="25"/>
    </row>
    <row r="186" spans="1:13" s="2" customFormat="1" ht="15.75" x14ac:dyDescent="0.25">
      <c r="A186" s="100"/>
      <c r="B186" s="100"/>
      <c r="C186" s="19"/>
      <c r="D186" s="100"/>
      <c r="E186" s="137"/>
      <c r="F186" s="3"/>
      <c r="G186" s="3"/>
      <c r="H186" s="3"/>
      <c r="I186" s="3"/>
      <c r="J186" s="3"/>
      <c r="K186" s="3"/>
      <c r="L186" s="202"/>
      <c r="M186" s="25"/>
    </row>
    <row r="187" spans="1:13" s="2" customFormat="1" ht="15.75" x14ac:dyDescent="0.25">
      <c r="A187" s="100"/>
      <c r="B187" s="100"/>
      <c r="C187" s="19"/>
      <c r="D187" s="100"/>
      <c r="E187" s="137"/>
      <c r="F187" s="3"/>
      <c r="G187" s="3"/>
      <c r="H187" s="3"/>
      <c r="I187" s="3"/>
      <c r="J187" s="3"/>
      <c r="K187" s="3"/>
      <c r="L187" s="202"/>
      <c r="M187" s="25"/>
    </row>
    <row r="188" spans="1:13" s="2" customFormat="1" ht="15.75" x14ac:dyDescent="0.25">
      <c r="A188" s="100"/>
      <c r="B188" s="100"/>
      <c r="C188" s="19"/>
      <c r="D188" s="100"/>
      <c r="E188" s="137"/>
      <c r="F188" s="3"/>
      <c r="G188" s="3"/>
      <c r="H188" s="3"/>
      <c r="I188" s="3"/>
      <c r="J188" s="3"/>
      <c r="K188" s="3"/>
      <c r="L188" s="202"/>
      <c r="M188" s="25"/>
    </row>
    <row r="189" spans="1:13" s="2" customFormat="1" ht="15.75" x14ac:dyDescent="0.25">
      <c r="A189" s="100"/>
      <c r="B189" s="100"/>
      <c r="C189" s="19"/>
      <c r="D189" s="100"/>
      <c r="E189" s="137"/>
      <c r="F189" s="3"/>
      <c r="G189" s="3"/>
      <c r="H189" s="3"/>
      <c r="I189" s="3"/>
      <c r="J189" s="3"/>
      <c r="K189" s="3"/>
      <c r="L189" s="202"/>
      <c r="M189" s="25"/>
    </row>
    <row r="190" spans="1:13" s="2" customFormat="1" ht="15.75" x14ac:dyDescent="0.25">
      <c r="A190" s="100"/>
      <c r="B190" s="100"/>
      <c r="C190" s="19"/>
      <c r="D190" s="100"/>
      <c r="E190" s="137"/>
      <c r="F190" s="3"/>
      <c r="G190" s="3"/>
      <c r="H190" s="3"/>
      <c r="I190" s="3"/>
      <c r="J190" s="3"/>
      <c r="K190" s="3"/>
      <c r="L190" s="202"/>
      <c r="M190" s="25"/>
    </row>
    <row r="191" spans="1:13" s="2" customFormat="1" ht="15.75" x14ac:dyDescent="0.25">
      <c r="A191" s="100"/>
      <c r="B191" s="100"/>
      <c r="C191" s="19"/>
      <c r="D191" s="100"/>
      <c r="E191" s="137"/>
      <c r="F191" s="3"/>
      <c r="G191" s="3"/>
      <c r="H191" s="3"/>
      <c r="I191" s="3"/>
      <c r="J191" s="3"/>
      <c r="K191" s="3"/>
      <c r="L191" s="202"/>
      <c r="M191" s="25"/>
    </row>
    <row r="192" spans="1:13" s="2" customFormat="1" ht="15.75" x14ac:dyDescent="0.25">
      <c r="A192" s="100"/>
      <c r="B192" s="100"/>
      <c r="C192" s="19"/>
      <c r="D192" s="100"/>
      <c r="E192" s="137"/>
      <c r="F192" s="3"/>
      <c r="G192" s="3"/>
      <c r="H192" s="3"/>
      <c r="I192" s="3"/>
      <c r="J192" s="3"/>
      <c r="K192" s="3"/>
      <c r="L192" s="202"/>
      <c r="M192" s="25"/>
    </row>
    <row r="193" spans="1:13" s="2" customFormat="1" ht="15.75" x14ac:dyDescent="0.25">
      <c r="A193" s="100"/>
      <c r="B193" s="100"/>
      <c r="C193" s="19"/>
      <c r="D193" s="100"/>
      <c r="E193" s="137"/>
      <c r="F193" s="3"/>
      <c r="G193" s="3"/>
      <c r="H193" s="3"/>
      <c r="I193" s="3"/>
      <c r="J193" s="3"/>
      <c r="K193" s="3"/>
      <c r="L193" s="202"/>
      <c r="M193" s="25"/>
    </row>
    <row r="194" spans="1:13" s="2" customFormat="1" ht="15.75" x14ac:dyDescent="0.25">
      <c r="A194" s="100"/>
      <c r="B194" s="100"/>
      <c r="C194" s="19"/>
      <c r="D194" s="100"/>
      <c r="E194" s="137"/>
      <c r="F194" s="3"/>
      <c r="G194" s="3"/>
      <c r="H194" s="3"/>
      <c r="I194" s="3"/>
      <c r="J194" s="3"/>
      <c r="K194" s="3"/>
      <c r="L194" s="202"/>
      <c r="M194" s="25"/>
    </row>
    <row r="195" spans="1:13" s="2" customFormat="1" ht="15.75" x14ac:dyDescent="0.25">
      <c r="A195" s="100"/>
      <c r="B195" s="100"/>
      <c r="C195" s="19"/>
      <c r="D195" s="100"/>
      <c r="E195" s="137"/>
      <c r="F195" s="3"/>
      <c r="G195" s="3"/>
      <c r="H195" s="3"/>
      <c r="I195" s="3"/>
      <c r="J195" s="3"/>
      <c r="K195" s="3"/>
      <c r="L195" s="202"/>
      <c r="M195" s="25"/>
    </row>
    <row r="196" spans="1:13" s="2" customFormat="1" ht="15.75" x14ac:dyDescent="0.25">
      <c r="A196" s="100"/>
      <c r="B196" s="100"/>
      <c r="C196" s="19"/>
      <c r="D196" s="100"/>
      <c r="E196" s="137"/>
      <c r="F196" s="3"/>
      <c r="G196" s="3"/>
      <c r="H196" s="3"/>
      <c r="I196" s="3"/>
      <c r="J196" s="3"/>
      <c r="K196" s="3"/>
      <c r="L196" s="202"/>
      <c r="M196" s="25"/>
    </row>
    <row r="197" spans="1:13" s="2" customFormat="1" ht="15.75" x14ac:dyDescent="0.25">
      <c r="A197" s="100"/>
      <c r="B197" s="100"/>
      <c r="C197" s="19"/>
      <c r="D197" s="100"/>
      <c r="E197" s="137"/>
      <c r="F197" s="3"/>
      <c r="G197" s="3"/>
      <c r="H197" s="3"/>
      <c r="I197" s="3"/>
      <c r="J197" s="3"/>
      <c r="K197" s="3"/>
      <c r="L197" s="202"/>
      <c r="M197" s="25"/>
    </row>
    <row r="198" spans="1:13" s="2" customFormat="1" ht="15.75" x14ac:dyDescent="0.25">
      <c r="A198" s="100"/>
      <c r="B198" s="100"/>
      <c r="C198" s="19"/>
      <c r="D198" s="100"/>
      <c r="E198" s="137"/>
      <c r="F198" s="3"/>
      <c r="G198" s="3"/>
      <c r="H198" s="3"/>
      <c r="I198" s="3"/>
      <c r="J198" s="3"/>
      <c r="K198" s="3"/>
      <c r="L198" s="202"/>
      <c r="M198" s="25"/>
    </row>
    <row r="199" spans="1:13" s="2" customFormat="1" ht="15.75" x14ac:dyDescent="0.25">
      <c r="A199" s="100"/>
      <c r="B199" s="100"/>
      <c r="C199" s="19"/>
      <c r="D199" s="100"/>
      <c r="E199" s="137"/>
      <c r="F199" s="3"/>
      <c r="G199" s="3"/>
      <c r="H199" s="3"/>
      <c r="I199" s="3"/>
      <c r="J199" s="3"/>
      <c r="K199" s="3"/>
      <c r="L199" s="202"/>
      <c r="M199" s="25"/>
    </row>
    <row r="200" spans="1:13" s="2" customFormat="1" ht="15.75" x14ac:dyDescent="0.25">
      <c r="A200" s="100"/>
      <c r="B200" s="100"/>
      <c r="C200" s="19"/>
      <c r="D200" s="100"/>
      <c r="E200" s="137"/>
      <c r="F200" s="3"/>
      <c r="G200" s="3"/>
      <c r="H200" s="3"/>
      <c r="I200" s="3"/>
      <c r="J200" s="3"/>
      <c r="K200" s="3"/>
      <c r="L200" s="202"/>
      <c r="M200" s="25"/>
    </row>
    <row r="201" spans="1:13" s="2" customFormat="1" ht="15.75" x14ac:dyDescent="0.25">
      <c r="A201" s="100"/>
      <c r="B201" s="100"/>
      <c r="C201" s="19"/>
      <c r="D201" s="100"/>
      <c r="E201" s="137"/>
      <c r="F201" s="3"/>
      <c r="G201" s="3"/>
      <c r="H201" s="3"/>
      <c r="I201" s="3"/>
      <c r="J201" s="3"/>
      <c r="K201" s="3"/>
      <c r="L201" s="202"/>
      <c r="M201" s="25"/>
    </row>
    <row r="202" spans="1:13" s="2" customFormat="1" ht="15.75" x14ac:dyDescent="0.25">
      <c r="A202" s="100"/>
      <c r="B202" s="100"/>
      <c r="C202" s="19"/>
      <c r="D202" s="100"/>
      <c r="E202" s="137"/>
      <c r="F202" s="3"/>
      <c r="G202" s="3"/>
      <c r="H202" s="3"/>
      <c r="I202" s="3"/>
      <c r="J202" s="3"/>
      <c r="K202" s="3"/>
      <c r="L202" s="202"/>
      <c r="M202" s="25"/>
    </row>
    <row r="203" spans="1:13" s="2" customFormat="1" ht="15.75" x14ac:dyDescent="0.25">
      <c r="A203" s="100"/>
      <c r="B203" s="100"/>
      <c r="C203" s="19"/>
      <c r="D203" s="100"/>
      <c r="E203" s="137"/>
      <c r="F203" s="3"/>
      <c r="G203" s="3"/>
      <c r="H203" s="3"/>
      <c r="I203" s="3"/>
      <c r="J203" s="3"/>
      <c r="K203" s="3"/>
      <c r="L203" s="202"/>
      <c r="M203" s="25"/>
    </row>
    <row r="204" spans="1:13" s="2" customFormat="1" ht="15.75" x14ac:dyDescent="0.25">
      <c r="A204" s="100"/>
      <c r="B204" s="100"/>
      <c r="C204" s="19"/>
      <c r="D204" s="100"/>
      <c r="E204" s="137"/>
      <c r="F204" s="3"/>
      <c r="G204" s="3"/>
      <c r="H204" s="3"/>
      <c r="I204" s="3"/>
      <c r="J204" s="3"/>
      <c r="K204" s="3"/>
      <c r="L204" s="202"/>
      <c r="M204" s="25"/>
    </row>
    <row r="205" spans="1:13" s="2" customFormat="1" ht="15.75" x14ac:dyDescent="0.25">
      <c r="A205" s="100"/>
      <c r="B205" s="100"/>
      <c r="C205" s="19"/>
      <c r="D205" s="100"/>
      <c r="E205" s="137"/>
      <c r="F205" s="3"/>
      <c r="G205" s="3"/>
      <c r="H205" s="3"/>
      <c r="I205" s="3"/>
      <c r="J205" s="3"/>
      <c r="K205" s="3"/>
      <c r="L205" s="202"/>
      <c r="M205" s="25"/>
    </row>
    <row r="206" spans="1:13" s="2" customFormat="1" ht="15.75" x14ac:dyDescent="0.25">
      <c r="A206" s="100"/>
      <c r="B206" s="100"/>
      <c r="C206" s="19"/>
      <c r="D206" s="100"/>
      <c r="E206" s="137"/>
      <c r="F206" s="3"/>
      <c r="G206" s="3"/>
      <c r="H206" s="3"/>
      <c r="I206" s="3"/>
      <c r="J206" s="3"/>
      <c r="K206" s="3"/>
      <c r="L206" s="202"/>
      <c r="M206" s="25"/>
    </row>
    <row r="207" spans="1:13" s="2" customFormat="1" ht="15.75" x14ac:dyDescent="0.25">
      <c r="A207" s="100"/>
      <c r="B207" s="100"/>
      <c r="C207" s="19"/>
      <c r="D207" s="100"/>
      <c r="E207" s="137"/>
      <c r="F207" s="3"/>
      <c r="G207" s="3"/>
      <c r="H207" s="3"/>
      <c r="I207" s="3"/>
      <c r="J207" s="3"/>
      <c r="K207" s="3"/>
      <c r="L207" s="202"/>
      <c r="M207" s="25"/>
    </row>
    <row r="208" spans="1:13" s="2" customFormat="1" ht="15.75" x14ac:dyDescent="0.25">
      <c r="A208" s="100"/>
      <c r="B208" s="100"/>
      <c r="C208" s="19"/>
      <c r="D208" s="100"/>
      <c r="E208" s="137"/>
      <c r="F208" s="3"/>
      <c r="G208" s="3"/>
      <c r="H208" s="3"/>
      <c r="I208" s="3"/>
      <c r="J208" s="3"/>
      <c r="K208" s="3"/>
      <c r="L208" s="202"/>
      <c r="M208" s="25"/>
    </row>
    <row r="209" spans="1:13" s="2" customFormat="1" ht="15.75" x14ac:dyDescent="0.25">
      <c r="A209" s="100"/>
      <c r="B209" s="100"/>
      <c r="C209" s="19"/>
      <c r="D209" s="100"/>
      <c r="E209" s="137"/>
      <c r="F209" s="3"/>
      <c r="G209" s="3"/>
      <c r="H209" s="3"/>
      <c r="I209" s="3"/>
      <c r="J209" s="3"/>
      <c r="K209" s="3"/>
      <c r="L209" s="202"/>
      <c r="M209" s="25"/>
    </row>
    <row r="210" spans="1:13" s="2" customFormat="1" ht="15.75" x14ac:dyDescent="0.25">
      <c r="A210" s="100"/>
      <c r="B210" s="100"/>
      <c r="C210" s="19"/>
      <c r="D210" s="100"/>
      <c r="E210" s="137"/>
      <c r="F210" s="3"/>
      <c r="G210" s="3"/>
      <c r="H210" s="3"/>
      <c r="I210" s="3"/>
      <c r="J210" s="3"/>
      <c r="K210" s="3"/>
      <c r="L210" s="202"/>
      <c r="M210" s="25"/>
    </row>
    <row r="211" spans="1:13" s="2" customFormat="1" ht="15.75" x14ac:dyDescent="0.25">
      <c r="A211" s="100"/>
      <c r="B211" s="100"/>
      <c r="C211" s="19"/>
      <c r="D211" s="100"/>
      <c r="E211" s="137"/>
      <c r="F211" s="3"/>
      <c r="G211" s="3"/>
      <c r="H211" s="3"/>
      <c r="I211" s="3"/>
      <c r="J211" s="3"/>
      <c r="K211" s="3"/>
      <c r="L211" s="202"/>
      <c r="M211" s="25"/>
    </row>
    <row r="212" spans="1:13" s="2" customFormat="1" ht="15.75" x14ac:dyDescent="0.25">
      <c r="A212" s="100"/>
      <c r="B212" s="100"/>
      <c r="C212" s="19"/>
      <c r="D212" s="100"/>
      <c r="E212" s="137"/>
      <c r="F212" s="3"/>
      <c r="G212" s="3"/>
      <c r="H212" s="3"/>
      <c r="I212" s="3"/>
      <c r="J212" s="3"/>
      <c r="K212" s="3"/>
      <c r="L212" s="202"/>
      <c r="M212" s="25"/>
    </row>
    <row r="213" spans="1:13" s="2" customFormat="1" ht="15.75" x14ac:dyDescent="0.25">
      <c r="A213" s="100"/>
      <c r="B213" s="100"/>
      <c r="C213" s="19"/>
      <c r="D213" s="100"/>
      <c r="E213" s="137"/>
      <c r="F213" s="3"/>
      <c r="G213" s="3"/>
      <c r="H213" s="3"/>
      <c r="I213" s="3"/>
      <c r="J213" s="3"/>
      <c r="K213" s="3"/>
      <c r="L213" s="202"/>
      <c r="M213" s="25"/>
    </row>
    <row r="214" spans="1:13" s="2" customFormat="1" ht="15.75" x14ac:dyDescent="0.25">
      <c r="A214" s="100"/>
      <c r="B214" s="100"/>
      <c r="C214" s="19"/>
      <c r="D214" s="100"/>
      <c r="E214" s="137"/>
      <c r="F214" s="3"/>
      <c r="G214" s="3"/>
      <c r="H214" s="3"/>
      <c r="I214" s="3"/>
      <c r="J214" s="3"/>
      <c r="K214" s="3"/>
      <c r="L214" s="202"/>
      <c r="M214" s="25"/>
    </row>
    <row r="215" spans="1:13" s="2" customFormat="1" ht="15.75" x14ac:dyDescent="0.25">
      <c r="A215" s="100"/>
      <c r="B215" s="100"/>
      <c r="C215" s="19"/>
      <c r="D215" s="100"/>
      <c r="E215" s="137"/>
      <c r="F215" s="3"/>
      <c r="G215" s="3"/>
      <c r="H215" s="3"/>
      <c r="I215" s="3"/>
      <c r="J215" s="3"/>
      <c r="K215" s="3"/>
      <c r="L215" s="202"/>
      <c r="M215" s="25"/>
    </row>
    <row r="216" spans="1:13" s="2" customFormat="1" ht="15.75" x14ac:dyDescent="0.25">
      <c r="A216" s="100"/>
      <c r="B216" s="100"/>
      <c r="C216" s="19"/>
      <c r="D216" s="100"/>
      <c r="E216" s="137"/>
      <c r="F216" s="3"/>
      <c r="G216" s="3"/>
      <c r="H216" s="3"/>
      <c r="I216" s="3"/>
      <c r="J216" s="3"/>
      <c r="K216" s="3"/>
      <c r="L216" s="202"/>
      <c r="M216" s="25"/>
    </row>
    <row r="217" spans="1:13" s="2" customFormat="1" ht="15.75" x14ac:dyDescent="0.25">
      <c r="A217" s="100"/>
      <c r="B217" s="100"/>
      <c r="C217" s="19"/>
      <c r="D217" s="100"/>
      <c r="E217" s="137"/>
      <c r="F217" s="3"/>
      <c r="G217" s="3"/>
      <c r="H217" s="3"/>
      <c r="I217" s="3"/>
      <c r="J217" s="3"/>
      <c r="K217" s="3"/>
      <c r="L217" s="202"/>
      <c r="M217" s="25"/>
    </row>
    <row r="218" spans="1:13" s="2" customFormat="1" ht="15.75" x14ac:dyDescent="0.25">
      <c r="A218" s="100"/>
      <c r="B218" s="100"/>
      <c r="C218" s="19"/>
      <c r="D218" s="100"/>
      <c r="E218" s="137"/>
      <c r="F218" s="3"/>
      <c r="G218" s="3"/>
      <c r="H218" s="3"/>
      <c r="I218" s="3"/>
      <c r="J218" s="3"/>
      <c r="K218" s="3"/>
      <c r="L218" s="202"/>
      <c r="M218" s="25"/>
    </row>
    <row r="219" spans="1:13" s="2" customFormat="1" ht="15.75" x14ac:dyDescent="0.25">
      <c r="A219" s="100"/>
      <c r="B219" s="100"/>
      <c r="C219" s="19"/>
      <c r="D219" s="100"/>
      <c r="E219" s="137"/>
      <c r="F219" s="3"/>
      <c r="G219" s="3"/>
      <c r="H219" s="3"/>
      <c r="I219" s="3"/>
      <c r="J219" s="3"/>
      <c r="K219" s="3"/>
      <c r="L219" s="202"/>
      <c r="M219" s="25"/>
    </row>
    <row r="220" spans="1:13" s="2" customFormat="1" ht="15.75" x14ac:dyDescent="0.25">
      <c r="A220" s="100"/>
      <c r="B220" s="100"/>
      <c r="C220" s="19"/>
      <c r="D220" s="100"/>
      <c r="E220" s="137"/>
      <c r="F220" s="3"/>
      <c r="G220" s="3"/>
      <c r="H220" s="3"/>
      <c r="I220" s="3"/>
      <c r="J220" s="3"/>
      <c r="K220" s="3"/>
      <c r="L220" s="202"/>
      <c r="M220" s="25"/>
    </row>
    <row r="221" spans="1:13" s="2" customFormat="1" ht="15.75" x14ac:dyDescent="0.25">
      <c r="A221" s="100"/>
      <c r="B221" s="100"/>
      <c r="C221" s="19"/>
      <c r="D221" s="100"/>
      <c r="E221" s="137"/>
      <c r="F221" s="3"/>
      <c r="G221" s="3"/>
      <c r="H221" s="3"/>
      <c r="I221" s="3"/>
      <c r="J221" s="3"/>
      <c r="K221" s="3"/>
      <c r="L221" s="202"/>
      <c r="M221" s="25"/>
    </row>
    <row r="222" spans="1:13" s="2" customFormat="1" ht="15.75" x14ac:dyDescent="0.25">
      <c r="A222" s="100"/>
      <c r="B222" s="100"/>
      <c r="C222" s="19"/>
      <c r="D222" s="100"/>
      <c r="E222" s="137"/>
      <c r="F222" s="3"/>
      <c r="G222" s="3"/>
      <c r="H222" s="3"/>
      <c r="I222" s="3"/>
      <c r="J222" s="3"/>
      <c r="K222" s="3"/>
      <c r="L222" s="202"/>
      <c r="M222" s="25"/>
    </row>
    <row r="223" spans="1:13" s="2" customFormat="1" ht="15.75" x14ac:dyDescent="0.25">
      <c r="A223" s="100"/>
      <c r="B223" s="100"/>
      <c r="C223" s="19"/>
      <c r="D223" s="100"/>
      <c r="E223" s="137"/>
      <c r="F223" s="3"/>
      <c r="G223" s="3"/>
      <c r="H223" s="3"/>
      <c r="I223" s="3"/>
      <c r="J223" s="3"/>
      <c r="K223" s="3"/>
      <c r="L223" s="202"/>
      <c r="M223" s="25"/>
    </row>
    <row r="224" spans="1:13" s="2" customFormat="1" ht="15.75" x14ac:dyDescent="0.25">
      <c r="A224" s="100"/>
      <c r="B224" s="100"/>
      <c r="C224" s="19"/>
      <c r="D224" s="100"/>
      <c r="E224" s="137"/>
      <c r="F224" s="3"/>
      <c r="G224" s="3"/>
      <c r="H224" s="3"/>
      <c r="I224" s="3"/>
      <c r="J224" s="3"/>
      <c r="K224" s="3"/>
      <c r="L224" s="202"/>
      <c r="M224" s="25"/>
    </row>
    <row r="225" spans="1:13" s="2" customFormat="1" ht="15.75" x14ac:dyDescent="0.25">
      <c r="A225" s="100"/>
      <c r="B225" s="100"/>
      <c r="C225" s="19"/>
      <c r="D225" s="100"/>
      <c r="E225" s="137"/>
      <c r="F225" s="3"/>
      <c r="G225" s="3"/>
      <c r="H225" s="3"/>
      <c r="I225" s="3"/>
      <c r="J225" s="3"/>
      <c r="K225" s="3"/>
      <c r="L225" s="202"/>
      <c r="M225" s="25"/>
    </row>
    <row r="226" spans="1:13" s="2" customFormat="1" ht="15.75" x14ac:dyDescent="0.25">
      <c r="A226" s="100"/>
      <c r="B226" s="100"/>
      <c r="C226" s="19"/>
      <c r="D226" s="100"/>
      <c r="E226" s="137"/>
      <c r="F226" s="3"/>
      <c r="G226" s="3"/>
      <c r="H226" s="3"/>
      <c r="I226" s="3"/>
      <c r="J226" s="3"/>
      <c r="K226" s="3"/>
      <c r="L226" s="202"/>
      <c r="M226" s="25"/>
    </row>
    <row r="227" spans="1:13" s="2" customFormat="1" ht="15.75" x14ac:dyDescent="0.25">
      <c r="A227" s="100"/>
      <c r="B227" s="100"/>
      <c r="C227" s="19"/>
      <c r="D227" s="100"/>
      <c r="E227" s="137"/>
      <c r="F227" s="3"/>
      <c r="G227" s="3"/>
      <c r="H227" s="3"/>
      <c r="I227" s="3"/>
      <c r="J227" s="3"/>
      <c r="K227" s="3"/>
      <c r="L227" s="202"/>
      <c r="M227" s="25"/>
    </row>
    <row r="228" spans="1:13" s="2" customFormat="1" ht="15.75" x14ac:dyDescent="0.25">
      <c r="A228" s="100"/>
      <c r="B228" s="100"/>
      <c r="C228" s="19"/>
      <c r="D228" s="100"/>
      <c r="E228" s="137"/>
      <c r="F228" s="3"/>
      <c r="G228" s="3"/>
      <c r="H228" s="3"/>
      <c r="I228" s="3"/>
      <c r="J228" s="3"/>
      <c r="K228" s="3"/>
      <c r="L228" s="202"/>
      <c r="M228" s="25"/>
    </row>
    <row r="229" spans="1:13" s="2" customFormat="1" ht="15.75" x14ac:dyDescent="0.25">
      <c r="A229" s="100"/>
      <c r="B229" s="100"/>
      <c r="C229" s="19"/>
      <c r="D229" s="100"/>
      <c r="E229" s="137"/>
      <c r="F229" s="3"/>
      <c r="G229" s="3"/>
      <c r="H229" s="3"/>
      <c r="I229" s="3"/>
      <c r="J229" s="3"/>
      <c r="K229" s="3"/>
      <c r="L229" s="202"/>
      <c r="M229" s="25"/>
    </row>
    <row r="230" spans="1:13" s="2" customFormat="1" ht="15.75" x14ac:dyDescent="0.25">
      <c r="A230" s="100"/>
      <c r="B230" s="100"/>
      <c r="C230" s="19"/>
      <c r="D230" s="100"/>
      <c r="E230" s="137"/>
      <c r="F230" s="3"/>
      <c r="G230" s="3"/>
      <c r="H230" s="3"/>
      <c r="I230" s="3"/>
      <c r="J230" s="3"/>
      <c r="K230" s="3"/>
      <c r="L230" s="202"/>
      <c r="M230" s="25"/>
    </row>
    <row r="231" spans="1:13" s="2" customFormat="1" ht="15.75" x14ac:dyDescent="0.25">
      <c r="A231" s="100"/>
      <c r="B231" s="100"/>
      <c r="C231" s="19"/>
      <c r="D231" s="100"/>
      <c r="E231" s="137"/>
      <c r="F231" s="3"/>
      <c r="G231" s="3"/>
      <c r="H231" s="3"/>
      <c r="I231" s="3"/>
      <c r="J231" s="3"/>
      <c r="K231" s="3"/>
      <c r="L231" s="202"/>
      <c r="M231" s="25"/>
    </row>
    <row r="232" spans="1:13" s="2" customFormat="1" ht="15.75" x14ac:dyDescent="0.25">
      <c r="A232" s="100"/>
      <c r="B232" s="100"/>
      <c r="C232" s="19"/>
      <c r="D232" s="100"/>
      <c r="E232" s="137"/>
      <c r="F232" s="3"/>
      <c r="G232" s="3"/>
      <c r="H232" s="3"/>
      <c r="I232" s="3"/>
      <c r="J232" s="3"/>
      <c r="K232" s="3"/>
      <c r="L232" s="202"/>
      <c r="M232" s="25"/>
    </row>
    <row r="233" spans="1:13" s="2" customFormat="1" ht="15.75" x14ac:dyDescent="0.25">
      <c r="A233" s="100"/>
      <c r="B233" s="100"/>
      <c r="C233" s="19"/>
      <c r="D233" s="100"/>
      <c r="E233" s="137"/>
      <c r="F233" s="3"/>
      <c r="G233" s="3"/>
      <c r="H233" s="3"/>
      <c r="I233" s="3"/>
      <c r="J233" s="3"/>
      <c r="K233" s="3"/>
      <c r="L233" s="202"/>
      <c r="M233" s="25"/>
    </row>
    <row r="234" spans="1:13" s="2" customFormat="1" ht="15.75" x14ac:dyDescent="0.25">
      <c r="A234" s="100"/>
      <c r="B234" s="100"/>
      <c r="C234" s="19"/>
      <c r="D234" s="100"/>
      <c r="E234" s="137"/>
      <c r="F234" s="3"/>
      <c r="G234" s="3"/>
      <c r="H234" s="3"/>
      <c r="I234" s="3"/>
      <c r="J234" s="3"/>
      <c r="K234" s="3"/>
      <c r="L234" s="202"/>
      <c r="M234" s="25"/>
    </row>
    <row r="235" spans="1:13" s="2" customFormat="1" ht="15.75" x14ac:dyDescent="0.25">
      <c r="A235" s="100"/>
      <c r="B235" s="100"/>
      <c r="C235" s="19"/>
      <c r="D235" s="100"/>
      <c r="E235" s="137"/>
      <c r="F235" s="3"/>
      <c r="G235" s="3"/>
      <c r="H235" s="3"/>
      <c r="I235" s="3"/>
      <c r="J235" s="3"/>
      <c r="K235" s="3"/>
      <c r="L235" s="202"/>
      <c r="M235" s="25"/>
    </row>
    <row r="236" spans="1:13" s="2" customFormat="1" ht="15.75" x14ac:dyDescent="0.25">
      <c r="A236" s="100"/>
      <c r="B236" s="100"/>
      <c r="C236" s="19"/>
      <c r="D236" s="100"/>
      <c r="E236" s="137"/>
      <c r="F236" s="3"/>
      <c r="G236" s="3"/>
      <c r="H236" s="3"/>
      <c r="I236" s="3"/>
      <c r="J236" s="3"/>
      <c r="K236" s="3"/>
      <c r="L236" s="202"/>
      <c r="M236" s="25"/>
    </row>
    <row r="237" spans="1:13" s="2" customFormat="1" ht="15.75" x14ac:dyDescent="0.25">
      <c r="A237" s="100"/>
      <c r="B237" s="100"/>
      <c r="C237" s="19"/>
      <c r="D237" s="100"/>
      <c r="E237" s="137"/>
      <c r="F237" s="3"/>
      <c r="G237" s="3"/>
      <c r="H237" s="3"/>
      <c r="I237" s="3"/>
      <c r="J237" s="3"/>
      <c r="K237" s="3"/>
      <c r="L237" s="202"/>
      <c r="M237" s="25"/>
    </row>
    <row r="238" spans="1:13" s="2" customFormat="1" ht="15.75" x14ac:dyDescent="0.25">
      <c r="A238" s="100"/>
      <c r="B238" s="100"/>
      <c r="C238" s="19"/>
      <c r="D238" s="100"/>
      <c r="E238" s="137"/>
      <c r="F238" s="3"/>
      <c r="G238" s="3"/>
      <c r="H238" s="3"/>
      <c r="I238" s="3"/>
      <c r="J238" s="3"/>
      <c r="K238" s="3"/>
      <c r="L238" s="202"/>
      <c r="M238" s="25"/>
    </row>
    <row r="239" spans="1:13" s="2" customFormat="1" ht="15.75" x14ac:dyDescent="0.25">
      <c r="A239" s="100"/>
      <c r="B239" s="100"/>
      <c r="C239" s="19"/>
      <c r="D239" s="100"/>
      <c r="E239" s="137"/>
      <c r="F239" s="3"/>
      <c r="G239" s="3"/>
      <c r="H239" s="3"/>
      <c r="I239" s="3"/>
      <c r="J239" s="3"/>
      <c r="K239" s="3"/>
      <c r="L239" s="202"/>
      <c r="M239" s="25"/>
    </row>
    <row r="240" spans="1:13" s="2" customFormat="1" ht="15.75" x14ac:dyDescent="0.25">
      <c r="A240" s="100"/>
      <c r="B240" s="100"/>
      <c r="C240" s="19"/>
      <c r="D240" s="100"/>
      <c r="E240" s="137"/>
      <c r="F240" s="3"/>
      <c r="G240" s="3"/>
      <c r="H240" s="3"/>
      <c r="I240" s="3"/>
      <c r="J240" s="3"/>
      <c r="K240" s="3"/>
      <c r="L240" s="202"/>
      <c r="M240" s="25"/>
    </row>
    <row r="241" spans="1:13" s="2" customFormat="1" ht="15.75" x14ac:dyDescent="0.25">
      <c r="A241" s="100"/>
      <c r="B241" s="100"/>
      <c r="C241" s="19"/>
      <c r="D241" s="100"/>
      <c r="E241" s="137"/>
      <c r="F241" s="3"/>
      <c r="G241" s="3"/>
      <c r="H241" s="3"/>
      <c r="I241" s="3"/>
      <c r="J241" s="3"/>
      <c r="K241" s="3"/>
      <c r="L241" s="202"/>
      <c r="M241" s="25"/>
    </row>
    <row r="242" spans="1:13" s="2" customFormat="1" ht="15.75" x14ac:dyDescent="0.25">
      <c r="A242" s="100"/>
      <c r="B242" s="100"/>
      <c r="C242" s="19"/>
      <c r="D242" s="100"/>
      <c r="E242" s="137"/>
      <c r="F242" s="3"/>
      <c r="G242" s="3"/>
      <c r="H242" s="3"/>
      <c r="I242" s="3"/>
      <c r="J242" s="3"/>
      <c r="K242" s="3"/>
      <c r="L242" s="202"/>
      <c r="M242" s="25"/>
    </row>
    <row r="243" spans="1:13" s="2" customFormat="1" ht="15.75" x14ac:dyDescent="0.25">
      <c r="A243" s="100"/>
      <c r="B243" s="100"/>
      <c r="C243" s="19"/>
      <c r="D243" s="100"/>
      <c r="E243" s="137"/>
      <c r="F243" s="3"/>
      <c r="G243" s="3"/>
      <c r="H243" s="3"/>
      <c r="I243" s="3"/>
      <c r="J243" s="3"/>
      <c r="K243" s="3"/>
      <c r="L243" s="202"/>
      <c r="M243" s="25"/>
    </row>
    <row r="244" spans="1:13" s="2" customFormat="1" ht="15.75" x14ac:dyDescent="0.25">
      <c r="A244" s="100"/>
      <c r="B244" s="100"/>
      <c r="C244" s="19"/>
      <c r="D244" s="100"/>
      <c r="E244" s="137"/>
      <c r="F244" s="3"/>
      <c r="G244" s="3"/>
      <c r="H244" s="3"/>
      <c r="I244" s="3"/>
      <c r="J244" s="3"/>
      <c r="K244" s="3"/>
      <c r="L244" s="202"/>
      <c r="M244" s="25"/>
    </row>
    <row r="245" spans="1:13" s="2" customFormat="1" ht="15.75" x14ac:dyDescent="0.25">
      <c r="A245" s="100"/>
      <c r="B245" s="100"/>
      <c r="C245" s="19"/>
      <c r="D245" s="100"/>
      <c r="E245" s="137"/>
      <c r="F245" s="3"/>
      <c r="G245" s="3"/>
      <c r="H245" s="3"/>
      <c r="I245" s="3"/>
      <c r="J245" s="3"/>
      <c r="K245" s="3"/>
      <c r="L245" s="202"/>
      <c r="M245" s="25"/>
    </row>
    <row r="246" spans="1:13" s="2" customFormat="1" ht="15.75" x14ac:dyDescent="0.25">
      <c r="A246" s="100"/>
      <c r="B246" s="100"/>
      <c r="C246" s="19"/>
      <c r="D246" s="100"/>
      <c r="E246" s="137"/>
      <c r="F246" s="3"/>
      <c r="G246" s="3"/>
      <c r="H246" s="3"/>
      <c r="I246" s="3"/>
      <c r="J246" s="3"/>
      <c r="K246" s="3"/>
      <c r="L246" s="202"/>
      <c r="M246" s="25"/>
    </row>
    <row r="247" spans="1:13" s="2" customFormat="1" ht="15.75" x14ac:dyDescent="0.25">
      <c r="A247" s="100"/>
      <c r="B247" s="100"/>
      <c r="C247" s="19"/>
      <c r="D247" s="100"/>
      <c r="E247" s="137"/>
      <c r="F247" s="3"/>
      <c r="G247" s="3"/>
      <c r="H247" s="3"/>
      <c r="I247" s="3"/>
      <c r="J247" s="3"/>
      <c r="K247" s="3"/>
      <c r="L247" s="202"/>
      <c r="M247" s="25"/>
    </row>
    <row r="248" spans="1:13" s="2" customFormat="1" ht="15.75" x14ac:dyDescent="0.25">
      <c r="A248" s="100"/>
      <c r="B248" s="100"/>
      <c r="C248" s="19"/>
      <c r="D248" s="100"/>
      <c r="E248" s="137"/>
      <c r="F248" s="3"/>
      <c r="G248" s="3"/>
      <c r="H248" s="3"/>
      <c r="I248" s="3"/>
      <c r="J248" s="3"/>
      <c r="K248" s="3"/>
      <c r="L248" s="202"/>
      <c r="M248" s="25"/>
    </row>
    <row r="249" spans="1:13" s="2" customFormat="1" ht="15.75" x14ac:dyDescent="0.25">
      <c r="A249" s="100"/>
      <c r="B249" s="100"/>
      <c r="C249" s="19"/>
      <c r="D249" s="100"/>
      <c r="E249" s="137"/>
      <c r="F249" s="3"/>
      <c r="G249" s="3"/>
      <c r="H249" s="3"/>
      <c r="I249" s="3"/>
      <c r="J249" s="3"/>
      <c r="K249" s="3"/>
      <c r="L249" s="202"/>
      <c r="M249" s="25"/>
    </row>
    <row r="250" spans="1:13" s="2" customFormat="1" ht="15.75" x14ac:dyDescent="0.25">
      <c r="A250" s="100"/>
      <c r="B250" s="100"/>
      <c r="C250" s="19"/>
      <c r="D250" s="100"/>
      <c r="E250" s="137"/>
      <c r="F250" s="3"/>
      <c r="G250" s="3"/>
      <c r="H250" s="3"/>
      <c r="I250" s="3"/>
      <c r="J250" s="3"/>
      <c r="K250" s="3"/>
      <c r="L250" s="202"/>
      <c r="M250" s="25"/>
    </row>
    <row r="251" spans="1:13" s="2" customFormat="1" ht="15.75" x14ac:dyDescent="0.25">
      <c r="A251" s="100"/>
      <c r="B251" s="100"/>
      <c r="C251" s="19"/>
      <c r="D251" s="100"/>
      <c r="E251" s="137"/>
      <c r="F251" s="3"/>
      <c r="G251" s="3"/>
      <c r="H251" s="3"/>
      <c r="I251" s="3"/>
      <c r="J251" s="3"/>
      <c r="K251" s="3"/>
      <c r="L251" s="202"/>
      <c r="M251" s="25"/>
    </row>
    <row r="252" spans="1:13" s="2" customFormat="1" ht="15.75" x14ac:dyDescent="0.25">
      <c r="A252" s="100"/>
      <c r="B252" s="100"/>
      <c r="C252" s="19"/>
      <c r="D252" s="100"/>
      <c r="E252" s="137"/>
      <c r="F252" s="3"/>
      <c r="G252" s="3"/>
      <c r="H252" s="3"/>
      <c r="I252" s="3"/>
      <c r="J252" s="3"/>
      <c r="K252" s="3"/>
      <c r="L252" s="202"/>
      <c r="M252" s="25"/>
    </row>
    <row r="253" spans="1:13" s="2" customFormat="1" ht="15.75" x14ac:dyDescent="0.25">
      <c r="A253" s="100"/>
      <c r="B253" s="100"/>
      <c r="C253" s="19"/>
      <c r="D253" s="100"/>
      <c r="E253" s="137"/>
      <c r="F253" s="3"/>
      <c r="G253" s="3"/>
      <c r="H253" s="3"/>
      <c r="I253" s="3"/>
      <c r="J253" s="3"/>
      <c r="K253" s="3"/>
      <c r="L253" s="202"/>
      <c r="M253" s="25"/>
    </row>
    <row r="254" spans="1:13" s="2" customFormat="1" ht="15.75" x14ac:dyDescent="0.25">
      <c r="A254" s="100"/>
      <c r="B254" s="100"/>
      <c r="C254" s="19"/>
      <c r="D254" s="100"/>
      <c r="E254" s="137"/>
      <c r="F254" s="3"/>
      <c r="G254" s="3"/>
      <c r="H254" s="3"/>
      <c r="I254" s="3"/>
      <c r="J254" s="3"/>
      <c r="K254" s="3"/>
      <c r="L254" s="202"/>
      <c r="M254" s="25"/>
    </row>
    <row r="255" spans="1:13" s="2" customFormat="1" ht="15.75" x14ac:dyDescent="0.25">
      <c r="A255" s="100"/>
      <c r="B255" s="100"/>
      <c r="C255" s="19"/>
      <c r="D255" s="100"/>
      <c r="E255" s="137"/>
      <c r="F255" s="3"/>
      <c r="G255" s="3"/>
      <c r="H255" s="3"/>
      <c r="I255" s="3"/>
      <c r="J255" s="3"/>
      <c r="K255" s="3"/>
      <c r="L255" s="202"/>
      <c r="M255" s="25"/>
    </row>
    <row r="256" spans="1:13" s="2" customFormat="1" ht="15.75" x14ac:dyDescent="0.25">
      <c r="A256" s="100"/>
      <c r="B256" s="100"/>
      <c r="C256" s="19"/>
      <c r="D256" s="100"/>
      <c r="E256" s="137"/>
      <c r="F256" s="3"/>
      <c r="G256" s="3"/>
      <c r="H256" s="3"/>
      <c r="I256" s="3"/>
      <c r="J256" s="3"/>
      <c r="K256" s="3"/>
      <c r="L256" s="202"/>
      <c r="M256" s="25"/>
    </row>
    <row r="257" spans="1:13" s="2" customFormat="1" ht="15.75" x14ac:dyDescent="0.25">
      <c r="A257" s="100"/>
      <c r="B257" s="100"/>
      <c r="C257" s="19"/>
      <c r="D257" s="100"/>
      <c r="E257" s="137"/>
      <c r="F257" s="3"/>
      <c r="G257" s="3"/>
      <c r="H257" s="3"/>
      <c r="I257" s="3"/>
      <c r="J257" s="3"/>
      <c r="K257" s="3"/>
      <c r="L257" s="202"/>
      <c r="M257" s="25"/>
    </row>
    <row r="258" spans="1:13" s="2" customFormat="1" ht="15.75" x14ac:dyDescent="0.25">
      <c r="A258" s="100"/>
      <c r="B258" s="100"/>
      <c r="C258" s="19"/>
      <c r="D258" s="100"/>
      <c r="E258" s="137"/>
      <c r="F258" s="3"/>
      <c r="G258" s="3"/>
      <c r="H258" s="3"/>
      <c r="I258" s="3"/>
      <c r="J258" s="3"/>
      <c r="K258" s="3"/>
      <c r="L258" s="202"/>
      <c r="M258" s="25"/>
    </row>
    <row r="259" spans="1:13" s="2" customFormat="1" ht="15.75" x14ac:dyDescent="0.25">
      <c r="A259" s="100"/>
      <c r="B259" s="100"/>
      <c r="C259" s="19"/>
      <c r="D259" s="100"/>
      <c r="E259" s="137"/>
      <c r="F259" s="3"/>
      <c r="G259" s="3"/>
      <c r="H259" s="3"/>
      <c r="I259" s="3"/>
      <c r="J259" s="3"/>
      <c r="K259" s="3"/>
      <c r="L259" s="202"/>
      <c r="M259" s="25"/>
    </row>
    <row r="260" spans="1:13" s="2" customFormat="1" ht="15.75" x14ac:dyDescent="0.25">
      <c r="A260" s="100"/>
      <c r="B260" s="100"/>
      <c r="C260" s="19"/>
      <c r="D260" s="100"/>
      <c r="E260" s="137"/>
      <c r="F260" s="3"/>
      <c r="G260" s="3"/>
      <c r="H260" s="3"/>
      <c r="I260" s="3"/>
      <c r="J260" s="3"/>
      <c r="K260" s="3"/>
      <c r="L260" s="202"/>
      <c r="M260" s="25"/>
    </row>
    <row r="261" spans="1:13" s="2" customFormat="1" ht="15.75" x14ac:dyDescent="0.25">
      <c r="A261" s="100"/>
      <c r="B261" s="100"/>
      <c r="C261" s="19"/>
      <c r="D261" s="100"/>
      <c r="E261" s="137"/>
      <c r="F261" s="3"/>
      <c r="G261" s="3"/>
      <c r="H261" s="3"/>
      <c r="I261" s="3"/>
      <c r="J261" s="3"/>
      <c r="K261" s="3"/>
      <c r="L261" s="202"/>
      <c r="M261" s="25"/>
    </row>
    <row r="262" spans="1:13" s="2" customFormat="1" ht="15.75" x14ac:dyDescent="0.25">
      <c r="A262" s="100"/>
      <c r="B262" s="100"/>
      <c r="C262" s="19"/>
      <c r="D262" s="100"/>
      <c r="E262" s="137"/>
      <c r="F262" s="3"/>
      <c r="G262" s="3"/>
      <c r="H262" s="3"/>
      <c r="I262" s="3"/>
      <c r="J262" s="3"/>
      <c r="K262" s="3"/>
      <c r="L262" s="202"/>
      <c r="M262" s="25"/>
    </row>
    <row r="263" spans="1:13" s="2" customFormat="1" ht="15.75" x14ac:dyDescent="0.25">
      <c r="A263" s="100"/>
      <c r="B263" s="100"/>
      <c r="C263" s="19"/>
      <c r="D263" s="100"/>
      <c r="E263" s="137"/>
      <c r="F263" s="3"/>
      <c r="G263" s="3"/>
      <c r="H263" s="3"/>
      <c r="I263" s="3"/>
      <c r="J263" s="3"/>
      <c r="K263" s="3"/>
      <c r="L263" s="202"/>
      <c r="M263" s="25"/>
    </row>
    <row r="264" spans="1:13" s="2" customFormat="1" ht="15.75" x14ac:dyDescent="0.25">
      <c r="A264" s="100"/>
      <c r="B264" s="100"/>
      <c r="C264" s="19"/>
      <c r="D264" s="100"/>
      <c r="E264" s="137"/>
      <c r="F264" s="3"/>
      <c r="G264" s="3"/>
      <c r="H264" s="3"/>
      <c r="I264" s="3"/>
      <c r="J264" s="3"/>
      <c r="K264" s="3"/>
      <c r="L264" s="202"/>
      <c r="M264" s="25"/>
    </row>
    <row r="265" spans="1:13" s="2" customFormat="1" ht="15.75" x14ac:dyDescent="0.25">
      <c r="A265" s="100"/>
      <c r="B265" s="100"/>
      <c r="C265" s="19"/>
      <c r="D265" s="100"/>
      <c r="E265" s="137"/>
      <c r="F265" s="3"/>
      <c r="G265" s="3"/>
      <c r="H265" s="3"/>
      <c r="I265" s="3"/>
      <c r="J265" s="3"/>
      <c r="K265" s="3"/>
      <c r="L265" s="202"/>
      <c r="M265" s="25"/>
    </row>
    <row r="266" spans="1:13" s="2" customFormat="1" ht="15.75" x14ac:dyDescent="0.25">
      <c r="A266" s="100"/>
      <c r="B266" s="100"/>
      <c r="C266" s="19"/>
      <c r="D266" s="100"/>
      <c r="E266" s="137"/>
      <c r="F266" s="3"/>
      <c r="G266" s="3"/>
      <c r="H266" s="3"/>
      <c r="I266" s="3"/>
      <c r="J266" s="3"/>
      <c r="K266" s="3"/>
      <c r="L266" s="202"/>
      <c r="M266" s="25"/>
    </row>
    <row r="267" spans="1:13" s="2" customFormat="1" ht="15.75" x14ac:dyDescent="0.25">
      <c r="A267" s="100"/>
      <c r="B267" s="100"/>
      <c r="C267" s="19"/>
      <c r="D267" s="100"/>
      <c r="E267" s="137"/>
      <c r="F267" s="3"/>
      <c r="G267" s="3"/>
      <c r="H267" s="3"/>
      <c r="I267" s="3"/>
      <c r="J267" s="3"/>
      <c r="K267" s="3"/>
      <c r="L267" s="202"/>
      <c r="M267" s="25"/>
    </row>
    <row r="268" spans="1:13" s="2" customFormat="1" ht="15.75" x14ac:dyDescent="0.25">
      <c r="A268" s="100"/>
      <c r="B268" s="100"/>
      <c r="C268" s="19"/>
      <c r="D268" s="100"/>
      <c r="E268" s="137"/>
      <c r="F268" s="3"/>
      <c r="G268" s="3"/>
      <c r="H268" s="3"/>
      <c r="I268" s="3"/>
      <c r="J268" s="3"/>
      <c r="K268" s="3"/>
      <c r="L268" s="202"/>
      <c r="M268" s="25"/>
    </row>
    <row r="269" spans="1:13" s="2" customFormat="1" ht="15.75" x14ac:dyDescent="0.25">
      <c r="A269" s="100"/>
      <c r="B269" s="100"/>
      <c r="C269" s="19"/>
      <c r="D269" s="100"/>
      <c r="E269" s="137"/>
      <c r="F269" s="3"/>
      <c r="G269" s="3"/>
      <c r="H269" s="3"/>
      <c r="I269" s="3"/>
      <c r="J269" s="3"/>
      <c r="K269" s="3"/>
      <c r="L269" s="202"/>
      <c r="M269" s="25"/>
    </row>
    <row r="270" spans="1:13" s="2" customFormat="1" ht="15.75" x14ac:dyDescent="0.25">
      <c r="A270" s="100"/>
      <c r="B270" s="100"/>
      <c r="C270" s="19"/>
      <c r="D270" s="100"/>
      <c r="E270" s="137"/>
      <c r="F270" s="3"/>
      <c r="G270" s="3"/>
      <c r="H270" s="3"/>
      <c r="I270" s="3"/>
      <c r="J270" s="3"/>
      <c r="K270" s="3"/>
      <c r="L270" s="202"/>
      <c r="M270" s="25"/>
    </row>
    <row r="271" spans="1:13" s="2" customFormat="1" ht="15.75" x14ac:dyDescent="0.25">
      <c r="A271" s="100"/>
      <c r="B271" s="100"/>
      <c r="C271" s="19"/>
      <c r="D271" s="100"/>
      <c r="E271" s="137"/>
      <c r="F271" s="3"/>
      <c r="G271" s="3"/>
      <c r="H271" s="3"/>
      <c r="I271" s="3"/>
      <c r="J271" s="3"/>
      <c r="K271" s="3"/>
      <c r="L271" s="202"/>
      <c r="M271" s="25"/>
    </row>
    <row r="272" spans="1:13" s="2" customFormat="1" ht="15.75" x14ac:dyDescent="0.25">
      <c r="A272" s="100"/>
      <c r="B272" s="100"/>
      <c r="C272" s="19"/>
      <c r="D272" s="100"/>
      <c r="E272" s="137"/>
      <c r="F272" s="3"/>
      <c r="G272" s="3"/>
      <c r="H272" s="3"/>
      <c r="I272" s="3"/>
      <c r="J272" s="3"/>
      <c r="K272" s="3"/>
      <c r="L272" s="202"/>
      <c r="M272" s="25"/>
    </row>
    <row r="273" spans="1:13" s="2" customFormat="1" ht="15.75" x14ac:dyDescent="0.25">
      <c r="A273" s="100"/>
      <c r="B273" s="100"/>
      <c r="C273" s="19"/>
      <c r="D273" s="100"/>
      <c r="E273" s="137"/>
      <c r="F273" s="3"/>
      <c r="G273" s="3"/>
      <c r="H273" s="3"/>
      <c r="I273" s="3"/>
      <c r="J273" s="3"/>
      <c r="K273" s="3"/>
      <c r="L273" s="202"/>
      <c r="M273" s="25"/>
    </row>
    <row r="274" spans="1:13" s="2" customFormat="1" ht="15.75" x14ac:dyDescent="0.25">
      <c r="A274" s="100"/>
      <c r="B274" s="100"/>
      <c r="C274" s="19"/>
      <c r="D274" s="100"/>
      <c r="E274" s="137"/>
      <c r="F274" s="3"/>
      <c r="G274" s="3"/>
      <c r="H274" s="3"/>
      <c r="I274" s="3"/>
      <c r="J274" s="3"/>
      <c r="K274" s="3"/>
      <c r="L274" s="202"/>
      <c r="M274" s="25"/>
    </row>
    <row r="275" spans="1:13" s="2" customFormat="1" ht="15.75" x14ac:dyDescent="0.25">
      <c r="A275" s="100"/>
      <c r="B275" s="100"/>
      <c r="C275" s="19"/>
      <c r="D275" s="100"/>
      <c r="E275" s="137"/>
      <c r="F275" s="3"/>
      <c r="G275" s="3"/>
      <c r="H275" s="3"/>
      <c r="I275" s="3"/>
      <c r="J275" s="3"/>
      <c r="K275" s="3"/>
      <c r="L275" s="202"/>
      <c r="M275" s="25"/>
    </row>
    <row r="276" spans="1:13" s="2" customFormat="1" ht="15.75" x14ac:dyDescent="0.25">
      <c r="A276" s="100"/>
      <c r="B276" s="100"/>
      <c r="C276" s="19"/>
      <c r="D276" s="100"/>
      <c r="E276" s="137"/>
      <c r="F276" s="3"/>
      <c r="G276" s="3"/>
      <c r="H276" s="3"/>
      <c r="I276" s="3"/>
      <c r="J276" s="3"/>
      <c r="K276" s="3"/>
      <c r="L276" s="202"/>
      <c r="M276" s="25"/>
    </row>
    <row r="277" spans="1:13" s="2" customFormat="1" ht="15.75" x14ac:dyDescent="0.25">
      <c r="A277" s="100"/>
      <c r="B277" s="100"/>
      <c r="C277" s="19"/>
      <c r="D277" s="100"/>
      <c r="E277" s="137"/>
      <c r="F277" s="3"/>
      <c r="G277" s="3"/>
      <c r="H277" s="3"/>
      <c r="I277" s="3"/>
      <c r="J277" s="3"/>
      <c r="K277" s="3"/>
      <c r="L277" s="202"/>
      <c r="M277" s="25"/>
    </row>
    <row r="278" spans="1:13" s="2" customFormat="1" ht="15.75" x14ac:dyDescent="0.25">
      <c r="A278" s="100"/>
      <c r="B278" s="100"/>
      <c r="C278" s="19"/>
      <c r="D278" s="100"/>
      <c r="E278" s="137"/>
      <c r="F278" s="3"/>
      <c r="G278" s="3"/>
      <c r="H278" s="3"/>
      <c r="I278" s="3"/>
      <c r="J278" s="3"/>
      <c r="K278" s="3"/>
      <c r="L278" s="202"/>
      <c r="M278" s="25"/>
    </row>
    <row r="279" spans="1:13" s="2" customFormat="1" ht="15.75" x14ac:dyDescent="0.25">
      <c r="A279" s="100"/>
      <c r="B279" s="100"/>
      <c r="C279" s="19"/>
      <c r="D279" s="100"/>
      <c r="E279" s="137"/>
      <c r="F279" s="3"/>
      <c r="G279" s="3"/>
      <c r="H279" s="3"/>
      <c r="I279" s="3"/>
      <c r="J279" s="3"/>
      <c r="K279" s="3"/>
      <c r="L279" s="202"/>
      <c r="M279" s="25"/>
    </row>
    <row r="280" spans="1:13" s="2" customFormat="1" ht="15.75" x14ac:dyDescent="0.25">
      <c r="A280" s="100"/>
      <c r="B280" s="100"/>
      <c r="C280" s="19"/>
      <c r="D280" s="100"/>
      <c r="E280" s="137"/>
      <c r="F280" s="3"/>
      <c r="G280" s="3"/>
      <c r="H280" s="3"/>
      <c r="I280" s="3"/>
      <c r="J280" s="3"/>
      <c r="K280" s="3"/>
      <c r="L280" s="202"/>
      <c r="M280" s="25"/>
    </row>
    <row r="281" spans="1:13" s="2" customFormat="1" ht="15.75" x14ac:dyDescent="0.25">
      <c r="A281" s="100"/>
      <c r="B281" s="100"/>
      <c r="C281" s="19"/>
      <c r="D281" s="100"/>
      <c r="E281" s="137"/>
      <c r="F281" s="3"/>
      <c r="G281" s="3"/>
      <c r="H281" s="3"/>
      <c r="I281" s="3"/>
      <c r="J281" s="3"/>
      <c r="K281" s="3"/>
      <c r="L281" s="202"/>
      <c r="M281" s="25"/>
    </row>
    <row r="282" spans="1:13" s="2" customFormat="1" ht="15.75" x14ac:dyDescent="0.25">
      <c r="A282" s="100"/>
      <c r="B282" s="100"/>
      <c r="C282" s="19"/>
      <c r="D282" s="100"/>
      <c r="E282" s="137"/>
      <c r="F282" s="3"/>
      <c r="G282" s="3"/>
      <c r="H282" s="3"/>
      <c r="I282" s="3"/>
      <c r="J282" s="3"/>
      <c r="K282" s="3"/>
      <c r="L282" s="202"/>
      <c r="M282" s="25"/>
    </row>
    <row r="283" spans="1:13" s="2" customFormat="1" ht="15.75" x14ac:dyDescent="0.25">
      <c r="A283" s="100"/>
      <c r="B283" s="100"/>
      <c r="C283" s="19"/>
      <c r="D283" s="100"/>
      <c r="E283" s="137"/>
      <c r="F283" s="3"/>
      <c r="G283" s="3"/>
      <c r="H283" s="3"/>
      <c r="I283" s="3"/>
      <c r="J283" s="3"/>
      <c r="K283" s="3"/>
      <c r="L283" s="202"/>
      <c r="M283" s="25"/>
    </row>
    <row r="284" spans="1:13" s="2" customFormat="1" ht="15.75" x14ac:dyDescent="0.25">
      <c r="A284" s="100"/>
      <c r="B284" s="100"/>
      <c r="C284" s="19"/>
      <c r="D284" s="100"/>
      <c r="E284" s="137"/>
      <c r="F284" s="3"/>
      <c r="G284" s="3"/>
      <c r="H284" s="3"/>
      <c r="I284" s="3"/>
      <c r="J284" s="3"/>
      <c r="K284" s="3"/>
      <c r="L284" s="202"/>
      <c r="M284" s="25"/>
    </row>
    <row r="285" spans="1:13" s="2" customFormat="1" ht="15.75" x14ac:dyDescent="0.25">
      <c r="A285" s="100"/>
      <c r="B285" s="100"/>
      <c r="C285" s="19"/>
      <c r="D285" s="100"/>
      <c r="E285" s="137"/>
      <c r="F285" s="3"/>
      <c r="G285" s="3"/>
      <c r="H285" s="3"/>
      <c r="I285" s="3"/>
      <c r="J285" s="3"/>
      <c r="K285" s="3"/>
      <c r="L285" s="202"/>
      <c r="M285" s="25"/>
    </row>
    <row r="286" spans="1:13" s="2" customFormat="1" ht="15.75" x14ac:dyDescent="0.25">
      <c r="A286" s="100"/>
      <c r="B286" s="100"/>
      <c r="C286" s="19"/>
      <c r="D286" s="100"/>
      <c r="E286" s="137"/>
      <c r="F286" s="3"/>
      <c r="G286" s="3"/>
      <c r="H286" s="3"/>
      <c r="I286" s="3"/>
      <c r="J286" s="3"/>
      <c r="K286" s="3"/>
      <c r="L286" s="202"/>
      <c r="M286" s="25"/>
    </row>
    <row r="287" spans="1:13" s="2" customFormat="1" ht="15.75" x14ac:dyDescent="0.25">
      <c r="A287" s="100"/>
      <c r="B287" s="100"/>
      <c r="C287" s="19"/>
      <c r="D287" s="100"/>
      <c r="E287" s="137"/>
      <c r="F287" s="3"/>
      <c r="G287" s="3"/>
      <c r="H287" s="3"/>
      <c r="I287" s="3"/>
      <c r="J287" s="3"/>
      <c r="K287" s="3"/>
      <c r="L287" s="202"/>
      <c r="M287" s="25"/>
    </row>
    <row r="288" spans="1:13" s="2" customFormat="1" ht="15.75" x14ac:dyDescent="0.25">
      <c r="A288" s="100"/>
      <c r="B288" s="100"/>
      <c r="C288" s="19"/>
      <c r="D288" s="100"/>
      <c r="E288" s="137"/>
      <c r="F288" s="3"/>
      <c r="G288" s="3"/>
      <c r="H288" s="3"/>
      <c r="I288" s="3"/>
      <c r="J288" s="3"/>
      <c r="K288" s="3"/>
      <c r="L288" s="202"/>
      <c r="M288" s="25"/>
    </row>
    <row r="289" spans="1:13" s="2" customFormat="1" ht="15.75" x14ac:dyDescent="0.25">
      <c r="A289" s="100"/>
      <c r="B289" s="100"/>
      <c r="C289" s="19"/>
      <c r="D289" s="100"/>
      <c r="E289" s="137"/>
      <c r="F289" s="3"/>
      <c r="G289" s="3"/>
      <c r="H289" s="3"/>
      <c r="I289" s="3"/>
      <c r="J289" s="3"/>
      <c r="K289" s="3"/>
      <c r="L289" s="202"/>
      <c r="M289" s="25"/>
    </row>
    <row r="290" spans="1:13" s="2" customFormat="1" ht="15.75" x14ac:dyDescent="0.25">
      <c r="A290" s="100"/>
      <c r="B290" s="100"/>
      <c r="C290" s="19"/>
      <c r="D290" s="100"/>
      <c r="E290" s="137"/>
      <c r="F290" s="3"/>
      <c r="G290" s="3"/>
      <c r="H290" s="3"/>
      <c r="I290" s="3"/>
      <c r="J290" s="3"/>
      <c r="K290" s="3"/>
      <c r="L290" s="202"/>
      <c r="M290" s="25"/>
    </row>
    <row r="291" spans="1:13" s="2" customFormat="1" ht="15.75" x14ac:dyDescent="0.25">
      <c r="A291" s="100"/>
      <c r="B291" s="100"/>
      <c r="C291" s="19"/>
      <c r="D291" s="100"/>
      <c r="E291" s="137"/>
      <c r="F291" s="3"/>
      <c r="G291" s="3"/>
      <c r="H291" s="3"/>
      <c r="I291" s="3"/>
      <c r="J291" s="3"/>
      <c r="K291" s="3"/>
      <c r="L291" s="202"/>
      <c r="M291" s="25"/>
    </row>
    <row r="292" spans="1:13" s="2" customFormat="1" ht="15.75" x14ac:dyDescent="0.25">
      <c r="A292" s="100"/>
      <c r="B292" s="100"/>
      <c r="C292" s="19"/>
      <c r="D292" s="100"/>
      <c r="E292" s="137"/>
      <c r="F292" s="3"/>
      <c r="G292" s="3"/>
      <c r="H292" s="3"/>
      <c r="I292" s="3"/>
      <c r="J292" s="3"/>
      <c r="K292" s="3"/>
      <c r="L292" s="202"/>
      <c r="M292" s="25"/>
    </row>
  </sheetData>
  <mergeCells count="21">
    <mergeCell ref="A1:K1"/>
    <mergeCell ref="A3:A4"/>
    <mergeCell ref="D3:D4"/>
    <mergeCell ref="E3:E4"/>
    <mergeCell ref="A12:A14"/>
    <mergeCell ref="D12:D14"/>
    <mergeCell ref="E12:E14"/>
    <mergeCell ref="A25:A27"/>
    <mergeCell ref="D25:D27"/>
    <mergeCell ref="E25:E27"/>
    <mergeCell ref="A30:A31"/>
    <mergeCell ref="D30:D31"/>
    <mergeCell ref="E30:E31"/>
    <mergeCell ref="A56:D56"/>
    <mergeCell ref="A55:E55"/>
    <mergeCell ref="A36:A37"/>
    <mergeCell ref="D36:D37"/>
    <mergeCell ref="E36:E37"/>
    <mergeCell ref="A43:A44"/>
    <mergeCell ref="D43:D44"/>
    <mergeCell ref="E43:E44"/>
  </mergeCells>
  <pageMargins left="0.16" right="0.16" top="0.68" bottom="0.16" header="0.3" footer="0.16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7"/>
  <sheetViews>
    <sheetView topLeftCell="A4" workbookViewId="0">
      <selection activeCell="G25" sqref="G25"/>
    </sheetView>
  </sheetViews>
  <sheetFormatPr defaultRowHeight="15" x14ac:dyDescent="0.25"/>
  <cols>
    <col min="1" max="1" width="5.140625" style="18" customWidth="1"/>
    <col min="2" max="2" width="10.85546875" style="18" customWidth="1"/>
    <col min="3" max="3" width="11.5703125" style="20" customWidth="1"/>
    <col min="4" max="4" width="16" style="18" customWidth="1"/>
    <col min="5" max="5" width="13.42578125" style="18" customWidth="1"/>
    <col min="6" max="6" width="10.85546875" style="9" customWidth="1"/>
    <col min="7" max="7" width="12.42578125" style="9" customWidth="1"/>
    <col min="8" max="8" width="9.85546875" style="9" customWidth="1"/>
    <col min="9" max="9" width="13.28515625" style="9" customWidth="1"/>
    <col min="10" max="10" width="15.5703125" style="9" customWidth="1"/>
    <col min="11" max="11" width="12.42578125" style="9" customWidth="1"/>
    <col min="12" max="12" width="9.140625" style="28"/>
    <col min="13" max="14" width="9.140625" style="8"/>
  </cols>
  <sheetData>
    <row r="1" spans="1:12" ht="26.25" thickBot="1" x14ac:dyDescent="0.3">
      <c r="A1" s="291" t="s">
        <v>14</v>
      </c>
      <c r="B1" s="291"/>
      <c r="C1" s="291"/>
      <c r="D1" s="291"/>
      <c r="E1" s="291"/>
      <c r="F1" s="291"/>
      <c r="G1" s="291"/>
      <c r="H1" s="291"/>
      <c r="I1" s="291"/>
      <c r="J1" s="291"/>
      <c r="K1" s="291"/>
    </row>
    <row r="2" spans="1:12" ht="17.25" customHeight="1" thickBot="1" x14ac:dyDescent="0.3">
      <c r="A2" s="101" t="s">
        <v>1</v>
      </c>
      <c r="B2" s="102" t="s">
        <v>2</v>
      </c>
      <c r="C2" s="103" t="s">
        <v>3</v>
      </c>
      <c r="D2" s="102" t="s">
        <v>4</v>
      </c>
      <c r="E2" s="101" t="s">
        <v>5</v>
      </c>
      <c r="F2" s="165" t="s">
        <v>15</v>
      </c>
      <c r="G2" s="166" t="s">
        <v>7</v>
      </c>
      <c r="H2" s="165" t="s">
        <v>8</v>
      </c>
      <c r="I2" s="165" t="s">
        <v>9</v>
      </c>
      <c r="J2" s="165" t="s">
        <v>12</v>
      </c>
      <c r="K2" s="166" t="s">
        <v>10</v>
      </c>
    </row>
    <row r="3" spans="1:12" s="100" customFormat="1" ht="15.75" x14ac:dyDescent="0.25">
      <c r="A3" s="153">
        <v>1</v>
      </c>
      <c r="B3" s="153">
        <v>18353</v>
      </c>
      <c r="C3" s="167" t="s">
        <v>128</v>
      </c>
      <c r="D3" s="153" t="s">
        <v>148</v>
      </c>
      <c r="E3" s="153" t="s">
        <v>171</v>
      </c>
      <c r="F3" s="168"/>
      <c r="G3" s="168"/>
      <c r="H3" s="168"/>
      <c r="I3" s="168">
        <f>36*121.47+70*104.67+70*87.5+18.5*100.96+26*100.96</f>
        <v>22317.539999999997</v>
      </c>
      <c r="J3" s="168"/>
      <c r="K3" s="168">
        <f t="shared" ref="K3:K27" si="0">F3+G3+H3+I3+J3</f>
        <v>22317.539999999997</v>
      </c>
      <c r="L3" s="131"/>
    </row>
    <row r="4" spans="1:12" s="100" customFormat="1" ht="15.75" x14ac:dyDescent="0.25">
      <c r="A4" s="134">
        <v>2</v>
      </c>
      <c r="B4" s="128">
        <v>18506</v>
      </c>
      <c r="C4" s="134" t="s">
        <v>172</v>
      </c>
      <c r="D4" s="134" t="s">
        <v>173</v>
      </c>
      <c r="E4" s="134" t="s">
        <v>94</v>
      </c>
      <c r="F4" s="135"/>
      <c r="G4" s="135"/>
      <c r="H4" s="135"/>
      <c r="I4" s="135">
        <f>3*(87.5+87.5+36.5)</f>
        <v>634.5</v>
      </c>
      <c r="J4" s="135"/>
      <c r="K4" s="164">
        <f t="shared" si="0"/>
        <v>634.5</v>
      </c>
      <c r="L4" s="131"/>
    </row>
    <row r="5" spans="1:12" s="100" customFormat="1" ht="15.75" x14ac:dyDescent="0.25">
      <c r="A5" s="281">
        <v>3</v>
      </c>
      <c r="B5" s="128">
        <v>18484</v>
      </c>
      <c r="C5" s="82" t="s">
        <v>176</v>
      </c>
      <c r="D5" s="292" t="s">
        <v>174</v>
      </c>
      <c r="E5" s="281" t="s">
        <v>175</v>
      </c>
      <c r="F5" s="135"/>
      <c r="G5" s="135"/>
      <c r="H5" s="135"/>
      <c r="I5" s="135">
        <f>6.5*121.47+12.5*(87.5+87.5+36.5)</f>
        <v>3433.3049999999998</v>
      </c>
      <c r="J5" s="135"/>
      <c r="K5" s="164">
        <f t="shared" si="0"/>
        <v>3433.3049999999998</v>
      </c>
      <c r="L5" s="131"/>
    </row>
    <row r="6" spans="1:12" s="100" customFormat="1" ht="15.75" x14ac:dyDescent="0.25">
      <c r="A6" s="281"/>
      <c r="B6" s="128">
        <v>18542</v>
      </c>
      <c r="C6" s="82" t="s">
        <v>189</v>
      </c>
      <c r="D6" s="293"/>
      <c r="E6" s="281"/>
      <c r="F6" s="135"/>
      <c r="G6" s="135"/>
      <c r="H6" s="135"/>
      <c r="I6" s="135">
        <f>6*(104.47+87.5)</f>
        <v>1151.82</v>
      </c>
      <c r="J6" s="135"/>
      <c r="K6" s="164">
        <f t="shared" si="0"/>
        <v>1151.82</v>
      </c>
      <c r="L6" s="131"/>
    </row>
    <row r="7" spans="1:12" s="100" customFormat="1" ht="15.75" x14ac:dyDescent="0.25">
      <c r="A7" s="134">
        <v>4</v>
      </c>
      <c r="B7" s="128">
        <v>18471</v>
      </c>
      <c r="C7" s="82" t="s">
        <v>177</v>
      </c>
      <c r="D7" s="134" t="s">
        <v>178</v>
      </c>
      <c r="E7" s="134" t="s">
        <v>94</v>
      </c>
      <c r="F7" s="135"/>
      <c r="G7" s="135"/>
      <c r="H7" s="135"/>
      <c r="I7" s="135">
        <f>0.5*138.89</f>
        <v>69.444999999999993</v>
      </c>
      <c r="J7" s="135"/>
      <c r="K7" s="164">
        <f t="shared" si="0"/>
        <v>69.444999999999993</v>
      </c>
      <c r="L7" s="131"/>
    </row>
    <row r="8" spans="1:12" s="100" customFormat="1" ht="15.75" x14ac:dyDescent="0.25">
      <c r="A8" s="134">
        <v>5</v>
      </c>
      <c r="B8" s="128">
        <v>18457</v>
      </c>
      <c r="C8" s="82" t="s">
        <v>179</v>
      </c>
      <c r="D8" s="134" t="s">
        <v>144</v>
      </c>
      <c r="E8" s="134" t="s">
        <v>94</v>
      </c>
      <c r="F8" s="135"/>
      <c r="G8" s="135"/>
      <c r="H8" s="135"/>
      <c r="I8" s="135">
        <f>8*(87.5+36.5)</f>
        <v>992</v>
      </c>
      <c r="J8" s="135"/>
      <c r="K8" s="164">
        <f t="shared" si="0"/>
        <v>992</v>
      </c>
      <c r="L8" s="131"/>
    </row>
    <row r="9" spans="1:12" s="100" customFormat="1" ht="15.75" x14ac:dyDescent="0.25">
      <c r="A9" s="134">
        <v>6</v>
      </c>
      <c r="B9" s="128">
        <v>18462</v>
      </c>
      <c r="C9" s="82" t="s">
        <v>179</v>
      </c>
      <c r="D9" s="134" t="s">
        <v>180</v>
      </c>
      <c r="E9" s="134" t="s">
        <v>94</v>
      </c>
      <c r="F9" s="135"/>
      <c r="G9" s="135"/>
      <c r="H9" s="135"/>
      <c r="I9" s="135">
        <f>1*138.89</f>
        <v>138.88999999999999</v>
      </c>
      <c r="J9" s="135"/>
      <c r="K9" s="164">
        <f t="shared" si="0"/>
        <v>138.88999999999999</v>
      </c>
      <c r="L9" s="131"/>
    </row>
    <row r="10" spans="1:12" s="100" customFormat="1" ht="15.75" x14ac:dyDescent="0.25">
      <c r="A10" s="142">
        <v>7</v>
      </c>
      <c r="B10" s="142">
        <v>18374</v>
      </c>
      <c r="C10" s="160" t="s">
        <v>119</v>
      </c>
      <c r="D10" s="142" t="s">
        <v>153</v>
      </c>
      <c r="E10" s="142" t="s">
        <v>181</v>
      </c>
      <c r="F10" s="169"/>
      <c r="G10" s="169">
        <f>2*3666.66+1*3928.57</f>
        <v>11261.89</v>
      </c>
      <c r="H10" s="169"/>
      <c r="I10" s="169">
        <f>13.5*(87.5+36.5)+6.15*87.5</f>
        <v>2212.125</v>
      </c>
      <c r="J10" s="169"/>
      <c r="K10" s="168">
        <f t="shared" si="0"/>
        <v>13474.014999999999</v>
      </c>
      <c r="L10" s="131"/>
    </row>
    <row r="11" spans="1:12" s="100" customFormat="1" ht="15.75" x14ac:dyDescent="0.25">
      <c r="A11" s="281">
        <v>8</v>
      </c>
      <c r="B11" s="128">
        <v>18507</v>
      </c>
      <c r="C11" s="82" t="s">
        <v>182</v>
      </c>
      <c r="D11" s="281" t="s">
        <v>151</v>
      </c>
      <c r="E11" s="281" t="s">
        <v>121</v>
      </c>
      <c r="F11" s="135"/>
      <c r="G11" s="135"/>
      <c r="H11" s="135"/>
      <c r="I11" s="135">
        <f>1*(87.5+87.5+36.5)</f>
        <v>211.5</v>
      </c>
      <c r="J11" s="135"/>
      <c r="K11" s="164">
        <f t="shared" si="0"/>
        <v>211.5</v>
      </c>
      <c r="L11" s="131"/>
    </row>
    <row r="12" spans="1:12" s="100" customFormat="1" ht="15.75" x14ac:dyDescent="0.25">
      <c r="A12" s="281"/>
      <c r="B12" s="109">
        <v>18534</v>
      </c>
      <c r="C12" s="82" t="s">
        <v>190</v>
      </c>
      <c r="D12" s="281"/>
      <c r="E12" s="281"/>
      <c r="F12" s="135"/>
      <c r="G12" s="135"/>
      <c r="H12" s="135"/>
      <c r="I12" s="135">
        <f>1.35*(104.47+87.5)</f>
        <v>259.15950000000004</v>
      </c>
      <c r="J12" s="135"/>
      <c r="K12" s="164">
        <f t="shared" si="0"/>
        <v>259.15950000000004</v>
      </c>
      <c r="L12" s="131"/>
    </row>
    <row r="13" spans="1:12" s="100" customFormat="1" ht="15.75" x14ac:dyDescent="0.25">
      <c r="A13" s="134">
        <v>9</v>
      </c>
      <c r="B13" s="128">
        <v>18287</v>
      </c>
      <c r="C13" s="82" t="s">
        <v>183</v>
      </c>
      <c r="D13" s="134" t="s">
        <v>126</v>
      </c>
      <c r="E13" s="134" t="s">
        <v>94</v>
      </c>
      <c r="F13" s="135"/>
      <c r="G13" s="135"/>
      <c r="H13" s="135"/>
      <c r="I13" s="135">
        <f>6.5*(121.47+87.5)+1.25*(87.5+87.5+36.5)</f>
        <v>1622.68</v>
      </c>
      <c r="J13" s="135"/>
      <c r="K13" s="164">
        <f t="shared" si="0"/>
        <v>1622.68</v>
      </c>
      <c r="L13" s="131"/>
    </row>
    <row r="14" spans="1:12" s="100" customFormat="1" ht="15.75" x14ac:dyDescent="0.25">
      <c r="A14" s="134">
        <v>10</v>
      </c>
      <c r="B14" s="128">
        <v>18524</v>
      </c>
      <c r="C14" s="82" t="s">
        <v>184</v>
      </c>
      <c r="D14" s="134" t="s">
        <v>185</v>
      </c>
      <c r="E14" s="134" t="s">
        <v>150</v>
      </c>
      <c r="F14" s="135"/>
      <c r="G14" s="135"/>
      <c r="H14" s="135"/>
      <c r="I14" s="135">
        <f>0.5*138.89</f>
        <v>69.444999999999993</v>
      </c>
      <c r="J14" s="135"/>
      <c r="K14" s="164">
        <f t="shared" si="0"/>
        <v>69.444999999999993</v>
      </c>
      <c r="L14" s="131"/>
    </row>
    <row r="15" spans="1:12" s="100" customFormat="1" ht="15.75" x14ac:dyDescent="0.25">
      <c r="A15" s="134">
        <v>11</v>
      </c>
      <c r="B15" s="128">
        <v>16482</v>
      </c>
      <c r="C15" s="82" t="s">
        <v>182</v>
      </c>
      <c r="D15" s="134" t="s">
        <v>186</v>
      </c>
      <c r="E15" s="134" t="s">
        <v>90</v>
      </c>
      <c r="F15" s="135"/>
      <c r="G15" s="135"/>
      <c r="H15" s="135"/>
      <c r="I15" s="135">
        <f>17.75*(104.67+87.5)+3.25*(100.96+138.89)</f>
        <v>4190.5300000000007</v>
      </c>
      <c r="J15" s="135"/>
      <c r="K15" s="164">
        <f t="shared" si="0"/>
        <v>4190.5300000000007</v>
      </c>
      <c r="L15" s="131"/>
    </row>
    <row r="16" spans="1:12" s="100" customFormat="1" ht="15.75" x14ac:dyDescent="0.25">
      <c r="A16" s="134">
        <v>12</v>
      </c>
      <c r="B16" s="128">
        <v>16134</v>
      </c>
      <c r="C16" s="82" t="s">
        <v>187</v>
      </c>
      <c r="D16" s="134" t="s">
        <v>188</v>
      </c>
      <c r="E16" s="134" t="s">
        <v>88</v>
      </c>
      <c r="F16" s="135"/>
      <c r="G16" s="135"/>
      <c r="H16" s="135"/>
      <c r="I16" s="135">
        <f>1.35*(138.89+100.96)</f>
        <v>323.79749999999996</v>
      </c>
      <c r="J16" s="135"/>
      <c r="K16" s="164">
        <f t="shared" si="0"/>
        <v>323.79749999999996</v>
      </c>
      <c r="L16" s="131"/>
    </row>
    <row r="17" spans="1:14" s="14" customFormat="1" ht="15.75" x14ac:dyDescent="0.25">
      <c r="A17" s="134">
        <v>13</v>
      </c>
      <c r="B17" s="128">
        <v>18540</v>
      </c>
      <c r="C17" s="82" t="s">
        <v>191</v>
      </c>
      <c r="D17" s="134" t="s">
        <v>192</v>
      </c>
      <c r="E17" s="134" t="s">
        <v>88</v>
      </c>
      <c r="F17" s="1"/>
      <c r="G17" s="1"/>
      <c r="H17" s="1"/>
      <c r="I17" s="1">
        <f>0.5*121.47</f>
        <v>60.734999999999999</v>
      </c>
      <c r="J17" s="1"/>
      <c r="K17" s="164">
        <f t="shared" si="0"/>
        <v>60.734999999999999</v>
      </c>
      <c r="L17" s="26"/>
      <c r="M17" s="2"/>
      <c r="N17" s="2"/>
    </row>
    <row r="18" spans="1:14" s="14" customFormat="1" ht="15.75" x14ac:dyDescent="0.25">
      <c r="A18" s="134">
        <v>14</v>
      </c>
      <c r="B18" s="128">
        <v>18547</v>
      </c>
      <c r="C18" s="82" t="s">
        <v>193</v>
      </c>
      <c r="D18" s="134" t="s">
        <v>194</v>
      </c>
      <c r="E18" s="134" t="s">
        <v>94</v>
      </c>
      <c r="F18" s="1"/>
      <c r="G18" s="1"/>
      <c r="H18" s="1"/>
      <c r="I18" s="1">
        <f>3*(121.47+100.96)</f>
        <v>667.29</v>
      </c>
      <c r="J18" s="1"/>
      <c r="K18" s="164">
        <f t="shared" si="0"/>
        <v>667.29</v>
      </c>
      <c r="L18" s="26"/>
      <c r="M18" s="2"/>
      <c r="N18" s="2"/>
    </row>
    <row r="19" spans="1:14" s="14" customFormat="1" ht="15.75" x14ac:dyDescent="0.25">
      <c r="A19" s="134">
        <v>15</v>
      </c>
      <c r="B19" s="128">
        <v>17359</v>
      </c>
      <c r="C19" s="82" t="s">
        <v>193</v>
      </c>
      <c r="D19" s="134" t="s">
        <v>195</v>
      </c>
      <c r="E19" s="134" t="s">
        <v>88</v>
      </c>
      <c r="F19" s="1"/>
      <c r="G19" s="1"/>
      <c r="H19" s="1"/>
      <c r="I19" s="1">
        <f>2*121.47</f>
        <v>242.94</v>
      </c>
      <c r="J19" s="1"/>
      <c r="K19" s="164">
        <f t="shared" si="0"/>
        <v>242.94</v>
      </c>
      <c r="L19" s="26"/>
      <c r="M19" s="2"/>
      <c r="N19" s="2"/>
    </row>
    <row r="20" spans="1:14" s="14" customFormat="1" ht="15.75" x14ac:dyDescent="0.25">
      <c r="A20" s="134">
        <v>16</v>
      </c>
      <c r="B20" s="128">
        <v>18543</v>
      </c>
      <c r="C20" s="82" t="s">
        <v>189</v>
      </c>
      <c r="D20" s="134" t="s">
        <v>196</v>
      </c>
      <c r="E20" s="134" t="s">
        <v>94</v>
      </c>
      <c r="F20" s="1"/>
      <c r="G20" s="1"/>
      <c r="H20" s="1"/>
      <c r="I20" s="1">
        <f>15*(87.5+87.5+36.5)</f>
        <v>3172.5</v>
      </c>
      <c r="J20" s="1"/>
      <c r="K20" s="164">
        <f t="shared" si="0"/>
        <v>3172.5</v>
      </c>
      <c r="L20" s="26"/>
      <c r="M20" s="2"/>
      <c r="N20" s="2"/>
    </row>
    <row r="21" spans="1:14" s="14" customFormat="1" ht="15.75" x14ac:dyDescent="0.25">
      <c r="A21" s="134">
        <v>17</v>
      </c>
      <c r="B21" s="128">
        <v>18595</v>
      </c>
      <c r="C21" s="82" t="s">
        <v>197</v>
      </c>
      <c r="D21" s="134" t="s">
        <v>198</v>
      </c>
      <c r="E21" s="134" t="s">
        <v>88</v>
      </c>
      <c r="F21" s="1"/>
      <c r="G21" s="1"/>
      <c r="H21" s="1"/>
      <c r="I21" s="1">
        <f>1*87.5</f>
        <v>87.5</v>
      </c>
      <c r="J21" s="1"/>
      <c r="K21" s="164">
        <f t="shared" si="0"/>
        <v>87.5</v>
      </c>
      <c r="L21" s="26"/>
      <c r="M21" s="2"/>
      <c r="N21" s="2"/>
    </row>
    <row r="22" spans="1:14" s="14" customFormat="1" ht="15.75" x14ac:dyDescent="0.25">
      <c r="A22" s="134">
        <v>18</v>
      </c>
      <c r="B22" s="128">
        <v>18601</v>
      </c>
      <c r="C22" s="82" t="s">
        <v>199</v>
      </c>
      <c r="D22" s="134" t="s">
        <v>200</v>
      </c>
      <c r="E22" s="134" t="s">
        <v>94</v>
      </c>
      <c r="F22" s="1"/>
      <c r="G22" s="1">
        <f>1*629.05</f>
        <v>629.04999999999995</v>
      </c>
      <c r="H22" s="1"/>
      <c r="I22" s="1">
        <f>22*(87.5+87.5+36.5)</f>
        <v>4653</v>
      </c>
      <c r="J22" s="1"/>
      <c r="K22" s="164">
        <f t="shared" si="0"/>
        <v>5282.05</v>
      </c>
      <c r="L22" s="26"/>
      <c r="M22" s="2"/>
      <c r="N22" s="2"/>
    </row>
    <row r="23" spans="1:14" s="14" customFormat="1" ht="15.75" x14ac:dyDescent="0.25">
      <c r="A23" s="134">
        <v>19</v>
      </c>
      <c r="B23" s="128">
        <v>17089</v>
      </c>
      <c r="C23" s="82" t="s">
        <v>201</v>
      </c>
      <c r="D23" s="134" t="s">
        <v>202</v>
      </c>
      <c r="E23" s="134" t="s">
        <v>88</v>
      </c>
      <c r="F23" s="1"/>
      <c r="G23" s="1"/>
      <c r="H23" s="1"/>
      <c r="I23" s="1">
        <f>0.5*100.96</f>
        <v>50.48</v>
      </c>
      <c r="J23" s="1"/>
      <c r="K23" s="164">
        <f t="shared" si="0"/>
        <v>50.48</v>
      </c>
      <c r="L23" s="26"/>
      <c r="M23" s="2"/>
      <c r="N23" s="2"/>
    </row>
    <row r="24" spans="1:14" s="14" customFormat="1" ht="15.75" x14ac:dyDescent="0.25">
      <c r="A24" s="134">
        <v>20</v>
      </c>
      <c r="B24" s="128">
        <v>18619</v>
      </c>
      <c r="C24" s="82" t="s">
        <v>203</v>
      </c>
      <c r="D24" s="134" t="s">
        <v>204</v>
      </c>
      <c r="E24" s="134" t="s">
        <v>94</v>
      </c>
      <c r="F24" s="1"/>
      <c r="G24" s="1"/>
      <c r="H24" s="1"/>
      <c r="I24" s="1">
        <f>8.25*87.5+3.25*87.5+8.25*36.5</f>
        <v>1307.375</v>
      </c>
      <c r="J24" s="1"/>
      <c r="K24" s="164">
        <f t="shared" si="0"/>
        <v>1307.375</v>
      </c>
      <c r="L24" s="26"/>
      <c r="M24" s="2"/>
      <c r="N24" s="2"/>
    </row>
    <row r="25" spans="1:14" s="14" customFormat="1" ht="15.75" x14ac:dyDescent="0.25">
      <c r="A25" s="134">
        <v>21</v>
      </c>
      <c r="B25" s="128">
        <v>18549</v>
      </c>
      <c r="C25" s="82" t="s">
        <v>191</v>
      </c>
      <c r="D25" s="134" t="s">
        <v>205</v>
      </c>
      <c r="E25" s="134" t="s">
        <v>94</v>
      </c>
      <c r="F25" s="1"/>
      <c r="G25" s="1">
        <f>2*400</f>
        <v>800</v>
      </c>
      <c r="H25" s="1"/>
      <c r="I25" s="1">
        <f>12.25*(87.5+87.5+36.5)+0.5*121.47</f>
        <v>2651.61</v>
      </c>
      <c r="J25" s="1"/>
      <c r="K25" s="164">
        <f t="shared" si="0"/>
        <v>3451.61</v>
      </c>
      <c r="L25" s="26"/>
      <c r="M25" s="2"/>
      <c r="N25" s="2"/>
    </row>
    <row r="26" spans="1:14" s="14" customFormat="1" ht="16.5" thickBot="1" x14ac:dyDescent="0.3">
      <c r="A26" s="289" t="s">
        <v>362</v>
      </c>
      <c r="B26" s="289"/>
      <c r="C26" s="289"/>
      <c r="D26" s="289"/>
      <c r="E26" s="290"/>
      <c r="F26" s="156"/>
      <c r="G26" s="156"/>
      <c r="H26" s="156"/>
      <c r="I26" s="156"/>
      <c r="J26" s="156">
        <f>60*85</f>
        <v>5100</v>
      </c>
      <c r="K26" s="177">
        <f t="shared" si="0"/>
        <v>5100</v>
      </c>
      <c r="L26" s="26"/>
      <c r="M26" s="2"/>
      <c r="N26" s="2"/>
    </row>
    <row r="27" spans="1:14" s="141" customFormat="1" ht="16.5" thickBot="1" x14ac:dyDescent="0.3">
      <c r="A27" s="275"/>
      <c r="B27" s="275"/>
      <c r="C27" s="275"/>
      <c r="D27" s="275"/>
      <c r="E27" s="145" t="s">
        <v>19</v>
      </c>
      <c r="F27" s="157">
        <f>SUM(F3:F26)</f>
        <v>0</v>
      </c>
      <c r="G27" s="157">
        <f>SUM(G3:G26)</f>
        <v>12690.939999999999</v>
      </c>
      <c r="H27" s="157">
        <f>SUM(H3:H26)</f>
        <v>0</v>
      </c>
      <c r="I27" s="157">
        <f>SUM(I3:I26)</f>
        <v>50520.167000000001</v>
      </c>
      <c r="J27" s="176">
        <f>SUM(J3:J26)</f>
        <v>5100</v>
      </c>
      <c r="K27" s="178">
        <f t="shared" si="0"/>
        <v>68311.107000000004</v>
      </c>
      <c r="L27" s="155"/>
      <c r="M27" s="140"/>
      <c r="N27" s="140"/>
    </row>
    <row r="28" spans="1:14" s="14" customFormat="1" ht="15.75" x14ac:dyDescent="0.25">
      <c r="A28" s="100"/>
      <c r="B28" s="100"/>
      <c r="C28" s="19"/>
      <c r="D28" s="100"/>
      <c r="E28" s="100"/>
      <c r="F28" s="3"/>
      <c r="G28" s="3"/>
      <c r="H28" s="3"/>
      <c r="I28" s="3"/>
      <c r="J28" s="3"/>
      <c r="K28" s="3"/>
      <c r="L28" s="26"/>
      <c r="M28" s="2"/>
      <c r="N28" s="2"/>
    </row>
    <row r="29" spans="1:14" s="14" customFormat="1" ht="15.75" x14ac:dyDescent="0.25">
      <c r="F29" s="3"/>
      <c r="G29" s="3"/>
      <c r="H29" s="3"/>
      <c r="I29" s="3"/>
      <c r="J29" s="3"/>
      <c r="K29" s="3"/>
      <c r="L29" s="26"/>
      <c r="M29" s="2"/>
      <c r="N29" s="2"/>
    </row>
    <row r="30" spans="1:14" s="14" customFormat="1" ht="15.75" x14ac:dyDescent="0.25">
      <c r="L30" s="26"/>
      <c r="M30" s="2"/>
      <c r="N30" s="2"/>
    </row>
    <row r="31" spans="1:14" s="14" customFormat="1" ht="15.75" x14ac:dyDescent="0.25">
      <c r="L31" s="26"/>
      <c r="M31" s="2"/>
      <c r="N31" s="2"/>
    </row>
    <row r="32" spans="1:14" s="14" customFormat="1" ht="15.75" x14ac:dyDescent="0.25">
      <c r="L32" s="26"/>
      <c r="M32" s="2"/>
      <c r="N32" s="2"/>
    </row>
    <row r="33" spans="1:14" s="14" customFormat="1" ht="15.75" x14ac:dyDescent="0.25">
      <c r="A33" s="100"/>
      <c r="B33" s="100"/>
      <c r="C33" s="19"/>
      <c r="D33" s="100"/>
      <c r="E33" s="100"/>
      <c r="L33" s="26"/>
      <c r="M33" s="2"/>
      <c r="N33" s="2"/>
    </row>
    <row r="34" spans="1:14" s="14" customFormat="1" ht="15.75" x14ac:dyDescent="0.25">
      <c r="A34" s="100"/>
      <c r="B34" s="100"/>
      <c r="C34" s="19"/>
      <c r="D34" s="100"/>
      <c r="E34" s="100"/>
      <c r="L34" s="26"/>
      <c r="M34" s="2"/>
      <c r="N34" s="2"/>
    </row>
    <row r="35" spans="1:14" s="14" customFormat="1" ht="15.75" x14ac:dyDescent="0.25">
      <c r="A35" s="100"/>
      <c r="B35" s="100"/>
      <c r="C35" s="19"/>
      <c r="D35" s="100"/>
      <c r="E35" s="100"/>
      <c r="F35" s="3"/>
      <c r="G35" s="3"/>
      <c r="H35" s="3"/>
      <c r="I35" s="3"/>
      <c r="J35" s="3"/>
      <c r="K35" s="3"/>
      <c r="L35" s="26"/>
      <c r="M35" s="2"/>
      <c r="N35" s="2"/>
    </row>
    <row r="36" spans="1:14" s="14" customFormat="1" ht="15.75" x14ac:dyDescent="0.25">
      <c r="A36" s="100"/>
      <c r="B36" s="100"/>
      <c r="C36" s="19"/>
      <c r="D36" s="100"/>
      <c r="E36" s="100"/>
      <c r="F36" s="3"/>
      <c r="G36" s="3"/>
      <c r="H36" s="3"/>
      <c r="I36" s="3"/>
      <c r="J36" s="3"/>
      <c r="K36" s="3"/>
      <c r="L36" s="26"/>
      <c r="M36" s="2"/>
      <c r="N36" s="2"/>
    </row>
    <row r="37" spans="1:14" s="14" customFormat="1" ht="15.75" x14ac:dyDescent="0.25">
      <c r="A37" s="100"/>
      <c r="B37" s="100"/>
      <c r="C37" s="19"/>
      <c r="D37" s="100"/>
      <c r="E37" s="100"/>
      <c r="F37" s="3"/>
      <c r="G37" s="3"/>
      <c r="H37" s="3"/>
      <c r="I37" s="3"/>
      <c r="J37" s="3"/>
      <c r="K37" s="3"/>
      <c r="L37" s="26"/>
      <c r="M37" s="2"/>
      <c r="N37" s="2"/>
    </row>
    <row r="38" spans="1:14" s="14" customFormat="1" ht="15.75" x14ac:dyDescent="0.25">
      <c r="A38" s="100"/>
      <c r="B38" s="100"/>
      <c r="C38" s="19"/>
      <c r="D38" s="100"/>
      <c r="E38" s="100"/>
      <c r="F38" s="3"/>
      <c r="G38" s="3"/>
      <c r="H38" s="3"/>
      <c r="I38" s="3"/>
      <c r="J38" s="3"/>
      <c r="K38" s="3"/>
      <c r="L38" s="26"/>
      <c r="M38" s="2"/>
      <c r="N38" s="2"/>
    </row>
    <row r="39" spans="1:14" s="14" customFormat="1" ht="15.75" x14ac:dyDescent="0.25">
      <c r="A39" s="100"/>
      <c r="B39" s="100"/>
      <c r="C39" s="19"/>
      <c r="D39" s="100"/>
      <c r="E39" s="100"/>
      <c r="F39" s="3"/>
      <c r="G39" s="3"/>
      <c r="H39" s="3"/>
      <c r="I39" s="3"/>
      <c r="J39" s="3"/>
      <c r="K39" s="3"/>
      <c r="L39" s="26"/>
      <c r="M39" s="2"/>
      <c r="N39" s="2"/>
    </row>
    <row r="40" spans="1:14" s="14" customFormat="1" ht="15.75" x14ac:dyDescent="0.25">
      <c r="A40" s="100"/>
      <c r="B40" s="100"/>
      <c r="C40" s="19"/>
      <c r="D40" s="100"/>
      <c r="E40" s="100"/>
      <c r="F40" s="3"/>
      <c r="G40" s="3"/>
      <c r="H40" s="3"/>
      <c r="I40" s="3"/>
      <c r="J40" s="3"/>
      <c r="K40" s="3"/>
      <c r="L40" s="26"/>
      <c r="M40" s="2"/>
      <c r="N40" s="2"/>
    </row>
    <row r="41" spans="1:14" s="14" customFormat="1" ht="15.75" x14ac:dyDescent="0.25">
      <c r="A41" s="100"/>
      <c r="B41" s="100"/>
      <c r="C41" s="19"/>
      <c r="D41" s="100"/>
      <c r="E41" s="100"/>
      <c r="F41" s="3"/>
      <c r="G41" s="3"/>
      <c r="H41" s="3"/>
      <c r="I41" s="3"/>
      <c r="J41" s="3"/>
      <c r="K41" s="3"/>
      <c r="L41" s="26"/>
      <c r="M41" s="2"/>
      <c r="N41" s="2"/>
    </row>
    <row r="42" spans="1:14" s="14" customFormat="1" ht="15.75" x14ac:dyDescent="0.25">
      <c r="A42" s="100"/>
      <c r="B42" s="100"/>
      <c r="C42" s="19"/>
      <c r="D42" s="100"/>
      <c r="E42" s="100"/>
      <c r="F42" s="3"/>
      <c r="G42" s="3"/>
      <c r="H42" s="3"/>
      <c r="I42" s="3"/>
      <c r="J42" s="3"/>
      <c r="K42" s="3"/>
      <c r="L42" s="26"/>
      <c r="M42" s="2"/>
      <c r="N42" s="2"/>
    </row>
    <row r="43" spans="1:14" s="14" customFormat="1" ht="15.75" x14ac:dyDescent="0.25">
      <c r="A43" s="100"/>
      <c r="B43" s="100"/>
      <c r="C43" s="19"/>
      <c r="D43" s="100"/>
      <c r="E43" s="100"/>
      <c r="F43" s="3"/>
      <c r="G43" s="3"/>
      <c r="H43" s="3"/>
      <c r="I43" s="3"/>
      <c r="J43" s="3"/>
      <c r="K43" s="3"/>
      <c r="L43" s="26"/>
      <c r="M43" s="2"/>
      <c r="N43" s="2"/>
    </row>
    <row r="44" spans="1:14" s="14" customFormat="1" ht="15.75" x14ac:dyDescent="0.25">
      <c r="A44" s="100"/>
      <c r="B44" s="100"/>
      <c r="C44" s="19"/>
      <c r="D44" s="100"/>
      <c r="E44" s="100"/>
      <c r="F44" s="3"/>
      <c r="G44" s="3"/>
      <c r="H44" s="3"/>
      <c r="I44" s="3"/>
      <c r="J44" s="3"/>
      <c r="K44" s="3"/>
      <c r="L44" s="26"/>
      <c r="M44" s="2"/>
      <c r="N44" s="2"/>
    </row>
    <row r="45" spans="1:14" s="14" customFormat="1" ht="15.75" x14ac:dyDescent="0.25">
      <c r="A45" s="100"/>
      <c r="B45" s="100"/>
      <c r="C45" s="19"/>
      <c r="D45" s="100"/>
      <c r="E45" s="100"/>
      <c r="F45" s="3"/>
      <c r="G45" s="3"/>
      <c r="H45" s="3"/>
      <c r="I45" s="3"/>
      <c r="J45" s="3"/>
      <c r="K45" s="3"/>
      <c r="L45" s="26"/>
      <c r="M45" s="2"/>
      <c r="N45" s="2"/>
    </row>
    <row r="46" spans="1:14" s="14" customFormat="1" ht="15.75" x14ac:dyDescent="0.25">
      <c r="A46" s="100"/>
      <c r="B46" s="100"/>
      <c r="C46" s="19"/>
      <c r="D46" s="100"/>
      <c r="E46" s="100"/>
      <c r="F46" s="3"/>
      <c r="G46" s="3"/>
      <c r="H46" s="3"/>
      <c r="I46" s="3"/>
      <c r="J46" s="3"/>
      <c r="K46" s="3"/>
      <c r="L46" s="26"/>
      <c r="M46" s="2"/>
      <c r="N46" s="2"/>
    </row>
    <row r="47" spans="1:14" s="14" customFormat="1" ht="15.75" x14ac:dyDescent="0.25">
      <c r="A47" s="100"/>
      <c r="B47" s="100"/>
      <c r="C47" s="19"/>
      <c r="D47" s="100"/>
      <c r="E47" s="100"/>
      <c r="F47" s="3"/>
      <c r="G47" s="3"/>
      <c r="H47" s="3"/>
      <c r="I47" s="3"/>
      <c r="J47" s="3"/>
      <c r="K47" s="3"/>
      <c r="L47" s="26"/>
      <c r="M47" s="2"/>
      <c r="N47" s="2"/>
    </row>
    <row r="48" spans="1:14" s="14" customFormat="1" ht="15.75" x14ac:dyDescent="0.25">
      <c r="A48" s="100"/>
      <c r="B48" s="100"/>
      <c r="C48" s="19"/>
      <c r="D48" s="100"/>
      <c r="E48" s="100"/>
      <c r="F48" s="3"/>
      <c r="G48" s="3"/>
      <c r="H48" s="3"/>
      <c r="I48" s="3"/>
      <c r="J48" s="3"/>
      <c r="K48" s="3"/>
      <c r="L48" s="26"/>
      <c r="M48" s="2"/>
      <c r="N48" s="2"/>
    </row>
    <row r="49" spans="1:14" s="14" customFormat="1" ht="15.75" x14ac:dyDescent="0.25">
      <c r="A49" s="100"/>
      <c r="B49" s="100"/>
      <c r="C49" s="19"/>
      <c r="D49" s="100"/>
      <c r="E49" s="100"/>
      <c r="F49" s="3"/>
      <c r="G49" s="3"/>
      <c r="H49" s="3"/>
      <c r="I49" s="3"/>
      <c r="J49" s="3"/>
      <c r="K49" s="3"/>
      <c r="L49" s="26"/>
      <c r="M49" s="2"/>
      <c r="N49" s="2"/>
    </row>
    <row r="50" spans="1:14" s="14" customFormat="1" ht="15.75" x14ac:dyDescent="0.25">
      <c r="A50" s="100"/>
      <c r="B50" s="100"/>
      <c r="C50" s="19"/>
      <c r="D50" s="100"/>
      <c r="E50" s="100"/>
      <c r="F50" s="3"/>
      <c r="G50" s="3"/>
      <c r="H50" s="3"/>
      <c r="I50" s="3"/>
      <c r="J50" s="3"/>
      <c r="K50" s="3"/>
      <c r="L50" s="26"/>
      <c r="M50" s="2"/>
      <c r="N50" s="2"/>
    </row>
    <row r="51" spans="1:14" s="14" customFormat="1" ht="15.75" x14ac:dyDescent="0.25">
      <c r="A51" s="100"/>
      <c r="B51" s="100"/>
      <c r="C51" s="19"/>
      <c r="D51" s="100"/>
      <c r="E51" s="100"/>
      <c r="F51" s="3"/>
      <c r="G51" s="3"/>
      <c r="H51" s="3"/>
      <c r="I51" s="3"/>
      <c r="J51" s="3"/>
      <c r="K51" s="3"/>
      <c r="L51" s="26"/>
      <c r="M51" s="2"/>
      <c r="N51" s="2"/>
    </row>
    <row r="52" spans="1:14" s="14" customFormat="1" ht="15.75" x14ac:dyDescent="0.25">
      <c r="A52" s="100"/>
      <c r="B52" s="100"/>
      <c r="C52" s="19"/>
      <c r="D52" s="100"/>
      <c r="E52" s="100"/>
      <c r="F52" s="3"/>
      <c r="G52" s="3"/>
      <c r="H52" s="3"/>
      <c r="I52" s="3"/>
      <c r="J52" s="3"/>
      <c r="K52" s="3"/>
      <c r="L52" s="26"/>
      <c r="M52" s="2"/>
      <c r="N52" s="2"/>
    </row>
    <row r="53" spans="1:14" s="14" customFormat="1" ht="15.75" x14ac:dyDescent="0.25">
      <c r="A53" s="100"/>
      <c r="B53" s="100"/>
      <c r="C53" s="19"/>
      <c r="D53" s="100"/>
      <c r="E53" s="100"/>
      <c r="F53" s="3"/>
      <c r="G53" s="3"/>
      <c r="H53" s="3"/>
      <c r="I53" s="3"/>
      <c r="J53" s="3"/>
      <c r="K53" s="3"/>
      <c r="L53" s="26"/>
      <c r="M53" s="2"/>
      <c r="N53" s="2"/>
    </row>
    <row r="54" spans="1:14" s="14" customFormat="1" ht="15.75" x14ac:dyDescent="0.25">
      <c r="A54" s="100"/>
      <c r="B54" s="100"/>
      <c r="C54" s="19"/>
      <c r="D54" s="100"/>
      <c r="E54" s="100"/>
      <c r="F54" s="3"/>
      <c r="G54" s="3"/>
      <c r="H54" s="3"/>
      <c r="I54" s="3"/>
      <c r="J54" s="3"/>
      <c r="K54" s="3"/>
      <c r="L54" s="26"/>
      <c r="M54" s="2"/>
      <c r="N54" s="2"/>
    </row>
    <row r="55" spans="1:14" s="14" customFormat="1" ht="15.75" x14ac:dyDescent="0.25">
      <c r="A55" s="100"/>
      <c r="B55" s="100"/>
      <c r="C55" s="19"/>
      <c r="D55" s="100"/>
      <c r="E55" s="100"/>
      <c r="F55" s="3"/>
      <c r="G55" s="3"/>
      <c r="H55" s="3"/>
      <c r="I55" s="3"/>
      <c r="J55" s="3"/>
      <c r="K55" s="3"/>
      <c r="L55" s="26"/>
      <c r="M55" s="2"/>
      <c r="N55" s="2"/>
    </row>
    <row r="56" spans="1:14" s="14" customFormat="1" ht="15.75" x14ac:dyDescent="0.25">
      <c r="A56" s="100"/>
      <c r="B56" s="100"/>
      <c r="C56" s="19"/>
      <c r="D56" s="100"/>
      <c r="E56" s="100"/>
      <c r="F56" s="3"/>
      <c r="G56" s="3"/>
      <c r="H56" s="3"/>
      <c r="I56" s="3"/>
      <c r="J56" s="3"/>
      <c r="K56" s="3"/>
      <c r="L56" s="26"/>
      <c r="M56" s="2"/>
      <c r="N56" s="2"/>
    </row>
    <row r="57" spans="1:14" s="14" customFormat="1" ht="15.75" x14ac:dyDescent="0.25">
      <c r="A57" s="100"/>
      <c r="B57" s="100"/>
      <c r="C57" s="19"/>
      <c r="D57" s="100"/>
      <c r="E57" s="100"/>
      <c r="F57" s="3"/>
      <c r="G57" s="3"/>
      <c r="H57" s="3"/>
      <c r="I57" s="3"/>
      <c r="J57" s="3"/>
      <c r="K57" s="3"/>
      <c r="L57" s="26"/>
      <c r="M57" s="2"/>
      <c r="N57" s="2"/>
    </row>
    <row r="58" spans="1:14" s="14" customFormat="1" ht="15.75" x14ac:dyDescent="0.25">
      <c r="A58" s="100"/>
      <c r="B58" s="100"/>
      <c r="C58" s="19"/>
      <c r="D58" s="100"/>
      <c r="E58" s="100"/>
      <c r="F58" s="3"/>
      <c r="G58" s="3"/>
      <c r="H58" s="3"/>
      <c r="I58" s="3"/>
      <c r="J58" s="3"/>
      <c r="K58" s="3"/>
      <c r="L58" s="26"/>
      <c r="M58" s="2"/>
      <c r="N58" s="2"/>
    </row>
    <row r="59" spans="1:14" s="14" customFormat="1" ht="15.75" x14ac:dyDescent="0.25">
      <c r="A59" s="100"/>
      <c r="B59" s="100"/>
      <c r="C59" s="19"/>
      <c r="D59" s="100"/>
      <c r="E59" s="100"/>
      <c r="F59" s="3"/>
      <c r="G59" s="3"/>
      <c r="H59" s="3"/>
      <c r="I59" s="3"/>
      <c r="J59" s="3"/>
      <c r="K59" s="3"/>
      <c r="L59" s="26"/>
      <c r="M59" s="2"/>
      <c r="N59" s="2"/>
    </row>
    <row r="60" spans="1:14" s="14" customFormat="1" ht="15.75" x14ac:dyDescent="0.25">
      <c r="A60" s="100"/>
      <c r="B60" s="100"/>
      <c r="C60" s="19"/>
      <c r="D60" s="100"/>
      <c r="E60" s="100"/>
      <c r="F60" s="3"/>
      <c r="G60" s="3"/>
      <c r="H60" s="3"/>
      <c r="I60" s="3"/>
      <c r="J60" s="3"/>
      <c r="K60" s="3"/>
      <c r="L60" s="26"/>
      <c r="M60" s="2"/>
      <c r="N60" s="2"/>
    </row>
    <row r="61" spans="1:14" s="14" customFormat="1" ht="15.75" x14ac:dyDescent="0.25">
      <c r="A61" s="100"/>
      <c r="B61" s="100"/>
      <c r="C61" s="19"/>
      <c r="D61" s="100"/>
      <c r="E61" s="100"/>
      <c r="F61" s="3"/>
      <c r="G61" s="3"/>
      <c r="H61" s="3"/>
      <c r="I61" s="3"/>
      <c r="J61" s="3"/>
      <c r="K61" s="3"/>
      <c r="L61" s="26"/>
      <c r="M61" s="2"/>
      <c r="N61" s="2"/>
    </row>
    <row r="62" spans="1:14" s="14" customFormat="1" ht="15.75" x14ac:dyDescent="0.25">
      <c r="A62" s="100"/>
      <c r="B62" s="100"/>
      <c r="C62" s="19"/>
      <c r="D62" s="100"/>
      <c r="E62" s="100"/>
      <c r="F62" s="3"/>
      <c r="G62" s="3"/>
      <c r="H62" s="3"/>
      <c r="I62" s="3"/>
      <c r="J62" s="3"/>
      <c r="K62" s="3"/>
      <c r="L62" s="26"/>
      <c r="M62" s="2"/>
      <c r="N62" s="2"/>
    </row>
    <row r="63" spans="1:14" s="14" customFormat="1" ht="15.75" x14ac:dyDescent="0.25">
      <c r="A63" s="100"/>
      <c r="B63" s="100"/>
      <c r="C63" s="19"/>
      <c r="D63" s="100"/>
      <c r="E63" s="100"/>
      <c r="F63" s="3"/>
      <c r="G63" s="3"/>
      <c r="H63" s="3"/>
      <c r="I63" s="3"/>
      <c r="J63" s="3"/>
      <c r="K63" s="3"/>
      <c r="L63" s="26"/>
      <c r="M63" s="2"/>
      <c r="N63" s="2"/>
    </row>
    <row r="64" spans="1:14" s="14" customFormat="1" ht="15.75" x14ac:dyDescent="0.25">
      <c r="A64" s="100"/>
      <c r="B64" s="100"/>
      <c r="C64" s="19"/>
      <c r="D64" s="100"/>
      <c r="E64" s="100"/>
      <c r="F64" s="3"/>
      <c r="G64" s="3"/>
      <c r="H64" s="3"/>
      <c r="I64" s="3"/>
      <c r="J64" s="3"/>
      <c r="K64" s="3"/>
      <c r="L64" s="26"/>
      <c r="M64" s="2"/>
      <c r="N64" s="2"/>
    </row>
    <row r="65" spans="1:14" s="14" customFormat="1" ht="15.75" x14ac:dyDescent="0.25">
      <c r="A65" s="100"/>
      <c r="B65" s="100"/>
      <c r="C65" s="19"/>
      <c r="D65" s="100"/>
      <c r="E65" s="100"/>
      <c r="F65" s="3"/>
      <c r="G65" s="3"/>
      <c r="H65" s="3"/>
      <c r="I65" s="3"/>
      <c r="J65" s="3"/>
      <c r="K65" s="3"/>
      <c r="L65" s="26"/>
      <c r="M65" s="2"/>
      <c r="N65" s="2"/>
    </row>
    <row r="66" spans="1:14" s="14" customFormat="1" ht="15.75" x14ac:dyDescent="0.25">
      <c r="A66" s="100"/>
      <c r="B66" s="100"/>
      <c r="C66" s="19"/>
      <c r="D66" s="100"/>
      <c r="E66" s="100"/>
      <c r="F66" s="3"/>
      <c r="G66" s="3"/>
      <c r="H66" s="3"/>
      <c r="I66" s="3"/>
      <c r="J66" s="3"/>
      <c r="K66" s="3"/>
      <c r="L66" s="26"/>
      <c r="M66" s="2"/>
      <c r="N66" s="2"/>
    </row>
    <row r="67" spans="1:14" s="14" customFormat="1" ht="15.75" x14ac:dyDescent="0.25">
      <c r="A67" s="100"/>
      <c r="B67" s="100"/>
      <c r="C67" s="19"/>
      <c r="D67" s="100"/>
      <c r="E67" s="100"/>
      <c r="F67" s="3"/>
      <c r="G67" s="3"/>
      <c r="H67" s="3"/>
      <c r="I67" s="3"/>
      <c r="J67" s="3"/>
      <c r="K67" s="3"/>
      <c r="L67" s="26"/>
      <c r="M67" s="2"/>
      <c r="N67" s="2"/>
    </row>
    <row r="68" spans="1:14" s="14" customFormat="1" ht="15.75" x14ac:dyDescent="0.25">
      <c r="A68" s="100"/>
      <c r="B68" s="100"/>
      <c r="C68" s="19"/>
      <c r="D68" s="100"/>
      <c r="E68" s="100"/>
      <c r="F68" s="3"/>
      <c r="G68" s="3"/>
      <c r="H68" s="3"/>
      <c r="I68" s="3"/>
      <c r="J68" s="3"/>
      <c r="K68" s="3"/>
      <c r="L68" s="26"/>
      <c r="M68" s="2"/>
      <c r="N68" s="2"/>
    </row>
    <row r="69" spans="1:14" s="14" customFormat="1" ht="15.75" x14ac:dyDescent="0.25">
      <c r="A69" s="100"/>
      <c r="B69" s="100"/>
      <c r="C69" s="19"/>
      <c r="D69" s="100"/>
      <c r="E69" s="100"/>
      <c r="F69" s="3"/>
      <c r="G69" s="3"/>
      <c r="H69" s="3"/>
      <c r="I69" s="3"/>
      <c r="J69" s="3"/>
      <c r="K69" s="3"/>
      <c r="L69" s="26"/>
      <c r="M69" s="2"/>
      <c r="N69" s="2"/>
    </row>
    <row r="70" spans="1:14" s="14" customFormat="1" ht="15.75" x14ac:dyDescent="0.25">
      <c r="A70" s="100"/>
      <c r="B70" s="100"/>
      <c r="C70" s="19"/>
      <c r="D70" s="100"/>
      <c r="E70" s="100"/>
      <c r="F70" s="3"/>
      <c r="G70" s="3"/>
      <c r="H70" s="3"/>
      <c r="I70" s="3"/>
      <c r="J70" s="3"/>
      <c r="K70" s="3"/>
      <c r="L70" s="26"/>
      <c r="M70" s="2"/>
      <c r="N70" s="2"/>
    </row>
    <row r="71" spans="1:14" s="14" customFormat="1" ht="15.75" x14ac:dyDescent="0.25">
      <c r="A71" s="100"/>
      <c r="B71" s="100"/>
      <c r="C71" s="19"/>
      <c r="D71" s="100"/>
      <c r="E71" s="100"/>
      <c r="F71" s="3"/>
      <c r="G71" s="3"/>
      <c r="H71" s="3"/>
      <c r="I71" s="3"/>
      <c r="J71" s="3"/>
      <c r="K71" s="3"/>
      <c r="L71" s="26"/>
      <c r="M71" s="2"/>
      <c r="N71" s="2"/>
    </row>
    <row r="72" spans="1:14" s="14" customFormat="1" ht="15.75" x14ac:dyDescent="0.25">
      <c r="A72" s="100"/>
      <c r="B72" s="100"/>
      <c r="C72" s="19"/>
      <c r="D72" s="100"/>
      <c r="E72" s="100"/>
      <c r="F72" s="3"/>
      <c r="G72" s="3"/>
      <c r="H72" s="3"/>
      <c r="I72" s="3"/>
      <c r="J72" s="3"/>
      <c r="K72" s="3"/>
      <c r="L72" s="26"/>
      <c r="M72" s="2"/>
      <c r="N72" s="2"/>
    </row>
    <row r="73" spans="1:14" s="14" customFormat="1" ht="15.75" x14ac:dyDescent="0.25">
      <c r="A73" s="100"/>
      <c r="B73" s="100"/>
      <c r="C73" s="19"/>
      <c r="D73" s="100"/>
      <c r="E73" s="100"/>
      <c r="F73" s="3"/>
      <c r="G73" s="3"/>
      <c r="H73" s="3"/>
      <c r="I73" s="3"/>
      <c r="J73" s="3"/>
      <c r="K73" s="3"/>
      <c r="L73" s="26"/>
      <c r="M73" s="2"/>
      <c r="N73" s="2"/>
    </row>
    <row r="74" spans="1:14" s="14" customFormat="1" ht="15.75" x14ac:dyDescent="0.25">
      <c r="A74" s="100"/>
      <c r="B74" s="100"/>
      <c r="C74" s="19"/>
      <c r="D74" s="100"/>
      <c r="E74" s="100"/>
      <c r="F74" s="3"/>
      <c r="G74" s="3"/>
      <c r="H74" s="3"/>
      <c r="I74" s="3"/>
      <c r="J74" s="3"/>
      <c r="K74" s="3"/>
      <c r="L74" s="26"/>
      <c r="M74" s="2"/>
      <c r="N74" s="2"/>
    </row>
    <row r="75" spans="1:14" s="14" customFormat="1" ht="15.75" x14ac:dyDescent="0.25">
      <c r="A75" s="100"/>
      <c r="B75" s="100"/>
      <c r="C75" s="19"/>
      <c r="D75" s="100"/>
      <c r="E75" s="100"/>
      <c r="F75" s="3"/>
      <c r="G75" s="3"/>
      <c r="H75" s="3"/>
      <c r="I75" s="3"/>
      <c r="J75" s="3"/>
      <c r="K75" s="3"/>
      <c r="L75" s="26"/>
      <c r="M75" s="2"/>
      <c r="N75" s="2"/>
    </row>
    <row r="76" spans="1:14" s="14" customFormat="1" ht="15.75" x14ac:dyDescent="0.25">
      <c r="A76" s="100"/>
      <c r="B76" s="100"/>
      <c r="C76" s="19"/>
      <c r="D76" s="100"/>
      <c r="E76" s="100"/>
      <c r="F76" s="3"/>
      <c r="G76" s="3"/>
      <c r="H76" s="3"/>
      <c r="I76" s="3"/>
      <c r="J76" s="3"/>
      <c r="K76" s="3"/>
      <c r="L76" s="26"/>
      <c r="M76" s="2"/>
      <c r="N76" s="2"/>
    </row>
    <row r="77" spans="1:14" s="14" customFormat="1" ht="15.75" x14ac:dyDescent="0.25">
      <c r="A77" s="100"/>
      <c r="B77" s="100"/>
      <c r="C77" s="19"/>
      <c r="D77" s="100"/>
      <c r="E77" s="100"/>
      <c r="F77" s="3"/>
      <c r="G77" s="3"/>
      <c r="H77" s="3"/>
      <c r="I77" s="3"/>
      <c r="J77" s="3"/>
      <c r="K77" s="3"/>
      <c r="L77" s="26"/>
      <c r="M77" s="2"/>
      <c r="N77" s="2"/>
    </row>
    <row r="78" spans="1:14" s="14" customFormat="1" ht="15.75" x14ac:dyDescent="0.25">
      <c r="A78" s="100"/>
      <c r="B78" s="100"/>
      <c r="C78" s="19"/>
      <c r="D78" s="100"/>
      <c r="E78" s="100"/>
      <c r="F78" s="3"/>
      <c r="G78" s="3"/>
      <c r="H78" s="3"/>
      <c r="I78" s="3"/>
      <c r="J78" s="3"/>
      <c r="K78" s="3"/>
      <c r="L78" s="26"/>
      <c r="M78" s="2"/>
      <c r="N78" s="2"/>
    </row>
    <row r="79" spans="1:14" s="14" customFormat="1" ht="15.75" x14ac:dyDescent="0.25">
      <c r="A79" s="100"/>
      <c r="B79" s="100"/>
      <c r="C79" s="19"/>
      <c r="D79" s="100"/>
      <c r="E79" s="100"/>
      <c r="F79" s="3"/>
      <c r="G79" s="3"/>
      <c r="H79" s="3"/>
      <c r="I79" s="3"/>
      <c r="J79" s="3"/>
      <c r="K79" s="3"/>
      <c r="L79" s="26"/>
      <c r="M79" s="2"/>
      <c r="N79" s="2"/>
    </row>
    <row r="80" spans="1:14" s="14" customFormat="1" ht="15.75" x14ac:dyDescent="0.25">
      <c r="A80" s="100"/>
      <c r="B80" s="100"/>
      <c r="C80" s="19"/>
      <c r="D80" s="100"/>
      <c r="E80" s="100"/>
      <c r="F80" s="3"/>
      <c r="G80" s="3"/>
      <c r="H80" s="3"/>
      <c r="I80" s="3"/>
      <c r="J80" s="3"/>
      <c r="K80" s="3"/>
      <c r="L80" s="26"/>
      <c r="M80" s="2"/>
      <c r="N80" s="2"/>
    </row>
    <row r="81" spans="1:14" s="14" customFormat="1" ht="15.75" x14ac:dyDescent="0.25">
      <c r="A81" s="100"/>
      <c r="B81" s="100"/>
      <c r="C81" s="19"/>
      <c r="D81" s="100"/>
      <c r="E81" s="100"/>
      <c r="F81" s="3"/>
      <c r="G81" s="3"/>
      <c r="H81" s="3"/>
      <c r="I81" s="3"/>
      <c r="J81" s="3"/>
      <c r="K81" s="3"/>
      <c r="L81" s="26"/>
      <c r="M81" s="2"/>
      <c r="N81" s="2"/>
    </row>
    <row r="82" spans="1:14" s="14" customFormat="1" ht="15.75" x14ac:dyDescent="0.25">
      <c r="A82" s="100"/>
      <c r="B82" s="100"/>
      <c r="C82" s="19"/>
      <c r="D82" s="100"/>
      <c r="E82" s="100"/>
      <c r="F82" s="3"/>
      <c r="G82" s="3"/>
      <c r="H82" s="3"/>
      <c r="I82" s="3"/>
      <c r="J82" s="3"/>
      <c r="K82" s="3"/>
      <c r="L82" s="26"/>
      <c r="M82" s="2"/>
      <c r="N82" s="2"/>
    </row>
    <row r="83" spans="1:14" s="14" customFormat="1" ht="15.75" x14ac:dyDescent="0.25">
      <c r="A83" s="100"/>
      <c r="B83" s="100"/>
      <c r="C83" s="19"/>
      <c r="D83" s="100"/>
      <c r="E83" s="100"/>
      <c r="F83" s="3"/>
      <c r="G83" s="3"/>
      <c r="H83" s="3"/>
      <c r="I83" s="3"/>
      <c r="J83" s="3"/>
      <c r="K83" s="3"/>
      <c r="L83" s="26"/>
      <c r="M83" s="2"/>
      <c r="N83" s="2"/>
    </row>
    <row r="84" spans="1:14" s="14" customFormat="1" ht="15.75" x14ac:dyDescent="0.25">
      <c r="A84" s="100"/>
      <c r="B84" s="100"/>
      <c r="C84" s="19"/>
      <c r="D84" s="100"/>
      <c r="E84" s="100"/>
      <c r="F84" s="3"/>
      <c r="G84" s="3"/>
      <c r="H84" s="3"/>
      <c r="I84" s="3"/>
      <c r="J84" s="3"/>
      <c r="K84" s="3"/>
      <c r="L84" s="26"/>
      <c r="M84" s="2"/>
      <c r="N84" s="2"/>
    </row>
    <row r="85" spans="1:14" s="14" customFormat="1" ht="15.75" x14ac:dyDescent="0.25">
      <c r="A85" s="100"/>
      <c r="B85" s="100"/>
      <c r="C85" s="19"/>
      <c r="D85" s="100"/>
      <c r="E85" s="100"/>
      <c r="F85" s="3"/>
      <c r="G85" s="3"/>
      <c r="H85" s="3"/>
      <c r="I85" s="3"/>
      <c r="J85" s="3"/>
      <c r="K85" s="3"/>
      <c r="L85" s="26"/>
      <c r="M85" s="2"/>
      <c r="N85" s="2"/>
    </row>
    <row r="86" spans="1:14" s="14" customFormat="1" ht="15.75" x14ac:dyDescent="0.25">
      <c r="A86" s="100"/>
      <c r="B86" s="100"/>
      <c r="C86" s="19"/>
      <c r="D86" s="100"/>
      <c r="E86" s="100"/>
      <c r="F86" s="3"/>
      <c r="G86" s="3"/>
      <c r="H86" s="3"/>
      <c r="I86" s="3"/>
      <c r="J86" s="3"/>
      <c r="K86" s="3"/>
      <c r="L86" s="26"/>
      <c r="M86" s="2"/>
      <c r="N86" s="2"/>
    </row>
    <row r="87" spans="1:14" s="14" customFormat="1" ht="15.75" x14ac:dyDescent="0.25">
      <c r="A87" s="100"/>
      <c r="B87" s="100"/>
      <c r="C87" s="19"/>
      <c r="D87" s="100"/>
      <c r="E87" s="100"/>
      <c r="F87" s="3"/>
      <c r="G87" s="3"/>
      <c r="H87" s="3"/>
      <c r="I87" s="3"/>
      <c r="J87" s="3"/>
      <c r="K87" s="3"/>
      <c r="L87" s="26"/>
      <c r="M87" s="2"/>
      <c r="N87" s="2"/>
    </row>
    <row r="88" spans="1:14" s="14" customFormat="1" ht="15.75" x14ac:dyDescent="0.25">
      <c r="A88" s="100"/>
      <c r="B88" s="100"/>
      <c r="C88" s="19"/>
      <c r="D88" s="100"/>
      <c r="E88" s="100"/>
      <c r="F88" s="3"/>
      <c r="G88" s="3"/>
      <c r="H88" s="3"/>
      <c r="I88" s="3"/>
      <c r="J88" s="3"/>
      <c r="K88" s="3"/>
      <c r="L88" s="26"/>
      <c r="M88" s="2"/>
      <c r="N88" s="2"/>
    </row>
    <row r="89" spans="1:14" s="14" customFormat="1" ht="15.75" x14ac:dyDescent="0.25">
      <c r="A89" s="100"/>
      <c r="B89" s="100"/>
      <c r="C89" s="19"/>
      <c r="D89" s="100"/>
      <c r="E89" s="100"/>
      <c r="F89" s="3"/>
      <c r="G89" s="3"/>
      <c r="H89" s="3"/>
      <c r="I89" s="3"/>
      <c r="J89" s="3"/>
      <c r="K89" s="3"/>
      <c r="L89" s="26"/>
      <c r="M89" s="2"/>
      <c r="N89" s="2"/>
    </row>
    <row r="90" spans="1:14" s="14" customFormat="1" ht="15.75" x14ac:dyDescent="0.25">
      <c r="A90" s="100"/>
      <c r="B90" s="100"/>
      <c r="C90" s="19"/>
      <c r="D90" s="100"/>
      <c r="E90" s="100"/>
      <c r="F90" s="3"/>
      <c r="G90" s="3"/>
      <c r="H90" s="3"/>
      <c r="I90" s="3"/>
      <c r="J90" s="3"/>
      <c r="K90" s="3"/>
      <c r="L90" s="26"/>
      <c r="M90" s="2"/>
      <c r="N90" s="2"/>
    </row>
    <row r="91" spans="1:14" s="14" customFormat="1" ht="15.75" x14ac:dyDescent="0.25">
      <c r="A91" s="100"/>
      <c r="B91" s="100"/>
      <c r="C91" s="19"/>
      <c r="D91" s="100"/>
      <c r="E91" s="100"/>
      <c r="F91" s="3"/>
      <c r="G91" s="3"/>
      <c r="H91" s="3"/>
      <c r="I91" s="3"/>
      <c r="J91" s="3"/>
      <c r="K91" s="3"/>
      <c r="L91" s="26"/>
      <c r="M91" s="2"/>
      <c r="N91" s="2"/>
    </row>
    <row r="92" spans="1:14" s="14" customFormat="1" ht="15.75" x14ac:dyDescent="0.25">
      <c r="A92" s="100"/>
      <c r="B92" s="100"/>
      <c r="C92" s="19"/>
      <c r="D92" s="100"/>
      <c r="E92" s="100"/>
      <c r="F92" s="3"/>
      <c r="G92" s="3"/>
      <c r="H92" s="3"/>
      <c r="I92" s="3"/>
      <c r="J92" s="3"/>
      <c r="K92" s="3"/>
      <c r="L92" s="26"/>
      <c r="M92" s="2"/>
      <c r="N92" s="2"/>
    </row>
    <row r="93" spans="1:14" s="14" customFormat="1" ht="15.75" x14ac:dyDescent="0.25">
      <c r="A93" s="100"/>
      <c r="B93" s="100"/>
      <c r="C93" s="19"/>
      <c r="D93" s="100"/>
      <c r="E93" s="100"/>
      <c r="F93" s="3"/>
      <c r="G93" s="3"/>
      <c r="H93" s="3"/>
      <c r="I93" s="3"/>
      <c r="J93" s="3"/>
      <c r="K93" s="3"/>
      <c r="L93" s="26"/>
      <c r="M93" s="2"/>
      <c r="N93" s="2"/>
    </row>
    <row r="94" spans="1:14" s="14" customFormat="1" ht="15.75" x14ac:dyDescent="0.25">
      <c r="A94" s="100"/>
      <c r="B94" s="100"/>
      <c r="C94" s="19"/>
      <c r="D94" s="100"/>
      <c r="E94" s="100"/>
      <c r="F94" s="3"/>
      <c r="G94" s="3"/>
      <c r="H94" s="3"/>
      <c r="I94" s="3"/>
      <c r="J94" s="3"/>
      <c r="K94" s="3"/>
      <c r="L94" s="26"/>
      <c r="M94" s="2"/>
      <c r="N94" s="2"/>
    </row>
    <row r="95" spans="1:14" s="14" customFormat="1" ht="15.75" x14ac:dyDescent="0.25">
      <c r="A95" s="100"/>
      <c r="B95" s="100"/>
      <c r="C95" s="19"/>
      <c r="D95" s="100"/>
      <c r="E95" s="100"/>
      <c r="F95" s="3"/>
      <c r="G95" s="3"/>
      <c r="H95" s="3"/>
      <c r="I95" s="3"/>
      <c r="J95" s="3"/>
      <c r="K95" s="3"/>
      <c r="L95" s="26"/>
      <c r="M95" s="2"/>
      <c r="N95" s="2"/>
    </row>
    <row r="96" spans="1:14" s="14" customFormat="1" ht="15.75" x14ac:dyDescent="0.25">
      <c r="A96" s="100"/>
      <c r="B96" s="100"/>
      <c r="C96" s="19"/>
      <c r="D96" s="100"/>
      <c r="E96" s="100"/>
      <c r="F96" s="3"/>
      <c r="G96" s="3"/>
      <c r="H96" s="3"/>
      <c r="I96" s="3"/>
      <c r="J96" s="3"/>
      <c r="K96" s="3"/>
      <c r="L96" s="26"/>
      <c r="M96" s="2"/>
      <c r="N96" s="2"/>
    </row>
    <row r="97" spans="1:14" s="14" customFormat="1" ht="15.75" x14ac:dyDescent="0.25">
      <c r="A97" s="100"/>
      <c r="B97" s="100"/>
      <c r="C97" s="19"/>
      <c r="D97" s="100"/>
      <c r="E97" s="100"/>
      <c r="F97" s="3"/>
      <c r="G97" s="3"/>
      <c r="H97" s="3"/>
      <c r="I97" s="3"/>
      <c r="J97" s="3"/>
      <c r="K97" s="3"/>
      <c r="L97" s="26"/>
      <c r="M97" s="2"/>
      <c r="N97" s="2"/>
    </row>
    <row r="98" spans="1:14" s="14" customFormat="1" ht="15.75" x14ac:dyDescent="0.25">
      <c r="A98" s="100"/>
      <c r="B98" s="100"/>
      <c r="C98" s="19"/>
      <c r="D98" s="100"/>
      <c r="E98" s="100"/>
      <c r="F98" s="3"/>
      <c r="G98" s="3"/>
      <c r="H98" s="3"/>
      <c r="I98" s="3"/>
      <c r="J98" s="3"/>
      <c r="K98" s="3"/>
      <c r="L98" s="26"/>
      <c r="M98" s="2"/>
      <c r="N98" s="2"/>
    </row>
    <row r="99" spans="1:14" s="14" customFormat="1" ht="15.75" x14ac:dyDescent="0.25">
      <c r="A99" s="100"/>
      <c r="B99" s="100"/>
      <c r="C99" s="19"/>
      <c r="D99" s="100"/>
      <c r="E99" s="100"/>
      <c r="F99" s="3"/>
      <c r="G99" s="3"/>
      <c r="H99" s="3"/>
      <c r="I99" s="3"/>
      <c r="J99" s="3"/>
      <c r="K99" s="3"/>
      <c r="L99" s="26"/>
      <c r="M99" s="2"/>
      <c r="N99" s="2"/>
    </row>
    <row r="100" spans="1:14" s="14" customFormat="1" ht="15.75" x14ac:dyDescent="0.25">
      <c r="A100" s="100"/>
      <c r="B100" s="100"/>
      <c r="C100" s="19"/>
      <c r="D100" s="100"/>
      <c r="E100" s="100"/>
      <c r="F100" s="3"/>
      <c r="G100" s="3"/>
      <c r="H100" s="3"/>
      <c r="I100" s="3"/>
      <c r="J100" s="3"/>
      <c r="K100" s="3"/>
      <c r="L100" s="26"/>
      <c r="M100" s="2"/>
      <c r="N100" s="2"/>
    </row>
    <row r="101" spans="1:14" s="14" customFormat="1" ht="15.75" x14ac:dyDescent="0.25">
      <c r="A101" s="100"/>
      <c r="B101" s="100"/>
      <c r="C101" s="19"/>
      <c r="D101" s="100"/>
      <c r="E101" s="100"/>
      <c r="F101" s="3"/>
      <c r="G101" s="3"/>
      <c r="H101" s="3"/>
      <c r="I101" s="3"/>
      <c r="J101" s="3"/>
      <c r="K101" s="3"/>
      <c r="L101" s="26"/>
      <c r="M101" s="2"/>
      <c r="N101" s="2"/>
    </row>
    <row r="102" spans="1:14" s="14" customFormat="1" ht="15.75" x14ac:dyDescent="0.25">
      <c r="A102" s="100"/>
      <c r="B102" s="100"/>
      <c r="C102" s="19"/>
      <c r="D102" s="100"/>
      <c r="E102" s="100"/>
      <c r="F102" s="3"/>
      <c r="G102" s="3"/>
      <c r="H102" s="3"/>
      <c r="I102" s="3"/>
      <c r="J102" s="3"/>
      <c r="K102" s="3"/>
      <c r="L102" s="26"/>
      <c r="M102" s="2"/>
      <c r="N102" s="2"/>
    </row>
    <row r="103" spans="1:14" s="14" customFormat="1" ht="15.75" x14ac:dyDescent="0.25">
      <c r="A103" s="100"/>
      <c r="B103" s="100"/>
      <c r="C103" s="19"/>
      <c r="D103" s="100"/>
      <c r="E103" s="100"/>
      <c r="F103" s="3"/>
      <c r="G103" s="3"/>
      <c r="H103" s="3"/>
      <c r="I103" s="3"/>
      <c r="J103" s="3"/>
      <c r="K103" s="3"/>
      <c r="L103" s="26"/>
      <c r="M103" s="2"/>
      <c r="N103" s="2"/>
    </row>
    <row r="104" spans="1:14" s="14" customFormat="1" ht="15.75" x14ac:dyDescent="0.25">
      <c r="A104" s="100"/>
      <c r="B104" s="100"/>
      <c r="C104" s="19"/>
      <c r="D104" s="100"/>
      <c r="E104" s="100"/>
      <c r="F104" s="3"/>
      <c r="G104" s="3"/>
      <c r="H104" s="3"/>
      <c r="I104" s="3"/>
      <c r="J104" s="3"/>
      <c r="K104" s="3"/>
      <c r="L104" s="26"/>
      <c r="M104" s="2"/>
      <c r="N104" s="2"/>
    </row>
    <row r="105" spans="1:14" s="14" customFormat="1" ht="15.75" x14ac:dyDescent="0.25">
      <c r="A105" s="100"/>
      <c r="B105" s="100"/>
      <c r="C105" s="19"/>
      <c r="D105" s="100"/>
      <c r="E105" s="100"/>
      <c r="F105" s="3"/>
      <c r="G105" s="3"/>
      <c r="H105" s="3"/>
      <c r="I105" s="3"/>
      <c r="J105" s="3"/>
      <c r="K105" s="3"/>
      <c r="L105" s="26"/>
      <c r="M105" s="2"/>
      <c r="N105" s="2"/>
    </row>
    <row r="106" spans="1:14" s="14" customFormat="1" ht="15.75" x14ac:dyDescent="0.25">
      <c r="A106" s="100"/>
      <c r="B106" s="100"/>
      <c r="C106" s="19"/>
      <c r="D106" s="100"/>
      <c r="E106" s="100"/>
      <c r="F106" s="3"/>
      <c r="G106" s="3"/>
      <c r="H106" s="3"/>
      <c r="I106" s="3"/>
      <c r="J106" s="3"/>
      <c r="K106" s="3"/>
      <c r="L106" s="26"/>
      <c r="M106" s="2"/>
      <c r="N106" s="2"/>
    </row>
    <row r="107" spans="1:14" s="14" customFormat="1" ht="15.75" x14ac:dyDescent="0.25">
      <c r="A107" s="100"/>
      <c r="B107" s="100"/>
      <c r="C107" s="19"/>
      <c r="D107" s="100"/>
      <c r="E107" s="100"/>
      <c r="F107" s="3"/>
      <c r="G107" s="3"/>
      <c r="H107" s="3"/>
      <c r="I107" s="3"/>
      <c r="J107" s="3"/>
      <c r="K107" s="3"/>
      <c r="L107" s="26"/>
      <c r="M107" s="2"/>
      <c r="N107" s="2"/>
    </row>
    <row r="108" spans="1:14" s="14" customFormat="1" ht="15.75" x14ac:dyDescent="0.25">
      <c r="A108" s="100"/>
      <c r="B108" s="100"/>
      <c r="C108" s="19"/>
      <c r="D108" s="100"/>
      <c r="E108" s="100"/>
      <c r="F108" s="3"/>
      <c r="G108" s="3"/>
      <c r="H108" s="3"/>
      <c r="I108" s="3"/>
      <c r="J108" s="3"/>
      <c r="K108" s="3"/>
      <c r="L108" s="26"/>
      <c r="M108" s="2"/>
      <c r="N108" s="2"/>
    </row>
    <row r="109" spans="1:14" s="14" customFormat="1" ht="15.75" x14ac:dyDescent="0.25">
      <c r="A109" s="100"/>
      <c r="B109" s="100"/>
      <c r="C109" s="19"/>
      <c r="D109" s="100"/>
      <c r="E109" s="100"/>
      <c r="F109" s="3"/>
      <c r="G109" s="3"/>
      <c r="H109" s="3"/>
      <c r="I109" s="3"/>
      <c r="J109" s="3"/>
      <c r="K109" s="3"/>
      <c r="L109" s="26"/>
      <c r="M109" s="2"/>
      <c r="N109" s="2"/>
    </row>
    <row r="110" spans="1:14" s="14" customFormat="1" ht="15.75" x14ac:dyDescent="0.25">
      <c r="A110" s="100"/>
      <c r="B110" s="100"/>
      <c r="C110" s="19"/>
      <c r="D110" s="100"/>
      <c r="E110" s="100"/>
      <c r="F110" s="3"/>
      <c r="G110" s="3"/>
      <c r="H110" s="3"/>
      <c r="I110" s="3"/>
      <c r="J110" s="3"/>
      <c r="K110" s="3"/>
      <c r="L110" s="26"/>
      <c r="M110" s="2"/>
      <c r="N110" s="2"/>
    </row>
    <row r="111" spans="1:14" s="14" customFormat="1" ht="15.75" x14ac:dyDescent="0.25">
      <c r="A111" s="100"/>
      <c r="B111" s="100"/>
      <c r="C111" s="19"/>
      <c r="D111" s="100"/>
      <c r="E111" s="100"/>
      <c r="F111" s="3"/>
      <c r="G111" s="3"/>
      <c r="H111" s="3"/>
      <c r="I111" s="3"/>
      <c r="J111" s="3"/>
      <c r="K111" s="3"/>
      <c r="L111" s="26"/>
      <c r="M111" s="2"/>
      <c r="N111" s="2"/>
    </row>
    <row r="112" spans="1:14" s="14" customFormat="1" ht="15.75" x14ac:dyDescent="0.25">
      <c r="A112" s="100"/>
      <c r="B112" s="100"/>
      <c r="C112" s="19"/>
      <c r="D112" s="100"/>
      <c r="E112" s="100"/>
      <c r="F112" s="3"/>
      <c r="G112" s="3"/>
      <c r="H112" s="3"/>
      <c r="I112" s="3"/>
      <c r="J112" s="3"/>
      <c r="K112" s="3"/>
      <c r="L112" s="26"/>
      <c r="M112" s="2"/>
      <c r="N112" s="2"/>
    </row>
    <row r="113" spans="1:14" s="14" customFormat="1" ht="15.75" x14ac:dyDescent="0.25">
      <c r="A113" s="100"/>
      <c r="B113" s="100"/>
      <c r="C113" s="19"/>
      <c r="D113" s="100"/>
      <c r="E113" s="100"/>
      <c r="F113" s="3"/>
      <c r="G113" s="3"/>
      <c r="H113" s="3"/>
      <c r="I113" s="3"/>
      <c r="J113" s="3"/>
      <c r="K113" s="3"/>
      <c r="L113" s="26"/>
      <c r="M113" s="2"/>
      <c r="N113" s="2"/>
    </row>
    <row r="114" spans="1:14" s="14" customFormat="1" ht="15.75" x14ac:dyDescent="0.25">
      <c r="A114" s="100"/>
      <c r="B114" s="100"/>
      <c r="C114" s="19"/>
      <c r="D114" s="100"/>
      <c r="E114" s="100"/>
      <c r="F114" s="3"/>
      <c r="G114" s="3"/>
      <c r="H114" s="3"/>
      <c r="I114" s="3"/>
      <c r="J114" s="3"/>
      <c r="K114" s="3"/>
      <c r="L114" s="26"/>
      <c r="M114" s="2"/>
      <c r="N114" s="2"/>
    </row>
    <row r="115" spans="1:14" s="14" customFormat="1" ht="15.75" x14ac:dyDescent="0.25">
      <c r="A115" s="100"/>
      <c r="B115" s="100"/>
      <c r="C115" s="19"/>
      <c r="D115" s="100"/>
      <c r="E115" s="100"/>
      <c r="F115" s="3"/>
      <c r="G115" s="3"/>
      <c r="H115" s="3"/>
      <c r="I115" s="3"/>
      <c r="J115" s="3"/>
      <c r="K115" s="3"/>
      <c r="L115" s="26"/>
      <c r="M115" s="2"/>
      <c r="N115" s="2"/>
    </row>
    <row r="116" spans="1:14" s="14" customFormat="1" ht="15.75" x14ac:dyDescent="0.25">
      <c r="A116" s="100"/>
      <c r="B116" s="100"/>
      <c r="C116" s="19"/>
      <c r="D116" s="100"/>
      <c r="E116" s="100"/>
      <c r="F116" s="3"/>
      <c r="G116" s="3"/>
      <c r="H116" s="3"/>
      <c r="I116" s="3"/>
      <c r="J116" s="3"/>
      <c r="K116" s="3"/>
      <c r="L116" s="26"/>
      <c r="M116" s="2"/>
      <c r="N116" s="2"/>
    </row>
    <row r="117" spans="1:14" s="14" customFormat="1" ht="15.75" x14ac:dyDescent="0.25">
      <c r="A117" s="100"/>
      <c r="B117" s="100"/>
      <c r="C117" s="19"/>
      <c r="D117" s="100"/>
      <c r="E117" s="100"/>
      <c r="F117" s="3"/>
      <c r="G117" s="3"/>
      <c r="H117" s="3"/>
      <c r="I117" s="3"/>
      <c r="J117" s="3"/>
      <c r="K117" s="3"/>
      <c r="L117" s="26"/>
      <c r="M117" s="2"/>
      <c r="N117" s="2"/>
    </row>
    <row r="118" spans="1:14" s="14" customFormat="1" ht="15.75" x14ac:dyDescent="0.25">
      <c r="A118" s="100"/>
      <c r="B118" s="100"/>
      <c r="C118" s="19"/>
      <c r="D118" s="100"/>
      <c r="E118" s="100"/>
      <c r="F118" s="3"/>
      <c r="G118" s="3"/>
      <c r="H118" s="3"/>
      <c r="I118" s="3"/>
      <c r="J118" s="3"/>
      <c r="K118" s="3"/>
      <c r="L118" s="26"/>
      <c r="M118" s="2"/>
      <c r="N118" s="2"/>
    </row>
    <row r="119" spans="1:14" s="14" customFormat="1" ht="15.75" x14ac:dyDescent="0.25">
      <c r="A119" s="100"/>
      <c r="B119" s="100"/>
      <c r="C119" s="19"/>
      <c r="D119" s="100"/>
      <c r="E119" s="100"/>
      <c r="F119" s="3"/>
      <c r="G119" s="3"/>
      <c r="H119" s="3"/>
      <c r="I119" s="3"/>
      <c r="J119" s="3"/>
      <c r="K119" s="3"/>
      <c r="L119" s="26"/>
      <c r="M119" s="2"/>
      <c r="N119" s="2"/>
    </row>
    <row r="120" spans="1:14" s="14" customFormat="1" ht="15.75" x14ac:dyDescent="0.25">
      <c r="A120" s="100"/>
      <c r="B120" s="100"/>
      <c r="C120" s="19"/>
      <c r="D120" s="100"/>
      <c r="E120" s="100"/>
      <c r="F120" s="3"/>
      <c r="G120" s="3"/>
      <c r="H120" s="3"/>
      <c r="I120" s="3"/>
      <c r="J120" s="3"/>
      <c r="K120" s="3"/>
      <c r="L120" s="26"/>
      <c r="M120" s="2"/>
      <c r="N120" s="2"/>
    </row>
    <row r="121" spans="1:14" s="14" customFormat="1" ht="15.75" x14ac:dyDescent="0.25">
      <c r="A121" s="100"/>
      <c r="B121" s="100"/>
      <c r="C121" s="19"/>
      <c r="D121" s="100"/>
      <c r="E121" s="100"/>
      <c r="F121" s="3"/>
      <c r="G121" s="3"/>
      <c r="H121" s="3"/>
      <c r="I121" s="3"/>
      <c r="J121" s="3"/>
      <c r="K121" s="3"/>
      <c r="L121" s="26"/>
      <c r="M121" s="2"/>
      <c r="N121" s="2"/>
    </row>
    <row r="122" spans="1:14" s="14" customFormat="1" ht="15.75" x14ac:dyDescent="0.25">
      <c r="A122" s="100"/>
      <c r="B122" s="100"/>
      <c r="C122" s="19"/>
      <c r="D122" s="100"/>
      <c r="E122" s="100"/>
      <c r="F122" s="3"/>
      <c r="G122" s="3"/>
      <c r="H122" s="3"/>
      <c r="I122" s="3"/>
      <c r="J122" s="3"/>
      <c r="K122" s="3"/>
      <c r="L122" s="26"/>
      <c r="M122" s="2"/>
      <c r="N122" s="2"/>
    </row>
    <row r="123" spans="1:14" s="14" customFormat="1" ht="15.75" x14ac:dyDescent="0.25">
      <c r="A123" s="100"/>
      <c r="B123" s="100"/>
      <c r="C123" s="19"/>
      <c r="D123" s="100"/>
      <c r="E123" s="100"/>
      <c r="F123" s="3"/>
      <c r="G123" s="3"/>
      <c r="H123" s="3"/>
      <c r="I123" s="3"/>
      <c r="J123" s="3"/>
      <c r="K123" s="3"/>
      <c r="L123" s="26"/>
      <c r="M123" s="2"/>
      <c r="N123" s="2"/>
    </row>
    <row r="124" spans="1:14" s="14" customFormat="1" ht="15.75" x14ac:dyDescent="0.25">
      <c r="A124" s="100"/>
      <c r="B124" s="100"/>
      <c r="C124" s="19"/>
      <c r="D124" s="100"/>
      <c r="E124" s="100"/>
      <c r="F124" s="3"/>
      <c r="G124" s="3"/>
      <c r="H124" s="3"/>
      <c r="I124" s="3"/>
      <c r="J124" s="3"/>
      <c r="K124" s="3"/>
      <c r="L124" s="26"/>
      <c r="M124" s="2"/>
      <c r="N124" s="2"/>
    </row>
    <row r="125" spans="1:14" s="14" customFormat="1" ht="15.75" x14ac:dyDescent="0.25">
      <c r="A125" s="100"/>
      <c r="B125" s="100"/>
      <c r="C125" s="19"/>
      <c r="D125" s="100"/>
      <c r="E125" s="100"/>
      <c r="F125" s="3"/>
      <c r="G125" s="3"/>
      <c r="H125" s="3"/>
      <c r="I125" s="3"/>
      <c r="J125" s="3"/>
      <c r="K125" s="3"/>
      <c r="L125" s="26"/>
      <c r="M125" s="2"/>
      <c r="N125" s="2"/>
    </row>
    <row r="126" spans="1:14" s="14" customFormat="1" ht="15.75" x14ac:dyDescent="0.25">
      <c r="A126" s="100"/>
      <c r="B126" s="100"/>
      <c r="C126" s="19"/>
      <c r="D126" s="100"/>
      <c r="E126" s="100"/>
      <c r="F126" s="3"/>
      <c r="G126" s="3"/>
      <c r="H126" s="3"/>
      <c r="I126" s="3"/>
      <c r="J126" s="3"/>
      <c r="K126" s="3"/>
      <c r="L126" s="26"/>
      <c r="M126" s="2"/>
      <c r="N126" s="2"/>
    </row>
    <row r="127" spans="1:14" s="14" customFormat="1" ht="15.75" x14ac:dyDescent="0.25">
      <c r="A127" s="100"/>
      <c r="B127" s="100"/>
      <c r="C127" s="19"/>
      <c r="D127" s="100"/>
      <c r="E127" s="100"/>
      <c r="F127" s="3"/>
      <c r="G127" s="3"/>
      <c r="H127" s="3"/>
      <c r="I127" s="3"/>
      <c r="J127" s="3"/>
      <c r="K127" s="3"/>
      <c r="L127" s="26"/>
      <c r="M127" s="2"/>
      <c r="N127" s="2"/>
    </row>
    <row r="128" spans="1:14" s="14" customFormat="1" ht="15.75" x14ac:dyDescent="0.25">
      <c r="A128" s="100"/>
      <c r="B128" s="100"/>
      <c r="C128" s="19"/>
      <c r="D128" s="100"/>
      <c r="E128" s="100"/>
      <c r="F128" s="3"/>
      <c r="G128" s="3"/>
      <c r="H128" s="3"/>
      <c r="I128" s="3"/>
      <c r="J128" s="3"/>
      <c r="K128" s="3"/>
      <c r="L128" s="26"/>
      <c r="M128" s="2"/>
      <c r="N128" s="2"/>
    </row>
    <row r="129" spans="1:14" s="14" customFormat="1" ht="15.75" x14ac:dyDescent="0.25">
      <c r="A129" s="100"/>
      <c r="B129" s="100"/>
      <c r="C129" s="19"/>
      <c r="D129" s="100"/>
      <c r="E129" s="100"/>
      <c r="F129" s="3"/>
      <c r="G129" s="3"/>
      <c r="H129" s="3"/>
      <c r="I129" s="3"/>
      <c r="J129" s="3"/>
      <c r="K129" s="3"/>
      <c r="L129" s="26"/>
      <c r="M129" s="2"/>
      <c r="N129" s="2"/>
    </row>
    <row r="130" spans="1:14" s="14" customFormat="1" ht="15.75" x14ac:dyDescent="0.25">
      <c r="A130" s="100"/>
      <c r="B130" s="100"/>
      <c r="C130" s="19"/>
      <c r="D130" s="100"/>
      <c r="E130" s="100"/>
      <c r="F130" s="3"/>
      <c r="G130" s="3"/>
      <c r="H130" s="3"/>
      <c r="I130" s="3"/>
      <c r="J130" s="3"/>
      <c r="K130" s="3"/>
      <c r="L130" s="26"/>
      <c r="M130" s="2"/>
      <c r="N130" s="2"/>
    </row>
    <row r="131" spans="1:14" s="14" customFormat="1" ht="15.75" x14ac:dyDescent="0.25">
      <c r="A131" s="100"/>
      <c r="B131" s="100"/>
      <c r="C131" s="19"/>
      <c r="D131" s="100"/>
      <c r="E131" s="100"/>
      <c r="F131" s="3"/>
      <c r="G131" s="3"/>
      <c r="H131" s="3"/>
      <c r="I131" s="3"/>
      <c r="J131" s="3"/>
      <c r="K131" s="3"/>
      <c r="L131" s="26"/>
      <c r="M131" s="2"/>
      <c r="N131" s="2"/>
    </row>
    <row r="132" spans="1:14" s="14" customFormat="1" ht="15.75" x14ac:dyDescent="0.25">
      <c r="A132" s="100"/>
      <c r="B132" s="100"/>
      <c r="C132" s="19"/>
      <c r="D132" s="100"/>
      <c r="E132" s="100"/>
      <c r="F132" s="3"/>
      <c r="G132" s="3"/>
      <c r="H132" s="3"/>
      <c r="I132" s="3"/>
      <c r="J132" s="3"/>
      <c r="K132" s="3"/>
      <c r="L132" s="26"/>
      <c r="M132" s="2"/>
      <c r="N132" s="2"/>
    </row>
    <row r="133" spans="1:14" s="14" customFormat="1" ht="15.75" x14ac:dyDescent="0.25">
      <c r="A133" s="100"/>
      <c r="B133" s="100"/>
      <c r="C133" s="19"/>
      <c r="D133" s="100"/>
      <c r="E133" s="100"/>
      <c r="F133" s="3"/>
      <c r="G133" s="3"/>
      <c r="H133" s="3"/>
      <c r="I133" s="3"/>
      <c r="J133" s="3"/>
      <c r="K133" s="3"/>
      <c r="L133" s="26"/>
      <c r="M133" s="2"/>
      <c r="N133" s="2"/>
    </row>
    <row r="134" spans="1:14" s="14" customFormat="1" ht="15.75" x14ac:dyDescent="0.25">
      <c r="A134" s="100"/>
      <c r="B134" s="100"/>
      <c r="C134" s="19"/>
      <c r="D134" s="100"/>
      <c r="E134" s="100"/>
      <c r="F134" s="3"/>
      <c r="G134" s="3"/>
      <c r="H134" s="3"/>
      <c r="I134" s="3"/>
      <c r="J134" s="3"/>
      <c r="K134" s="3"/>
      <c r="L134" s="26"/>
      <c r="M134" s="2"/>
      <c r="N134" s="2"/>
    </row>
    <row r="135" spans="1:14" s="14" customFormat="1" ht="15.75" x14ac:dyDescent="0.25">
      <c r="A135" s="100"/>
      <c r="B135" s="100"/>
      <c r="C135" s="19"/>
      <c r="D135" s="100"/>
      <c r="E135" s="100"/>
      <c r="F135" s="3"/>
      <c r="G135" s="3"/>
      <c r="H135" s="3"/>
      <c r="I135" s="3"/>
      <c r="J135" s="3"/>
      <c r="K135" s="3"/>
      <c r="L135" s="26"/>
      <c r="M135" s="2"/>
      <c r="N135" s="2"/>
    </row>
    <row r="136" spans="1:14" s="14" customFormat="1" ht="15.75" x14ac:dyDescent="0.25">
      <c r="A136" s="100"/>
      <c r="B136" s="100"/>
      <c r="C136" s="19"/>
      <c r="D136" s="100"/>
      <c r="E136" s="100"/>
      <c r="F136" s="3"/>
      <c r="G136" s="3"/>
      <c r="H136" s="3"/>
      <c r="I136" s="3"/>
      <c r="J136" s="3"/>
      <c r="K136" s="3"/>
      <c r="L136" s="26"/>
      <c r="M136" s="2"/>
      <c r="N136" s="2"/>
    </row>
    <row r="137" spans="1:14" s="14" customFormat="1" ht="15.75" x14ac:dyDescent="0.25">
      <c r="A137" s="100"/>
      <c r="B137" s="100"/>
      <c r="C137" s="19"/>
      <c r="D137" s="100"/>
      <c r="E137" s="100"/>
      <c r="F137" s="3"/>
      <c r="G137" s="3"/>
      <c r="H137" s="3"/>
      <c r="I137" s="3"/>
      <c r="J137" s="3"/>
      <c r="K137" s="3"/>
      <c r="L137" s="26"/>
      <c r="M137" s="2"/>
      <c r="N137" s="2"/>
    </row>
    <row r="138" spans="1:14" s="14" customFormat="1" ht="15.75" x14ac:dyDescent="0.25">
      <c r="A138" s="100"/>
      <c r="B138" s="100"/>
      <c r="C138" s="19"/>
      <c r="D138" s="100"/>
      <c r="E138" s="100"/>
      <c r="F138" s="3"/>
      <c r="G138" s="3"/>
      <c r="H138" s="3"/>
      <c r="I138" s="3"/>
      <c r="J138" s="3"/>
      <c r="K138" s="3"/>
      <c r="L138" s="26"/>
      <c r="M138" s="2"/>
      <c r="N138" s="2"/>
    </row>
    <row r="139" spans="1:14" s="14" customFormat="1" ht="15.75" x14ac:dyDescent="0.25">
      <c r="A139" s="100"/>
      <c r="B139" s="100"/>
      <c r="C139" s="19"/>
      <c r="D139" s="100"/>
      <c r="E139" s="100"/>
      <c r="F139" s="3"/>
      <c r="G139" s="3"/>
      <c r="H139" s="3"/>
      <c r="I139" s="3"/>
      <c r="J139" s="3"/>
      <c r="K139" s="3"/>
      <c r="L139" s="26"/>
      <c r="M139" s="2"/>
      <c r="N139" s="2"/>
    </row>
    <row r="140" spans="1:14" s="14" customFormat="1" ht="15.75" x14ac:dyDescent="0.25">
      <c r="A140" s="100"/>
      <c r="B140" s="100"/>
      <c r="C140" s="19"/>
      <c r="D140" s="100"/>
      <c r="E140" s="100"/>
      <c r="F140" s="3"/>
      <c r="G140" s="3"/>
      <c r="H140" s="3"/>
      <c r="I140" s="3"/>
      <c r="J140" s="3"/>
      <c r="K140" s="3"/>
      <c r="L140" s="26"/>
      <c r="M140" s="2"/>
      <c r="N140" s="2"/>
    </row>
    <row r="141" spans="1:14" s="14" customFormat="1" ht="15.75" x14ac:dyDescent="0.25">
      <c r="A141" s="100"/>
      <c r="B141" s="100"/>
      <c r="C141" s="19"/>
      <c r="D141" s="100"/>
      <c r="E141" s="100"/>
      <c r="F141" s="3"/>
      <c r="G141" s="3"/>
      <c r="H141" s="3"/>
      <c r="I141" s="3"/>
      <c r="J141" s="3"/>
      <c r="K141" s="3"/>
      <c r="L141" s="26"/>
      <c r="M141" s="2"/>
      <c r="N141" s="2"/>
    </row>
    <row r="142" spans="1:14" s="14" customFormat="1" ht="15.75" x14ac:dyDescent="0.25">
      <c r="A142" s="100"/>
      <c r="B142" s="100"/>
      <c r="C142" s="19"/>
      <c r="D142" s="100"/>
      <c r="E142" s="100"/>
      <c r="F142" s="3"/>
      <c r="G142" s="3"/>
      <c r="H142" s="3"/>
      <c r="I142" s="3"/>
      <c r="J142" s="3"/>
      <c r="K142" s="3"/>
      <c r="L142" s="26"/>
      <c r="M142" s="2"/>
      <c r="N142" s="2"/>
    </row>
    <row r="143" spans="1:14" s="14" customFormat="1" ht="15.75" x14ac:dyDescent="0.25">
      <c r="A143" s="100"/>
      <c r="B143" s="100"/>
      <c r="C143" s="19"/>
      <c r="D143" s="100"/>
      <c r="E143" s="100"/>
      <c r="F143" s="3"/>
      <c r="G143" s="3"/>
      <c r="H143" s="3"/>
      <c r="I143" s="3"/>
      <c r="J143" s="3"/>
      <c r="K143" s="3"/>
      <c r="L143" s="26"/>
      <c r="M143" s="2"/>
      <c r="N143" s="2"/>
    </row>
    <row r="144" spans="1:14" s="14" customFormat="1" ht="15.75" x14ac:dyDescent="0.25">
      <c r="A144" s="100"/>
      <c r="B144" s="100"/>
      <c r="C144" s="19"/>
      <c r="D144" s="100"/>
      <c r="E144" s="100"/>
      <c r="F144" s="3"/>
      <c r="G144" s="3"/>
      <c r="H144" s="3"/>
      <c r="I144" s="3"/>
      <c r="J144" s="3"/>
      <c r="K144" s="3"/>
      <c r="L144" s="26"/>
      <c r="M144" s="2"/>
      <c r="N144" s="2"/>
    </row>
    <row r="145" spans="1:14" s="14" customFormat="1" ht="15.75" x14ac:dyDescent="0.25">
      <c r="A145" s="100"/>
      <c r="B145" s="100"/>
      <c r="C145" s="19"/>
      <c r="D145" s="100"/>
      <c r="E145" s="100"/>
      <c r="F145" s="3"/>
      <c r="G145" s="3"/>
      <c r="H145" s="3"/>
      <c r="I145" s="3"/>
      <c r="J145" s="3"/>
      <c r="K145" s="3"/>
      <c r="L145" s="26"/>
      <c r="M145" s="2"/>
      <c r="N145" s="2"/>
    </row>
    <row r="146" spans="1:14" s="14" customFormat="1" ht="15.75" x14ac:dyDescent="0.25">
      <c r="A146" s="100"/>
      <c r="B146" s="100"/>
      <c r="C146" s="19"/>
      <c r="D146" s="100"/>
      <c r="E146" s="100"/>
      <c r="F146" s="3"/>
      <c r="G146" s="3"/>
      <c r="H146" s="3"/>
      <c r="I146" s="3"/>
      <c r="J146" s="3"/>
      <c r="K146" s="3"/>
      <c r="L146" s="26"/>
      <c r="M146" s="2"/>
      <c r="N146" s="2"/>
    </row>
    <row r="147" spans="1:14" s="14" customFormat="1" ht="15.75" x14ac:dyDescent="0.25">
      <c r="A147" s="100"/>
      <c r="B147" s="100"/>
      <c r="C147" s="19"/>
      <c r="D147" s="100"/>
      <c r="E147" s="100"/>
      <c r="F147" s="3"/>
      <c r="G147" s="3"/>
      <c r="H147" s="3"/>
      <c r="I147" s="3"/>
      <c r="J147" s="3"/>
      <c r="K147" s="3"/>
      <c r="L147" s="26"/>
      <c r="M147" s="2"/>
      <c r="N147" s="2"/>
    </row>
    <row r="148" spans="1:14" s="14" customFormat="1" ht="15.75" x14ac:dyDescent="0.25">
      <c r="A148" s="100"/>
      <c r="B148" s="100"/>
      <c r="C148" s="19"/>
      <c r="D148" s="100"/>
      <c r="E148" s="100"/>
      <c r="F148" s="3"/>
      <c r="G148" s="3"/>
      <c r="H148" s="3"/>
      <c r="I148" s="3"/>
      <c r="J148" s="3"/>
      <c r="K148" s="3"/>
      <c r="L148" s="26"/>
      <c r="M148" s="2"/>
      <c r="N148" s="2"/>
    </row>
    <row r="149" spans="1:14" s="14" customFormat="1" ht="15.75" x14ac:dyDescent="0.25">
      <c r="A149" s="100"/>
      <c r="B149" s="100"/>
      <c r="C149" s="19"/>
      <c r="D149" s="100"/>
      <c r="E149" s="100"/>
      <c r="F149" s="3"/>
      <c r="G149" s="3"/>
      <c r="H149" s="3"/>
      <c r="I149" s="3"/>
      <c r="J149" s="3"/>
      <c r="K149" s="3"/>
      <c r="L149" s="26"/>
      <c r="M149" s="2"/>
      <c r="N149" s="2"/>
    </row>
    <row r="150" spans="1:14" s="14" customFormat="1" ht="15.75" x14ac:dyDescent="0.25">
      <c r="A150" s="100"/>
      <c r="B150" s="100"/>
      <c r="C150" s="19"/>
      <c r="D150" s="100"/>
      <c r="E150" s="100"/>
      <c r="F150" s="3"/>
      <c r="G150" s="3"/>
      <c r="H150" s="3"/>
      <c r="I150" s="3"/>
      <c r="J150" s="3"/>
      <c r="K150" s="3"/>
      <c r="L150" s="26"/>
      <c r="M150" s="2"/>
      <c r="N150" s="2"/>
    </row>
    <row r="151" spans="1:14" s="14" customFormat="1" ht="15.75" x14ac:dyDescent="0.25">
      <c r="A151" s="100"/>
      <c r="B151" s="100"/>
      <c r="C151" s="19"/>
      <c r="D151" s="100"/>
      <c r="E151" s="100"/>
      <c r="F151" s="3"/>
      <c r="G151" s="3"/>
      <c r="H151" s="3"/>
      <c r="I151" s="3"/>
      <c r="J151" s="3"/>
      <c r="K151" s="3"/>
      <c r="L151" s="26"/>
      <c r="M151" s="2"/>
      <c r="N151" s="2"/>
    </row>
    <row r="152" spans="1:14" s="14" customFormat="1" ht="15.75" x14ac:dyDescent="0.25">
      <c r="A152" s="100"/>
      <c r="B152" s="100"/>
      <c r="C152" s="19"/>
      <c r="D152" s="100"/>
      <c r="E152" s="100"/>
      <c r="F152" s="3"/>
      <c r="G152" s="3"/>
      <c r="H152" s="3"/>
      <c r="I152" s="3"/>
      <c r="J152" s="3"/>
      <c r="K152" s="3"/>
      <c r="L152" s="26"/>
      <c r="M152" s="2"/>
      <c r="N152" s="2"/>
    </row>
    <row r="153" spans="1:14" s="14" customFormat="1" ht="15.75" x14ac:dyDescent="0.25">
      <c r="A153" s="100"/>
      <c r="B153" s="100"/>
      <c r="C153" s="19"/>
      <c r="D153" s="100"/>
      <c r="E153" s="100"/>
      <c r="F153" s="3"/>
      <c r="G153" s="3"/>
      <c r="H153" s="3"/>
      <c r="I153" s="3"/>
      <c r="J153" s="3"/>
      <c r="K153" s="3"/>
      <c r="L153" s="26"/>
      <c r="M153" s="2"/>
      <c r="N153" s="2"/>
    </row>
    <row r="154" spans="1:14" s="14" customFormat="1" ht="15.75" x14ac:dyDescent="0.25">
      <c r="A154" s="100"/>
      <c r="B154" s="100"/>
      <c r="C154" s="19"/>
      <c r="D154" s="100"/>
      <c r="E154" s="100"/>
      <c r="F154" s="3"/>
      <c r="G154" s="3"/>
      <c r="H154" s="3"/>
      <c r="I154" s="3"/>
      <c r="J154" s="3"/>
      <c r="K154" s="3"/>
      <c r="L154" s="26"/>
      <c r="M154" s="2"/>
      <c r="N154" s="2"/>
    </row>
    <row r="155" spans="1:14" s="14" customFormat="1" ht="15.75" x14ac:dyDescent="0.25">
      <c r="A155" s="100"/>
      <c r="B155" s="100"/>
      <c r="C155" s="19"/>
      <c r="D155" s="100"/>
      <c r="E155" s="100"/>
      <c r="F155" s="3"/>
      <c r="G155" s="3"/>
      <c r="H155" s="3"/>
      <c r="I155" s="3"/>
      <c r="J155" s="3"/>
      <c r="K155" s="3"/>
      <c r="L155" s="26"/>
      <c r="M155" s="2"/>
      <c r="N155" s="2"/>
    </row>
    <row r="156" spans="1:14" s="14" customFormat="1" ht="15.75" x14ac:dyDescent="0.25">
      <c r="A156" s="100"/>
      <c r="B156" s="100"/>
      <c r="C156" s="19"/>
      <c r="D156" s="100"/>
      <c r="E156" s="100"/>
      <c r="F156" s="3"/>
      <c r="G156" s="3"/>
      <c r="H156" s="3"/>
      <c r="I156" s="3"/>
      <c r="J156" s="3"/>
      <c r="K156" s="3"/>
      <c r="L156" s="26"/>
      <c r="M156" s="2"/>
      <c r="N156" s="2"/>
    </row>
    <row r="157" spans="1:14" s="14" customFormat="1" ht="15.75" x14ac:dyDescent="0.25">
      <c r="A157" s="100"/>
      <c r="B157" s="100"/>
      <c r="C157" s="19"/>
      <c r="D157" s="100"/>
      <c r="E157" s="100"/>
      <c r="F157" s="3"/>
      <c r="G157" s="3"/>
      <c r="H157" s="3"/>
      <c r="I157" s="3"/>
      <c r="J157" s="3"/>
      <c r="K157" s="3"/>
      <c r="L157" s="26"/>
      <c r="M157" s="2"/>
      <c r="N157" s="2"/>
    </row>
    <row r="158" spans="1:14" s="14" customFormat="1" ht="15.75" x14ac:dyDescent="0.25">
      <c r="A158" s="100"/>
      <c r="B158" s="100"/>
      <c r="C158" s="19"/>
      <c r="D158" s="100"/>
      <c r="E158" s="100"/>
      <c r="F158" s="3"/>
      <c r="G158" s="3"/>
      <c r="H158" s="3"/>
      <c r="I158" s="3"/>
      <c r="J158" s="3"/>
      <c r="K158" s="3"/>
      <c r="L158" s="26"/>
      <c r="M158" s="2"/>
      <c r="N158" s="2"/>
    </row>
    <row r="159" spans="1:14" s="14" customFormat="1" ht="15.75" x14ac:dyDescent="0.25">
      <c r="A159" s="100"/>
      <c r="B159" s="100"/>
      <c r="C159" s="19"/>
      <c r="D159" s="100"/>
      <c r="E159" s="100"/>
      <c r="F159" s="3"/>
      <c r="G159" s="3"/>
      <c r="H159" s="3"/>
      <c r="I159" s="3"/>
      <c r="J159" s="3"/>
      <c r="K159" s="3"/>
      <c r="L159" s="26"/>
      <c r="M159" s="2"/>
      <c r="N159" s="2"/>
    </row>
    <row r="160" spans="1:14" s="14" customFormat="1" ht="15.75" x14ac:dyDescent="0.25">
      <c r="A160" s="100"/>
      <c r="B160" s="100"/>
      <c r="C160" s="19"/>
      <c r="D160" s="100"/>
      <c r="E160" s="100"/>
      <c r="F160" s="3"/>
      <c r="G160" s="3"/>
      <c r="H160" s="3"/>
      <c r="I160" s="3"/>
      <c r="J160" s="3"/>
      <c r="K160" s="3"/>
      <c r="L160" s="26"/>
      <c r="M160" s="2"/>
      <c r="N160" s="2"/>
    </row>
    <row r="161" spans="1:14" s="14" customFormat="1" ht="15.75" x14ac:dyDescent="0.25">
      <c r="A161" s="100"/>
      <c r="B161" s="100"/>
      <c r="C161" s="19"/>
      <c r="D161" s="100"/>
      <c r="E161" s="100"/>
      <c r="F161" s="3"/>
      <c r="G161" s="3"/>
      <c r="H161" s="3"/>
      <c r="I161" s="3"/>
      <c r="J161" s="3"/>
      <c r="K161" s="3"/>
      <c r="L161" s="26"/>
      <c r="M161" s="2"/>
      <c r="N161" s="2"/>
    </row>
    <row r="162" spans="1:14" s="14" customFormat="1" ht="15.75" x14ac:dyDescent="0.25">
      <c r="A162" s="100"/>
      <c r="B162" s="100"/>
      <c r="C162" s="19"/>
      <c r="D162" s="100"/>
      <c r="E162" s="100"/>
      <c r="F162" s="3"/>
      <c r="G162" s="3"/>
      <c r="H162" s="3"/>
      <c r="I162" s="3"/>
      <c r="J162" s="3"/>
      <c r="K162" s="3"/>
      <c r="L162" s="26"/>
      <c r="M162" s="2"/>
      <c r="N162" s="2"/>
    </row>
    <row r="163" spans="1:14" s="14" customFormat="1" ht="15.75" x14ac:dyDescent="0.25">
      <c r="A163" s="100"/>
      <c r="B163" s="100"/>
      <c r="C163" s="19"/>
      <c r="D163" s="100"/>
      <c r="E163" s="100"/>
      <c r="F163" s="3"/>
      <c r="G163" s="3"/>
      <c r="H163" s="3"/>
      <c r="I163" s="3"/>
      <c r="J163" s="3"/>
      <c r="K163" s="3"/>
      <c r="L163" s="26"/>
      <c r="M163" s="2"/>
      <c r="N163" s="2"/>
    </row>
    <row r="164" spans="1:14" s="14" customFormat="1" ht="15.75" x14ac:dyDescent="0.25">
      <c r="A164" s="100"/>
      <c r="B164" s="100"/>
      <c r="C164" s="19"/>
      <c r="D164" s="100"/>
      <c r="E164" s="100"/>
      <c r="F164" s="3"/>
      <c r="G164" s="3"/>
      <c r="H164" s="3"/>
      <c r="I164" s="3"/>
      <c r="J164" s="3"/>
      <c r="K164" s="3"/>
      <c r="L164" s="26"/>
      <c r="M164" s="2"/>
      <c r="N164" s="2"/>
    </row>
    <row r="165" spans="1:14" s="14" customFormat="1" ht="15.75" x14ac:dyDescent="0.25">
      <c r="A165" s="100"/>
      <c r="B165" s="100"/>
      <c r="C165" s="19"/>
      <c r="D165" s="100"/>
      <c r="E165" s="100"/>
      <c r="F165" s="3"/>
      <c r="G165" s="3"/>
      <c r="H165" s="3"/>
      <c r="I165" s="3"/>
      <c r="J165" s="3"/>
      <c r="K165" s="3"/>
      <c r="L165" s="26"/>
      <c r="M165" s="2"/>
      <c r="N165" s="2"/>
    </row>
    <row r="166" spans="1:14" s="14" customFormat="1" ht="15.75" x14ac:dyDescent="0.25">
      <c r="A166" s="100"/>
      <c r="B166" s="100"/>
      <c r="C166" s="19"/>
      <c r="D166" s="100"/>
      <c r="E166" s="100"/>
      <c r="F166" s="3"/>
      <c r="G166" s="3"/>
      <c r="H166" s="3"/>
      <c r="I166" s="3"/>
      <c r="J166" s="3"/>
      <c r="K166" s="3"/>
      <c r="L166" s="26"/>
      <c r="M166" s="2"/>
      <c r="N166" s="2"/>
    </row>
    <row r="167" spans="1:14" s="14" customFormat="1" ht="15.75" x14ac:dyDescent="0.25">
      <c r="A167" s="100"/>
      <c r="B167" s="100"/>
      <c r="C167" s="19"/>
      <c r="D167" s="100"/>
      <c r="E167" s="100"/>
      <c r="F167" s="3"/>
      <c r="G167" s="3"/>
      <c r="H167" s="3"/>
      <c r="I167" s="3"/>
      <c r="J167" s="3"/>
      <c r="K167" s="3"/>
      <c r="L167" s="26"/>
      <c r="M167" s="2"/>
      <c r="N167" s="2"/>
    </row>
    <row r="168" spans="1:14" s="14" customFormat="1" ht="15.75" x14ac:dyDescent="0.25">
      <c r="A168" s="100"/>
      <c r="B168" s="100"/>
      <c r="C168" s="19"/>
      <c r="D168" s="100"/>
      <c r="E168" s="100"/>
      <c r="F168" s="3"/>
      <c r="G168" s="3"/>
      <c r="H168" s="3"/>
      <c r="I168" s="3"/>
      <c r="J168" s="3"/>
      <c r="K168" s="3"/>
      <c r="L168" s="26"/>
      <c r="M168" s="2"/>
      <c r="N168" s="2"/>
    </row>
    <row r="169" spans="1:14" s="14" customFormat="1" ht="15.75" x14ac:dyDescent="0.25">
      <c r="A169" s="100"/>
      <c r="B169" s="100"/>
      <c r="C169" s="19"/>
      <c r="D169" s="100"/>
      <c r="E169" s="100"/>
      <c r="F169" s="3"/>
      <c r="G169" s="3"/>
      <c r="H169" s="3"/>
      <c r="I169" s="3"/>
      <c r="J169" s="3"/>
      <c r="K169" s="3"/>
      <c r="L169" s="26"/>
      <c r="M169" s="2"/>
      <c r="N169" s="2"/>
    </row>
    <row r="170" spans="1:14" s="14" customFormat="1" ht="15.75" x14ac:dyDescent="0.25">
      <c r="A170" s="100"/>
      <c r="B170" s="100"/>
      <c r="C170" s="19"/>
      <c r="D170" s="100"/>
      <c r="E170" s="100"/>
      <c r="F170" s="3"/>
      <c r="G170" s="3"/>
      <c r="H170" s="3"/>
      <c r="I170" s="3"/>
      <c r="J170" s="3"/>
      <c r="K170" s="3"/>
      <c r="L170" s="26"/>
      <c r="M170" s="2"/>
      <c r="N170" s="2"/>
    </row>
    <row r="171" spans="1:14" s="14" customFormat="1" ht="15.75" x14ac:dyDescent="0.25">
      <c r="A171" s="100"/>
      <c r="B171" s="100"/>
      <c r="C171" s="19"/>
      <c r="D171" s="100"/>
      <c r="E171" s="100"/>
      <c r="F171" s="3"/>
      <c r="G171" s="3"/>
      <c r="H171" s="3"/>
      <c r="I171" s="3"/>
      <c r="J171" s="3"/>
      <c r="K171" s="3"/>
      <c r="L171" s="26"/>
      <c r="M171" s="2"/>
      <c r="N171" s="2"/>
    </row>
    <row r="172" spans="1:14" s="14" customFormat="1" ht="15.75" x14ac:dyDescent="0.25">
      <c r="A172" s="100"/>
      <c r="B172" s="100"/>
      <c r="C172" s="19"/>
      <c r="D172" s="100"/>
      <c r="E172" s="100"/>
      <c r="F172" s="3"/>
      <c r="G172" s="3"/>
      <c r="H172" s="3"/>
      <c r="I172" s="3"/>
      <c r="J172" s="3"/>
      <c r="K172" s="3"/>
      <c r="L172" s="26"/>
      <c r="M172" s="2"/>
      <c r="N172" s="2"/>
    </row>
    <row r="173" spans="1:14" s="14" customFormat="1" ht="15.75" x14ac:dyDescent="0.25">
      <c r="A173" s="100"/>
      <c r="B173" s="100"/>
      <c r="C173" s="19"/>
      <c r="D173" s="100"/>
      <c r="E173" s="100"/>
      <c r="F173" s="3"/>
      <c r="G173" s="3"/>
      <c r="H173" s="3"/>
      <c r="I173" s="3"/>
      <c r="J173" s="3"/>
      <c r="K173" s="3"/>
      <c r="L173" s="26"/>
      <c r="M173" s="2"/>
      <c r="N173" s="2"/>
    </row>
    <row r="174" spans="1:14" s="14" customFormat="1" ht="15.75" x14ac:dyDescent="0.25">
      <c r="A174" s="100"/>
      <c r="B174" s="100"/>
      <c r="C174" s="19"/>
      <c r="D174" s="100"/>
      <c r="E174" s="100"/>
      <c r="F174" s="3"/>
      <c r="G174" s="3"/>
      <c r="H174" s="3"/>
      <c r="I174" s="3"/>
      <c r="J174" s="3"/>
      <c r="K174" s="3"/>
      <c r="L174" s="26"/>
      <c r="M174" s="2"/>
      <c r="N174" s="2"/>
    </row>
    <row r="175" spans="1:14" s="14" customFormat="1" ht="15.75" x14ac:dyDescent="0.25">
      <c r="A175" s="100"/>
      <c r="B175" s="100"/>
      <c r="C175" s="19"/>
      <c r="D175" s="100"/>
      <c r="E175" s="100"/>
      <c r="F175" s="3"/>
      <c r="G175" s="3"/>
      <c r="H175" s="3"/>
      <c r="I175" s="3"/>
      <c r="J175" s="3"/>
      <c r="K175" s="3"/>
      <c r="L175" s="26"/>
      <c r="M175" s="2"/>
      <c r="N175" s="2"/>
    </row>
    <row r="176" spans="1:14" s="14" customFormat="1" ht="15.75" x14ac:dyDescent="0.25">
      <c r="A176" s="100"/>
      <c r="B176" s="100"/>
      <c r="C176" s="19"/>
      <c r="D176" s="100"/>
      <c r="E176" s="100"/>
      <c r="F176" s="3"/>
      <c r="G176" s="3"/>
      <c r="H176" s="3"/>
      <c r="I176" s="3"/>
      <c r="J176" s="3"/>
      <c r="K176" s="3"/>
      <c r="L176" s="26"/>
      <c r="M176" s="2"/>
      <c r="N176" s="2"/>
    </row>
    <row r="177" spans="1:14" s="14" customFormat="1" ht="15.75" x14ac:dyDescent="0.25">
      <c r="A177" s="100"/>
      <c r="B177" s="100"/>
      <c r="C177" s="19"/>
      <c r="D177" s="100"/>
      <c r="E177" s="100"/>
      <c r="F177" s="3"/>
      <c r="G177" s="3"/>
      <c r="H177" s="3"/>
      <c r="I177" s="3"/>
      <c r="J177" s="3"/>
      <c r="K177" s="3"/>
      <c r="L177" s="26"/>
      <c r="M177" s="2"/>
      <c r="N177" s="2"/>
    </row>
    <row r="178" spans="1:14" s="14" customFormat="1" ht="15.75" x14ac:dyDescent="0.25">
      <c r="A178" s="100"/>
      <c r="B178" s="100"/>
      <c r="C178" s="19"/>
      <c r="D178" s="100"/>
      <c r="E178" s="100"/>
      <c r="F178" s="3"/>
      <c r="G178" s="3"/>
      <c r="H178" s="3"/>
      <c r="I178" s="3"/>
      <c r="J178" s="3"/>
      <c r="K178" s="3"/>
      <c r="L178" s="26"/>
      <c r="M178" s="2"/>
      <c r="N178" s="2"/>
    </row>
    <row r="179" spans="1:14" s="14" customFormat="1" ht="15.75" x14ac:dyDescent="0.25">
      <c r="A179" s="100"/>
      <c r="B179" s="100"/>
      <c r="C179" s="19"/>
      <c r="D179" s="100"/>
      <c r="E179" s="100"/>
      <c r="F179" s="3"/>
      <c r="G179" s="3"/>
      <c r="H179" s="3"/>
      <c r="I179" s="3"/>
      <c r="J179" s="3"/>
      <c r="K179" s="3"/>
      <c r="L179" s="26"/>
      <c r="M179" s="2"/>
      <c r="N179" s="2"/>
    </row>
    <row r="180" spans="1:14" s="14" customFormat="1" ht="15.75" x14ac:dyDescent="0.25">
      <c r="A180" s="100"/>
      <c r="B180" s="100"/>
      <c r="C180" s="19"/>
      <c r="D180" s="100"/>
      <c r="E180" s="100"/>
      <c r="F180" s="3"/>
      <c r="G180" s="3"/>
      <c r="H180" s="3"/>
      <c r="I180" s="3"/>
      <c r="J180" s="3"/>
      <c r="K180" s="3"/>
      <c r="L180" s="26"/>
      <c r="M180" s="2"/>
      <c r="N180" s="2"/>
    </row>
    <row r="181" spans="1:14" s="14" customFormat="1" ht="15.75" x14ac:dyDescent="0.25">
      <c r="A181" s="100"/>
      <c r="B181" s="100"/>
      <c r="C181" s="19"/>
      <c r="D181" s="100"/>
      <c r="E181" s="100"/>
      <c r="F181" s="3"/>
      <c r="G181" s="3"/>
      <c r="H181" s="3"/>
      <c r="I181" s="3"/>
      <c r="J181" s="3"/>
      <c r="K181" s="3"/>
      <c r="L181" s="26"/>
      <c r="M181" s="2"/>
      <c r="N181" s="2"/>
    </row>
    <row r="182" spans="1:14" s="14" customFormat="1" ht="15.75" x14ac:dyDescent="0.25">
      <c r="A182" s="100"/>
      <c r="B182" s="100"/>
      <c r="C182" s="19"/>
      <c r="D182" s="100"/>
      <c r="E182" s="100"/>
      <c r="F182" s="3"/>
      <c r="G182" s="3"/>
      <c r="H182" s="3"/>
      <c r="I182" s="3"/>
      <c r="J182" s="3"/>
      <c r="K182" s="3"/>
      <c r="L182" s="26"/>
      <c r="M182" s="2"/>
      <c r="N182" s="2"/>
    </row>
    <row r="183" spans="1:14" s="14" customFormat="1" ht="15.75" x14ac:dyDescent="0.25">
      <c r="A183" s="100"/>
      <c r="B183" s="100"/>
      <c r="C183" s="19"/>
      <c r="D183" s="100"/>
      <c r="E183" s="100"/>
      <c r="F183" s="3"/>
      <c r="G183" s="3"/>
      <c r="H183" s="3"/>
      <c r="I183" s="3"/>
      <c r="J183" s="3"/>
      <c r="K183" s="3"/>
      <c r="L183" s="26"/>
      <c r="M183" s="2"/>
      <c r="N183" s="2"/>
    </row>
    <row r="184" spans="1:14" s="14" customFormat="1" ht="15.75" x14ac:dyDescent="0.25">
      <c r="A184" s="100"/>
      <c r="B184" s="100"/>
      <c r="C184" s="19"/>
      <c r="D184" s="100"/>
      <c r="E184" s="100"/>
      <c r="F184" s="3"/>
      <c r="G184" s="3"/>
      <c r="H184" s="3"/>
      <c r="I184" s="3"/>
      <c r="J184" s="3"/>
      <c r="K184" s="3"/>
      <c r="L184" s="26"/>
      <c r="M184" s="2"/>
      <c r="N184" s="2"/>
    </row>
    <row r="185" spans="1:14" s="14" customFormat="1" ht="15.75" x14ac:dyDescent="0.25">
      <c r="A185" s="100"/>
      <c r="B185" s="100"/>
      <c r="C185" s="19"/>
      <c r="D185" s="100"/>
      <c r="E185" s="100"/>
      <c r="F185" s="3"/>
      <c r="G185" s="3"/>
      <c r="H185" s="3"/>
      <c r="I185" s="3"/>
      <c r="J185" s="3"/>
      <c r="K185" s="3"/>
      <c r="L185" s="26"/>
      <c r="M185" s="2"/>
      <c r="N185" s="2"/>
    </row>
    <row r="186" spans="1:14" s="14" customFormat="1" ht="15.75" x14ac:dyDescent="0.25">
      <c r="A186" s="100"/>
      <c r="B186" s="100"/>
      <c r="C186" s="19"/>
      <c r="D186" s="100"/>
      <c r="E186" s="100"/>
      <c r="F186" s="3"/>
      <c r="G186" s="3"/>
      <c r="H186" s="3"/>
      <c r="I186" s="3"/>
      <c r="J186" s="3"/>
      <c r="K186" s="3"/>
      <c r="L186" s="26"/>
      <c r="M186" s="2"/>
      <c r="N186" s="2"/>
    </row>
    <row r="187" spans="1:14" s="14" customFormat="1" ht="15.75" x14ac:dyDescent="0.25">
      <c r="A187" s="100"/>
      <c r="B187" s="100"/>
      <c r="C187" s="19"/>
      <c r="D187" s="100"/>
      <c r="E187" s="100"/>
      <c r="F187" s="3"/>
      <c r="G187" s="3"/>
      <c r="H187" s="3"/>
      <c r="I187" s="3"/>
      <c r="J187" s="3"/>
      <c r="K187" s="3"/>
      <c r="L187" s="26"/>
      <c r="M187" s="2"/>
      <c r="N187" s="2"/>
    </row>
    <row r="188" spans="1:14" s="14" customFormat="1" ht="15.75" x14ac:dyDescent="0.25">
      <c r="A188" s="100"/>
      <c r="B188" s="100"/>
      <c r="C188" s="19"/>
      <c r="D188" s="100"/>
      <c r="E188" s="100"/>
      <c r="F188" s="3"/>
      <c r="G188" s="3"/>
      <c r="H188" s="3"/>
      <c r="I188" s="3"/>
      <c r="J188" s="3"/>
      <c r="K188" s="3"/>
      <c r="L188" s="26"/>
      <c r="M188" s="2"/>
      <c r="N188" s="2"/>
    </row>
    <row r="189" spans="1:14" s="14" customFormat="1" ht="15.75" x14ac:dyDescent="0.25">
      <c r="A189" s="100"/>
      <c r="B189" s="100"/>
      <c r="C189" s="19"/>
      <c r="D189" s="100"/>
      <c r="E189" s="100"/>
      <c r="F189" s="3"/>
      <c r="G189" s="3"/>
      <c r="H189" s="3"/>
      <c r="I189" s="3"/>
      <c r="J189" s="3"/>
      <c r="K189" s="3"/>
      <c r="L189" s="26"/>
      <c r="M189" s="2"/>
      <c r="N189" s="2"/>
    </row>
    <row r="190" spans="1:14" s="14" customFormat="1" ht="15.75" x14ac:dyDescent="0.25">
      <c r="A190" s="100"/>
      <c r="B190" s="100"/>
      <c r="C190" s="19"/>
      <c r="D190" s="100"/>
      <c r="E190" s="100"/>
      <c r="F190" s="3"/>
      <c r="G190" s="3"/>
      <c r="H190" s="3"/>
      <c r="I190" s="3"/>
      <c r="J190" s="3"/>
      <c r="K190" s="3"/>
      <c r="L190" s="26"/>
      <c r="M190" s="2"/>
      <c r="N190" s="2"/>
    </row>
    <row r="191" spans="1:14" s="14" customFormat="1" ht="15.75" x14ac:dyDescent="0.25">
      <c r="A191" s="100"/>
      <c r="B191" s="100"/>
      <c r="C191" s="19"/>
      <c r="D191" s="100"/>
      <c r="E191" s="100"/>
      <c r="F191" s="3"/>
      <c r="G191" s="3"/>
      <c r="H191" s="3"/>
      <c r="I191" s="3"/>
      <c r="J191" s="3"/>
      <c r="K191" s="3"/>
      <c r="L191" s="26"/>
      <c r="M191" s="2"/>
      <c r="N191" s="2"/>
    </row>
    <row r="192" spans="1:14" s="14" customFormat="1" ht="15.75" x14ac:dyDescent="0.25">
      <c r="A192" s="100"/>
      <c r="B192" s="100"/>
      <c r="C192" s="19"/>
      <c r="D192" s="100"/>
      <c r="E192" s="100"/>
      <c r="F192" s="3"/>
      <c r="G192" s="3"/>
      <c r="H192" s="3"/>
      <c r="I192" s="3"/>
      <c r="J192" s="3"/>
      <c r="K192" s="3"/>
      <c r="L192" s="26"/>
      <c r="M192" s="2"/>
      <c r="N192" s="2"/>
    </row>
    <row r="193" spans="1:14" s="14" customFormat="1" ht="15.75" x14ac:dyDescent="0.25">
      <c r="A193" s="100"/>
      <c r="B193" s="100"/>
      <c r="C193" s="19"/>
      <c r="D193" s="100"/>
      <c r="E193" s="100"/>
      <c r="F193" s="3"/>
      <c r="G193" s="3"/>
      <c r="H193" s="3"/>
      <c r="I193" s="3"/>
      <c r="J193" s="3"/>
      <c r="K193" s="3"/>
      <c r="L193" s="26"/>
      <c r="M193" s="2"/>
      <c r="N193" s="2"/>
    </row>
    <row r="194" spans="1:14" s="14" customFormat="1" ht="15.75" x14ac:dyDescent="0.25">
      <c r="A194" s="100"/>
      <c r="B194" s="100"/>
      <c r="C194" s="19"/>
      <c r="D194" s="100"/>
      <c r="E194" s="100"/>
      <c r="F194" s="3"/>
      <c r="G194" s="3"/>
      <c r="H194" s="3"/>
      <c r="I194" s="3"/>
      <c r="J194" s="3"/>
      <c r="K194" s="3"/>
      <c r="L194" s="26"/>
      <c r="M194" s="2"/>
      <c r="N194" s="2"/>
    </row>
    <row r="195" spans="1:14" s="14" customFormat="1" ht="15.75" x14ac:dyDescent="0.25">
      <c r="A195" s="100"/>
      <c r="B195" s="100"/>
      <c r="C195" s="19"/>
      <c r="D195" s="100"/>
      <c r="E195" s="100"/>
      <c r="F195" s="3"/>
      <c r="G195" s="3"/>
      <c r="H195" s="3"/>
      <c r="I195" s="3"/>
      <c r="J195" s="3"/>
      <c r="K195" s="3"/>
      <c r="L195" s="26"/>
      <c r="M195" s="2"/>
      <c r="N195" s="2"/>
    </row>
    <row r="196" spans="1:14" s="14" customFormat="1" ht="15.75" x14ac:dyDescent="0.25">
      <c r="A196" s="100"/>
      <c r="B196" s="100"/>
      <c r="C196" s="19"/>
      <c r="D196" s="100"/>
      <c r="E196" s="100"/>
      <c r="F196" s="3"/>
      <c r="G196" s="3"/>
      <c r="H196" s="3"/>
      <c r="I196" s="3"/>
      <c r="J196" s="3"/>
      <c r="K196" s="3"/>
      <c r="L196" s="26"/>
      <c r="M196" s="2"/>
      <c r="N196" s="2"/>
    </row>
    <row r="197" spans="1:14" s="14" customFormat="1" ht="15.75" x14ac:dyDescent="0.25">
      <c r="A197" s="100"/>
      <c r="B197" s="100"/>
      <c r="C197" s="19"/>
      <c r="D197" s="100"/>
      <c r="E197" s="100"/>
      <c r="F197" s="3"/>
      <c r="G197" s="3"/>
      <c r="H197" s="3"/>
      <c r="I197" s="3"/>
      <c r="J197" s="3"/>
      <c r="K197" s="3"/>
      <c r="L197" s="26"/>
      <c r="M197" s="2"/>
      <c r="N197" s="2"/>
    </row>
  </sheetData>
  <mergeCells count="9">
    <mergeCell ref="A26:E26"/>
    <mergeCell ref="A27:D27"/>
    <mergeCell ref="A1:K1"/>
    <mergeCell ref="A5:A6"/>
    <mergeCell ref="D5:D6"/>
    <mergeCell ref="E5:E6"/>
    <mergeCell ref="A11:A12"/>
    <mergeCell ref="D11:D12"/>
    <mergeCell ref="E11:E12"/>
  </mergeCells>
  <pageMargins left="0.16" right="0.22" top="0.61" bottom="0.24" header="0.3" footer="0.25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opLeftCell="A13" workbookViewId="0">
      <selection activeCell="K21" sqref="K21"/>
    </sheetView>
  </sheetViews>
  <sheetFormatPr defaultRowHeight="15" x14ac:dyDescent="0.25"/>
  <cols>
    <col min="1" max="1" width="5.5703125" style="39" customWidth="1"/>
    <col min="2" max="2" width="10.28515625" style="18" customWidth="1"/>
    <col min="3" max="3" width="11.5703125" style="20" customWidth="1"/>
    <col min="4" max="4" width="15.28515625" style="39" customWidth="1"/>
    <col min="5" max="5" width="14.85546875" style="18" customWidth="1"/>
    <col min="6" max="6" width="8.5703125" style="9" customWidth="1"/>
    <col min="7" max="7" width="12.7109375" style="9" bestFit="1" customWidth="1"/>
    <col min="8" max="8" width="10" style="9" customWidth="1"/>
    <col min="9" max="9" width="13.7109375" style="9" customWidth="1"/>
    <col min="10" max="10" width="14.7109375" style="9" customWidth="1"/>
    <col min="11" max="11" width="12.7109375" style="9" bestFit="1" customWidth="1"/>
    <col min="12" max="12" width="11.5703125" style="30" customWidth="1"/>
    <col min="13" max="13" width="9.140625" style="24"/>
  </cols>
  <sheetData>
    <row r="1" spans="1:13" ht="26.25" thickBot="1" x14ac:dyDescent="0.3">
      <c r="A1" s="278" t="s">
        <v>16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</row>
    <row r="2" spans="1:13" ht="21" customHeight="1" thickBot="1" x14ac:dyDescent="0.3">
      <c r="A2" s="101" t="s">
        <v>1</v>
      </c>
      <c r="B2" s="104" t="s">
        <v>2</v>
      </c>
      <c r="C2" s="103" t="s">
        <v>3</v>
      </c>
      <c r="D2" s="102" t="s">
        <v>4</v>
      </c>
      <c r="E2" s="101" t="s">
        <v>5</v>
      </c>
      <c r="F2" s="172" t="s">
        <v>6</v>
      </c>
      <c r="G2" s="172" t="s">
        <v>7</v>
      </c>
      <c r="H2" s="173" t="s">
        <v>8</v>
      </c>
      <c r="I2" s="173" t="s">
        <v>9</v>
      </c>
      <c r="J2" s="173" t="s">
        <v>89</v>
      </c>
      <c r="K2" s="106" t="s">
        <v>10</v>
      </c>
    </row>
    <row r="3" spans="1:13" s="14" customFormat="1" ht="15.75" x14ac:dyDescent="0.25">
      <c r="A3" s="95">
        <v>1</v>
      </c>
      <c r="B3" s="148">
        <v>18600</v>
      </c>
      <c r="C3" s="149" t="s">
        <v>201</v>
      </c>
      <c r="D3" s="95" t="s">
        <v>206</v>
      </c>
      <c r="E3" s="147" t="s">
        <v>123</v>
      </c>
      <c r="F3" s="154"/>
      <c r="G3" s="154"/>
      <c r="H3" s="154"/>
      <c r="I3" s="154">
        <f>4*100.96</f>
        <v>403.84</v>
      </c>
      <c r="J3" s="154"/>
      <c r="K3" s="154">
        <f t="shared" ref="K3:K24" si="0">F3+G3+H3+I3+J3</f>
        <v>403.84</v>
      </c>
      <c r="L3" s="31"/>
      <c r="M3" s="36"/>
    </row>
    <row r="4" spans="1:13" s="14" customFormat="1" ht="15.75" x14ac:dyDescent="0.25">
      <c r="A4" s="133">
        <v>2</v>
      </c>
      <c r="B4" s="128">
        <v>15899</v>
      </c>
      <c r="C4" s="82" t="s">
        <v>207</v>
      </c>
      <c r="D4" s="133" t="s">
        <v>208</v>
      </c>
      <c r="E4" s="134" t="s">
        <v>110</v>
      </c>
      <c r="F4" s="1"/>
      <c r="G4" s="1"/>
      <c r="H4" s="1"/>
      <c r="I4" s="1">
        <f>3*100.96</f>
        <v>302.88</v>
      </c>
      <c r="J4" s="1"/>
      <c r="K4" s="154">
        <f t="shared" si="0"/>
        <v>302.88</v>
      </c>
      <c r="L4" s="31"/>
      <c r="M4" s="36"/>
    </row>
    <row r="5" spans="1:13" s="14" customFormat="1" ht="15.75" x14ac:dyDescent="0.25">
      <c r="A5" s="133">
        <v>3</v>
      </c>
      <c r="B5" s="128">
        <v>18590</v>
      </c>
      <c r="C5" s="82" t="s">
        <v>197</v>
      </c>
      <c r="D5" s="133" t="s">
        <v>210</v>
      </c>
      <c r="E5" s="134" t="s">
        <v>88</v>
      </c>
      <c r="F5" s="1"/>
      <c r="G5" s="1"/>
      <c r="H5" s="1"/>
      <c r="I5" s="1">
        <f>2*87.5</f>
        <v>175</v>
      </c>
      <c r="J5" s="1"/>
      <c r="K5" s="154">
        <f t="shared" si="0"/>
        <v>175</v>
      </c>
      <c r="L5" s="31"/>
      <c r="M5" s="36"/>
    </row>
    <row r="6" spans="1:13" s="14" customFormat="1" ht="15.75" x14ac:dyDescent="0.25">
      <c r="A6" s="133">
        <v>4</v>
      </c>
      <c r="B6" s="128">
        <v>18565</v>
      </c>
      <c r="C6" s="82" t="s">
        <v>193</v>
      </c>
      <c r="D6" s="133" t="s">
        <v>132</v>
      </c>
      <c r="E6" s="134" t="s">
        <v>133</v>
      </c>
      <c r="F6" s="1"/>
      <c r="G6" s="1"/>
      <c r="H6" s="1"/>
      <c r="I6" s="1">
        <f>2*87.5</f>
        <v>175</v>
      </c>
      <c r="J6" s="1"/>
      <c r="K6" s="154">
        <f t="shared" si="0"/>
        <v>175</v>
      </c>
      <c r="L6" s="31"/>
      <c r="M6" s="36"/>
    </row>
    <row r="7" spans="1:13" s="14" customFormat="1" ht="15.75" x14ac:dyDescent="0.25">
      <c r="A7" s="133">
        <v>5</v>
      </c>
      <c r="B7" s="128">
        <v>18554</v>
      </c>
      <c r="C7" s="82" t="s">
        <v>191</v>
      </c>
      <c r="D7" s="133" t="s">
        <v>211</v>
      </c>
      <c r="E7" s="134" t="s">
        <v>88</v>
      </c>
      <c r="F7" s="1"/>
      <c r="G7" s="1"/>
      <c r="H7" s="1"/>
      <c r="I7" s="1">
        <f>16*100.96+24*87.5</f>
        <v>3715.3599999999997</v>
      </c>
      <c r="J7" s="1"/>
      <c r="K7" s="154">
        <f t="shared" si="0"/>
        <v>3715.3599999999997</v>
      </c>
      <c r="L7" s="31"/>
      <c r="M7" s="36"/>
    </row>
    <row r="8" spans="1:13" s="14" customFormat="1" ht="15.75" x14ac:dyDescent="0.25">
      <c r="A8" s="133">
        <v>6</v>
      </c>
      <c r="B8" s="128">
        <v>18547</v>
      </c>
      <c r="C8" s="82" t="s">
        <v>191</v>
      </c>
      <c r="D8" s="133" t="s">
        <v>194</v>
      </c>
      <c r="E8" s="134" t="s">
        <v>94</v>
      </c>
      <c r="F8" s="1"/>
      <c r="G8" s="1"/>
      <c r="H8" s="1"/>
      <c r="I8" s="1">
        <f>4*100.96</f>
        <v>403.84</v>
      </c>
      <c r="J8" s="1"/>
      <c r="K8" s="154">
        <f t="shared" si="0"/>
        <v>403.84</v>
      </c>
      <c r="L8" s="31"/>
      <c r="M8" s="36"/>
    </row>
    <row r="9" spans="1:13" s="14" customFormat="1" ht="15.75" x14ac:dyDescent="0.25">
      <c r="A9" s="133">
        <v>7</v>
      </c>
      <c r="B9" s="128">
        <v>18549</v>
      </c>
      <c r="C9" s="82" t="s">
        <v>191</v>
      </c>
      <c r="D9" s="133" t="s">
        <v>205</v>
      </c>
      <c r="E9" s="134" t="s">
        <v>94</v>
      </c>
      <c r="F9" s="1"/>
      <c r="G9" s="1"/>
      <c r="H9" s="1"/>
      <c r="I9" s="1">
        <f>3*100.96</f>
        <v>302.88</v>
      </c>
      <c r="J9" s="1"/>
      <c r="K9" s="154">
        <f t="shared" si="0"/>
        <v>302.88</v>
      </c>
      <c r="L9" s="31"/>
      <c r="M9" s="36"/>
    </row>
    <row r="10" spans="1:13" s="14" customFormat="1" ht="15.75" x14ac:dyDescent="0.25">
      <c r="A10" s="161">
        <v>8</v>
      </c>
      <c r="B10" s="142">
        <v>18132</v>
      </c>
      <c r="C10" s="160" t="s">
        <v>212</v>
      </c>
      <c r="D10" s="161" t="s">
        <v>213</v>
      </c>
      <c r="E10" s="142" t="s">
        <v>123</v>
      </c>
      <c r="F10" s="162"/>
      <c r="G10" s="162"/>
      <c r="H10" s="162"/>
      <c r="I10" s="162">
        <f>8*100.96</f>
        <v>807.68</v>
      </c>
      <c r="J10" s="162"/>
      <c r="K10" s="163">
        <f t="shared" si="0"/>
        <v>807.68</v>
      </c>
      <c r="L10" s="31"/>
      <c r="M10" s="36"/>
    </row>
    <row r="11" spans="1:13" s="14" customFormat="1" ht="15.75" x14ac:dyDescent="0.25">
      <c r="A11" s="133">
        <v>9</v>
      </c>
      <c r="B11" s="128">
        <v>18540</v>
      </c>
      <c r="C11" s="82" t="s">
        <v>189</v>
      </c>
      <c r="D11" s="133" t="s">
        <v>192</v>
      </c>
      <c r="E11" s="134" t="s">
        <v>88</v>
      </c>
      <c r="F11" s="1"/>
      <c r="G11" s="1"/>
      <c r="H11" s="1"/>
      <c r="I11" s="1">
        <f>4*100.96</f>
        <v>403.84</v>
      </c>
      <c r="J11" s="1"/>
      <c r="K11" s="154">
        <f t="shared" si="0"/>
        <v>403.84</v>
      </c>
      <c r="L11" s="31"/>
      <c r="M11" s="36"/>
    </row>
    <row r="12" spans="1:13" s="14" customFormat="1" ht="15.75" x14ac:dyDescent="0.25">
      <c r="A12" s="161">
        <v>10</v>
      </c>
      <c r="B12" s="142">
        <v>18237</v>
      </c>
      <c r="C12" s="160" t="s">
        <v>125</v>
      </c>
      <c r="D12" s="161" t="s">
        <v>209</v>
      </c>
      <c r="E12" s="142" t="s">
        <v>123</v>
      </c>
      <c r="F12" s="162"/>
      <c r="G12" s="162"/>
      <c r="H12" s="162"/>
      <c r="I12" s="162">
        <f>8*(100.96+87.5)</f>
        <v>1507.6799999999998</v>
      </c>
      <c r="J12" s="162"/>
      <c r="K12" s="163">
        <f t="shared" si="0"/>
        <v>1507.6799999999998</v>
      </c>
      <c r="L12" s="31"/>
      <c r="M12" s="36"/>
    </row>
    <row r="13" spans="1:13" s="14" customFormat="1" ht="15.75" x14ac:dyDescent="0.25">
      <c r="A13" s="133">
        <v>11</v>
      </c>
      <c r="B13" s="128">
        <v>18540</v>
      </c>
      <c r="C13" s="82" t="s">
        <v>190</v>
      </c>
      <c r="D13" s="133" t="s">
        <v>214</v>
      </c>
      <c r="E13" s="134" t="s">
        <v>88</v>
      </c>
      <c r="F13" s="1"/>
      <c r="G13" s="1"/>
      <c r="H13" s="1"/>
      <c r="I13" s="1">
        <f>8*100.96</f>
        <v>807.68</v>
      </c>
      <c r="J13" s="1"/>
      <c r="K13" s="154">
        <f t="shared" si="0"/>
        <v>807.68</v>
      </c>
      <c r="L13" s="31"/>
      <c r="M13" s="36"/>
    </row>
    <row r="14" spans="1:13" s="14" customFormat="1" ht="15.75" x14ac:dyDescent="0.25">
      <c r="A14" s="133">
        <v>12</v>
      </c>
      <c r="B14" s="128">
        <v>18510</v>
      </c>
      <c r="C14" s="82" t="s">
        <v>182</v>
      </c>
      <c r="D14" s="133" t="s">
        <v>215</v>
      </c>
      <c r="E14" s="134" t="s">
        <v>216</v>
      </c>
      <c r="F14" s="1"/>
      <c r="G14" s="1"/>
      <c r="H14" s="1"/>
      <c r="I14" s="1">
        <f>2*126.87</f>
        <v>253.74</v>
      </c>
      <c r="J14" s="1"/>
      <c r="K14" s="154">
        <f t="shared" si="0"/>
        <v>253.74</v>
      </c>
      <c r="L14" s="31"/>
      <c r="M14" s="36"/>
    </row>
    <row r="15" spans="1:13" s="14" customFormat="1" ht="15.75" x14ac:dyDescent="0.25">
      <c r="A15" s="133">
        <v>13</v>
      </c>
      <c r="B15" s="128">
        <v>18239</v>
      </c>
      <c r="C15" s="82" t="s">
        <v>172</v>
      </c>
      <c r="D15" s="133" t="s">
        <v>218</v>
      </c>
      <c r="E15" s="134" t="s">
        <v>94</v>
      </c>
      <c r="F15" s="1"/>
      <c r="G15" s="1"/>
      <c r="H15" s="1"/>
      <c r="I15" s="1">
        <f>8*(100.96+100.96+126.87)</f>
        <v>2630.3199999999997</v>
      </c>
      <c r="J15" s="1"/>
      <c r="K15" s="154">
        <f t="shared" si="0"/>
        <v>2630.3199999999997</v>
      </c>
      <c r="L15" s="31"/>
      <c r="M15" s="36"/>
    </row>
    <row r="16" spans="1:13" s="14" customFormat="1" ht="15.75" x14ac:dyDescent="0.25">
      <c r="A16" s="133">
        <v>14</v>
      </c>
      <c r="B16" s="128">
        <v>18493</v>
      </c>
      <c r="C16" s="82" t="s">
        <v>219</v>
      </c>
      <c r="D16" s="133" t="s">
        <v>220</v>
      </c>
      <c r="E16" s="134" t="s">
        <v>216</v>
      </c>
      <c r="F16" s="1"/>
      <c r="G16" s="1"/>
      <c r="H16" s="1"/>
      <c r="I16" s="1">
        <f>4*100.96</f>
        <v>403.84</v>
      </c>
      <c r="J16" s="1"/>
      <c r="K16" s="154">
        <f t="shared" si="0"/>
        <v>403.84</v>
      </c>
      <c r="L16" s="31"/>
      <c r="M16" s="36"/>
    </row>
    <row r="17" spans="1:13" s="14" customFormat="1" ht="15.75" x14ac:dyDescent="0.25">
      <c r="A17" s="133">
        <v>15</v>
      </c>
      <c r="B17" s="128">
        <v>18487</v>
      </c>
      <c r="C17" s="82" t="s">
        <v>221</v>
      </c>
      <c r="D17" s="133" t="s">
        <v>136</v>
      </c>
      <c r="E17" s="134" t="s">
        <v>106</v>
      </c>
      <c r="F17" s="1"/>
      <c r="G17" s="1"/>
      <c r="H17" s="1"/>
      <c r="I17" s="1">
        <f>8*100.96</f>
        <v>807.68</v>
      </c>
      <c r="J17" s="1"/>
      <c r="K17" s="154">
        <f t="shared" si="0"/>
        <v>807.68</v>
      </c>
      <c r="L17" s="31"/>
      <c r="M17" s="36"/>
    </row>
    <row r="18" spans="1:13" s="14" customFormat="1" ht="15.75" x14ac:dyDescent="0.25">
      <c r="A18" s="161">
        <v>16</v>
      </c>
      <c r="B18" s="142">
        <v>18392</v>
      </c>
      <c r="C18" s="160" t="s">
        <v>134</v>
      </c>
      <c r="D18" s="161" t="s">
        <v>162</v>
      </c>
      <c r="E18" s="142" t="s">
        <v>216</v>
      </c>
      <c r="F18" s="162"/>
      <c r="G18" s="162"/>
      <c r="H18" s="162"/>
      <c r="I18" s="162">
        <f>46*(100.96+87.5)</f>
        <v>8669.16</v>
      </c>
      <c r="J18" s="162"/>
      <c r="K18" s="163">
        <f t="shared" si="0"/>
        <v>8669.16</v>
      </c>
      <c r="L18" s="31"/>
      <c r="M18" s="36"/>
    </row>
    <row r="19" spans="1:13" s="14" customFormat="1" ht="15.75" x14ac:dyDescent="0.25">
      <c r="A19" s="133">
        <v>17</v>
      </c>
      <c r="B19" s="128">
        <v>18484</v>
      </c>
      <c r="C19" s="82" t="s">
        <v>176</v>
      </c>
      <c r="D19" s="133" t="s">
        <v>174</v>
      </c>
      <c r="E19" s="134" t="s">
        <v>175</v>
      </c>
      <c r="F19" s="1"/>
      <c r="G19" s="1"/>
      <c r="H19" s="1"/>
      <c r="I19" s="1">
        <f>8*100.96</f>
        <v>807.68</v>
      </c>
      <c r="J19" s="1"/>
      <c r="K19" s="154">
        <f t="shared" si="0"/>
        <v>807.68</v>
      </c>
      <c r="L19" s="31"/>
      <c r="M19" s="36"/>
    </row>
    <row r="20" spans="1:13" s="14" customFormat="1" ht="15.75" x14ac:dyDescent="0.25">
      <c r="A20" s="133">
        <v>18</v>
      </c>
      <c r="B20" s="128">
        <v>18478</v>
      </c>
      <c r="C20" s="82" t="s">
        <v>176</v>
      </c>
      <c r="D20" s="133" t="s">
        <v>222</v>
      </c>
      <c r="E20" s="134" t="s">
        <v>88</v>
      </c>
      <c r="F20" s="1"/>
      <c r="G20" s="1"/>
      <c r="H20" s="1"/>
      <c r="I20" s="1">
        <f>8*87.5</f>
        <v>700</v>
      </c>
      <c r="J20" s="1"/>
      <c r="K20" s="154">
        <f t="shared" si="0"/>
        <v>700</v>
      </c>
      <c r="L20" s="31"/>
      <c r="M20" s="36"/>
    </row>
    <row r="21" spans="1:13" s="14" customFormat="1" ht="15.75" x14ac:dyDescent="0.25">
      <c r="A21" s="133">
        <v>19</v>
      </c>
      <c r="B21" s="128">
        <v>18474</v>
      </c>
      <c r="C21" s="82" t="s">
        <v>177</v>
      </c>
      <c r="D21" s="133" t="s">
        <v>131</v>
      </c>
      <c r="E21" s="134" t="s">
        <v>130</v>
      </c>
      <c r="F21" s="1"/>
      <c r="G21" s="1"/>
      <c r="H21" s="1"/>
      <c r="I21" s="1">
        <f>2*126.87</f>
        <v>253.74</v>
      </c>
      <c r="J21" s="1"/>
      <c r="K21" s="154">
        <f t="shared" si="0"/>
        <v>253.74</v>
      </c>
      <c r="L21" s="31"/>
      <c r="M21" s="36"/>
    </row>
    <row r="22" spans="1:13" s="14" customFormat="1" ht="15.75" x14ac:dyDescent="0.25">
      <c r="A22" s="133">
        <v>20</v>
      </c>
      <c r="B22" s="128">
        <v>18472</v>
      </c>
      <c r="C22" s="82" t="s">
        <v>177</v>
      </c>
      <c r="D22" s="133" t="s">
        <v>122</v>
      </c>
      <c r="E22" s="134" t="s">
        <v>123</v>
      </c>
      <c r="F22" s="1"/>
      <c r="G22" s="1"/>
      <c r="H22" s="1"/>
      <c r="I22" s="1">
        <f>2*100.96</f>
        <v>201.92</v>
      </c>
      <c r="J22" s="1"/>
      <c r="K22" s="154">
        <f t="shared" si="0"/>
        <v>201.92</v>
      </c>
      <c r="L22" s="31"/>
      <c r="M22" s="36"/>
    </row>
    <row r="23" spans="1:13" s="14" customFormat="1" ht="16.5" thickBot="1" x14ac:dyDescent="0.3">
      <c r="A23" s="161">
        <v>21</v>
      </c>
      <c r="B23" s="142">
        <v>16134</v>
      </c>
      <c r="C23" s="160" t="s">
        <v>223</v>
      </c>
      <c r="D23" s="161" t="s">
        <v>188</v>
      </c>
      <c r="E23" s="174" t="s">
        <v>88</v>
      </c>
      <c r="F23" s="175"/>
      <c r="G23" s="175">
        <f>1*(18000+18000+24973.07+28061.37+3182.21+4000+13561.6+1769.5+13000+61840.08+29730.81+28695.31)+1*69615.96</f>
        <v>314429.91000000003</v>
      </c>
      <c r="H23" s="175"/>
      <c r="I23" s="175">
        <f>160*(100.96+118.99+87.5)</f>
        <v>49192</v>
      </c>
      <c r="J23" s="175"/>
      <c r="K23" s="179">
        <f t="shared" si="0"/>
        <v>363621.91000000003</v>
      </c>
      <c r="L23" s="31"/>
      <c r="M23" s="36"/>
    </row>
    <row r="24" spans="1:13" s="141" customFormat="1" ht="16.5" thickBot="1" x14ac:dyDescent="0.3">
      <c r="A24" s="294"/>
      <c r="B24" s="294"/>
      <c r="C24" s="294"/>
      <c r="D24" s="294"/>
      <c r="E24" s="145" t="s">
        <v>19</v>
      </c>
      <c r="F24" s="157">
        <f>SUM(F3:F23)</f>
        <v>0</v>
      </c>
      <c r="G24" s="157">
        <f>SUM(G3:G23)</f>
        <v>314429.91000000003</v>
      </c>
      <c r="H24" s="157">
        <f>SUM(H3:H23)</f>
        <v>0</v>
      </c>
      <c r="I24" s="157">
        <f>SUM(I3:I23)</f>
        <v>72925.759999999995</v>
      </c>
      <c r="J24" s="176">
        <f>SUM(J3:J23)</f>
        <v>0</v>
      </c>
      <c r="K24" s="180">
        <f t="shared" si="0"/>
        <v>387355.67000000004</v>
      </c>
      <c r="L24" s="170"/>
      <c r="M24" s="171"/>
    </row>
    <row r="25" spans="1:13" s="14" customFormat="1" ht="15.75" x14ac:dyDescent="0.25">
      <c r="A25" s="137"/>
      <c r="B25" s="132"/>
      <c r="C25" s="19"/>
      <c r="D25" s="137"/>
      <c r="E25" s="100"/>
      <c r="F25" s="3"/>
      <c r="G25" s="3"/>
      <c r="H25" s="3"/>
      <c r="I25" s="3"/>
      <c r="J25" s="3"/>
      <c r="K25" s="3"/>
      <c r="L25" s="31"/>
      <c r="M25" s="36"/>
    </row>
    <row r="26" spans="1:13" s="14" customFormat="1" ht="15.75" x14ac:dyDescent="0.25">
      <c r="A26" s="137"/>
      <c r="B26" s="132"/>
      <c r="C26" s="19"/>
      <c r="D26" s="137"/>
      <c r="E26" s="100"/>
      <c r="L26" s="31"/>
      <c r="M26" s="36"/>
    </row>
    <row r="27" spans="1:13" s="14" customFormat="1" ht="15.75" x14ac:dyDescent="0.25">
      <c r="A27" s="137"/>
      <c r="B27" s="132"/>
      <c r="C27" s="19"/>
      <c r="D27" s="137"/>
      <c r="E27" s="100"/>
      <c r="L27" s="31"/>
      <c r="M27" s="36"/>
    </row>
    <row r="28" spans="1:13" s="14" customFormat="1" ht="15.75" x14ac:dyDescent="0.25">
      <c r="A28" s="137"/>
      <c r="B28" s="132"/>
      <c r="C28" s="19"/>
      <c r="D28" s="137"/>
      <c r="L28" s="31"/>
      <c r="M28" s="36"/>
    </row>
    <row r="29" spans="1:13" s="14" customFormat="1" ht="15.75" x14ac:dyDescent="0.25">
      <c r="A29" s="137"/>
      <c r="B29" s="132"/>
      <c r="C29" s="19"/>
      <c r="D29" s="137"/>
      <c r="E29" s="100"/>
      <c r="L29" s="31"/>
      <c r="M29" s="36"/>
    </row>
    <row r="30" spans="1:13" s="14" customFormat="1" ht="15.75" x14ac:dyDescent="0.25">
      <c r="A30" s="137"/>
      <c r="B30" s="132"/>
      <c r="C30" s="19"/>
      <c r="D30" s="137"/>
      <c r="E30" s="100"/>
      <c r="L30" s="31"/>
      <c r="M30" s="36"/>
    </row>
    <row r="31" spans="1:13" s="14" customFormat="1" ht="15.75" x14ac:dyDescent="0.25">
      <c r="A31" s="137"/>
      <c r="B31" s="132"/>
      <c r="C31" s="19"/>
      <c r="D31" s="137"/>
      <c r="E31" s="100"/>
      <c r="L31" s="31"/>
      <c r="M31" s="36"/>
    </row>
    <row r="32" spans="1:13" s="197" customFormat="1" ht="15.75" x14ac:dyDescent="0.25">
      <c r="A32" s="137"/>
      <c r="B32" s="132"/>
      <c r="C32" s="19"/>
      <c r="D32" s="137"/>
      <c r="E32" s="100"/>
      <c r="L32" s="31"/>
      <c r="M32" s="36"/>
    </row>
    <row r="33" spans="1:13" s="197" customFormat="1" ht="15.75" x14ac:dyDescent="0.25">
      <c r="A33" s="137"/>
      <c r="B33" s="132"/>
      <c r="C33" s="19"/>
      <c r="D33" s="137"/>
      <c r="E33" s="100"/>
      <c r="L33" s="31"/>
      <c r="M33" s="36"/>
    </row>
    <row r="34" spans="1:13" s="14" customFormat="1" ht="15.75" x14ac:dyDescent="0.25">
      <c r="A34" s="137"/>
      <c r="B34" s="132"/>
      <c r="C34" s="19"/>
      <c r="D34" s="137"/>
      <c r="E34" s="100"/>
      <c r="L34" s="31"/>
      <c r="M34" s="36"/>
    </row>
    <row r="35" spans="1:13" s="14" customFormat="1" ht="15.75" x14ac:dyDescent="0.25">
      <c r="A35" s="67">
        <v>3</v>
      </c>
      <c r="B35" s="132">
        <v>18608</v>
      </c>
      <c r="C35" s="19" t="s">
        <v>201</v>
      </c>
      <c r="D35" s="67" t="s">
        <v>209</v>
      </c>
      <c r="E35" s="100" t="s">
        <v>123</v>
      </c>
      <c r="F35" s="3"/>
      <c r="G35" s="3"/>
      <c r="H35" s="3"/>
      <c r="I35" s="26">
        <v>0</v>
      </c>
      <c r="J35" s="3"/>
      <c r="K35" s="3"/>
      <c r="L35" s="31"/>
      <c r="M35" s="36"/>
    </row>
    <row r="36" spans="1:13" s="14" customFormat="1" ht="15.75" x14ac:dyDescent="0.25">
      <c r="A36" s="67">
        <v>14</v>
      </c>
      <c r="B36" s="132">
        <v>18508</v>
      </c>
      <c r="C36" s="19" t="s">
        <v>182</v>
      </c>
      <c r="D36" s="67" t="s">
        <v>217</v>
      </c>
      <c r="E36" s="100" t="s">
        <v>130</v>
      </c>
      <c r="F36" s="3"/>
      <c r="G36" s="3"/>
      <c r="H36" s="3"/>
      <c r="I36" s="3">
        <f>0</f>
        <v>0</v>
      </c>
      <c r="J36" s="3"/>
      <c r="K36" s="3"/>
      <c r="L36" s="31"/>
      <c r="M36" s="36"/>
    </row>
    <row r="37" spans="1:13" s="14" customFormat="1" ht="15.75" x14ac:dyDescent="0.25">
      <c r="A37" s="67">
        <v>15</v>
      </c>
      <c r="B37" s="132">
        <v>18505</v>
      </c>
      <c r="C37" s="19" t="s">
        <v>172</v>
      </c>
      <c r="D37" s="67" t="s">
        <v>112</v>
      </c>
      <c r="E37" s="100" t="s">
        <v>106</v>
      </c>
      <c r="F37" s="3"/>
      <c r="G37" s="3"/>
      <c r="H37" s="3"/>
      <c r="I37" s="3">
        <v>0</v>
      </c>
      <c r="J37" s="3"/>
      <c r="K37" s="3"/>
      <c r="L37" s="31"/>
      <c r="M37" s="36"/>
    </row>
    <row r="38" spans="1:13" s="14" customFormat="1" ht="15.75" x14ac:dyDescent="0.25">
      <c r="A38" s="67">
        <v>16</v>
      </c>
      <c r="B38" s="132">
        <v>18458</v>
      </c>
      <c r="C38" s="19" t="s">
        <v>176</v>
      </c>
      <c r="D38" s="67" t="s">
        <v>292</v>
      </c>
      <c r="E38" s="100" t="s">
        <v>106</v>
      </c>
      <c r="F38" s="3"/>
      <c r="G38" s="3"/>
      <c r="H38" s="3"/>
      <c r="I38" s="3">
        <v>0</v>
      </c>
      <c r="J38" s="3"/>
      <c r="K38" s="3"/>
      <c r="L38" s="31"/>
      <c r="M38" s="36"/>
    </row>
    <row r="39" spans="1:13" s="14" customFormat="1" ht="15.75" x14ac:dyDescent="0.25">
      <c r="A39" s="67"/>
      <c r="B39" s="132"/>
      <c r="C39" s="19"/>
      <c r="D39" s="67"/>
      <c r="E39" s="100"/>
      <c r="F39" s="3"/>
      <c r="G39" s="3"/>
      <c r="H39" s="3"/>
      <c r="I39" s="3"/>
      <c r="J39" s="3"/>
      <c r="K39" s="3"/>
      <c r="L39" s="31"/>
      <c r="M39" s="36"/>
    </row>
    <row r="40" spans="1:13" s="14" customFormat="1" ht="15.75" x14ac:dyDescent="0.25">
      <c r="A40" s="67"/>
      <c r="B40" s="100"/>
      <c r="C40" s="19"/>
      <c r="D40" s="67"/>
      <c r="E40" s="100"/>
      <c r="F40" s="3"/>
      <c r="G40" s="3"/>
      <c r="H40" s="3"/>
      <c r="I40" s="3"/>
      <c r="J40" s="3"/>
      <c r="K40" s="3"/>
      <c r="L40" s="31"/>
      <c r="M40" s="36"/>
    </row>
    <row r="41" spans="1:13" s="14" customFormat="1" ht="15.75" x14ac:dyDescent="0.25">
      <c r="A41" s="67"/>
      <c r="B41" s="100"/>
      <c r="C41" s="19"/>
      <c r="D41" s="67"/>
      <c r="E41" s="100"/>
      <c r="F41" s="3"/>
      <c r="G41" s="3"/>
      <c r="H41" s="3"/>
      <c r="I41" s="3"/>
      <c r="J41" s="3"/>
      <c r="K41" s="3"/>
      <c r="L41" s="31"/>
      <c r="M41" s="36"/>
    </row>
    <row r="42" spans="1:13" s="14" customFormat="1" ht="15.75" x14ac:dyDescent="0.25">
      <c r="A42" s="67"/>
      <c r="B42" s="100"/>
      <c r="C42" s="19"/>
      <c r="D42" s="67"/>
      <c r="E42" s="100"/>
      <c r="F42" s="3"/>
      <c r="G42" s="3"/>
      <c r="H42" s="3"/>
      <c r="I42" s="3"/>
      <c r="J42" s="3"/>
      <c r="K42" s="3"/>
      <c r="L42" s="31"/>
      <c r="M42" s="36"/>
    </row>
    <row r="43" spans="1:13" s="14" customFormat="1" ht="15.75" x14ac:dyDescent="0.25">
      <c r="A43" s="67"/>
      <c r="B43" s="100"/>
      <c r="C43" s="19"/>
      <c r="D43" s="67"/>
      <c r="E43" s="100"/>
      <c r="F43" s="3"/>
      <c r="G43" s="3"/>
      <c r="H43" s="3"/>
      <c r="I43" s="3"/>
      <c r="J43" s="3"/>
      <c r="K43" s="3"/>
      <c r="L43" s="31"/>
      <c r="M43" s="36"/>
    </row>
    <row r="44" spans="1:13" s="14" customFormat="1" ht="15.75" x14ac:dyDescent="0.25">
      <c r="A44" s="67"/>
      <c r="B44" s="100"/>
      <c r="C44" s="19"/>
      <c r="D44" s="67"/>
      <c r="E44" s="100"/>
      <c r="F44" s="3"/>
      <c r="G44" s="3"/>
      <c r="H44" s="3"/>
      <c r="I44" s="3"/>
      <c r="J44" s="3"/>
      <c r="K44" s="3"/>
      <c r="L44" s="31"/>
      <c r="M44" s="36"/>
    </row>
    <row r="45" spans="1:13" s="14" customFormat="1" ht="15.75" x14ac:dyDescent="0.25">
      <c r="A45" s="67"/>
      <c r="B45" s="100"/>
      <c r="C45" s="19"/>
      <c r="D45" s="67"/>
      <c r="E45" s="100"/>
      <c r="F45" s="3"/>
      <c r="G45" s="3"/>
      <c r="H45" s="3"/>
      <c r="I45" s="3"/>
      <c r="J45" s="3"/>
      <c r="K45" s="3"/>
      <c r="L45" s="31"/>
      <c r="M45" s="36"/>
    </row>
    <row r="46" spans="1:13" s="14" customFormat="1" ht="15.75" x14ac:dyDescent="0.25">
      <c r="A46" s="67"/>
      <c r="B46" s="100"/>
      <c r="C46" s="19"/>
      <c r="D46" s="67"/>
      <c r="E46" s="100"/>
      <c r="F46" s="3"/>
      <c r="G46" s="3"/>
      <c r="H46" s="3"/>
      <c r="I46" s="3"/>
      <c r="J46" s="3"/>
      <c r="K46" s="3"/>
      <c r="L46" s="31"/>
      <c r="M46" s="36"/>
    </row>
    <row r="47" spans="1:13" s="14" customFormat="1" ht="15.75" x14ac:dyDescent="0.25">
      <c r="A47" s="67"/>
      <c r="B47" s="100"/>
      <c r="C47" s="19"/>
      <c r="D47" s="67"/>
      <c r="E47" s="100"/>
      <c r="F47" s="3"/>
      <c r="G47" s="3"/>
      <c r="H47" s="3"/>
      <c r="I47" s="3"/>
      <c r="J47" s="3"/>
      <c r="K47" s="3"/>
      <c r="L47" s="31"/>
      <c r="M47" s="36"/>
    </row>
    <row r="48" spans="1:13" s="14" customFormat="1" ht="15.75" x14ac:dyDescent="0.25">
      <c r="A48" s="67"/>
      <c r="B48" s="100"/>
      <c r="C48" s="19"/>
      <c r="D48" s="67"/>
      <c r="E48" s="100"/>
      <c r="F48" s="3"/>
      <c r="G48" s="3"/>
      <c r="H48" s="3"/>
      <c r="I48" s="3"/>
      <c r="J48" s="3"/>
      <c r="K48" s="3"/>
      <c r="L48" s="31"/>
      <c r="M48" s="36"/>
    </row>
    <row r="49" spans="1:13" s="14" customFormat="1" ht="15.75" x14ac:dyDescent="0.25">
      <c r="A49" s="67"/>
      <c r="B49" s="100"/>
      <c r="C49" s="19"/>
      <c r="D49" s="67"/>
      <c r="E49" s="100"/>
      <c r="F49" s="3"/>
      <c r="G49" s="3"/>
      <c r="H49" s="3"/>
      <c r="I49" s="3"/>
      <c r="J49" s="3"/>
      <c r="K49" s="3"/>
      <c r="L49" s="31"/>
      <c r="M49" s="36"/>
    </row>
    <row r="50" spans="1:13" s="14" customFormat="1" ht="15.75" x14ac:dyDescent="0.25">
      <c r="A50" s="67"/>
      <c r="B50" s="100"/>
      <c r="C50" s="19"/>
      <c r="D50" s="67"/>
      <c r="E50" s="100"/>
      <c r="F50" s="3"/>
      <c r="G50" s="3"/>
      <c r="H50" s="3"/>
      <c r="I50" s="3"/>
      <c r="J50" s="3"/>
      <c r="K50" s="3"/>
      <c r="L50" s="31"/>
      <c r="M50" s="36"/>
    </row>
    <row r="51" spans="1:13" s="14" customFormat="1" ht="15.75" x14ac:dyDescent="0.25">
      <c r="A51" s="67"/>
      <c r="B51" s="100"/>
      <c r="C51" s="19"/>
      <c r="D51" s="67"/>
      <c r="E51" s="100"/>
      <c r="F51" s="3"/>
      <c r="G51" s="3"/>
      <c r="H51" s="3"/>
      <c r="I51" s="3"/>
      <c r="J51" s="3"/>
      <c r="K51" s="3"/>
      <c r="L51" s="31"/>
      <c r="M51" s="36"/>
    </row>
    <row r="52" spans="1:13" s="14" customFormat="1" ht="15.75" x14ac:dyDescent="0.25">
      <c r="A52" s="67"/>
      <c r="B52" s="100"/>
      <c r="C52" s="19"/>
      <c r="D52" s="67"/>
      <c r="E52" s="100"/>
      <c r="F52" s="3"/>
      <c r="G52" s="3"/>
      <c r="H52" s="3"/>
      <c r="I52" s="3"/>
      <c r="J52" s="3"/>
      <c r="K52" s="3"/>
      <c r="L52" s="31"/>
      <c r="M52" s="36"/>
    </row>
    <row r="53" spans="1:13" s="14" customFormat="1" ht="15.75" x14ac:dyDescent="0.25">
      <c r="A53" s="67"/>
      <c r="B53" s="100"/>
      <c r="C53" s="19"/>
      <c r="D53" s="67"/>
      <c r="E53" s="100"/>
      <c r="F53" s="3"/>
      <c r="G53" s="3"/>
      <c r="H53" s="3"/>
      <c r="I53" s="3"/>
      <c r="J53" s="3"/>
      <c r="K53" s="3"/>
      <c r="L53" s="31"/>
      <c r="M53" s="36"/>
    </row>
    <row r="54" spans="1:13" s="14" customFormat="1" ht="15.75" x14ac:dyDescent="0.25">
      <c r="A54" s="67"/>
      <c r="B54" s="100"/>
      <c r="C54" s="19"/>
      <c r="D54" s="67"/>
      <c r="E54" s="100"/>
      <c r="F54" s="3"/>
      <c r="G54" s="3"/>
      <c r="H54" s="3"/>
      <c r="I54" s="3"/>
      <c r="J54" s="3"/>
      <c r="K54" s="3"/>
      <c r="L54" s="31"/>
      <c r="M54" s="36"/>
    </row>
    <row r="55" spans="1:13" s="14" customFormat="1" ht="15.75" x14ac:dyDescent="0.25">
      <c r="A55" s="67"/>
      <c r="B55" s="100"/>
      <c r="C55" s="19"/>
      <c r="D55" s="67"/>
      <c r="E55" s="100"/>
      <c r="F55" s="3"/>
      <c r="G55" s="3"/>
      <c r="H55" s="3"/>
      <c r="I55" s="3"/>
      <c r="J55" s="3"/>
      <c r="K55" s="3"/>
      <c r="L55" s="31"/>
      <c r="M55" s="36"/>
    </row>
    <row r="56" spans="1:13" s="14" customFormat="1" ht="15.75" x14ac:dyDescent="0.25">
      <c r="A56" s="67"/>
      <c r="B56" s="100"/>
      <c r="C56" s="19"/>
      <c r="D56" s="67"/>
      <c r="E56" s="100"/>
      <c r="F56" s="3"/>
      <c r="G56" s="3"/>
      <c r="H56" s="3"/>
      <c r="I56" s="3"/>
      <c r="J56" s="3"/>
      <c r="K56" s="3"/>
      <c r="L56" s="31"/>
      <c r="M56" s="36"/>
    </row>
    <row r="57" spans="1:13" s="14" customFormat="1" ht="15.75" x14ac:dyDescent="0.25">
      <c r="A57" s="67"/>
      <c r="B57" s="100"/>
      <c r="C57" s="19"/>
      <c r="D57" s="67"/>
      <c r="E57" s="100"/>
      <c r="F57" s="3"/>
      <c r="G57" s="3"/>
      <c r="H57" s="3"/>
      <c r="I57" s="3"/>
      <c r="J57" s="3"/>
      <c r="K57" s="3"/>
      <c r="L57" s="31"/>
      <c r="M57" s="36"/>
    </row>
    <row r="58" spans="1:13" s="14" customFormat="1" ht="15.75" x14ac:dyDescent="0.25">
      <c r="A58" s="67"/>
      <c r="B58" s="100"/>
      <c r="C58" s="19"/>
      <c r="D58" s="67"/>
      <c r="E58" s="100"/>
      <c r="F58" s="3"/>
      <c r="G58" s="3"/>
      <c r="H58" s="3"/>
      <c r="I58" s="3"/>
      <c r="J58" s="3"/>
      <c r="K58" s="3"/>
      <c r="L58" s="31"/>
      <c r="M58" s="36"/>
    </row>
    <row r="59" spans="1:13" s="14" customFormat="1" ht="15.75" x14ac:dyDescent="0.25">
      <c r="A59" s="67"/>
      <c r="B59" s="100"/>
      <c r="C59" s="19"/>
      <c r="D59" s="67"/>
      <c r="E59" s="100"/>
      <c r="F59" s="3"/>
      <c r="G59" s="3"/>
      <c r="H59" s="3"/>
      <c r="I59" s="3"/>
      <c r="J59" s="3"/>
      <c r="K59" s="3"/>
      <c r="L59" s="31"/>
      <c r="M59" s="36"/>
    </row>
    <row r="60" spans="1:13" s="14" customFormat="1" ht="15.75" x14ac:dyDescent="0.25">
      <c r="A60" s="67"/>
      <c r="B60" s="100"/>
      <c r="C60" s="19"/>
      <c r="D60" s="67"/>
      <c r="E60" s="100"/>
      <c r="F60" s="3"/>
      <c r="G60" s="3"/>
      <c r="H60" s="3"/>
      <c r="I60" s="3"/>
      <c r="J60" s="3"/>
      <c r="K60" s="3"/>
      <c r="L60" s="31"/>
      <c r="M60" s="36"/>
    </row>
    <row r="61" spans="1:13" s="14" customFormat="1" ht="15.75" x14ac:dyDescent="0.25">
      <c r="A61" s="67"/>
      <c r="B61" s="100"/>
      <c r="C61" s="19"/>
      <c r="D61" s="67"/>
      <c r="E61" s="100"/>
      <c r="F61" s="3"/>
      <c r="G61" s="3"/>
      <c r="H61" s="3"/>
      <c r="I61" s="3"/>
      <c r="J61" s="3"/>
      <c r="K61" s="3"/>
      <c r="L61" s="31"/>
      <c r="M61" s="36"/>
    </row>
    <row r="62" spans="1:13" s="14" customFormat="1" ht="15.75" x14ac:dyDescent="0.25">
      <c r="A62" s="67"/>
      <c r="B62" s="100"/>
      <c r="C62" s="19"/>
      <c r="D62" s="67"/>
      <c r="E62" s="100"/>
      <c r="F62" s="3"/>
      <c r="G62" s="3"/>
      <c r="H62" s="3"/>
      <c r="I62" s="3"/>
      <c r="J62" s="3"/>
      <c r="K62" s="3"/>
      <c r="L62" s="31"/>
      <c r="M62" s="36"/>
    </row>
    <row r="63" spans="1:13" s="14" customFormat="1" ht="15.75" x14ac:dyDescent="0.25">
      <c r="A63" s="67"/>
      <c r="B63" s="100"/>
      <c r="C63" s="19"/>
      <c r="D63" s="67"/>
      <c r="E63" s="100"/>
      <c r="F63" s="3"/>
      <c r="G63" s="3"/>
      <c r="H63" s="3"/>
      <c r="I63" s="3"/>
      <c r="J63" s="3"/>
      <c r="K63" s="3"/>
      <c r="L63" s="31"/>
      <c r="M63" s="36"/>
    </row>
    <row r="64" spans="1:13" s="14" customFormat="1" ht="15.75" x14ac:dyDescent="0.25">
      <c r="A64" s="67"/>
      <c r="B64" s="100"/>
      <c r="C64" s="19"/>
      <c r="D64" s="67"/>
      <c r="E64" s="100"/>
      <c r="F64" s="3"/>
      <c r="G64" s="3"/>
      <c r="H64" s="3"/>
      <c r="I64" s="3"/>
      <c r="J64" s="3"/>
      <c r="K64" s="3"/>
      <c r="L64" s="31"/>
      <c r="M64" s="36"/>
    </row>
    <row r="65" spans="1:13" s="14" customFormat="1" ht="15.75" x14ac:dyDescent="0.25">
      <c r="A65" s="67"/>
      <c r="B65" s="100"/>
      <c r="C65" s="19"/>
      <c r="D65" s="67"/>
      <c r="E65" s="100"/>
      <c r="F65" s="3"/>
      <c r="G65" s="3"/>
      <c r="H65" s="3"/>
      <c r="I65" s="3"/>
      <c r="J65" s="3"/>
      <c r="K65" s="3"/>
      <c r="L65" s="31"/>
      <c r="M65" s="36"/>
    </row>
    <row r="66" spans="1:13" s="14" customFormat="1" ht="15.75" x14ac:dyDescent="0.25">
      <c r="A66" s="67"/>
      <c r="B66" s="100"/>
      <c r="C66" s="19"/>
      <c r="D66" s="67"/>
      <c r="E66" s="100"/>
      <c r="F66" s="3"/>
      <c r="G66" s="3"/>
      <c r="H66" s="3"/>
      <c r="I66" s="3"/>
      <c r="J66" s="3"/>
      <c r="K66" s="3"/>
      <c r="L66" s="31"/>
      <c r="M66" s="36"/>
    </row>
    <row r="67" spans="1:13" s="14" customFormat="1" ht="15.75" x14ac:dyDescent="0.25">
      <c r="A67" s="67"/>
      <c r="B67" s="100"/>
      <c r="C67" s="19"/>
      <c r="D67" s="67"/>
      <c r="E67" s="100"/>
      <c r="F67" s="3"/>
      <c r="G67" s="3"/>
      <c r="H67" s="3"/>
      <c r="I67" s="3"/>
      <c r="J67" s="3"/>
      <c r="K67" s="3"/>
      <c r="L67" s="31"/>
      <c r="M67" s="36"/>
    </row>
    <row r="68" spans="1:13" s="14" customFormat="1" ht="15.75" x14ac:dyDescent="0.25">
      <c r="A68" s="67"/>
      <c r="B68" s="100"/>
      <c r="C68" s="19"/>
      <c r="D68" s="67"/>
      <c r="E68" s="100"/>
      <c r="F68" s="3"/>
      <c r="G68" s="3"/>
      <c r="H68" s="3"/>
      <c r="I68" s="3"/>
      <c r="J68" s="3"/>
      <c r="K68" s="3"/>
      <c r="L68" s="31"/>
      <c r="M68" s="36"/>
    </row>
    <row r="69" spans="1:13" s="14" customFormat="1" ht="15.75" x14ac:dyDescent="0.25">
      <c r="A69" s="67"/>
      <c r="B69" s="100"/>
      <c r="C69" s="19"/>
      <c r="D69" s="67"/>
      <c r="E69" s="100"/>
      <c r="F69" s="3"/>
      <c r="G69" s="3"/>
      <c r="H69" s="3"/>
      <c r="I69" s="3"/>
      <c r="J69" s="3"/>
      <c r="K69" s="3"/>
      <c r="L69" s="31"/>
      <c r="M69" s="36"/>
    </row>
    <row r="70" spans="1:13" s="14" customFormat="1" ht="15.75" x14ac:dyDescent="0.25">
      <c r="A70" s="67"/>
      <c r="B70" s="100"/>
      <c r="C70" s="19"/>
      <c r="D70" s="67"/>
      <c r="E70" s="100"/>
      <c r="F70" s="3"/>
      <c r="G70" s="3"/>
      <c r="H70" s="3"/>
      <c r="I70" s="3"/>
      <c r="J70" s="3"/>
      <c r="K70" s="3"/>
      <c r="L70" s="31"/>
      <c r="M70" s="36"/>
    </row>
    <row r="71" spans="1:13" s="14" customFormat="1" ht="15.75" x14ac:dyDescent="0.25">
      <c r="A71" s="67"/>
      <c r="B71" s="100"/>
      <c r="C71" s="19"/>
      <c r="D71" s="67"/>
      <c r="E71" s="100"/>
      <c r="F71" s="3"/>
      <c r="G71" s="3"/>
      <c r="H71" s="3"/>
      <c r="I71" s="3"/>
      <c r="J71" s="3"/>
      <c r="K71" s="3"/>
      <c r="L71" s="31"/>
      <c r="M71" s="36"/>
    </row>
    <row r="72" spans="1:13" s="14" customFormat="1" ht="15.75" x14ac:dyDescent="0.25">
      <c r="A72" s="67"/>
      <c r="B72" s="100"/>
      <c r="C72" s="19"/>
      <c r="D72" s="67"/>
      <c r="E72" s="100"/>
      <c r="F72" s="3"/>
      <c r="G72" s="3"/>
      <c r="H72" s="3"/>
      <c r="I72" s="3"/>
      <c r="J72" s="3"/>
      <c r="K72" s="3"/>
      <c r="L72" s="31"/>
      <c r="M72" s="36"/>
    </row>
    <row r="73" spans="1:13" s="14" customFormat="1" ht="15.75" x14ac:dyDescent="0.25">
      <c r="A73" s="67"/>
      <c r="B73" s="100"/>
      <c r="C73" s="19"/>
      <c r="D73" s="67"/>
      <c r="E73" s="100"/>
      <c r="F73" s="3"/>
      <c r="G73" s="3"/>
      <c r="H73" s="3"/>
      <c r="I73" s="3"/>
      <c r="J73" s="3"/>
      <c r="K73" s="3"/>
      <c r="L73" s="31"/>
      <c r="M73" s="36"/>
    </row>
    <row r="74" spans="1:13" s="14" customFormat="1" ht="15.75" x14ac:dyDescent="0.25">
      <c r="A74" s="67"/>
      <c r="B74" s="100"/>
      <c r="C74" s="19"/>
      <c r="D74" s="67"/>
      <c r="E74" s="100"/>
      <c r="F74" s="3"/>
      <c r="G74" s="3"/>
      <c r="H74" s="3"/>
      <c r="I74" s="3"/>
      <c r="J74" s="3"/>
      <c r="K74" s="3"/>
      <c r="L74" s="31"/>
      <c r="M74" s="36"/>
    </row>
    <row r="75" spans="1:13" s="14" customFormat="1" ht="15.75" x14ac:dyDescent="0.25">
      <c r="A75" s="67"/>
      <c r="B75" s="100"/>
      <c r="C75" s="19"/>
      <c r="D75" s="67"/>
      <c r="E75" s="100"/>
      <c r="F75" s="3"/>
      <c r="G75" s="3"/>
      <c r="H75" s="3"/>
      <c r="I75" s="3"/>
      <c r="J75" s="3"/>
      <c r="K75" s="3"/>
      <c r="L75" s="31"/>
      <c r="M75" s="36"/>
    </row>
    <row r="76" spans="1:13" s="14" customFormat="1" ht="15.75" x14ac:dyDescent="0.25">
      <c r="A76" s="67"/>
      <c r="B76" s="100"/>
      <c r="C76" s="19"/>
      <c r="D76" s="67"/>
      <c r="E76" s="100"/>
      <c r="F76" s="3"/>
      <c r="G76" s="3"/>
      <c r="H76" s="3"/>
      <c r="I76" s="3"/>
      <c r="J76" s="3"/>
      <c r="K76" s="3"/>
      <c r="L76" s="31"/>
      <c r="M76" s="36"/>
    </row>
    <row r="77" spans="1:13" s="14" customFormat="1" ht="15.75" x14ac:dyDescent="0.25">
      <c r="A77" s="67"/>
      <c r="B77" s="100"/>
      <c r="C77" s="19"/>
      <c r="D77" s="67"/>
      <c r="E77" s="100"/>
      <c r="F77" s="3"/>
      <c r="G77" s="3"/>
      <c r="H77" s="3"/>
      <c r="I77" s="3"/>
      <c r="J77" s="3"/>
      <c r="K77" s="3"/>
      <c r="L77" s="31"/>
      <c r="M77" s="36"/>
    </row>
    <row r="78" spans="1:13" s="14" customFormat="1" ht="15.75" x14ac:dyDescent="0.25">
      <c r="A78" s="67"/>
      <c r="B78" s="100"/>
      <c r="C78" s="19"/>
      <c r="D78" s="67"/>
      <c r="E78" s="100"/>
      <c r="F78" s="3"/>
      <c r="G78" s="3"/>
      <c r="H78" s="3"/>
      <c r="I78" s="3"/>
      <c r="J78" s="3"/>
      <c r="K78" s="3"/>
      <c r="L78" s="31"/>
      <c r="M78" s="36"/>
    </row>
    <row r="79" spans="1:13" s="14" customFormat="1" ht="15.75" x14ac:dyDescent="0.25">
      <c r="A79" s="67"/>
      <c r="B79" s="100"/>
      <c r="C79" s="19"/>
      <c r="D79" s="67"/>
      <c r="E79" s="100"/>
      <c r="F79" s="3"/>
      <c r="G79" s="3"/>
      <c r="H79" s="3"/>
      <c r="I79" s="3"/>
      <c r="J79" s="3"/>
      <c r="K79" s="3"/>
      <c r="L79" s="31"/>
      <c r="M79" s="36"/>
    </row>
  </sheetData>
  <mergeCells count="2">
    <mergeCell ref="A1:K1"/>
    <mergeCell ref="A24:D24"/>
  </mergeCells>
  <pageMargins left="0.16" right="0.16" top="0.65" bottom="0.32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13" zoomScaleNormal="100" workbookViewId="0">
      <selection activeCell="J22" sqref="J22"/>
    </sheetView>
  </sheetViews>
  <sheetFormatPr defaultRowHeight="15" x14ac:dyDescent="0.25"/>
  <cols>
    <col min="1" max="1" width="5.28515625" style="18" customWidth="1"/>
    <col min="2" max="2" width="10.140625" style="18" bestFit="1" customWidth="1"/>
    <col min="3" max="3" width="11.140625" style="20" customWidth="1"/>
    <col min="4" max="4" width="14.7109375" style="18" customWidth="1"/>
    <col min="5" max="5" width="13.7109375" style="18" customWidth="1"/>
    <col min="6" max="6" width="8" style="9" customWidth="1"/>
    <col min="7" max="7" width="11.5703125" style="9" bestFit="1" customWidth="1"/>
    <col min="8" max="8" width="10" style="9" customWidth="1"/>
    <col min="9" max="9" width="14.5703125" style="9" bestFit="1" customWidth="1"/>
    <col min="10" max="11" width="15.7109375" style="9" bestFit="1" customWidth="1"/>
    <col min="12" max="12" width="9.140625" style="204"/>
    <col min="13" max="13" width="9.140625" style="28"/>
  </cols>
  <sheetData>
    <row r="1" spans="1:13" ht="26.25" thickBot="1" x14ac:dyDescent="0.3">
      <c r="A1" s="278" t="s">
        <v>17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</row>
    <row r="2" spans="1:13" ht="18.75" customHeight="1" thickBot="1" x14ac:dyDescent="0.3">
      <c r="A2" s="101" t="s">
        <v>1</v>
      </c>
      <c r="B2" s="104" t="s">
        <v>2</v>
      </c>
      <c r="C2" s="103" t="s">
        <v>3</v>
      </c>
      <c r="D2" s="102" t="s">
        <v>4</v>
      </c>
      <c r="E2" s="101" t="s">
        <v>5</v>
      </c>
      <c r="F2" s="172" t="s">
        <v>6</v>
      </c>
      <c r="G2" s="172" t="s">
        <v>7</v>
      </c>
      <c r="H2" s="173" t="s">
        <v>8</v>
      </c>
      <c r="I2" s="173" t="s">
        <v>9</v>
      </c>
      <c r="J2" s="173" t="s">
        <v>12</v>
      </c>
      <c r="K2" s="172" t="s">
        <v>10</v>
      </c>
    </row>
    <row r="3" spans="1:13" s="14" customFormat="1" ht="15.75" x14ac:dyDescent="0.25">
      <c r="A3" s="147">
        <v>1</v>
      </c>
      <c r="B3" s="148">
        <v>18526</v>
      </c>
      <c r="C3" s="149" t="s">
        <v>224</v>
      </c>
      <c r="D3" s="147" t="s">
        <v>246</v>
      </c>
      <c r="E3" s="147" t="s">
        <v>247</v>
      </c>
      <c r="F3" s="154"/>
      <c r="G3" s="154"/>
      <c r="H3" s="154"/>
      <c r="I3" s="154">
        <f>16*(118.99+100.96+87.5)+4*(100.96+118.99)</f>
        <v>5799</v>
      </c>
      <c r="J3" s="154"/>
      <c r="K3" s="154">
        <f t="shared" ref="K3:K18" si="0">F3+G3+H3+I3+J3</f>
        <v>5799</v>
      </c>
      <c r="L3" s="202"/>
      <c r="M3" s="26"/>
    </row>
    <row r="4" spans="1:13" s="14" customFormat="1" ht="15.75" x14ac:dyDescent="0.25">
      <c r="A4" s="138">
        <v>2</v>
      </c>
      <c r="B4" s="128">
        <v>18543</v>
      </c>
      <c r="C4" s="82" t="s">
        <v>224</v>
      </c>
      <c r="D4" s="138" t="s">
        <v>196</v>
      </c>
      <c r="E4" s="138" t="s">
        <v>94</v>
      </c>
      <c r="F4" s="1"/>
      <c r="G4" s="1"/>
      <c r="H4" s="1"/>
      <c r="I4" s="1">
        <f>8*118.99+4*87.5</f>
        <v>1301.92</v>
      </c>
      <c r="J4" s="1"/>
      <c r="K4" s="154">
        <f t="shared" si="0"/>
        <v>1301.92</v>
      </c>
      <c r="L4" s="202"/>
      <c r="M4" s="26"/>
    </row>
    <row r="5" spans="1:13" s="14" customFormat="1" ht="15.75" x14ac:dyDescent="0.25">
      <c r="A5" s="147">
        <v>3</v>
      </c>
      <c r="B5" s="128">
        <v>18619</v>
      </c>
      <c r="C5" s="82" t="s">
        <v>207</v>
      </c>
      <c r="D5" s="138" t="s">
        <v>204</v>
      </c>
      <c r="E5" s="138" t="s">
        <v>94</v>
      </c>
      <c r="F5" s="1"/>
      <c r="G5" s="1"/>
      <c r="H5" s="1"/>
      <c r="I5" s="1">
        <f>8*118.99+4*87.5</f>
        <v>1301.92</v>
      </c>
      <c r="J5" s="1"/>
      <c r="K5" s="154">
        <f t="shared" si="0"/>
        <v>1301.92</v>
      </c>
      <c r="L5" s="202"/>
      <c r="M5" s="26"/>
    </row>
    <row r="6" spans="1:13" s="14" customFormat="1" ht="15.75" x14ac:dyDescent="0.25">
      <c r="A6" s="138">
        <v>4</v>
      </c>
      <c r="B6" s="128">
        <v>17932</v>
      </c>
      <c r="C6" s="82" t="s">
        <v>203</v>
      </c>
      <c r="D6" s="138" t="s">
        <v>145</v>
      </c>
      <c r="E6" s="138" t="s">
        <v>137</v>
      </c>
      <c r="F6" s="1"/>
      <c r="G6" s="1"/>
      <c r="H6" s="1"/>
      <c r="I6" s="1">
        <f>6*100.96</f>
        <v>605.76</v>
      </c>
      <c r="J6" s="1"/>
      <c r="K6" s="154">
        <f t="shared" si="0"/>
        <v>605.76</v>
      </c>
      <c r="L6" s="202"/>
      <c r="M6" s="26"/>
    </row>
    <row r="7" spans="1:13" s="14" customFormat="1" ht="15.75" x14ac:dyDescent="0.25">
      <c r="A7" s="147">
        <v>5</v>
      </c>
      <c r="B7" s="128">
        <v>17432</v>
      </c>
      <c r="C7" s="82" t="s">
        <v>203</v>
      </c>
      <c r="D7" s="138" t="s">
        <v>202</v>
      </c>
      <c r="E7" s="138" t="s">
        <v>88</v>
      </c>
      <c r="F7" s="1"/>
      <c r="G7" s="1"/>
      <c r="H7" s="1"/>
      <c r="I7" s="1">
        <f>6*118.99</f>
        <v>713.93999999999994</v>
      </c>
      <c r="J7" s="1"/>
      <c r="K7" s="154">
        <f t="shared" si="0"/>
        <v>713.93999999999994</v>
      </c>
      <c r="L7" s="202"/>
      <c r="M7" s="26"/>
    </row>
    <row r="8" spans="1:13" s="14" customFormat="1" ht="15.75" x14ac:dyDescent="0.25">
      <c r="A8" s="138">
        <v>6</v>
      </c>
      <c r="B8" s="128">
        <v>18517</v>
      </c>
      <c r="C8" s="82" t="s">
        <v>197</v>
      </c>
      <c r="D8" s="138" t="s">
        <v>308</v>
      </c>
      <c r="E8" s="138" t="s">
        <v>133</v>
      </c>
      <c r="F8" s="1"/>
      <c r="G8" s="1"/>
      <c r="H8" s="1"/>
      <c r="I8" s="1">
        <f>6*100.96</f>
        <v>605.76</v>
      </c>
      <c r="J8" s="1"/>
      <c r="K8" s="154">
        <f t="shared" si="0"/>
        <v>605.76</v>
      </c>
      <c r="L8" s="202"/>
      <c r="M8" s="26"/>
    </row>
    <row r="9" spans="1:13" s="14" customFormat="1" ht="15.75" x14ac:dyDescent="0.25">
      <c r="A9" s="147">
        <v>7</v>
      </c>
      <c r="B9" s="128">
        <v>18564</v>
      </c>
      <c r="C9" s="82" t="s">
        <v>224</v>
      </c>
      <c r="D9" s="138" t="s">
        <v>138</v>
      </c>
      <c r="E9" s="138" t="s">
        <v>130</v>
      </c>
      <c r="F9" s="1"/>
      <c r="G9" s="1"/>
      <c r="H9" s="1"/>
      <c r="I9" s="1">
        <f>8*118.99</f>
        <v>951.92</v>
      </c>
      <c r="J9" s="1"/>
      <c r="K9" s="154">
        <f t="shared" si="0"/>
        <v>951.92</v>
      </c>
      <c r="L9" s="202"/>
      <c r="M9" s="26"/>
    </row>
    <row r="10" spans="1:13" s="14" customFormat="1" ht="15.75" x14ac:dyDescent="0.25">
      <c r="A10" s="138">
        <v>8</v>
      </c>
      <c r="B10" s="128">
        <v>18558</v>
      </c>
      <c r="C10" s="82" t="s">
        <v>224</v>
      </c>
      <c r="D10" s="138" t="s">
        <v>323</v>
      </c>
      <c r="E10" s="138" t="s">
        <v>88</v>
      </c>
      <c r="F10" s="1"/>
      <c r="G10" s="1"/>
      <c r="H10" s="1"/>
      <c r="I10" s="1">
        <f>6*118.99</f>
        <v>713.93999999999994</v>
      </c>
      <c r="J10" s="1"/>
      <c r="K10" s="154">
        <f t="shared" si="0"/>
        <v>713.93999999999994</v>
      </c>
      <c r="L10" s="202"/>
      <c r="M10" s="26"/>
    </row>
    <row r="11" spans="1:13" s="14" customFormat="1" ht="15.75" x14ac:dyDescent="0.25">
      <c r="A11" s="147">
        <v>9</v>
      </c>
      <c r="B11" s="128">
        <v>18537</v>
      </c>
      <c r="C11" s="82" t="s">
        <v>190</v>
      </c>
      <c r="D11" s="138" t="s">
        <v>69</v>
      </c>
      <c r="E11" s="138" t="s">
        <v>92</v>
      </c>
      <c r="F11" s="1"/>
      <c r="G11" s="1"/>
      <c r="H11" s="1"/>
      <c r="I11" s="1">
        <f>8*(118.99+100.96+87.5)</f>
        <v>2459.6</v>
      </c>
      <c r="J11" s="1"/>
      <c r="K11" s="154">
        <f t="shared" si="0"/>
        <v>2459.6</v>
      </c>
      <c r="L11" s="202"/>
      <c r="M11" s="26"/>
    </row>
    <row r="12" spans="1:13" s="14" customFormat="1" ht="15.75" x14ac:dyDescent="0.25">
      <c r="A12" s="138">
        <v>10</v>
      </c>
      <c r="B12" s="128">
        <v>16134</v>
      </c>
      <c r="C12" s="82" t="s">
        <v>187</v>
      </c>
      <c r="D12" s="138" t="s">
        <v>188</v>
      </c>
      <c r="E12" s="138" t="s">
        <v>88</v>
      </c>
      <c r="F12" s="1"/>
      <c r="G12" s="1"/>
      <c r="H12" s="1"/>
      <c r="I12" s="1">
        <f>6*100.96</f>
        <v>605.76</v>
      </c>
      <c r="J12" s="1"/>
      <c r="K12" s="154">
        <f t="shared" si="0"/>
        <v>605.76</v>
      </c>
      <c r="L12" s="202"/>
      <c r="M12" s="26"/>
    </row>
    <row r="13" spans="1:13" s="14" customFormat="1" ht="15.75" x14ac:dyDescent="0.25">
      <c r="A13" s="147">
        <v>11</v>
      </c>
      <c r="B13" s="128">
        <v>17479</v>
      </c>
      <c r="C13" s="82" t="s">
        <v>187</v>
      </c>
      <c r="D13" s="138" t="s">
        <v>324</v>
      </c>
      <c r="E13" s="138" t="s">
        <v>88</v>
      </c>
      <c r="F13" s="1"/>
      <c r="G13" s="1"/>
      <c r="H13" s="1"/>
      <c r="I13" s="1">
        <f>8*(100.96+118.99)</f>
        <v>1759.6</v>
      </c>
      <c r="J13" s="1"/>
      <c r="K13" s="154">
        <f t="shared" si="0"/>
        <v>1759.6</v>
      </c>
      <c r="L13" s="202"/>
      <c r="M13" s="26"/>
    </row>
    <row r="14" spans="1:13" s="14" customFormat="1" ht="15.75" x14ac:dyDescent="0.25">
      <c r="A14" s="138">
        <v>12</v>
      </c>
      <c r="B14" s="128">
        <v>18519</v>
      </c>
      <c r="C14" s="82" t="s">
        <v>184</v>
      </c>
      <c r="D14" s="138" t="s">
        <v>91</v>
      </c>
      <c r="E14" s="138" t="s">
        <v>92</v>
      </c>
      <c r="F14" s="1"/>
      <c r="G14" s="1"/>
      <c r="H14" s="1"/>
      <c r="I14" s="1">
        <f>8*(100.96+118.99)</f>
        <v>1759.6</v>
      </c>
      <c r="J14" s="1"/>
      <c r="K14" s="154">
        <f t="shared" si="0"/>
        <v>1759.6</v>
      </c>
      <c r="L14" s="202"/>
      <c r="M14" s="26"/>
    </row>
    <row r="15" spans="1:13" s="14" customFormat="1" ht="15.75" x14ac:dyDescent="0.25">
      <c r="A15" s="147">
        <v>13</v>
      </c>
      <c r="B15" s="128">
        <v>18490</v>
      </c>
      <c r="C15" s="82" t="s">
        <v>184</v>
      </c>
      <c r="D15" s="138" t="s">
        <v>248</v>
      </c>
      <c r="E15" s="138" t="s">
        <v>99</v>
      </c>
      <c r="F15" s="1"/>
      <c r="G15" s="1"/>
      <c r="H15" s="1"/>
      <c r="I15" s="1">
        <f>6*100.96</f>
        <v>605.76</v>
      </c>
      <c r="J15" s="1"/>
      <c r="K15" s="154">
        <f t="shared" si="0"/>
        <v>605.76</v>
      </c>
      <c r="L15" s="202"/>
      <c r="M15" s="26"/>
    </row>
    <row r="16" spans="1:13" s="14" customFormat="1" ht="15.75" x14ac:dyDescent="0.25">
      <c r="A16" s="138">
        <v>14</v>
      </c>
      <c r="B16" s="138">
        <v>18552</v>
      </c>
      <c r="C16" s="82" t="s">
        <v>191</v>
      </c>
      <c r="D16" s="138" t="s">
        <v>69</v>
      </c>
      <c r="E16" s="138" t="s">
        <v>366</v>
      </c>
      <c r="F16" s="1"/>
      <c r="G16" s="1"/>
      <c r="H16" s="1"/>
      <c r="I16" s="1">
        <f>6*118.99</f>
        <v>713.93999999999994</v>
      </c>
      <c r="J16" s="1"/>
      <c r="K16" s="154">
        <f t="shared" si="0"/>
        <v>713.93999999999994</v>
      </c>
      <c r="L16" s="202"/>
      <c r="M16" s="26"/>
    </row>
    <row r="17" spans="1:13" s="14" customFormat="1" ht="16.5" thickBot="1" x14ac:dyDescent="0.3">
      <c r="A17" s="289" t="s">
        <v>367</v>
      </c>
      <c r="B17" s="289"/>
      <c r="C17" s="289"/>
      <c r="D17" s="289"/>
      <c r="E17" s="290"/>
      <c r="F17" s="156"/>
      <c r="G17" s="156"/>
      <c r="H17" s="156"/>
      <c r="I17" s="156"/>
      <c r="J17" s="156">
        <f>12*84.81+1*1524.78</f>
        <v>2542.5</v>
      </c>
      <c r="K17" s="183">
        <f t="shared" si="0"/>
        <v>2542.5</v>
      </c>
      <c r="L17" s="202"/>
      <c r="M17" s="26"/>
    </row>
    <row r="18" spans="1:13" s="141" customFormat="1" ht="16.5" thickBot="1" x14ac:dyDescent="0.3">
      <c r="A18" s="275"/>
      <c r="B18" s="275"/>
      <c r="C18" s="275"/>
      <c r="D18" s="275"/>
      <c r="E18" s="145" t="s">
        <v>19</v>
      </c>
      <c r="F18" s="157">
        <f>SUM(F3:F17)</f>
        <v>0</v>
      </c>
      <c r="G18" s="157">
        <f>SUM(G3:G17)</f>
        <v>0</v>
      </c>
      <c r="H18" s="157">
        <f>SUM(H3:H17)</f>
        <v>0</v>
      </c>
      <c r="I18" s="157">
        <f>SUM(I3:I17)</f>
        <v>19898.419999999998</v>
      </c>
      <c r="J18" s="176">
        <f>SUM(J3:J17)</f>
        <v>2542.5</v>
      </c>
      <c r="K18" s="184">
        <f t="shared" si="0"/>
        <v>22440.92</v>
      </c>
      <c r="L18" s="155"/>
      <c r="M18" s="155"/>
    </row>
    <row r="19" spans="1:13" s="14" customFormat="1" ht="15.75" x14ac:dyDescent="0.25">
      <c r="A19" s="100"/>
      <c r="B19" s="100"/>
      <c r="C19" s="19"/>
      <c r="D19" s="100"/>
      <c r="E19" s="100"/>
      <c r="F19" s="3"/>
      <c r="G19" s="3"/>
      <c r="H19" s="3"/>
      <c r="I19" s="3"/>
      <c r="J19" s="3"/>
      <c r="K19" s="3"/>
      <c r="L19" s="202"/>
      <c r="M19" s="26"/>
    </row>
    <row r="20" spans="1:13" s="14" customFormat="1" ht="15.75" x14ac:dyDescent="0.25">
      <c r="A20" s="100"/>
      <c r="B20" s="100"/>
      <c r="C20" s="19"/>
      <c r="D20" s="100"/>
      <c r="E20" s="100"/>
      <c r="L20" s="202"/>
      <c r="M20" s="26"/>
    </row>
    <row r="24" spans="1:13" s="14" customFormat="1" ht="15.75" x14ac:dyDescent="0.25">
      <c r="A24" s="100"/>
      <c r="B24" s="100"/>
      <c r="C24" s="19"/>
      <c r="D24" s="100"/>
      <c r="E24" s="100"/>
      <c r="L24" s="202"/>
      <c r="M24" s="26"/>
    </row>
    <row r="25" spans="1:13" s="14" customFormat="1" ht="15.75" x14ac:dyDescent="0.25">
      <c r="A25" s="100"/>
      <c r="B25" s="100"/>
      <c r="C25" s="19"/>
      <c r="D25" s="100"/>
      <c r="E25" s="100"/>
      <c r="L25" s="202"/>
      <c r="M25" s="26"/>
    </row>
    <row r="26" spans="1:13" s="14" customFormat="1" ht="15.75" x14ac:dyDescent="0.25">
      <c r="A26" s="100"/>
      <c r="B26" s="100"/>
      <c r="C26" s="19"/>
      <c r="D26" s="100"/>
      <c r="E26" s="100"/>
      <c r="L26" s="202"/>
      <c r="M26" s="26"/>
    </row>
    <row r="27" spans="1:13" s="14" customFormat="1" ht="15.75" x14ac:dyDescent="0.25">
      <c r="A27" s="100"/>
      <c r="B27" s="100"/>
      <c r="C27" s="19"/>
      <c r="D27" s="100"/>
      <c r="E27" s="100"/>
      <c r="L27" s="202"/>
      <c r="M27" s="26"/>
    </row>
    <row r="28" spans="1:13" s="14" customFormat="1" ht="15.75" x14ac:dyDescent="0.25">
      <c r="A28" s="100"/>
      <c r="B28" s="100"/>
      <c r="C28" s="19"/>
      <c r="D28" s="100"/>
      <c r="E28" s="100"/>
      <c r="F28" s="3"/>
      <c r="G28" s="3"/>
      <c r="H28" s="3"/>
      <c r="I28" s="3"/>
      <c r="J28" s="3"/>
      <c r="K28" s="3"/>
      <c r="L28" s="202"/>
      <c r="M28" s="26"/>
    </row>
    <row r="29" spans="1:13" s="14" customFormat="1" ht="15.75" x14ac:dyDescent="0.25">
      <c r="A29" s="100"/>
      <c r="B29" s="100"/>
      <c r="C29" s="19"/>
      <c r="D29" s="100"/>
      <c r="E29" s="100"/>
      <c r="F29" s="3"/>
      <c r="G29" s="3"/>
      <c r="H29" s="3"/>
      <c r="I29" s="3"/>
      <c r="J29" s="3"/>
      <c r="K29" s="3"/>
      <c r="L29" s="202"/>
      <c r="M29" s="26"/>
    </row>
    <row r="30" spans="1:13" s="14" customFormat="1" ht="15.75" x14ac:dyDescent="0.25">
      <c r="A30" s="100"/>
      <c r="B30" s="100"/>
      <c r="C30" s="19"/>
      <c r="D30" s="100"/>
      <c r="E30" s="100"/>
      <c r="F30" s="3"/>
      <c r="G30" s="3"/>
      <c r="H30" s="3"/>
      <c r="I30" s="3"/>
      <c r="J30" s="3"/>
      <c r="K30" s="3"/>
      <c r="L30" s="202"/>
      <c r="M30" s="26"/>
    </row>
    <row r="31" spans="1:13" s="14" customFormat="1" ht="15.75" x14ac:dyDescent="0.25">
      <c r="A31" s="100"/>
      <c r="B31" s="100"/>
      <c r="C31" s="19"/>
      <c r="D31" s="100"/>
      <c r="E31" s="100"/>
      <c r="F31" s="3"/>
      <c r="G31" s="3"/>
      <c r="H31" s="3"/>
      <c r="I31" s="3"/>
      <c r="J31" s="3"/>
      <c r="K31" s="3"/>
      <c r="L31" s="202"/>
      <c r="M31" s="26"/>
    </row>
    <row r="32" spans="1:13" s="14" customFormat="1" ht="15.75" x14ac:dyDescent="0.25">
      <c r="A32" s="100"/>
      <c r="B32" s="100"/>
      <c r="C32" s="19"/>
      <c r="D32" s="100"/>
      <c r="E32" s="100"/>
      <c r="F32" s="3"/>
      <c r="G32" s="3"/>
      <c r="H32" s="3"/>
      <c r="I32" s="3"/>
      <c r="J32" s="3"/>
      <c r="K32" s="3"/>
      <c r="L32" s="202"/>
      <c r="M32" s="26"/>
    </row>
    <row r="33" spans="1:13" s="14" customFormat="1" ht="15.75" x14ac:dyDescent="0.25">
      <c r="A33" s="100"/>
      <c r="B33" s="100"/>
      <c r="C33" s="19"/>
      <c r="D33" s="100"/>
      <c r="E33" s="100"/>
      <c r="F33" s="3"/>
      <c r="G33" s="3"/>
      <c r="H33" s="3"/>
      <c r="I33" s="3"/>
      <c r="J33" s="3"/>
      <c r="K33" s="3"/>
      <c r="L33" s="202"/>
      <c r="M33" s="26"/>
    </row>
    <row r="34" spans="1:13" x14ac:dyDescent="0.25">
      <c r="A34" s="18">
        <v>1</v>
      </c>
      <c r="B34" s="18">
        <v>18536</v>
      </c>
      <c r="C34" s="20" t="s">
        <v>190</v>
      </c>
      <c r="D34" s="18" t="s">
        <v>69</v>
      </c>
      <c r="E34" s="18" t="s">
        <v>368</v>
      </c>
      <c r="I34" s="9">
        <v>0</v>
      </c>
    </row>
  </sheetData>
  <mergeCells count="3">
    <mergeCell ref="A1:K1"/>
    <mergeCell ref="A17:E17"/>
    <mergeCell ref="A18:D18"/>
  </mergeCells>
  <pageMargins left="0.16" right="0.16" top="0.88" bottom="0.16" header="0.3" footer="0.16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E30" sqref="E30"/>
    </sheetView>
  </sheetViews>
  <sheetFormatPr defaultRowHeight="15" x14ac:dyDescent="0.25"/>
  <cols>
    <col min="1" max="1" width="5.28515625" customWidth="1"/>
    <col min="2" max="2" width="9.7109375" customWidth="1"/>
    <col min="3" max="3" width="11.140625" customWidth="1"/>
    <col min="4" max="4" width="14.140625" customWidth="1"/>
    <col min="5" max="5" width="15" customWidth="1"/>
    <col min="6" max="6" width="9" customWidth="1"/>
    <col min="7" max="7" width="12.7109375" bestFit="1" customWidth="1"/>
    <col min="8" max="8" width="9.7109375" customWidth="1"/>
    <col min="9" max="9" width="15" customWidth="1"/>
    <col min="10" max="10" width="14.42578125" customWidth="1"/>
    <col min="11" max="11" width="15.42578125" customWidth="1"/>
    <col min="12" max="12" width="9.140625" style="200"/>
    <col min="13" max="14" width="9.140625" style="24"/>
  </cols>
  <sheetData>
    <row r="1" spans="1:16" ht="23.25" thickBot="1" x14ac:dyDescent="0.3">
      <c r="A1" s="303" t="s">
        <v>18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</row>
    <row r="2" spans="1:16" ht="18" customHeight="1" thickBot="1" x14ac:dyDescent="0.3">
      <c r="A2" s="43" t="s">
        <v>1</v>
      </c>
      <c r="B2" s="44" t="s">
        <v>2</v>
      </c>
      <c r="C2" s="45" t="s">
        <v>3</v>
      </c>
      <c r="D2" s="46" t="s">
        <v>4</v>
      </c>
      <c r="E2" s="47" t="s">
        <v>5</v>
      </c>
      <c r="F2" s="48" t="s">
        <v>6</v>
      </c>
      <c r="G2" s="48" t="s">
        <v>7</v>
      </c>
      <c r="H2" s="49" t="s">
        <v>8</v>
      </c>
      <c r="I2" s="49" t="s">
        <v>9</v>
      </c>
      <c r="J2" s="238" t="s">
        <v>12</v>
      </c>
      <c r="K2" s="51" t="s">
        <v>10</v>
      </c>
    </row>
    <row r="3" spans="1:16" s="187" customFormat="1" ht="14.25" customHeight="1" thickBot="1" x14ac:dyDescent="0.3">
      <c r="A3" s="300" t="s">
        <v>93</v>
      </c>
      <c r="B3" s="301"/>
      <c r="C3" s="301"/>
      <c r="D3" s="301"/>
      <c r="E3" s="301"/>
      <c r="F3" s="301"/>
      <c r="G3" s="301"/>
      <c r="H3" s="301"/>
      <c r="I3" s="301"/>
      <c r="J3" s="301"/>
      <c r="K3" s="302"/>
      <c r="L3" s="200"/>
      <c r="M3" s="200"/>
      <c r="N3" s="200"/>
    </row>
    <row r="4" spans="1:16" s="197" customFormat="1" ht="15.75" x14ac:dyDescent="0.25">
      <c r="A4" s="188">
        <v>1</v>
      </c>
      <c r="B4" s="189">
        <v>18501</v>
      </c>
      <c r="C4" s="190" t="s">
        <v>219</v>
      </c>
      <c r="D4" s="188" t="s">
        <v>267</v>
      </c>
      <c r="E4" s="188" t="s">
        <v>99</v>
      </c>
      <c r="F4" s="191"/>
      <c r="G4" s="191">
        <f>1*4033.03</f>
        <v>4033.03</v>
      </c>
      <c r="H4" s="191"/>
      <c r="I4" s="191">
        <f>5.5*100.96</f>
        <v>555.28</v>
      </c>
      <c r="J4" s="191"/>
      <c r="K4" s="191">
        <f t="shared" ref="K4:K5" si="0">F4+G4+H4+I4+J4</f>
        <v>4588.3100000000004</v>
      </c>
      <c r="L4" s="201"/>
      <c r="M4" s="192"/>
      <c r="N4" s="192"/>
      <c r="O4" s="192"/>
      <c r="P4" s="192"/>
    </row>
    <row r="5" spans="1:16" s="80" customFormat="1" ht="13.5" thickBot="1" x14ac:dyDescent="0.25">
      <c r="A5" s="304"/>
      <c r="B5" s="304"/>
      <c r="C5" s="304"/>
      <c r="D5" s="304"/>
      <c r="E5" s="182" t="s">
        <v>19</v>
      </c>
      <c r="F5" s="86">
        <f>SUM(F4)</f>
        <v>0</v>
      </c>
      <c r="G5" s="86">
        <f t="shared" ref="G5:J5" si="1">SUM(G4)</f>
        <v>4033.03</v>
      </c>
      <c r="H5" s="86">
        <f t="shared" si="1"/>
        <v>0</v>
      </c>
      <c r="I5" s="86">
        <f t="shared" si="1"/>
        <v>555.28</v>
      </c>
      <c r="J5" s="86">
        <f t="shared" si="1"/>
        <v>0</v>
      </c>
      <c r="K5" s="87">
        <f t="shared" si="0"/>
        <v>4588.3100000000004</v>
      </c>
      <c r="L5" s="88"/>
      <c r="M5" s="88"/>
      <c r="N5" s="88"/>
    </row>
    <row r="6" spans="1:16" ht="14.25" customHeight="1" x14ac:dyDescent="0.25">
      <c r="A6" s="305" t="s">
        <v>11</v>
      </c>
      <c r="B6" s="306"/>
      <c r="C6" s="306"/>
      <c r="D6" s="306"/>
      <c r="E6" s="306"/>
      <c r="F6" s="306"/>
      <c r="G6" s="306"/>
      <c r="H6" s="306"/>
      <c r="I6" s="306"/>
      <c r="J6" s="306"/>
      <c r="K6" s="307"/>
    </row>
    <row r="7" spans="1:16" s="187" customFormat="1" ht="15.75" x14ac:dyDescent="0.25">
      <c r="A7" s="188">
        <v>1</v>
      </c>
      <c r="B7" s="189">
        <v>18575</v>
      </c>
      <c r="C7" s="190" t="s">
        <v>230</v>
      </c>
      <c r="D7" s="188" t="s">
        <v>280</v>
      </c>
      <c r="E7" s="188" t="s">
        <v>281</v>
      </c>
      <c r="F7" s="191">
        <v>0</v>
      </c>
      <c r="G7" s="191"/>
      <c r="H7" s="191"/>
      <c r="I7" s="191">
        <f>4*(75.5+87.5)</f>
        <v>652</v>
      </c>
      <c r="J7" s="191"/>
      <c r="K7" s="191"/>
      <c r="L7" s="201"/>
      <c r="M7" s="192"/>
      <c r="N7" s="194"/>
      <c r="O7" s="194"/>
      <c r="P7" s="194"/>
    </row>
    <row r="8" spans="1:16" s="187" customFormat="1" ht="15.75" x14ac:dyDescent="0.25">
      <c r="A8" s="188">
        <v>2</v>
      </c>
      <c r="B8" s="189">
        <v>18429</v>
      </c>
      <c r="C8" s="190" t="s">
        <v>176</v>
      </c>
      <c r="D8" s="188" t="s">
        <v>97</v>
      </c>
      <c r="E8" s="188" t="s">
        <v>92</v>
      </c>
      <c r="F8" s="191">
        <v>0</v>
      </c>
      <c r="G8" s="191"/>
      <c r="H8" s="191"/>
      <c r="I8" s="191">
        <f>16*(87.5+65.5)</f>
        <v>2448</v>
      </c>
      <c r="J8" s="191"/>
      <c r="K8" s="191"/>
      <c r="L8" s="201"/>
      <c r="M8" s="192"/>
      <c r="N8" s="194"/>
      <c r="O8" s="194"/>
      <c r="P8" s="194"/>
    </row>
    <row r="9" spans="1:16" s="187" customFormat="1" ht="15.75" x14ac:dyDescent="0.25">
      <c r="A9" s="188">
        <v>3</v>
      </c>
      <c r="B9" s="189">
        <v>18562</v>
      </c>
      <c r="C9" s="190" t="s">
        <v>224</v>
      </c>
      <c r="D9" s="188" t="s">
        <v>284</v>
      </c>
      <c r="E9" s="188" t="s">
        <v>90</v>
      </c>
      <c r="F9" s="191">
        <v>0</v>
      </c>
      <c r="G9" s="191"/>
      <c r="H9" s="191"/>
      <c r="I9" s="191">
        <f>2*(75.5+87.5)</f>
        <v>326</v>
      </c>
      <c r="J9" s="191"/>
      <c r="K9" s="191"/>
      <c r="L9" s="201"/>
      <c r="M9" s="192"/>
      <c r="N9" s="194"/>
      <c r="O9" s="194"/>
      <c r="P9" s="194"/>
    </row>
    <row r="10" spans="1:16" s="80" customFormat="1" ht="13.5" thickBot="1" x14ac:dyDescent="0.25">
      <c r="A10" s="304"/>
      <c r="B10" s="304"/>
      <c r="C10" s="304"/>
      <c r="D10" s="304"/>
      <c r="E10" s="85" t="s">
        <v>19</v>
      </c>
      <c r="F10" s="86">
        <f>SUM(F7:F9)</f>
        <v>0</v>
      </c>
      <c r="G10" s="86">
        <f t="shared" ref="G10:J10" si="2">SUM(G7:G9)</f>
        <v>0</v>
      </c>
      <c r="H10" s="86">
        <f t="shared" si="2"/>
        <v>0</v>
      </c>
      <c r="I10" s="86">
        <f t="shared" si="2"/>
        <v>3426</v>
      </c>
      <c r="J10" s="86">
        <f t="shared" si="2"/>
        <v>0</v>
      </c>
      <c r="K10" s="87">
        <f t="shared" ref="K10" si="3">F10+G10+H10+I10+J10</f>
        <v>3426</v>
      </c>
      <c r="L10" s="88"/>
      <c r="M10" s="88"/>
      <c r="N10" s="88"/>
    </row>
    <row r="11" spans="1:16" ht="12.75" customHeight="1" thickBot="1" x14ac:dyDescent="0.3">
      <c r="A11" s="300" t="s">
        <v>13</v>
      </c>
      <c r="B11" s="301"/>
      <c r="C11" s="301"/>
      <c r="D11" s="301"/>
      <c r="E11" s="301"/>
      <c r="F11" s="301"/>
      <c r="G11" s="301"/>
      <c r="H11" s="301"/>
      <c r="I11" s="301"/>
      <c r="J11" s="301"/>
      <c r="K11" s="302"/>
    </row>
    <row r="12" spans="1:16" s="192" customFormat="1" ht="15.75" x14ac:dyDescent="0.25">
      <c r="A12" s="188">
        <v>1</v>
      </c>
      <c r="B12" s="189">
        <v>18622</v>
      </c>
      <c r="C12" s="190" t="s">
        <v>207</v>
      </c>
      <c r="D12" s="188" t="s">
        <v>226</v>
      </c>
      <c r="E12" s="193" t="s">
        <v>227</v>
      </c>
      <c r="F12" s="191"/>
      <c r="G12" s="191"/>
      <c r="H12" s="191"/>
      <c r="I12" s="191">
        <f>3*(40.89+36)</f>
        <v>230.67000000000002</v>
      </c>
      <c r="J12" s="191"/>
      <c r="K12" s="154">
        <f>F12+G12+H12+I12+J12</f>
        <v>230.67000000000002</v>
      </c>
      <c r="L12" s="202"/>
      <c r="M12" s="201"/>
    </row>
    <row r="13" spans="1:16" s="192" customFormat="1" ht="15.75" x14ac:dyDescent="0.25">
      <c r="A13" s="188">
        <v>2</v>
      </c>
      <c r="B13" s="189">
        <v>18490</v>
      </c>
      <c r="C13" s="190" t="s">
        <v>219</v>
      </c>
      <c r="D13" s="188" t="s">
        <v>248</v>
      </c>
      <c r="E13" s="193" t="s">
        <v>99</v>
      </c>
      <c r="F13" s="191"/>
      <c r="G13" s="191"/>
      <c r="H13" s="191"/>
      <c r="I13" s="191">
        <f>4*(87.5+40.89)</f>
        <v>513.55999999999995</v>
      </c>
      <c r="J13" s="191"/>
      <c r="K13" s="154">
        <f>F13+G13+H13+I13+J13</f>
        <v>513.55999999999995</v>
      </c>
      <c r="L13" s="202"/>
      <c r="M13" s="201"/>
    </row>
    <row r="14" spans="1:16" s="192" customFormat="1" ht="15.75" x14ac:dyDescent="0.25">
      <c r="A14" s="188">
        <v>3</v>
      </c>
      <c r="B14" s="189">
        <v>18584</v>
      </c>
      <c r="C14" s="190" t="s">
        <v>230</v>
      </c>
      <c r="D14" s="188" t="s">
        <v>69</v>
      </c>
      <c r="E14" s="193" t="s">
        <v>118</v>
      </c>
      <c r="F14" s="191"/>
      <c r="G14" s="191">
        <f>1*11304.35</f>
        <v>11304.35</v>
      </c>
      <c r="H14" s="191"/>
      <c r="I14" s="191">
        <f>2*(87.5+40.89)</f>
        <v>256.77999999999997</v>
      </c>
      <c r="J14" s="191"/>
      <c r="K14" s="154">
        <f>F14+G14+H14+I14+J14</f>
        <v>11561.130000000001</v>
      </c>
      <c r="L14" s="202"/>
      <c r="M14" s="201"/>
    </row>
    <row r="15" spans="1:16" s="80" customFormat="1" ht="13.5" thickBot="1" x14ac:dyDescent="0.25">
      <c r="A15" s="304"/>
      <c r="B15" s="304"/>
      <c r="C15" s="304"/>
      <c r="D15" s="304"/>
      <c r="E15" s="110" t="s">
        <v>19</v>
      </c>
      <c r="F15" s="111">
        <f>SUM(F12:F14)</f>
        <v>0</v>
      </c>
      <c r="G15" s="111">
        <f t="shared" ref="G15:J15" si="4">SUM(G12:G14)</f>
        <v>11304.35</v>
      </c>
      <c r="H15" s="111">
        <f t="shared" si="4"/>
        <v>0</v>
      </c>
      <c r="I15" s="111">
        <f t="shared" si="4"/>
        <v>1001.01</v>
      </c>
      <c r="J15" s="111">
        <f t="shared" si="4"/>
        <v>0</v>
      </c>
      <c r="K15" s="89">
        <f t="shared" ref="K15" si="5">F15+G15+H15+I15+J15</f>
        <v>12305.36</v>
      </c>
      <c r="L15" s="88"/>
      <c r="M15" s="88"/>
      <c r="N15" s="88"/>
    </row>
    <row r="16" spans="1:16" ht="14.25" customHeight="1" thickBot="1" x14ac:dyDescent="0.3">
      <c r="A16" s="300" t="s">
        <v>20</v>
      </c>
      <c r="B16" s="301"/>
      <c r="C16" s="301"/>
      <c r="D16" s="301"/>
      <c r="E16" s="301"/>
      <c r="F16" s="301"/>
      <c r="G16" s="301"/>
      <c r="H16" s="301"/>
      <c r="I16" s="301"/>
      <c r="J16" s="301"/>
      <c r="K16" s="302"/>
    </row>
    <row r="17" spans="1:16" s="197" customFormat="1" ht="15.75" x14ac:dyDescent="0.25">
      <c r="A17" s="188">
        <v>1</v>
      </c>
      <c r="B17" s="189">
        <v>18558</v>
      </c>
      <c r="C17" s="190" t="s">
        <v>224</v>
      </c>
      <c r="D17" s="188" t="s">
        <v>323</v>
      </c>
      <c r="E17" s="188" t="s">
        <v>88</v>
      </c>
      <c r="F17" s="191"/>
      <c r="G17" s="191"/>
      <c r="H17" s="191"/>
      <c r="I17" s="191">
        <f>6*118.99</f>
        <v>713.93999999999994</v>
      </c>
      <c r="J17" s="191"/>
      <c r="K17" s="154">
        <f>F17+G17+H17+I17+J17</f>
        <v>713.93999999999994</v>
      </c>
      <c r="L17" s="202"/>
      <c r="M17" s="202"/>
    </row>
    <row r="18" spans="1:16" s="197" customFormat="1" ht="15.75" x14ac:dyDescent="0.25">
      <c r="A18" s="215">
        <v>2</v>
      </c>
      <c r="B18" s="189">
        <v>18537</v>
      </c>
      <c r="C18" s="190" t="s">
        <v>190</v>
      </c>
      <c r="D18" s="188" t="s">
        <v>69</v>
      </c>
      <c r="E18" s="188" t="s">
        <v>92</v>
      </c>
      <c r="F18" s="191"/>
      <c r="G18" s="191"/>
      <c r="H18" s="191"/>
      <c r="I18" s="191">
        <f>8*(118.99+100.96+87.5)</f>
        <v>2459.6</v>
      </c>
      <c r="J18" s="191"/>
      <c r="K18" s="154">
        <f>F18+G18+H18+I18+J18</f>
        <v>2459.6</v>
      </c>
      <c r="L18" s="202"/>
      <c r="M18" s="202"/>
    </row>
    <row r="19" spans="1:16" s="197" customFormat="1" ht="15.75" x14ac:dyDescent="0.25">
      <c r="A19" s="188">
        <v>3</v>
      </c>
      <c r="B19" s="188">
        <v>18552</v>
      </c>
      <c r="C19" s="190" t="s">
        <v>191</v>
      </c>
      <c r="D19" s="188" t="s">
        <v>69</v>
      </c>
      <c r="E19" s="188" t="s">
        <v>366</v>
      </c>
      <c r="F19" s="191"/>
      <c r="G19" s="191"/>
      <c r="H19" s="191"/>
      <c r="I19" s="191">
        <f>6*118.99</f>
        <v>713.93999999999994</v>
      </c>
      <c r="J19" s="191"/>
      <c r="K19" s="154">
        <f>F19+G19+H19+I19+J19</f>
        <v>713.93999999999994</v>
      </c>
      <c r="L19" s="202"/>
      <c r="M19" s="202"/>
    </row>
    <row r="20" spans="1:16" s="93" customFormat="1" ht="11.25" customHeight="1" x14ac:dyDescent="0.2">
      <c r="A20" s="297"/>
      <c r="B20" s="298"/>
      <c r="C20" s="298"/>
      <c r="D20" s="299"/>
      <c r="E20" s="90" t="s">
        <v>19</v>
      </c>
      <c r="F20" s="89">
        <f>SUM(F17:F19)</f>
        <v>0</v>
      </c>
      <c r="G20" s="89">
        <f t="shared" ref="G20:J20" si="6">SUM(G17:G19)</f>
        <v>0</v>
      </c>
      <c r="H20" s="89">
        <f t="shared" si="6"/>
        <v>0</v>
      </c>
      <c r="I20" s="89">
        <f t="shared" si="6"/>
        <v>3887.48</v>
      </c>
      <c r="J20" s="89">
        <f t="shared" si="6"/>
        <v>0</v>
      </c>
      <c r="K20" s="89">
        <f t="shared" ref="K20" si="7">F20+G20+H20+I20+J20</f>
        <v>3887.48</v>
      </c>
      <c r="L20" s="88"/>
      <c r="M20" s="88"/>
      <c r="N20" s="91"/>
      <c r="O20" s="92"/>
      <c r="P20" s="92"/>
    </row>
    <row r="21" spans="1:16" ht="21" x14ac:dyDescent="0.45">
      <c r="A21" s="2"/>
      <c r="B21" s="2"/>
      <c r="C21" s="2"/>
      <c r="D21" s="2"/>
      <c r="E21" s="2"/>
      <c r="F21" s="3"/>
      <c r="G21" s="3"/>
      <c r="H21" s="296" t="s">
        <v>21</v>
      </c>
      <c r="I21" s="296"/>
      <c r="J21" s="295">
        <f>K5+K10+K15+K20</f>
        <v>24207.15</v>
      </c>
      <c r="K21" s="295"/>
    </row>
  </sheetData>
  <mergeCells count="11">
    <mergeCell ref="J21:K21"/>
    <mergeCell ref="H21:I21"/>
    <mergeCell ref="A20:D20"/>
    <mergeCell ref="A16:K16"/>
    <mergeCell ref="A1:K1"/>
    <mergeCell ref="A11:K11"/>
    <mergeCell ref="A15:D15"/>
    <mergeCell ref="A6:K6"/>
    <mergeCell ref="A10:D10"/>
    <mergeCell ref="A3:K3"/>
    <mergeCell ref="A5:D5"/>
  </mergeCells>
  <pageMargins left="0.16" right="0.17" top="0.74" bottom="0.16" header="0.3" footer="0.16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D28" sqref="D28"/>
    </sheetView>
  </sheetViews>
  <sheetFormatPr defaultRowHeight="15.75" x14ac:dyDescent="0.25"/>
  <cols>
    <col min="1" max="1" width="6.28515625" bestFit="1" customWidth="1"/>
    <col min="2" max="2" width="32.28515625" customWidth="1"/>
    <col min="3" max="3" width="23.28515625" customWidth="1"/>
    <col min="4" max="4" width="18.140625" style="7" customWidth="1"/>
    <col min="10" max="12" width="12.7109375" style="3" bestFit="1" customWidth="1"/>
    <col min="13" max="13" width="11.5703125" style="3" bestFit="1" customWidth="1"/>
    <col min="14" max="14" width="12.7109375" style="3" bestFit="1" customWidth="1"/>
    <col min="15" max="15" width="9.140625" style="3"/>
  </cols>
  <sheetData>
    <row r="1" spans="1:14" ht="22.5" x14ac:dyDescent="0.25">
      <c r="A1" s="308" t="s">
        <v>22</v>
      </c>
      <c r="B1" s="308"/>
      <c r="C1" s="308"/>
      <c r="D1" s="308"/>
      <c r="E1" s="3"/>
      <c r="F1" s="3"/>
      <c r="G1" s="3"/>
    </row>
    <row r="2" spans="1:14" ht="16.5" thickBot="1" x14ac:dyDescent="0.3">
      <c r="A2" s="4"/>
      <c r="B2" s="4"/>
      <c r="C2" s="4"/>
      <c r="D2" s="5"/>
      <c r="E2" s="3"/>
      <c r="F2" s="3"/>
      <c r="G2" s="3"/>
      <c r="J2" s="127" t="s">
        <v>154</v>
      </c>
      <c r="K2" s="127" t="s">
        <v>155</v>
      </c>
      <c r="L2" s="127" t="s">
        <v>156</v>
      </c>
      <c r="M2" s="127" t="s">
        <v>157</v>
      </c>
      <c r="N2" s="127" t="s">
        <v>158</v>
      </c>
    </row>
    <row r="3" spans="1:14" ht="24" customHeight="1" thickBot="1" x14ac:dyDescent="0.3">
      <c r="A3" s="53" t="s">
        <v>23</v>
      </c>
      <c r="B3" s="54" t="s">
        <v>24</v>
      </c>
      <c r="C3" s="54" t="s">
        <v>25</v>
      </c>
      <c r="D3" s="112" t="s">
        <v>26</v>
      </c>
      <c r="E3" s="3"/>
      <c r="F3" s="3"/>
      <c r="G3" s="3"/>
      <c r="J3" s="1">
        <v>5405</v>
      </c>
      <c r="K3" s="1">
        <v>9257.5</v>
      </c>
      <c r="L3" s="1">
        <v>8050</v>
      </c>
      <c r="M3" s="1">
        <v>7659</v>
      </c>
      <c r="N3" s="1">
        <v>33000</v>
      </c>
    </row>
    <row r="4" spans="1:14" ht="21.75" customHeight="1" x14ac:dyDescent="0.25">
      <c r="A4" s="289">
        <v>1</v>
      </c>
      <c r="B4" s="6" t="s">
        <v>29</v>
      </c>
      <c r="C4" s="281" t="s">
        <v>30</v>
      </c>
      <c r="D4" s="309">
        <v>54280</v>
      </c>
      <c r="J4" s="1">
        <v>920</v>
      </c>
      <c r="K4" s="1">
        <v>20976</v>
      </c>
      <c r="L4" s="1">
        <v>5750</v>
      </c>
      <c r="M4" s="1">
        <v>16215</v>
      </c>
      <c r="N4" s="1">
        <v>70004</v>
      </c>
    </row>
    <row r="5" spans="1:14" x14ac:dyDescent="0.25">
      <c r="A5" s="289"/>
      <c r="B5" s="6" t="s">
        <v>31</v>
      </c>
      <c r="C5" s="281"/>
      <c r="D5" s="309"/>
      <c r="E5" s="40"/>
      <c r="J5" s="1">
        <v>21620</v>
      </c>
      <c r="K5" s="1">
        <v>3450</v>
      </c>
      <c r="L5" s="1">
        <v>5750</v>
      </c>
      <c r="M5" s="1">
        <v>31234</v>
      </c>
      <c r="N5" s="1"/>
    </row>
    <row r="6" spans="1:14" x14ac:dyDescent="0.25">
      <c r="A6" s="96">
        <v>2</v>
      </c>
      <c r="B6" s="6" t="s">
        <v>104</v>
      </c>
      <c r="C6" s="96" t="s">
        <v>105</v>
      </c>
      <c r="D6" s="1">
        <v>71070</v>
      </c>
      <c r="E6" s="3"/>
      <c r="F6" s="3"/>
      <c r="G6" s="3"/>
      <c r="J6" s="1">
        <v>16215</v>
      </c>
      <c r="K6" s="1">
        <v>4140</v>
      </c>
      <c r="L6" s="1">
        <v>5750</v>
      </c>
      <c r="M6" s="1"/>
      <c r="N6" s="1"/>
    </row>
    <row r="7" spans="1:14" ht="19.5" customHeight="1" x14ac:dyDescent="0.25">
      <c r="A7" s="95">
        <v>3</v>
      </c>
      <c r="B7" s="52" t="s">
        <v>27</v>
      </c>
      <c r="C7" s="79" t="s">
        <v>28</v>
      </c>
      <c r="D7" s="113">
        <v>82816.75</v>
      </c>
      <c r="E7" s="40"/>
      <c r="J7" s="1">
        <v>26910</v>
      </c>
      <c r="K7" s="1">
        <v>3300</v>
      </c>
      <c r="L7" s="1">
        <v>5520</v>
      </c>
      <c r="M7" s="1"/>
      <c r="N7" s="1"/>
    </row>
    <row r="8" spans="1:14" x14ac:dyDescent="0.25">
      <c r="A8" s="94">
        <v>5</v>
      </c>
      <c r="B8" s="97" t="s">
        <v>114</v>
      </c>
      <c r="C8" s="94" t="s">
        <v>115</v>
      </c>
      <c r="D8" s="1">
        <v>55108</v>
      </c>
      <c r="J8" s="1"/>
      <c r="K8" s="1">
        <v>15732</v>
      </c>
      <c r="L8" s="1">
        <v>2300</v>
      </c>
      <c r="M8" s="1"/>
      <c r="N8" s="1"/>
    </row>
    <row r="9" spans="1:14" x14ac:dyDescent="0.25">
      <c r="A9" s="109">
        <v>7</v>
      </c>
      <c r="B9" s="124" t="s">
        <v>159</v>
      </c>
      <c r="C9" s="109" t="s">
        <v>160</v>
      </c>
      <c r="D9" s="1">
        <v>103004</v>
      </c>
      <c r="E9" s="3"/>
      <c r="F9" s="3"/>
      <c r="G9" s="3"/>
      <c r="J9" s="1"/>
      <c r="K9" s="1">
        <v>16042.5</v>
      </c>
      <c r="L9" s="1">
        <v>10580</v>
      </c>
      <c r="M9" s="1"/>
      <c r="N9" s="1"/>
    </row>
    <row r="10" spans="1:14" ht="18" x14ac:dyDescent="0.4">
      <c r="A10" s="310"/>
      <c r="B10" s="311"/>
      <c r="C10" s="125" t="s">
        <v>21</v>
      </c>
      <c r="D10" s="126">
        <f>SUM(D4:D9)</f>
        <v>366278.75</v>
      </c>
      <c r="J10" s="1"/>
      <c r="K10" s="1">
        <v>9918.75</v>
      </c>
      <c r="L10" s="1">
        <v>10580</v>
      </c>
      <c r="M10" s="1"/>
      <c r="N10" s="1"/>
    </row>
    <row r="11" spans="1:14" x14ac:dyDescent="0.25">
      <c r="J11" s="1"/>
      <c r="K11" s="1"/>
      <c r="L11" s="1"/>
      <c r="M11" s="1"/>
      <c r="N11" s="1"/>
    </row>
    <row r="12" spans="1:14" x14ac:dyDescent="0.25">
      <c r="J12" s="119">
        <f>SUM(J3:J11)</f>
        <v>71070</v>
      </c>
      <c r="K12" s="119">
        <f t="shared" ref="K12:N12" si="0">SUM(K3:K11)</f>
        <v>82816.75</v>
      </c>
      <c r="L12" s="119">
        <f t="shared" si="0"/>
        <v>54280</v>
      </c>
      <c r="M12" s="119">
        <f t="shared" si="0"/>
        <v>55108</v>
      </c>
      <c r="N12" s="119">
        <f t="shared" si="0"/>
        <v>103004</v>
      </c>
    </row>
  </sheetData>
  <mergeCells count="5">
    <mergeCell ref="A1:D1"/>
    <mergeCell ref="A4:A5"/>
    <mergeCell ref="C4:C5"/>
    <mergeCell ref="D4:D5"/>
    <mergeCell ref="A10:B10"/>
  </mergeCells>
  <pageMargins left="0.7" right="0.7" top="0.81" bottom="0.31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Light</vt:lpstr>
      <vt:lpstr>Heavy</vt:lpstr>
      <vt:lpstr>EMM</vt:lpstr>
      <vt:lpstr>Elec</vt:lpstr>
      <vt:lpstr>Weld</vt:lpstr>
      <vt:lpstr>Body</vt:lpstr>
      <vt:lpstr>Machine</vt:lpstr>
      <vt:lpstr>Project Part Only</vt:lpstr>
      <vt:lpstr>Out Source</vt:lpstr>
      <vt:lpstr>Frequency</vt:lpstr>
      <vt:lpstr>Reason</vt:lpstr>
      <vt:lpstr>Sun Sisters</vt:lpstr>
      <vt:lpstr>OT Night</vt:lpstr>
      <vt:lpstr>OT Sun</vt:lpstr>
      <vt:lpstr>Canibalization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Solmix</cp:lastModifiedBy>
  <cp:lastPrinted>2025-09-30T11:00:53Z</cp:lastPrinted>
  <dcterms:created xsi:type="dcterms:W3CDTF">2024-07-09T19:52:53Z</dcterms:created>
  <dcterms:modified xsi:type="dcterms:W3CDTF">2025-10-25T10:54:14Z</dcterms:modified>
</cp:coreProperties>
</file>