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c2018\input\"/>
    </mc:Choice>
  </mc:AlternateContent>
  <bookViews>
    <workbookView xWindow="0" yWindow="0" windowWidth="17970" windowHeight="5955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L20" i="3" l="1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 l="1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<sst xmlns="http://schemas.openxmlformats.org/spreadsheetml/2006/main" count="4552" uniqueCount="2581">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</sst>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4" sqref="C4"/>
    </sheetView>
  </sheetViews>
  <sheetFormatPr defaultColWidth="9.125" defaultRowHeight="16.5" x14ac:dyDescent="0.3"/>
  <cols>
    <col min="1" max="1" width="1.125" style="11" customWidth="1"/>
    <col min="2" max="2" width="18.875" style="11" bestFit="1" customWidth="1"/>
    <col min="3" max="3" width="20.25" style="11" customWidth="1"/>
    <col min="4" max="4" width="9.125" style="11"/>
    <col min="5" max="5" width="1.125" style="11" customWidth="1"/>
    <col min="6" max="6" width="9.125" style="11"/>
    <col min="7" max="7" width="27.625" style="11" bestFit="1" customWidth="1"/>
    <col min="8" max="8" width="2.75" style="11" customWidth="1"/>
    <col min="9" max="9" width="1.125" style="11" customWidth="1"/>
    <col min="10" max="16384" width="9.12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1151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A27" zoomScaleNormal="100" workbookViewId="0">
      <selection activeCell="G39" sqref="G39"/>
    </sheetView>
  </sheetViews>
  <sheetFormatPr defaultColWidth="9.125" defaultRowHeight="16.5" x14ac:dyDescent="0.3"/>
  <cols>
    <col min="1" max="1" width="4.875" style="4" customWidth="1"/>
    <col min="2" max="2" width="6.125" style="4" customWidth="1"/>
    <col min="3" max="3" width="11.75" style="4" bestFit="1" customWidth="1"/>
    <col min="4" max="4" width="7.25" style="5" customWidth="1"/>
    <col min="5" max="5" width="22.625" style="6" customWidth="1"/>
    <col min="6" max="7" width="4.25" style="7" customWidth="1"/>
    <col min="8" max="8" width="22.625" style="8" customWidth="1"/>
    <col min="9" max="9" width="3.375" style="3" customWidth="1"/>
    <col min="10" max="10" width="14" style="9" customWidth="1"/>
    <col min="11" max="14" width="5.375" style="10" customWidth="1"/>
    <col min="15" max="15" width="7.75" style="10" customWidth="1"/>
    <col min="16" max="16" width="6.75" style="10" customWidth="1"/>
    <col min="17" max="17" width="3.375" style="2" customWidth="1"/>
    <col min="18" max="18" width="15.37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25" style="59" hidden="1" customWidth="1"/>
    <col min="27" max="27" width="5.375" style="58" hidden="1" customWidth="1"/>
    <col min="28" max="28" width="13.375" style="59" hidden="1" customWidth="1"/>
    <col min="29" max="33" width="5.375" style="58" hidden="1" customWidth="1"/>
    <col min="34" max="36" width="6" style="58" hidden="1" customWidth="1"/>
    <col min="37" max="37" width="5.37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25" style="60" hidden="1" customWidth="1"/>
    <col min="42" max="42" width="4.75" style="61" hidden="1" customWidth="1"/>
    <col min="43" max="46" width="4.75" style="62" hidden="1" customWidth="1"/>
    <col min="47" max="49" width="9.125" style="63" hidden="1" customWidth="1"/>
    <col min="50" max="50" width="9.125" style="64" hidden="1" customWidth="1"/>
    <col min="51" max="51" width="3.25" style="3" customWidth="1"/>
    <col min="52" max="52" width="19.75" style="3" customWidth="1"/>
    <col min="53" max="54" width="3" style="3" customWidth="1"/>
    <col min="55" max="56" width="2" style="3" customWidth="1"/>
    <col min="57" max="57" width="3.25" style="3" customWidth="1"/>
    <col min="58" max="58" width="19.75" style="3" customWidth="1"/>
    <col min="59" max="60" width="3" style="3" customWidth="1"/>
    <col min="61" max="62" width="2" style="3" customWidth="1"/>
    <col min="63" max="63" width="3.25" style="3" customWidth="1"/>
    <col min="64" max="64" width="19.75" style="3" customWidth="1"/>
    <col min="65" max="66" width="3" style="3" customWidth="1"/>
    <col min="67" max="68" width="2" style="3" customWidth="1"/>
    <col min="69" max="69" width="3.25" style="3" customWidth="1"/>
    <col min="70" max="70" width="19.75" style="3" customWidth="1"/>
    <col min="71" max="72" width="3" style="3" customWidth="1"/>
    <col min="73" max="16384" width="9.12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1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0</v>
      </c>
      <c r="AF8" s="58">
        <f>SUMIF($E$7:$E$54,$AB8,$F$7:$F$54) + SUMIF($H$7:$H$54,$AB8,$G$7:$G$54)</f>
        <v>8</v>
      </c>
      <c r="AG8" s="58">
        <f>SUMIF($E$7:$E$54,$AB8,$G$7:$G$54) + SUMIF($H$7:$H$54,$AB8,$F$7:$F$54)</f>
        <v>1</v>
      </c>
      <c r="AH8" s="58">
        <f>(AF8-AG8)+1</f>
        <v>8</v>
      </c>
      <c r="AI8" s="58">
        <f>AF8-AG8</f>
        <v>7</v>
      </c>
      <c r="AJ8" s="58">
        <f>(AI8-AI13)/AI12</f>
        <v>0.9285714285714286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958.88915588888892</v>
      </c>
      <c r="AO8" s="60" t="str">
        <f>IF(SUM(AC8:AE11)=12,J9,INDEX(T,70,lang))</f>
        <v>1A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Russia</v>
      </c>
      <c r="K9" s="70">
        <f>L9+M9+N9</f>
        <v>2</v>
      </c>
      <c r="L9" s="70">
        <f>VLOOKUP(1,AA8:AK11,3,FALSE)</f>
        <v>2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8 - 1</v>
      </c>
      <c r="P9" s="71">
        <f>L9*3+M9</f>
        <v>6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1</v>
      </c>
      <c r="V9" s="58">
        <f t="shared" si="5"/>
        <v>3</v>
      </c>
      <c r="W9" s="58">
        <f t="shared" si="6"/>
        <v>3</v>
      </c>
      <c r="X9" s="58">
        <f t="shared" si="7"/>
        <v>0</v>
      </c>
      <c r="Y9" s="58">
        <f t="shared" si="9"/>
        <v>0</v>
      </c>
      <c r="AA9" s="58">
        <f>COUNTIF(AN8:AN11,CONCATENATE("&gt;=",AN9))</f>
        <v>4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0</v>
      </c>
      <c r="AG9" s="58">
        <f>SUMIF($E$7:$E$54,$AB9,$G$7:$G$54) + SUMIF($H$7:$H$54,$AB9,$F$7:$F$54)</f>
        <v>6</v>
      </c>
      <c r="AH9" s="58">
        <f>(AF9-AG9)+1</f>
        <v>-5</v>
      </c>
      <c r="AI9" s="58">
        <f>AF9-AG9</f>
        <v>-6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2.7149999999999999E-4</v>
      </c>
      <c r="AO9" s="60" t="str">
        <f>IF(SUM(AC8:AE11)=12,J10,INDEX(T,71,lang))</f>
        <v>2A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Uruguay</v>
      </c>
      <c r="K10" s="27">
        <f>L10+M10+N10</f>
        <v>2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0</v>
      </c>
      <c r="O10" s="27" t="str">
        <f>VLOOKUP(2,AA8:AK11,6,FALSE) &amp; " - " &amp; VLOOKUP(2,AA8:AK11,7,FALSE)</f>
        <v>2 - 0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3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2</v>
      </c>
      <c r="AF10" s="58">
        <f>SUMIF($E$7:$E$54,$AB10,$F$7:$F$54) + SUMIF($H$7:$H$54,$AB10,$G$7:$G$54)</f>
        <v>1</v>
      </c>
      <c r="AG10" s="58">
        <f>SUMIF($E$7:$E$54,$AB10,$G$7:$G$54) + SUMIF($H$7:$H$54,$AB10,$F$7:$F$54)</f>
        <v>4</v>
      </c>
      <c r="AH10" s="58">
        <f>(AF10-AG10)+1</f>
        <v>-2</v>
      </c>
      <c r="AI10" s="58">
        <f>AF10-AG10</f>
        <v>-3</v>
      </c>
      <c r="AJ10" s="58">
        <f>(AI10-AI13)/AI12</f>
        <v>0.21428571428571427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22.540085039682538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1A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Egypt</v>
      </c>
      <c r="K11" s="27">
        <f>L11+M11+N11</f>
        <v>2</v>
      </c>
      <c r="L11" s="27">
        <f>VLOOKUP(3,AA8:AK11,3,FALSE)</f>
        <v>0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1 - 4</v>
      </c>
      <c r="P11" s="73">
        <f>L11*3+M11</f>
        <v>0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2</v>
      </c>
      <c r="AB11" s="59" t="str">
        <f>VLOOKUP("Uruguay",T,lang,FALSE)</f>
        <v>Uruguay</v>
      </c>
      <c r="AC11" s="58">
        <f>COUNTIF($S$7:$T$54,"=" &amp; AB11 &amp; "_win")</f>
        <v>2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2</v>
      </c>
      <c r="AG11" s="58">
        <f>SUMIF($E$7:$E$54,$AB11,$G$7:$G$54) + SUMIF($H$7:$H$54,$AB11,$F$7:$F$54)</f>
        <v>0</v>
      </c>
      <c r="AH11" s="58">
        <f>(AF11-AG11)+1</f>
        <v>3</v>
      </c>
      <c r="AI11" s="58">
        <f>AF11-AG11</f>
        <v>2</v>
      </c>
      <c r="AJ11" s="58">
        <f>(AI11-AI13)/AI12</f>
        <v>0.5714285714285714</v>
      </c>
      <c r="AK11" s="58">
        <f>AC11*3+AD11</f>
        <v>6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916.50839850793636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2B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Saudi Arabia</v>
      </c>
      <c r="K12" s="75">
        <f>L12+M12+N12</f>
        <v>2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2</v>
      </c>
      <c r="O12" s="75" t="str">
        <f>VLOOKUP(4,AA8:AK11,6,FALSE) &amp; " - " &amp; VLOOKUP(4,AA8:AK11,7,FALSE)</f>
        <v>0 - 6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3</v>
      </c>
      <c r="AD12" s="58">
        <f t="shared" si="10"/>
        <v>1</v>
      </c>
      <c r="AE12" s="58">
        <f t="shared" si="10"/>
        <v>3</v>
      </c>
      <c r="AF12" s="58">
        <f t="shared" si="10"/>
        <v>9</v>
      </c>
      <c r="AG12" s="58">
        <f t="shared" si="10"/>
        <v>7</v>
      </c>
      <c r="AH12" s="58">
        <f>MAX(AH8:AH11)-AH13+1</f>
        <v>14</v>
      </c>
      <c r="AI12" s="58">
        <f>MAX(AI8:AI11)-AI13+1</f>
        <v>14</v>
      </c>
      <c r="AK12" s="58">
        <f t="shared" si="10"/>
        <v>7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-5</v>
      </c>
      <c r="AI13" s="58">
        <f>MIN(AI8:AI11)</f>
        <v>-6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1</v>
      </c>
      <c r="AE14" s="58">
        <f>COUNTIF($S$7:$T$54,"=" &amp; AB14 &amp; "_lose")</f>
        <v>0</v>
      </c>
      <c r="AF14" s="58">
        <f>SUMIF($E$7:$E$54,$AB14,$F$7:$F$54) + SUMIF($H$7:$H$54,$AB14,$G$7:$G$54)</f>
        <v>4</v>
      </c>
      <c r="AG14" s="58">
        <f>SUMIF($E$7:$E$54,$AB14,$G$7:$G$54) + SUMIF($H$7:$H$54,$AB14,$F$7:$F$54)</f>
        <v>3</v>
      </c>
      <c r="AH14" s="58">
        <f>(AF14-AG14)*100+AK14*10000+AF14</f>
        <v>40104</v>
      </c>
      <c r="AI14" s="58">
        <f>AF14-AG14</f>
        <v>1</v>
      </c>
      <c r="AJ14" s="58">
        <f>(AI14-AI19)/AI18</f>
        <v>0.75</v>
      </c>
      <c r="AK14" s="58">
        <f>AC14*3+AD14</f>
        <v>4</v>
      </c>
      <c r="AL14" s="58">
        <f>AP14/AP18*1000+AQ14/AQ18*100+AT14/AT18*10+AR14/AR18</f>
        <v>50.75</v>
      </c>
      <c r="AM14" s="58">
        <f>VLOOKUP(AB14,db_fifarank,2,FALSE)/2000000</f>
        <v>6.7900000000000002E-4</v>
      </c>
      <c r="AN14" s="59">
        <f>1000*AK14/AK18+100*AJ14+10*AF14/AF18+1*AL14/AL18+AM14</f>
        <v>883.98135532850245</v>
      </c>
      <c r="AO14" s="60" t="str">
        <f>IF(SUM(AC14:AE17)=12,J15,INDEX(T,72,lang))</f>
        <v>1B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1</v>
      </c>
      <c r="AR14" s="62">
        <f>SUMPRODUCT(($E$7:$E$54=AB14)*($U$7:$U$54)*($F$7:$F$54))+SUMPRODUCT(($H$7:$H$54=AB14)*($U$7:$U$54)*($G$7:$G$54))</f>
        <v>3</v>
      </c>
      <c r="AS14" s="62">
        <f>SUMPRODUCT(($E$7:$E$54=AB14)*($U$7:$U$54)*($G$7:$G$54))+SUMPRODUCT(($H$7:$H$54=AB14)*($U$7:$U$54)*($F$7:$F$54))</f>
        <v>3</v>
      </c>
      <c r="AT14" s="62">
        <f>AR14-AS14</f>
        <v>0</v>
      </c>
      <c r="AY14" s="129">
        <v>50</v>
      </c>
      <c r="AZ14" s="28" t="str">
        <f>AO20</f>
        <v>1C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Portugal</v>
      </c>
      <c r="K15" s="70">
        <f>L15+M15+N15</f>
        <v>2</v>
      </c>
      <c r="L15" s="70">
        <f>VLOOKUP(1,AA14:AK17,3,FALSE)</f>
        <v>1</v>
      </c>
      <c r="M15" s="70">
        <f>VLOOKUP(1,AA14:AK17,4,FALSE)</f>
        <v>1</v>
      </c>
      <c r="N15" s="70">
        <f>VLOOKUP(1,AA14:AK17,5,FALSE)</f>
        <v>0</v>
      </c>
      <c r="O15" s="70" t="str">
        <f>VLOOKUP(1,AA14:AK17,6,FALSE) &amp; " - " &amp; VLOOKUP(1,AA14:AK17,7,FALSE)</f>
        <v>4 - 3</v>
      </c>
      <c r="P15" s="71">
        <f>L15*3+M15</f>
        <v>4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1</v>
      </c>
      <c r="AE15" s="58">
        <f>COUNTIF($S$7:$T$54,"=" &amp; AB15 &amp; "_lose")</f>
        <v>0</v>
      </c>
      <c r="AF15" s="58">
        <f>SUMIF($E$7:$E$54,$AB15,$F$7:$F$54) + SUMIF($H$7:$H$54,$AB15,$G$7:$G$54)</f>
        <v>4</v>
      </c>
      <c r="AG15" s="58">
        <f>SUMIF($E$7:$E$54,$AB15,$G$7:$G$54) + SUMIF($H$7:$H$54,$AB15,$F$7:$F$54)</f>
        <v>3</v>
      </c>
      <c r="AH15" s="58">
        <f>(AF15-AG15)*100+AK15*10000+AF15</f>
        <v>40104</v>
      </c>
      <c r="AI15" s="58">
        <f>AF15-AG15</f>
        <v>1</v>
      </c>
      <c r="AJ15" s="58">
        <f>(AI15-AI19)/AI18</f>
        <v>0.75</v>
      </c>
      <c r="AK15" s="58">
        <f>AC15*3+AD15</f>
        <v>4</v>
      </c>
      <c r="AL15" s="58">
        <f>AP15/AP18*1000+AQ15/AQ18*100+AT15/AT18*10+AR15/AR18</f>
        <v>50.75</v>
      </c>
      <c r="AM15" s="58">
        <f>VLOOKUP(AB15,db_fifarank,2,FALSE)/2000000</f>
        <v>6.1550000000000005E-4</v>
      </c>
      <c r="AN15" s="59">
        <f>1000*AK15/AK18+100*AJ15+10*AF15/AF18+1*AL15/AL18+AM15</f>
        <v>883.98129182850244</v>
      </c>
      <c r="AO15" s="60" t="str">
        <f>IF(SUM(AC14:AE17)=12,J16,INDEX(T,73,lang))</f>
        <v>2B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1</v>
      </c>
      <c r="AR15" s="62">
        <f>SUMPRODUCT(($E$7:$E$54=AB15)*($U$7:$U$54)*($F$7:$F$54))+SUMPRODUCT(($H$7:$H$54=AB15)*($U$7:$U$54)*($G$7:$G$54))</f>
        <v>3</v>
      </c>
      <c r="AS15" s="62">
        <f>SUMPRODUCT(($E$7:$E$54=AB15)*($U$7:$U$54)*($G$7:$G$54))+SUMPRODUCT(($H$7:$H$54=AB15)*($U$7:$U$54)*($F$7:$F$54))</f>
        <v>3</v>
      </c>
      <c r="AT15" s="62">
        <f>AR15-AS15</f>
        <v>0</v>
      </c>
      <c r="AY15" s="130"/>
      <c r="AZ15" s="31" t="str">
        <f>AO27</f>
        <v>2D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Spain</v>
      </c>
      <c r="K16" s="27">
        <f>L16+M16+N16</f>
        <v>2</v>
      </c>
      <c r="L16" s="27">
        <f>VLOOKUP(2,AA14:AK17,3,FALSE)</f>
        <v>1</v>
      </c>
      <c r="M16" s="27">
        <f>VLOOKUP(2,AA14:AK17,4,FALSE)</f>
        <v>1</v>
      </c>
      <c r="N16" s="27">
        <f>VLOOKUP(2,AA14:AK17,5,FALSE)</f>
        <v>0</v>
      </c>
      <c r="O16" s="27" t="str">
        <f>VLOOKUP(2,AA14:AK17,6,FALSE) &amp; " - " &amp; VLOOKUP(2,AA14:AK17,7,FALSE)</f>
        <v>4 - 3</v>
      </c>
      <c r="P16" s="73">
        <f>L16*3+M16</f>
        <v>4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2</v>
      </c>
      <c r="AF16" s="58">
        <f>SUMIF($E$7:$E$54,$AB16,$F$7:$F$54) + SUMIF($H$7:$H$54,$AB16,$G$7:$G$54)</f>
        <v>0</v>
      </c>
      <c r="AG16" s="58">
        <f>SUMIF($E$7:$E$54,$AB16,$G$7:$G$54) + SUMIF($H$7:$H$54,$AB16,$F$7:$F$54)</f>
        <v>2</v>
      </c>
      <c r="AH16" s="58">
        <f>(AF16-AG16)*100+AK16*10000+AF16</f>
        <v>-200</v>
      </c>
      <c r="AI16" s="58">
        <f>AF16-AG16</f>
        <v>-2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3.6900000000000002E-4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2</v>
      </c>
      <c r="L17" s="27">
        <f>VLOOKUP(3,AA14:AK17,3,FALSE)</f>
        <v>1</v>
      </c>
      <c r="M17" s="27">
        <f>VLOOKUP(3,AA14:AK17,4,FALSE)</f>
        <v>0</v>
      </c>
      <c r="N17" s="27">
        <f>VLOOKUP(3,AA14:AK17,5,FALSE)</f>
        <v>1</v>
      </c>
      <c r="O17" s="27" t="str">
        <f>VLOOKUP(3,AA14:AK17,6,FALSE) &amp; " - " &amp; VLOOKUP(3,AA14:AK17,7,FALSE)</f>
        <v>1 - 1</v>
      </c>
      <c r="P17" s="73">
        <f>L17*3+M17</f>
        <v>3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0</v>
      </c>
      <c r="AE17" s="58">
        <f>COUNTIF($S$7:$T$54,"=" &amp; AB17 &amp; "_lose")</f>
        <v>1</v>
      </c>
      <c r="AF17" s="58">
        <f>SUMIF($E$7:$E$54,$AB17,$F$7:$F$54) + SUMIF($H$7:$H$54,$AB17,$G$7:$G$54)</f>
        <v>1</v>
      </c>
      <c r="AG17" s="58">
        <f>SUMIF($E$7:$E$54,$AB17,$G$7:$G$54) + SUMIF($H$7:$H$54,$AB17,$F$7:$F$54)</f>
        <v>1</v>
      </c>
      <c r="AH17" s="58">
        <f>(AF17-AG17)*100+AK17*10000+AF17</f>
        <v>30001</v>
      </c>
      <c r="AI17" s="58">
        <f>AF17-AG17</f>
        <v>0</v>
      </c>
      <c r="AJ17" s="58">
        <f>(AI17-AI19)/AI18</f>
        <v>0.5</v>
      </c>
      <c r="AK17" s="58">
        <f>AC17*3+AD17</f>
        <v>3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652.00039900000002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2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2</v>
      </c>
      <c r="O18" s="75" t="str">
        <f>VLOOKUP(4,AA14:AK17,6,FALSE) &amp; " - " &amp; VLOOKUP(4,AA14:AK17,7,FALSE)</f>
        <v>0 - 2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3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51.75</v>
      </c>
      <c r="AP18" s="58">
        <f>MAX(AP14:AP17)-MIN(AP14:AP17)+1</f>
        <v>1</v>
      </c>
      <c r="AQ18" s="58">
        <f>MAX(AQ14:AQ17)-MIN(AQ14:AQ17)+1</f>
        <v>2</v>
      </c>
      <c r="AR18" s="58">
        <f>MAX(AR14:AR17)-MIN(AR14:AR17)+1</f>
        <v>4</v>
      </c>
      <c r="AS18" s="58">
        <f>MAX(AS14:AS17)-MIN(AS14:AS17)+1</f>
        <v>4</v>
      </c>
      <c r="AT18" s="58">
        <f>MAX(AT14:AT17)-MIN(AT14:AT17)+1</f>
        <v>1</v>
      </c>
      <c r="AY18" s="129">
        <v>53</v>
      </c>
      <c r="AZ18" s="28" t="str">
        <f>AO32</f>
        <v>1E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-200</v>
      </c>
      <c r="AI19" s="58">
        <f>MIN(AI14:AI17)</f>
        <v>-2</v>
      </c>
      <c r="AY19" s="130"/>
      <c r="AZ19" s="31" t="str">
        <f>AO39</f>
        <v>2F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60203</v>
      </c>
      <c r="AI20" s="58">
        <f>AF20-AG20</f>
        <v>2</v>
      </c>
      <c r="AJ20" s="58">
        <f>(AI20-AI25)/AI24</f>
        <v>0.8</v>
      </c>
      <c r="AK20" s="58">
        <f>AC20*3+AD20</f>
        <v>6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944.64344864285715</v>
      </c>
      <c r="AO20" s="60" t="str">
        <f>IF(SUM(AC20:AE23)=12,J21,INDEX(T,74,lang))</f>
        <v>1C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2</v>
      </c>
      <c r="L21" s="70">
        <f>VLOOKUP(1,AA20:AK23,3,FALSE)</f>
        <v>2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6</v>
      </c>
      <c r="R21" s="58">
        <f>DATE(2018,6,19)+TIME(4,0,0)+gmt_delta</f>
        <v>43270.625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3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1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3</v>
      </c>
      <c r="AH21" s="58">
        <f>(AF21-AG21)*100+AK21*10000+AF21</f>
        <v>9902</v>
      </c>
      <c r="AI21" s="58">
        <f>AF21-AG21</f>
        <v>-1</v>
      </c>
      <c r="AJ21" s="58">
        <f>(AI21-AI25)/AI24</f>
        <v>0.2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167.85751635714286</v>
      </c>
      <c r="AO21" s="60" t="str">
        <f>IF(SUM(AC20:AE23)=12,J22,INDEX(T,75,lang))</f>
        <v>2C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2</v>
      </c>
      <c r="L22" s="27">
        <f>VLOOKUP(2,AA20:AK23,3,FALSE)</f>
        <v>1</v>
      </c>
      <c r="M22" s="27">
        <f>VLOOKUP(2,AA20:AK23,4,FALSE)</f>
        <v>1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4</v>
      </c>
      <c r="R22" s="58">
        <f>DATE(2018,6,19)+TIME(1,0,0)+gmt_delta</f>
        <v>43270.5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4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0</v>
      </c>
      <c r="AG22" s="58">
        <f>SUMIF($E$7:$E$54,$AB22,$G$7:$G$54) + SUMIF($H$7:$H$54,$AB22,$F$7:$F$54)</f>
        <v>2</v>
      </c>
      <c r="AH22" s="58">
        <f>(AF22-AG22)*100+AK22*10000+AF22</f>
        <v>-200</v>
      </c>
      <c r="AI22" s="58">
        <f>AF22-AG22</f>
        <v>-2</v>
      </c>
      <c r="AJ22" s="58">
        <f>(AI22-AI25)/AI24</f>
        <v>0</v>
      </c>
      <c r="AK22" s="58">
        <f>AC22*3+AD22</f>
        <v>0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5.6400000000000005E-4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Australia</v>
      </c>
      <c r="K23" s="27">
        <f>L23+M23+N23</f>
        <v>2</v>
      </c>
      <c r="L23" s="27">
        <f>VLOOKUP(3,AA20:AK23,3,FALSE)</f>
        <v>0</v>
      </c>
      <c r="M23" s="27">
        <f>VLOOKUP(3,AA20:AK23,4,FALSE)</f>
        <v>1</v>
      </c>
      <c r="N23" s="27">
        <f>VLOOKUP(3,AA20:AK23,5,FALSE)</f>
        <v>1</v>
      </c>
      <c r="O23" s="27" t="str">
        <f>VLOOKUP(3,AA20:AK23,6,FALSE) &amp; " - " &amp; VLOOKUP(3,AA20:AK23,7,FALSE)</f>
        <v>2 - 3</v>
      </c>
      <c r="P23" s="73">
        <f>L23*3+M23</f>
        <v>1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1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40102</v>
      </c>
      <c r="AI23" s="58">
        <f>AF23-AG23</f>
        <v>1</v>
      </c>
      <c r="AJ23" s="58">
        <f>(AI23-AI25)/AI24</f>
        <v>0.6</v>
      </c>
      <c r="AK23" s="58">
        <f>AC23*3+AD23</f>
        <v>4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636.42912092857148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Peru</v>
      </c>
      <c r="K24" s="75">
        <f>L24+M24+N24</f>
        <v>2</v>
      </c>
      <c r="L24" s="75">
        <f>VLOOKUP(4,AA20:AK23,3,FALSE)</f>
        <v>0</v>
      </c>
      <c r="M24" s="75">
        <f>VLOOKUP(4,AA20:AK23,4,FALSE)</f>
        <v>0</v>
      </c>
      <c r="N24" s="75">
        <f>VLOOKUP(4,AA20:AK23,5,FALSE)</f>
        <v>2</v>
      </c>
      <c r="O24" s="75" t="str">
        <f>VLOOKUP(4,AA20:AK23,6,FALSE) &amp; " - " &amp; VLOOKUP(4,AA20:AK23,7,FALSE)</f>
        <v>0 - 2</v>
      </c>
      <c r="P24" s="76">
        <f>L24*3+M24</f>
        <v>0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2</v>
      </c>
      <c r="AE24" s="58">
        <f t="shared" si="12"/>
        <v>3</v>
      </c>
      <c r="AF24" s="58">
        <f t="shared" si="12"/>
        <v>4</v>
      </c>
      <c r="AG24" s="58">
        <f t="shared" si="12"/>
        <v>3</v>
      </c>
      <c r="AH24" s="58">
        <f>MAX(AH20:AH23)-AH25+1</f>
        <v>60404</v>
      </c>
      <c r="AI24" s="58">
        <f>MAX(AI20:AI23)-AI25+1</f>
        <v>5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-200</v>
      </c>
      <c r="AI25" s="58">
        <f>MIN(AI20:AI23)</f>
        <v>-2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4</v>
      </c>
      <c r="AB26" s="59" t="str">
        <f>VLOOKUP("Argentina",T,lang,FALSE)</f>
        <v>Argentina</v>
      </c>
      <c r="AC26" s="58">
        <f>COUNTIF($S$7:$T$54,"=" &amp; AB26 &amp; "_win")</f>
        <v>0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1</v>
      </c>
      <c r="AG26" s="58">
        <f>SUMIF($E$7:$E$54,$AB26,$G$7:$G$54) + SUMIF($H$7:$H$54,$AB26,$F$7:$F$54)</f>
        <v>4</v>
      </c>
      <c r="AH26" s="58">
        <f>(AF26-AG26)*100+AK26*10000+AF26</f>
        <v>9701</v>
      </c>
      <c r="AI26" s="58">
        <f>AF26-AG26</f>
        <v>-3</v>
      </c>
      <c r="AJ26" s="58">
        <f>(AI26-AI31)/AI30</f>
        <v>0</v>
      </c>
      <c r="AK26" s="58">
        <f>AC26*3+AD26</f>
        <v>1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168.66734066666666</v>
      </c>
      <c r="AO26" s="60" t="str">
        <f>IF(SUM(AC26:AE29)=12,J27,INDEX(T,76,lang))</f>
        <v>1D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1B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2</v>
      </c>
      <c r="L27" s="70">
        <f>VLOOKUP(1,AA26:AK29,3,FALSE)</f>
        <v>2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5 - 0</v>
      </c>
      <c r="P27" s="71">
        <f>L27*3+M27</f>
        <v>6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1</v>
      </c>
      <c r="AF27" s="58">
        <f>SUMIF($E$7:$E$54,$AB27,$F$7:$F$54) + SUMIF($H$7:$H$54,$AB27,$G$7:$G$54)</f>
        <v>1</v>
      </c>
      <c r="AG27" s="58">
        <f>SUMIF($E$7:$E$54,$AB27,$G$7:$G$54) + SUMIF($H$7:$H$54,$AB27,$F$7:$F$54)</f>
        <v>3</v>
      </c>
      <c r="AH27" s="58">
        <f>(AF27-AG27)*100+AK27*10000+AF27</f>
        <v>9801</v>
      </c>
      <c r="AI27" s="58">
        <f>AF27-AG27</f>
        <v>-2</v>
      </c>
      <c r="AJ27" s="58">
        <f>(AI27-AI31)/AI30</f>
        <v>0.1111111111111111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179.77823277777776</v>
      </c>
      <c r="AO27" s="60" t="str">
        <f>IF(SUM(AC26:AE29)=12,J28,INDEX(T,77,lang))</f>
        <v>2D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2A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Nigeria</v>
      </c>
      <c r="K28" s="27">
        <f>L28+M28+N28</f>
        <v>2</v>
      </c>
      <c r="L28" s="27">
        <f>VLOOKUP(2,AA26:AK29,3,FALSE)</f>
        <v>1</v>
      </c>
      <c r="M28" s="27">
        <f>VLOOKUP(2,AA26:AK29,4,FALSE)</f>
        <v>0</v>
      </c>
      <c r="N28" s="27">
        <f>VLOOKUP(2,AA26:AK29,5,FALSE)</f>
        <v>1</v>
      </c>
      <c r="O28" s="27" t="str">
        <f>VLOOKUP(2,AA26:AK29,6,FALSE) &amp; " - " &amp; VLOOKUP(2,AA26:AK29,7,FALSE)</f>
        <v>2 - 2</v>
      </c>
      <c r="P28" s="73">
        <f>L28*3+M28</f>
        <v>3</v>
      </c>
      <c r="R28" s="58">
        <f>DATE(2018,6,21)+TIME(1,0,0)+gmt_delta</f>
        <v>43272.5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2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5</v>
      </c>
      <c r="AG28" s="58">
        <f>SUMIF($E$7:$E$54,$AB28,$G$7:$G$54) + SUMIF($H$7:$H$54,$AB28,$F$7:$F$54)</f>
        <v>0</v>
      </c>
      <c r="AH28" s="58">
        <f>(AF28-AG28)*100+AK28*10000+AF28</f>
        <v>60505</v>
      </c>
      <c r="AI28" s="58">
        <f>AF28-AG28</f>
        <v>5</v>
      </c>
      <c r="AJ28" s="58">
        <f>(AI28-AI31)/AI30</f>
        <v>0.88888888888888884</v>
      </c>
      <c r="AK28" s="58">
        <f>AC28*3+AD28</f>
        <v>6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1098.8893978888889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Iceland</v>
      </c>
      <c r="K29" s="27">
        <f>L29+M29+N29</f>
        <v>2</v>
      </c>
      <c r="L29" s="27">
        <f>VLOOKUP(3,AA26:AK29,3,FALSE)</f>
        <v>0</v>
      </c>
      <c r="M29" s="27">
        <f>VLOOKUP(3,AA26:AK29,4,FALSE)</f>
        <v>1</v>
      </c>
      <c r="N29" s="27">
        <f>VLOOKUP(3,AA26:AK29,5,FALSE)</f>
        <v>1</v>
      </c>
      <c r="O29" s="27" t="str">
        <f>VLOOKUP(3,AA26:AK29,6,FALSE) &amp; " - " &amp; VLOOKUP(3,AA26:AK29,7,FALSE)</f>
        <v>1 - 3</v>
      </c>
      <c r="P29" s="73">
        <f>L29*3+M29</f>
        <v>1</v>
      </c>
      <c r="R29" s="58">
        <f>DATE(2018,6,21)+TIME(7,0,0)+gmt_delta</f>
        <v>43272.75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-1</v>
      </c>
      <c r="AA29" s="58">
        <f>COUNTIF(AN26:AN29,CONCATENATE("&gt;=",AN29))</f>
        <v>2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1</v>
      </c>
      <c r="AF29" s="58">
        <f>SUMIF($E$7:$E$54,$AB29,$F$7:$F$54) + SUMIF($H$7:$H$54,$AB29,$G$7:$G$54)</f>
        <v>2</v>
      </c>
      <c r="AG29" s="58">
        <f>SUMIF($E$7:$E$54,$AB29,$G$7:$G$54) + SUMIF($H$7:$H$54,$AB29,$F$7:$F$54)</f>
        <v>2</v>
      </c>
      <c r="AH29" s="58">
        <f>(AF29-AG29)*100+AK29*10000+AF29</f>
        <v>30002</v>
      </c>
      <c r="AI29" s="58">
        <f>AF29-AG29</f>
        <v>0</v>
      </c>
      <c r="AJ29" s="58">
        <f>(AI29-AI31)/AI30</f>
        <v>0.33333333333333331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537.33365333333336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Argentina</v>
      </c>
      <c r="K30" s="75">
        <f>L30+M30+N30</f>
        <v>2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1</v>
      </c>
      <c r="O30" s="75" t="str">
        <f>VLOOKUP(4,AA26:AK29,6,FALSE) &amp; " - " &amp; VLOOKUP(4,AA26:AK29,7,FALSE)</f>
        <v>1 - 4</v>
      </c>
      <c r="P30" s="76">
        <f>L30*3+M30</f>
        <v>1</v>
      </c>
      <c r="R30" s="58">
        <f>DATE(2018,6,22)+TIME(4,0,0)+gmt_delta</f>
        <v>43273.625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3</v>
      </c>
      <c r="AD30" s="58">
        <f t="shared" si="13"/>
        <v>2</v>
      </c>
      <c r="AE30" s="58">
        <f t="shared" si="13"/>
        <v>2</v>
      </c>
      <c r="AF30" s="58">
        <f t="shared" si="13"/>
        <v>5</v>
      </c>
      <c r="AG30" s="58">
        <f t="shared" si="13"/>
        <v>5</v>
      </c>
      <c r="AH30" s="58">
        <f>MAX(AH26:AH29)-AH31+1</f>
        <v>50805</v>
      </c>
      <c r="AI30" s="58">
        <f>MAX(AI26:AI29)-AI31+1</f>
        <v>9</v>
      </c>
      <c r="AK30" s="58">
        <f t="shared" si="13"/>
        <v>6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1D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9701</v>
      </c>
      <c r="AI31" s="58">
        <f>MIN(AI26:AI29)</f>
        <v>-3</v>
      </c>
      <c r="AY31" s="130"/>
      <c r="AZ31" s="31" t="str">
        <f>AO21</f>
        <v>2C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1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3</v>
      </c>
      <c r="AG32" s="58">
        <f>SUMIF($E$7:$E$54,$AB32,$G$7:$G$54) + SUMIF($H$7:$H$54,$AB32,$F$7:$F$54)</f>
        <v>1</v>
      </c>
      <c r="AH32" s="58">
        <f>(AF32-AG32)*100+AK32*10000+AF32</f>
        <v>40203</v>
      </c>
      <c r="AI32" s="58">
        <f>AF32-AG32</f>
        <v>2</v>
      </c>
      <c r="AJ32" s="58">
        <f>(AI32-AI37)/AI36</f>
        <v>0.83333333333333337</v>
      </c>
      <c r="AK32" s="58">
        <f>AC32*3+AD32</f>
        <v>4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890.83407483333337</v>
      </c>
      <c r="AO32" s="60" t="str">
        <f>IF(SUM(AC32:AE35)=12,J33,INDEX(T,78,lang))</f>
        <v>1E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W59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2</v>
      </c>
      <c r="L33" s="70">
        <f>VLOOKUP(1,AA32:AK35,3,FALSE)</f>
        <v>1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3 - 1</v>
      </c>
      <c r="P33" s="71">
        <f>L33*3+M33</f>
        <v>4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1</v>
      </c>
      <c r="V33" s="58">
        <f t="shared" si="5"/>
        <v>2</v>
      </c>
      <c r="W33" s="58">
        <f t="shared" si="6"/>
        <v>1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1</v>
      </c>
      <c r="AE33" s="58">
        <f>COUNTIF($S$7:$T$54,"=" &amp; AB33 &amp; "_lose")</f>
        <v>0</v>
      </c>
      <c r="AF33" s="58">
        <f>SUMIF($E$7:$E$54,$AB33,$F$7:$F$54) + SUMIF($H$7:$H$54,$AB33,$G$7:$G$54)</f>
        <v>3</v>
      </c>
      <c r="AG33" s="58">
        <f>SUMIF($E$7:$E$54,$AB33,$G$7:$G$54) + SUMIF($H$7:$H$54,$AB33,$F$7:$F$54)</f>
        <v>2</v>
      </c>
      <c r="AH33" s="58">
        <f>(AF33-AG33)*100+AK33*10000+AF33</f>
        <v>40103</v>
      </c>
      <c r="AI33" s="58">
        <f>AF33-AG33</f>
        <v>1</v>
      </c>
      <c r="AJ33" s="58">
        <f>(AI33-AI37)/AI36</f>
        <v>0.66666666666666663</v>
      </c>
      <c r="AK33" s="58">
        <f>AC33*3+AD33</f>
        <v>4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874.1672616666666</v>
      </c>
      <c r="AO33" s="60" t="str">
        <f>IF(SUM(AC32:AE35)=12,J34,INDEX(T,79,lang))</f>
        <v>2E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2</v>
      </c>
      <c r="L34" s="27">
        <f>VLOOKUP(2,AA32:AK35,3,FALSE)</f>
        <v>1</v>
      </c>
      <c r="M34" s="27">
        <f>VLOOKUP(2,AA32:AK35,4,FALSE)</f>
        <v>1</v>
      </c>
      <c r="N34" s="27">
        <f>VLOOKUP(2,AA32:AK35,5,FALSE)</f>
        <v>0</v>
      </c>
      <c r="O34" s="27" t="str">
        <f>VLOOKUP(2,AA32:AK35,6,FALSE) &amp; " - " &amp; VLOOKUP(2,AA32:AK35,7,FALSE)</f>
        <v>3 - 2</v>
      </c>
      <c r="P34" s="73">
        <f>L34*3+M34</f>
        <v>4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2</v>
      </c>
      <c r="AF34" s="58">
        <f>SUMIF($E$7:$E$54,$AB34,$F$7:$F$54) + SUMIF($H$7:$H$54,$AB34,$G$7:$G$54)</f>
        <v>0</v>
      </c>
      <c r="AG34" s="58">
        <f>SUMIF($E$7:$E$54,$AB34,$G$7:$G$54) + SUMIF($H$7:$H$54,$AB34,$F$7:$F$54)</f>
        <v>3</v>
      </c>
      <c r="AH34" s="58">
        <f>(AF34-AG34)*100+AK34*10000+AF34</f>
        <v>-300</v>
      </c>
      <c r="AI34" s="58">
        <f>AF34-AG34</f>
        <v>-3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4.2499999999999998E-4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1F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2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1</v>
      </c>
      <c r="O35" s="27" t="str">
        <f>VLOOKUP(3,AA32:AK35,6,FALSE) &amp; " - " &amp; VLOOKUP(3,AA32:AK35,7,FALSE)</f>
        <v>2 - 2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1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2</v>
      </c>
      <c r="AH35" s="58">
        <f>(AF35-AG35)*100+AK35*10000+AF35</f>
        <v>30002</v>
      </c>
      <c r="AI35" s="58">
        <f>AF35-AG35</f>
        <v>0</v>
      </c>
      <c r="AJ35" s="58">
        <f>(AI35-AI37)/AI36</f>
        <v>0.5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655.00037799999996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2E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2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2</v>
      </c>
      <c r="O36" s="75" t="str">
        <f>VLOOKUP(4,AA32:AK35,6,FALSE) &amp; " - " &amp; VLOOKUP(4,AA32:AK35,7,FALSE)</f>
        <v>0 - 3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2</v>
      </c>
      <c r="AD36" s="58">
        <f t="shared" si="14"/>
        <v>2</v>
      </c>
      <c r="AE36" s="58">
        <f t="shared" si="14"/>
        <v>3</v>
      </c>
      <c r="AF36" s="58">
        <f t="shared" si="14"/>
        <v>4</v>
      </c>
      <c r="AG36" s="58">
        <f t="shared" si="14"/>
        <v>3</v>
      </c>
      <c r="AH36" s="58">
        <f>MAX(AH32:AH35)-AH37+1</f>
        <v>40504</v>
      </c>
      <c r="AI36" s="58">
        <f>MAX(AI32:AI35)-AI37+1</f>
        <v>6</v>
      </c>
      <c r="AK36" s="58">
        <f t="shared" si="14"/>
        <v>5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-300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1</v>
      </c>
      <c r="V38" s="58">
        <f t="shared" si="5"/>
        <v>2</v>
      </c>
      <c r="W38" s="58">
        <f t="shared" si="6"/>
        <v>2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2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2</v>
      </c>
      <c r="AH38" s="58">
        <f>(AF38-AG38)*100+AK38*10000+AF38</f>
        <v>30002</v>
      </c>
      <c r="AI38" s="58">
        <f>AF38-AG38</f>
        <v>0</v>
      </c>
      <c r="AJ38" s="58">
        <f>(AI38-AI43)/AI42</f>
        <v>0.4</v>
      </c>
      <c r="AK38" s="58">
        <f>AC38*3+AD38</f>
        <v>3</v>
      </c>
      <c r="AL38" s="58">
        <f>AP38/AP42*1000+AQ38/AQ42*100+AT38/AT42*10+AR38/AR42</f>
        <v>504</v>
      </c>
      <c r="AM38" s="58">
        <f>VLOOKUP(AB38,db_fifarank,2,FALSE)/2000000</f>
        <v>8.0099999999999995E-4</v>
      </c>
      <c r="AN38" s="59">
        <f>1000*AK38/AK42+100*AJ38+10*AF38/AF42+1*AL38/AL42+AM38</f>
        <v>476.23102222234724</v>
      </c>
      <c r="AO38" s="60" t="str">
        <f>IF(SUM(AC38:AE41)=12,J39,INDEX(T,80,lang))</f>
        <v>1F</v>
      </c>
      <c r="AP38" s="61">
        <f>SUMPRODUCT(($S$7:$S$54=AB38&amp;"_win")*($U$7:$U$54))+SUMPRODUCT(($T$7:$T$54=AB38&amp;"_win")*($U$7:$U$54))</f>
        <v>1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2</v>
      </c>
      <c r="AS38" s="62">
        <f>SUMPRODUCT(($E$7:$E$54=AB38)*($U$7:$U$54)*($G$7:$G$54))+SUMPRODUCT(($H$7:$H$54=AB38)*($U$7:$U$54)*($F$7:$F$54))</f>
        <v>1</v>
      </c>
      <c r="AT38" s="62">
        <f>AR38-AS38</f>
        <v>1</v>
      </c>
      <c r="AY38" s="129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/>
      <c r="G39" s="24"/>
      <c r="H39" s="67" t="str">
        <f>AB8</f>
        <v>Russia</v>
      </c>
      <c r="J39" s="69" t="str">
        <f>VLOOKUP(1,AA38:AK41,2,FALSE)</f>
        <v>Mexico</v>
      </c>
      <c r="K39" s="70">
        <f>L39+M39+N39</f>
        <v>2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3 - 1</v>
      </c>
      <c r="P39" s="71">
        <f>L39*3+M39</f>
        <v>6</v>
      </c>
      <c r="R39" s="58">
        <f>DATE(2018,6,25)+TIME(3,0,0)+gmt_delta</f>
        <v>43276.583333333336</v>
      </c>
      <c r="S39" s="65" t="str">
        <f t="shared" si="2"/>
        <v/>
      </c>
      <c r="T39" s="65" t="str">
        <f t="shared" si="3"/>
        <v/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 t="str">
        <f t="shared" si="9"/>
        <v/>
      </c>
      <c r="AA39" s="58">
        <f>COUNTIF(AN38:AN41,CONCATENATE("&gt;=",AN39))</f>
        <v>1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1</v>
      </c>
      <c r="AH39" s="58">
        <f>(AF39-AG39)*100+AK39*10000+AF39</f>
        <v>60203</v>
      </c>
      <c r="AI39" s="58">
        <f>AF39-AG39</f>
        <v>2</v>
      </c>
      <c r="AJ39" s="58">
        <f>(AI39-AI43)/AI42</f>
        <v>0.8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947.14337314285706</v>
      </c>
      <c r="AO39" s="60" t="str">
        <f>IF(SUM(AC38:AE41)=12,J40,INDEX(T,81,lang))</f>
        <v>2F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/>
      <c r="G40" s="24"/>
      <c r="H40" s="67" t="str">
        <f>AB10</f>
        <v>Egypt</v>
      </c>
      <c r="J40" s="72" t="str">
        <f>VLOOKUP(2,AA38:AK41,2,FALSE)</f>
        <v>Germany</v>
      </c>
      <c r="K40" s="27">
        <f>L40+M40+N40</f>
        <v>2</v>
      </c>
      <c r="L40" s="27">
        <f>VLOOKUP(2,AA38:AK41,3,FALSE)</f>
        <v>1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2 - 2</v>
      </c>
      <c r="P40" s="73">
        <f>L40*3+M40</f>
        <v>3</v>
      </c>
      <c r="R40" s="58">
        <f>DATE(2018,6,25)+TIME(3,0,0)+gmt_delta</f>
        <v>43276.583333333336</v>
      </c>
      <c r="S40" s="65" t="str">
        <f t="shared" si="2"/>
        <v/>
      </c>
      <c r="T40" s="65" t="str">
        <f t="shared" si="3"/>
        <v/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 t="str">
        <f t="shared" si="9"/>
        <v/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1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2</v>
      </c>
      <c r="AG40" s="58">
        <f>SUMIF($E$7:$E$54,$AB40,$G$7:$G$54) + SUMIF($H$7:$H$54,$AB40,$F$7:$F$54)</f>
        <v>2</v>
      </c>
      <c r="AH40" s="58">
        <f>(AF40-AG40)*100+AK40*10000+AF40</f>
        <v>30002</v>
      </c>
      <c r="AI40" s="58">
        <f>AF40-AG40</f>
        <v>0</v>
      </c>
      <c r="AJ40" s="58">
        <f>(AI40-AI43)/AI42</f>
        <v>0.4</v>
      </c>
      <c r="AK40" s="58">
        <f>AC40*3+AD40</f>
        <v>3</v>
      </c>
      <c r="AL40" s="58">
        <f>AP40/AP42*1000+AQ40/AQ42*100+AT40/AT42*10+AR40/AR42</f>
        <v>-2.9999999999999996</v>
      </c>
      <c r="AM40" s="58">
        <f>VLOOKUP(AB40,db_fifarank,2,FALSE)/2000000</f>
        <v>4.9899999999999999E-4</v>
      </c>
      <c r="AN40" s="59">
        <f>1000*AK40/AK42+100*AJ40+10*AF40/AF42+1*AL40/AL42+AM40</f>
        <v>475.23268872628421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1</v>
      </c>
      <c r="AS40" s="62">
        <f>SUMPRODUCT(($E$7:$E$54=AB40)*($U$7:$U$54)*($G$7:$G$54))+SUMPRODUCT(($H$7:$H$54=AB40)*($U$7:$U$54)*($F$7:$F$54))</f>
        <v>2</v>
      </c>
      <c r="AT40" s="62">
        <f>AR40-AS40</f>
        <v>-1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/>
      <c r="G41" s="24"/>
      <c r="H41" s="67" t="str">
        <f>AB14</f>
        <v>Portugal</v>
      </c>
      <c r="J41" s="72" t="str">
        <f>VLOOKUP(3,AA38:AK41,2,FALSE)</f>
        <v>Sweden</v>
      </c>
      <c r="K41" s="27">
        <f>L41+M41+N41</f>
        <v>2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1</v>
      </c>
      <c r="O41" s="27" t="str">
        <f>VLOOKUP(3,AA38:AK41,6,FALSE) &amp; " - " &amp; VLOOKUP(3,AA38:AK41,7,FALSE)</f>
        <v>2 - 2</v>
      </c>
      <c r="P41" s="73">
        <f>L41*3+M41</f>
        <v>3</v>
      </c>
      <c r="R41" s="58">
        <f>DATE(2018,6,25)+TIME(7,0,0)+gmt_delta</f>
        <v>43276.75</v>
      </c>
      <c r="S41" s="65" t="str">
        <f t="shared" si="2"/>
        <v/>
      </c>
      <c r="T41" s="65" t="str">
        <f t="shared" si="3"/>
        <v/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 t="str">
        <f t="shared" si="9"/>
        <v/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1</v>
      </c>
      <c r="AG41" s="58">
        <f>SUMIF($E$7:$E$54,$AB41,$G$7:$G$54) + SUMIF($H$7:$H$54,$AB41,$F$7:$F$54)</f>
        <v>3</v>
      </c>
      <c r="AH41" s="58">
        <f>(AF41-AG41)*100+AK41*10000+AF41</f>
        <v>-199</v>
      </c>
      <c r="AI41" s="58">
        <f>AF41-AG41</f>
        <v>-2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3.3336183333333334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/>
      <c r="G42" s="24"/>
      <c r="H42" s="67" t="str">
        <f>AB16</f>
        <v>Morocco</v>
      </c>
      <c r="J42" s="74" t="str">
        <f>VLOOKUP(4,AA38:AK41,2,FALSE)</f>
        <v>Korea Republic</v>
      </c>
      <c r="K42" s="75">
        <f>L42+M42+N42</f>
        <v>2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1 - 3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/>
      </c>
      <c r="T42" s="65" t="str">
        <f t="shared" si="3"/>
        <v/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 t="str">
        <f t="shared" si="9"/>
        <v/>
      </c>
      <c r="AC42" s="58">
        <f t="shared" ref="AC42:AL42" si="15">MAX(AC38:AC41)-MIN(AC38:AC41)+1</f>
        <v>3</v>
      </c>
      <c r="AD42" s="58">
        <f t="shared" si="15"/>
        <v>1</v>
      </c>
      <c r="AE42" s="58">
        <f t="shared" si="15"/>
        <v>3</v>
      </c>
      <c r="AF42" s="58">
        <f t="shared" si="15"/>
        <v>3</v>
      </c>
      <c r="AG42" s="58">
        <f t="shared" si="15"/>
        <v>3</v>
      </c>
      <c r="AH42" s="58">
        <f>MAX(AH38:AH41)-AH43+1</f>
        <v>60403</v>
      </c>
      <c r="AI42" s="58">
        <f>MAX(AI38:AI41)-AI43+1</f>
        <v>5</v>
      </c>
      <c r="AK42" s="58">
        <f t="shared" si="15"/>
        <v>7</v>
      </c>
      <c r="AL42" s="58">
        <f t="shared" si="15"/>
        <v>508</v>
      </c>
      <c r="AP42" s="58">
        <f>MAX(AP38:AP41)-MIN(AP38:AP41)+1</f>
        <v>2</v>
      </c>
      <c r="AQ42" s="58">
        <f>MAX(AQ38:AQ41)-MIN(AQ38:AQ41)+1</f>
        <v>1</v>
      </c>
      <c r="AR42" s="58">
        <f>MAX(AR38:AR41)-MIN(AR38:AR41)+1</f>
        <v>3</v>
      </c>
      <c r="AS42" s="58">
        <f>MAX(AS38:AS41)-MIN(AS38:AS41)+1</f>
        <v>3</v>
      </c>
      <c r="AT42" s="58">
        <f>MAX(AT38:AT41)-MIN(AT38:AT41)+1</f>
        <v>3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/>
      <c r="G43" s="24"/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/>
      </c>
      <c r="T43" s="65" t="str">
        <f t="shared" si="3"/>
        <v/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 t="str">
        <f t="shared" si="9"/>
        <v/>
      </c>
      <c r="AH43" s="58">
        <f>MIN(AH38:AH41)</f>
        <v>-199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/>
      <c r="G44" s="24"/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/>
      </c>
      <c r="T44" s="65" t="str">
        <f t="shared" si="3"/>
        <v/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 t="str">
        <f t="shared" si="9"/>
        <v/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2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8</v>
      </c>
      <c r="AG44" s="58">
        <f>SUMIF($E$7:$E$54,$AB44,$G$7:$G$54) + SUMIF($H$7:$H$54,$AB44,$F$7:$F$54)</f>
        <v>2</v>
      </c>
      <c r="AH44" s="58">
        <f>(AF44-AG44)*100+AK44*10000+AF44</f>
        <v>60608</v>
      </c>
      <c r="AI44" s="58">
        <f>AF44-AG44</f>
        <v>6</v>
      </c>
      <c r="AJ44" s="58">
        <f>(AI44-AI49)/AI48</f>
        <v>0.93333333333333335</v>
      </c>
      <c r="AK44" s="58">
        <f>AC44*3+AD44</f>
        <v>6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960.47685297619046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/>
      <c r="G45" s="24"/>
      <c r="H45" s="67" t="str">
        <f>AB26</f>
        <v>Argentina</v>
      </c>
      <c r="J45" s="69" t="str">
        <f>VLOOKUP(1,AA44:AK47,2,FALSE)</f>
        <v>Belgium</v>
      </c>
      <c r="K45" s="70">
        <f>L45+M45+N45</f>
        <v>2</v>
      </c>
      <c r="L45" s="70">
        <f>VLOOKUP(1,AA44:AK47,3,FALSE)</f>
        <v>2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8 - 2</v>
      </c>
      <c r="P45" s="71">
        <f>L45*3+M45</f>
        <v>6</v>
      </c>
      <c r="R45" s="58">
        <f>DATE(2018,6,26)+TIME(7,0,0)+gmt_delta</f>
        <v>43277.75</v>
      </c>
      <c r="S45" s="65" t="str">
        <f t="shared" si="2"/>
        <v/>
      </c>
      <c r="T45" s="65" t="str">
        <f t="shared" si="3"/>
        <v/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 t="str">
        <f t="shared" si="9"/>
        <v/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2</v>
      </c>
      <c r="AF45" s="58">
        <f>SUMIF($E$7:$E$54,$AB45,$F$7:$F$54) + SUMIF($H$7:$H$54,$AB45,$G$7:$G$54)</f>
        <v>1</v>
      </c>
      <c r="AG45" s="58">
        <f>SUMIF($E$7:$E$54,$AB45,$G$7:$G$54) + SUMIF($H$7:$H$54,$AB45,$F$7:$F$54)</f>
        <v>9</v>
      </c>
      <c r="AH45" s="58">
        <f>(AF45-AG45)*100+AK45*10000+AF45</f>
        <v>-799</v>
      </c>
      <c r="AI45" s="58">
        <f>AF45-AG45</f>
        <v>-8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1.2503105000000001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/>
      <c r="G46" s="24"/>
      <c r="H46" s="67" t="str">
        <f>AB28</f>
        <v>Croatia</v>
      </c>
      <c r="J46" s="72" t="str">
        <f>VLOOKUP(2,AA44:AK47,2,FALSE)</f>
        <v>England</v>
      </c>
      <c r="K46" s="27">
        <f>L46+M46+N46</f>
        <v>2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8 - 2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/>
      </c>
      <c r="T46" s="65" t="str">
        <f t="shared" si="3"/>
        <v/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 t="str">
        <f t="shared" si="9"/>
        <v/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3</v>
      </c>
      <c r="AG46" s="58">
        <f>SUMIF($E$7:$E$54,$AB46,$G$7:$G$54) + SUMIF($H$7:$H$54,$AB46,$F$7:$F$54)</f>
        <v>7</v>
      </c>
      <c r="AH46" s="58">
        <f>(AF46-AG46)*100+AK46*10000+AF46</f>
        <v>-397</v>
      </c>
      <c r="AI46" s="58">
        <f>AF46-AG46</f>
        <v>-4</v>
      </c>
      <c r="AJ46" s="58">
        <f>(AI46-AI49)/AI48</f>
        <v>0.26666666666666666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30.417085666666669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/>
      <c r="G47" s="24"/>
      <c r="H47" s="67" t="str">
        <f>AB32</f>
        <v>Brazil</v>
      </c>
      <c r="J47" s="72" t="str">
        <f>VLOOKUP(3,AA44:AK47,2,FALSE)</f>
        <v>Tunisia</v>
      </c>
      <c r="K47" s="27">
        <f>L47+M47+N47</f>
        <v>2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3 - 7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/>
      </c>
      <c r="T47" s="65" t="str">
        <f t="shared" si="3"/>
        <v/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 t="str">
        <f t="shared" si="9"/>
        <v/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2</v>
      </c>
      <c r="AH47" s="58">
        <f>(AF47-AG47)*100+AK47*10000+AF47</f>
        <v>60608</v>
      </c>
      <c r="AI47" s="58">
        <f>AF47-AG47</f>
        <v>6</v>
      </c>
      <c r="AJ47" s="58">
        <f>(AI47-AI49)/AI48</f>
        <v>0.93333333333333335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960.47671397619047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/>
      <c r="G48" s="24"/>
      <c r="H48" s="67" t="str">
        <f>AB34</f>
        <v>Costa Rica</v>
      </c>
      <c r="J48" s="74" t="str">
        <f>VLOOKUP(4,AA44:AK47,2,FALSE)</f>
        <v>Panama</v>
      </c>
      <c r="K48" s="75">
        <f>L48+M48+N48</f>
        <v>2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2</v>
      </c>
      <c r="O48" s="75" t="str">
        <f>VLOOKUP(4,AA44:AK47,6,FALSE) &amp; " - " &amp; VLOOKUP(4,AA44:AK47,7,FALSE)</f>
        <v>1 - 9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/>
      </c>
      <c r="T48" s="65" t="str">
        <f t="shared" si="3"/>
        <v/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 t="str">
        <f t="shared" si="9"/>
        <v/>
      </c>
      <c r="AC48" s="58">
        <f t="shared" ref="AC48:AL48" si="16">MAX(AC44:AC47)-MIN(AC44:AC47)+1</f>
        <v>3</v>
      </c>
      <c r="AD48" s="58">
        <f t="shared" si="16"/>
        <v>1</v>
      </c>
      <c r="AE48" s="58">
        <f t="shared" si="16"/>
        <v>3</v>
      </c>
      <c r="AF48" s="58">
        <f t="shared" si="16"/>
        <v>8</v>
      </c>
      <c r="AG48" s="58">
        <f t="shared" si="16"/>
        <v>8</v>
      </c>
      <c r="AH48" s="58">
        <f>MAX(AH44:AH47)-AH49+1</f>
        <v>61408</v>
      </c>
      <c r="AI48" s="58">
        <f>MAX(AI44:AI47)-AI49+1</f>
        <v>15</v>
      </c>
      <c r="AK48" s="58">
        <f t="shared" si="16"/>
        <v>7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/>
      <c r="G49" s="24"/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/>
      </c>
      <c r="T49" s="65" t="str">
        <f t="shared" si="3"/>
        <v/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 t="str">
        <f t="shared" si="9"/>
        <v/>
      </c>
      <c r="AH49" s="58">
        <f>MIN(AH44:AH47)</f>
        <v>-799</v>
      </c>
      <c r="AI49" s="58">
        <f>MIN(AI44:AI47)</f>
        <v>-8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/>
      <c r="G50" s="24"/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/>
      </c>
      <c r="T50" s="65" t="str">
        <f t="shared" si="3"/>
        <v/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 t="str">
        <f t="shared" si="9"/>
        <v/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1</v>
      </c>
      <c r="AG50" s="58">
        <f>SUMIF($E$7:$E$54,$AB50,$G$7:$G$54) + SUMIF($H$7:$H$54,$AB50,$F$7:$F$54)</f>
        <v>5</v>
      </c>
      <c r="AH50" s="58">
        <f>(AF50-AG50)*100+AK50*10000+AF50</f>
        <v>-399</v>
      </c>
      <c r="AI50" s="58">
        <f>AF50-AG50</f>
        <v>-4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2.5006045000000001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Senegal</v>
      </c>
      <c r="K51" s="70">
        <f>L51+M51+N51</f>
        <v>2</v>
      </c>
      <c r="L51" s="70">
        <f>VLOOKUP(1,AA50:AK53,3,FALSE)</f>
        <v>1</v>
      </c>
      <c r="M51" s="70">
        <f>VLOOKUP(1,AA50:AK53,4,FALSE)</f>
        <v>1</v>
      </c>
      <c r="N51" s="70">
        <f>VLOOKUP(1,AA50:AK53,5,FALSE)</f>
        <v>0</v>
      </c>
      <c r="O51" s="70" t="str">
        <f>VLOOKUP(1,AA50:AK53,6,FALSE) &amp; " - " &amp; VLOOKUP(1,AA50:AK53,7,FALSE)</f>
        <v>4 - 3</v>
      </c>
      <c r="P51" s="71">
        <f>L51*3+M51</f>
        <v>4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1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1</v>
      </c>
      <c r="AE51" s="58">
        <f>COUNTIF($S$7:$T$54,"=" &amp; AB51 &amp; "_lose")</f>
        <v>0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3</v>
      </c>
      <c r="AH51" s="58">
        <f>(AF51-AG51)*100+AK51*10000+AF51</f>
        <v>40104</v>
      </c>
      <c r="AI51" s="58">
        <f>AF51-AG51</f>
        <v>1</v>
      </c>
      <c r="AJ51" s="58">
        <f>(AI51-AI55)/AI54</f>
        <v>0.7142857142857143</v>
      </c>
      <c r="AK51" s="58">
        <f>AC51*3+AD51</f>
        <v>4</v>
      </c>
      <c r="AL51" s="58">
        <f>AP51/AP54*1000+AQ51/AQ54*100+AT51/AT54*10+AR51/AR54</f>
        <v>50.666666666666664</v>
      </c>
      <c r="AM51" s="58">
        <f>VLOOKUP(AB51,db_fifarank,2,FALSE)/2000000</f>
        <v>4.4200000000000001E-4</v>
      </c>
      <c r="AN51" s="59">
        <f>1000*AK51/AK54+100*AJ51+10*AF51/AF54+1*AL51/AL54+AM51</f>
        <v>882.40965858986181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1</v>
      </c>
      <c r="AR51" s="62">
        <f>SUMPRODUCT(($E$7:$E$54=AB51)*($U$7:$U$54)*($F$7:$F$54))+SUMPRODUCT(($H$7:$H$54=AB51)*($U$7:$U$54)*($G$7:$G$54))</f>
        <v>2</v>
      </c>
      <c r="AS51" s="62">
        <f>SUMPRODUCT(($E$7:$E$54=AB51)*($U$7:$U$54)*($G$7:$G$54))+SUMPRODUCT(($H$7:$H$54=AB51)*($U$7:$U$54)*($F$7:$F$54))</f>
        <v>2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Japan</v>
      </c>
      <c r="K52" s="27">
        <f>L52+M52+N52</f>
        <v>2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0</v>
      </c>
      <c r="O52" s="27" t="str">
        <f>VLOOKUP(2,AA50:AK53,6,FALSE) &amp; " - " &amp; VLOOKUP(2,AA50:AK53,7,FALSE)</f>
        <v>4 - 3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3</v>
      </c>
      <c r="AB52" s="59" t="str">
        <f>VLOOKUP("Colombia",T,lang,FALSE)</f>
        <v>Colombia</v>
      </c>
      <c r="AC52" s="58">
        <f>COUNTIF($S$7:$T$54,"=" &amp; AB52 &amp; "_win")</f>
        <v>1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4</v>
      </c>
      <c r="AG52" s="58">
        <f>SUMIF($E$7:$E$54,$AB52,$G$7:$G$54) + SUMIF($H$7:$H$54,$AB52,$F$7:$F$54)</f>
        <v>2</v>
      </c>
      <c r="AH52" s="58">
        <f>(AF52-AG52)*100+AK52*10000+AF52</f>
        <v>30204</v>
      </c>
      <c r="AI52" s="58">
        <f>AF52-AG52</f>
        <v>2</v>
      </c>
      <c r="AJ52" s="58">
        <f>(AI52-AI55)/AI54</f>
        <v>0.8571428571428571</v>
      </c>
      <c r="AK52" s="58">
        <f>AC52*3+AD52</f>
        <v>3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695.71482471428567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Colombia</v>
      </c>
      <c r="K53" s="27">
        <f>L53+M53+N53</f>
        <v>2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1</v>
      </c>
      <c r="O53" s="27" t="str">
        <f>VLOOKUP(3,AA50:AK53,6,FALSE) &amp; " - " &amp; VLOOKUP(3,AA50:AK53,7,FALSE)</f>
        <v>4 - 2</v>
      </c>
      <c r="P53" s="73">
        <f>L53*3+M53</f>
        <v>3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1</v>
      </c>
      <c r="AD53" s="58">
        <f>COUNTIF($S$7:$T$54,"=" &amp; AB53 &amp; "_draw")</f>
        <v>1</v>
      </c>
      <c r="AE53" s="58">
        <f>COUNTIF($S$7:$T$54,"=" &amp; AB53 &amp; "_lose")</f>
        <v>0</v>
      </c>
      <c r="AF53" s="58">
        <f>SUMIF($E$7:$E$54,$AB53,$F$7:$F$54) + SUMIF($H$7:$H$54,$AB53,$G$7:$G$54)</f>
        <v>4</v>
      </c>
      <c r="AG53" s="58">
        <f>SUMIF($E$7:$E$54,$AB53,$G$7:$G$54) + SUMIF($H$7:$H$54,$AB53,$F$7:$F$54)</f>
        <v>3</v>
      </c>
      <c r="AH53" s="58">
        <f>(AF53-AG53)*100+AK53*10000+AF53</f>
        <v>40104</v>
      </c>
      <c r="AI53" s="58">
        <f>AF53-AG53</f>
        <v>1</v>
      </c>
      <c r="AJ53" s="58">
        <f>(AI53-AI55)/AI54</f>
        <v>0.7142857142857143</v>
      </c>
      <c r="AK53" s="58">
        <f>AC53*3+AD53</f>
        <v>4</v>
      </c>
      <c r="AL53" s="58">
        <f>AP53/AP54*1000+AQ53/AQ54*100+AT53/AT54*10+AR53/AR54</f>
        <v>50.666666666666664</v>
      </c>
      <c r="AM53" s="58">
        <f>VLOOKUP(AB53,db_fifarank,2,FALSE)/2000000</f>
        <v>2.9999999999999997E-4</v>
      </c>
      <c r="AN53" s="59">
        <f>1000*AK53/AK54+100*AJ53+10*AF53/AF54+1*AL53/AL54+AM53</f>
        <v>882.40951658986182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1</v>
      </c>
      <c r="AR53" s="62">
        <f>SUMPRODUCT(($E$7:$E$54=AB53)*($U$7:$U$54)*($F$7:$F$54))+SUMPRODUCT(($H$7:$H$54=AB53)*($U$7:$U$54)*($G$7:$G$54))</f>
        <v>2</v>
      </c>
      <c r="AS53" s="62">
        <f>SUMPRODUCT(($E$7:$E$54=AB53)*($U$7:$U$54)*($G$7:$G$54))+SUMPRODUCT(($H$7:$H$54=AB53)*($U$7:$U$54)*($F$7:$F$54))</f>
        <v>2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Poland</v>
      </c>
      <c r="K54" s="75">
        <f>L54+M54+N54</f>
        <v>2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1 - 5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2</v>
      </c>
      <c r="AD54" s="58">
        <f t="shared" si="17"/>
        <v>2</v>
      </c>
      <c r="AE54" s="58">
        <f t="shared" si="17"/>
        <v>3</v>
      </c>
      <c r="AF54" s="58">
        <f t="shared" si="17"/>
        <v>4</v>
      </c>
      <c r="AG54" s="58">
        <f t="shared" si="17"/>
        <v>4</v>
      </c>
      <c r="AH54" s="58">
        <f>MAX(AH50:AH53)-AH55+1</f>
        <v>40504</v>
      </c>
      <c r="AI54" s="58">
        <f>MAX(AI50:AI53)-AI55+1</f>
        <v>7</v>
      </c>
      <c r="AK54" s="58">
        <f t="shared" si="17"/>
        <v>5</v>
      </c>
      <c r="AL54" s="58">
        <f t="shared" si="17"/>
        <v>51.666666666666664</v>
      </c>
      <c r="AP54" s="58">
        <f>MAX(AP50:AP53)-MIN(AP50:AP53)+1</f>
        <v>1</v>
      </c>
      <c r="AQ54" s="58">
        <f>MAX(AQ50:AQ53)-MIN(AQ50:AQ53)+1</f>
        <v>2</v>
      </c>
      <c r="AR54" s="58">
        <f>MAX(AR50:AR53)-MIN(AR50:AR53)+1</f>
        <v>3</v>
      </c>
      <c r="AS54" s="58">
        <f>MAX(AS50:AS53)-MIN(AS50:AS53)+1</f>
        <v>3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-399</v>
      </c>
      <c r="AI55" s="58">
        <f>MIN(AI50:AI53)</f>
        <v>-4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3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3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3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3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2018-06-24T21:14:18Z</dcterms:modified>
</cp:coreProperties>
</file>