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wc2018\input\"/>
    </mc:Choice>
  </mc:AlternateContent>
  <bookViews>
    <workbookView xWindow="0" yWindow="0" windowWidth="17970" windowHeight="5955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2" i="3" l="1"/>
  <c r="R71" i="3"/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L20" i="3" l="1"/>
  <c r="BQ34" i="3"/>
  <c r="AY37" i="3"/>
  <c r="BQ22" i="3"/>
  <c r="AY33" i="3"/>
  <c r="BK31" i="3"/>
  <c r="AY29" i="3"/>
  <c r="BE19" i="3"/>
  <c r="BK15" i="3"/>
  <c r="AY25" i="3"/>
  <c r="BE11" i="3"/>
  <c r="AY21" i="3"/>
  <c r="AY17" i="3"/>
  <c r="AY9" i="3"/>
  <c r="BE27" i="3"/>
  <c r="AY13" i="3"/>
  <c r="BE35" i="3"/>
  <c r="R28" i="3"/>
  <c r="R69" i="3"/>
  <c r="R58" i="3"/>
  <c r="R77" i="3"/>
  <c r="R70" i="3"/>
  <c r="R85" i="3"/>
  <c r="R65" i="3"/>
  <c r="R63" i="3"/>
  <c r="R81" i="3"/>
  <c r="R64" i="3"/>
  <c r="R60" i="3"/>
  <c r="R76" i="3"/>
  <c r="R62" i="3"/>
  <c r="R61" i="3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 l="1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<sst xmlns="http://schemas.openxmlformats.org/spreadsheetml/2006/main" count="4552" uniqueCount="2581">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</sst>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4" sqref="C4"/>
    </sheetView>
  </sheetViews>
  <sheetFormatPr defaultColWidth="9.125" defaultRowHeight="16.5" x14ac:dyDescent="0.3"/>
  <cols>
    <col min="1" max="1" width="1.125" style="11" customWidth="1"/>
    <col min="2" max="2" width="18.875" style="11" bestFit="1" customWidth="1"/>
    <col min="3" max="3" width="20.25" style="11" customWidth="1"/>
    <col min="4" max="4" width="9.125" style="11"/>
    <col min="5" max="5" width="1.125" style="11" customWidth="1"/>
    <col min="6" max="6" width="9.125" style="11"/>
    <col min="7" max="7" width="27.625" style="11" bestFit="1" customWidth="1"/>
    <col min="8" max="8" width="2.75" style="11" customWidth="1"/>
    <col min="9" max="9" width="1.125" style="11" customWidth="1"/>
    <col min="10" max="16384" width="9.12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2125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1151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A30" zoomScaleNormal="100" workbookViewId="0">
      <selection activeCell="F49" sqref="F49"/>
    </sheetView>
  </sheetViews>
  <sheetFormatPr defaultColWidth="9.125" defaultRowHeight="16.5" x14ac:dyDescent="0.3"/>
  <cols>
    <col min="1" max="1" width="4.875" style="4" customWidth="1"/>
    <col min="2" max="2" width="6.125" style="4" customWidth="1"/>
    <col min="3" max="3" width="11.75" style="4" bestFit="1" customWidth="1"/>
    <col min="4" max="4" width="7.25" style="5" customWidth="1"/>
    <col min="5" max="5" width="22.625" style="6" customWidth="1"/>
    <col min="6" max="7" width="4.25" style="7" customWidth="1"/>
    <col min="8" max="8" width="22.625" style="8" customWidth="1"/>
    <col min="9" max="9" width="3.375" style="3" customWidth="1"/>
    <col min="10" max="10" width="14" style="9" customWidth="1"/>
    <col min="11" max="14" width="5.375" style="10" customWidth="1"/>
    <col min="15" max="15" width="7.75" style="10" customWidth="1"/>
    <col min="16" max="16" width="6.75" style="10" customWidth="1"/>
    <col min="17" max="17" width="3.375" style="2" customWidth="1"/>
    <col min="18" max="18" width="15.37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25" style="59" hidden="1" customWidth="1"/>
    <col min="27" max="27" width="5.375" style="58" hidden="1" customWidth="1"/>
    <col min="28" max="28" width="13.375" style="59" hidden="1" customWidth="1"/>
    <col min="29" max="33" width="5.375" style="58" hidden="1" customWidth="1"/>
    <col min="34" max="36" width="6" style="58" hidden="1" customWidth="1"/>
    <col min="37" max="37" width="5.37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25" style="60" hidden="1" customWidth="1"/>
    <col min="42" max="42" width="4.75" style="61" hidden="1" customWidth="1"/>
    <col min="43" max="46" width="4.75" style="62" hidden="1" customWidth="1"/>
    <col min="47" max="49" width="9.125" style="63" hidden="1" customWidth="1"/>
    <col min="50" max="50" width="9.125" style="64" hidden="1" customWidth="1"/>
    <col min="51" max="51" width="3.25" style="3" customWidth="1"/>
    <col min="52" max="52" width="19.75" style="3" customWidth="1"/>
    <col min="53" max="54" width="3" style="3" customWidth="1"/>
    <col min="55" max="56" width="2" style="3" customWidth="1"/>
    <col min="57" max="57" width="3.25" style="3" customWidth="1"/>
    <col min="58" max="58" width="19.75" style="3" customWidth="1"/>
    <col min="59" max="60" width="3" style="3" customWidth="1"/>
    <col min="61" max="62" width="2" style="3" customWidth="1"/>
    <col min="63" max="63" width="3.25" style="3" customWidth="1"/>
    <col min="64" max="64" width="19.75" style="3" customWidth="1"/>
    <col min="65" max="66" width="3" style="3" customWidth="1"/>
    <col min="67" max="68" width="2" style="3" customWidth="1"/>
    <col min="69" max="69" width="3.25" style="3" customWidth="1"/>
    <col min="70" max="70" width="19.75" style="3" customWidth="1"/>
    <col min="71" max="72" width="3" style="3" customWidth="1"/>
    <col min="73" max="16384" width="9.125" style="3"/>
  </cols>
  <sheetData>
    <row r="1" spans="1:72" ht="46.5" x14ac:dyDescent="0.3">
      <c r="A1" s="115" t="str">
        <f>INDEX(T,2,lang)</f>
        <v>2018 World Cup Final Tournament Schedule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6" t="str">
        <f>"Language: " &amp; Settings!C4</f>
        <v>Language: English</v>
      </c>
      <c r="P3" s="116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17" t="str">
        <f>INDEX(T,3,lang)</f>
        <v>Group Stage</v>
      </c>
      <c r="B5" s="118"/>
      <c r="C5" s="118"/>
      <c r="D5" s="118"/>
      <c r="E5" s="118"/>
      <c r="F5" s="118"/>
      <c r="G5" s="118"/>
      <c r="H5" s="119"/>
      <c r="J5" s="123" t="s">
        <v>2174</v>
      </c>
      <c r="K5" s="124"/>
      <c r="L5" s="124"/>
      <c r="M5" s="124"/>
      <c r="N5" s="124"/>
      <c r="O5" s="124"/>
      <c r="P5" s="125"/>
    </row>
    <row r="6" spans="1:72" ht="15" customHeight="1" x14ac:dyDescent="0.3">
      <c r="A6" s="120"/>
      <c r="B6" s="121"/>
      <c r="C6" s="121"/>
      <c r="D6" s="121"/>
      <c r="E6" s="121"/>
      <c r="F6" s="121"/>
      <c r="G6" s="121"/>
      <c r="H6" s="122"/>
      <c r="J6" s="126"/>
      <c r="K6" s="127"/>
      <c r="L6" s="127"/>
      <c r="M6" s="127"/>
      <c r="N6" s="127"/>
      <c r="O6" s="127"/>
      <c r="P6" s="128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09" t="str">
        <f>INDEX(T,4,lang)</f>
        <v>Round of 16</v>
      </c>
      <c r="AZ6" s="110"/>
      <c r="BA6" s="110"/>
      <c r="BB6" s="111"/>
      <c r="BE6" s="109" t="str">
        <f>INDEX(T,5,lang)</f>
        <v>Quarterfinals</v>
      </c>
      <c r="BF6" s="110"/>
      <c r="BG6" s="110"/>
      <c r="BH6" s="111"/>
      <c r="BK6" s="109" t="str">
        <f>INDEX(T,6,lang)</f>
        <v>Semi-Finals</v>
      </c>
      <c r="BL6" s="110"/>
      <c r="BM6" s="110"/>
      <c r="BN6" s="111"/>
      <c r="BQ6" s="109" t="str">
        <f>INDEX(T,8,lang)</f>
        <v>Final</v>
      </c>
      <c r="BR6" s="110"/>
      <c r="BS6" s="110"/>
      <c r="BT6" s="111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12"/>
      <c r="AZ7" s="113"/>
      <c r="BA7" s="113"/>
      <c r="BB7" s="114"/>
      <c r="BE7" s="112"/>
      <c r="BF7" s="113"/>
      <c r="BG7" s="113"/>
      <c r="BH7" s="114"/>
      <c r="BK7" s="112"/>
      <c r="BL7" s="113"/>
      <c r="BM7" s="113"/>
      <c r="BN7" s="114"/>
      <c r="BQ7" s="112"/>
      <c r="BR7" s="113"/>
      <c r="BS7" s="113"/>
      <c r="BT7" s="114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43266.75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43266.625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29">
        <v>49</v>
      </c>
      <c r="AZ10" s="28" t="str">
        <f>AO8</f>
        <v>Uruguay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43267.416666666672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30"/>
      <c r="AZ11" s="31" t="str">
        <f>AO15</f>
        <v>Portugal</v>
      </c>
      <c r="BA11" s="32"/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29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5"/>
      <c r="BA13" s="25"/>
      <c r="BB13" s="35"/>
      <c r="BC13" s="36"/>
      <c r="BD13" s="39"/>
      <c r="BE13" s="130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29">
        <v>50</v>
      </c>
      <c r="AZ14" s="28" t="str">
        <f>AO20</f>
        <v>France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43268.75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30"/>
      <c r="AZ15" s="31" t="str">
        <f>AO27</f>
        <v>Argentina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43268.5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29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43268.625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30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43269.5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29">
        <v>53</v>
      </c>
      <c r="AZ18" s="28" t="str">
        <f>AO32</f>
        <v>Brazil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30"/>
      <c r="AZ19" s="31" t="str">
        <f>AO39</f>
        <v>Mexico</v>
      </c>
      <c r="BA19" s="32"/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29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43270.625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5"/>
      <c r="BA21" s="25"/>
      <c r="BB21" s="35"/>
      <c r="BC21" s="36"/>
      <c r="BD21" s="39"/>
      <c r="BE21" s="130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43270.5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29">
        <v>54</v>
      </c>
      <c r="AZ22" s="28" t="str">
        <f>AO44</f>
        <v>Belgium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43270.75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30"/>
      <c r="AZ23" s="31" t="str">
        <f>AO51</f>
        <v>Senegal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29">
        <v>64</v>
      </c>
      <c r="BR23" s="28" t="str">
        <f>T76</f>
        <v>W61</v>
      </c>
      <c r="BS23" s="29"/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43271.625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30"/>
      <c r="BR24" s="31" t="str">
        <f>T77</f>
        <v>W62</v>
      </c>
      <c r="BS24" s="32"/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29">
        <v>51</v>
      </c>
      <c r="AZ26" s="28" t="str">
        <f>AO14</f>
        <v>Spain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43272.625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30"/>
      <c r="AZ27" s="31" t="str">
        <f>AO9</f>
        <v>Russia</v>
      </c>
      <c r="BA27" s="32"/>
      <c r="BB27" s="33"/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43272.5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29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43272.75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5"/>
      <c r="BA29" s="25"/>
      <c r="BB29" s="35"/>
      <c r="BC29" s="36"/>
      <c r="BD29" s="39"/>
      <c r="BE29" s="130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43273.625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29">
        <v>52</v>
      </c>
      <c r="AZ30" s="28" t="str">
        <f>AO26</f>
        <v>Croatia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43273.5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30"/>
      <c r="AZ31" s="31" t="str">
        <f>AO21</f>
        <v>Denmark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5"/>
      <c r="BM31" s="25"/>
      <c r="BN31" s="35"/>
      <c r="BO31" s="36"/>
      <c r="BP31" s="41"/>
      <c r="BQ31" s="131" t="str">
        <f>INDEX(T,7,lang)</f>
        <v>Third-Place Play-Off</v>
      </c>
      <c r="BR31" s="132"/>
      <c r="BS31" s="132"/>
      <c r="BT31" s="133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29">
        <v>62</v>
      </c>
      <c r="BL32" s="28" t="str">
        <f>T71</f>
        <v>W59</v>
      </c>
      <c r="BM32" s="29"/>
      <c r="BN32" s="30"/>
      <c r="BO32" s="40"/>
      <c r="BP32" s="41"/>
      <c r="BQ32" s="134"/>
      <c r="BR32" s="135"/>
      <c r="BS32" s="135"/>
      <c r="BT32" s="136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43274.75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30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43274.625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29">
        <v>55</v>
      </c>
      <c r="AZ34" s="28" t="str">
        <f>AO38</f>
        <v>Sweden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43274.5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30"/>
      <c r="AZ35" s="31" t="str">
        <f>AO33</f>
        <v>Switzerland</v>
      </c>
      <c r="BA35" s="32"/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29">
        <v>63</v>
      </c>
      <c r="BR35" s="28" t="str">
        <f>Z76</f>
        <v>L61</v>
      </c>
      <c r="BS35" s="29"/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43275.5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29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30"/>
      <c r="BR36" s="31" t="str">
        <f>Z77</f>
        <v>L62</v>
      </c>
      <c r="BS36" s="32"/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43275.75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5"/>
      <c r="BA37" s="25"/>
      <c r="BB37" s="35"/>
      <c r="BC37" s="36"/>
      <c r="BD37" s="39"/>
      <c r="BE37" s="130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>
        <v>2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>Japan_draw</v>
      </c>
      <c r="T38" s="65" t="str">
        <f t="shared" si="3"/>
        <v>Senegal_draw</v>
      </c>
      <c r="U38" s="59">
        <f t="shared" si="4"/>
        <v>1</v>
      </c>
      <c r="V38" s="58">
        <f t="shared" si="5"/>
        <v>2</v>
      </c>
      <c r="W38" s="58">
        <f t="shared" si="6"/>
        <v>2</v>
      </c>
      <c r="X38" s="58">
        <f t="shared" si="7"/>
        <v>0</v>
      </c>
      <c r="Y38" s="58">
        <f t="shared" si="9"/>
        <v>0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29">
        <v>56</v>
      </c>
      <c r="AZ38" s="28" t="str">
        <f>AO50</f>
        <v>Colombia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43276.583333333336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30"/>
      <c r="AZ39" s="31" t="str">
        <f>AO45</f>
        <v>England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43276.583333333336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43276.75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46" t="str">
        <f>INDEX(T,102,lang)</f>
        <v>World Champion 2018</v>
      </c>
      <c r="BK41" s="146"/>
      <c r="BL41" s="146"/>
      <c r="BM41" s="146"/>
      <c r="BN41" s="146"/>
      <c r="BO41" s="148" t="str">
        <f>S85</f>
        <v/>
      </c>
      <c r="BP41" s="148"/>
      <c r="BQ41" s="148"/>
      <c r="BR41" s="148"/>
      <c r="BS41" s="148"/>
      <c r="BT41" s="148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43276.75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47"/>
      <c r="BK42" s="147"/>
      <c r="BL42" s="147"/>
      <c r="BM42" s="147"/>
      <c r="BN42" s="147"/>
      <c r="BO42" s="149"/>
      <c r="BP42" s="149"/>
      <c r="BQ42" s="149"/>
      <c r="BR42" s="149"/>
      <c r="BS42" s="149"/>
      <c r="BT42" s="149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43277.75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43277.75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37" t="s">
        <v>2224</v>
      </c>
      <c r="AZ46" s="138"/>
      <c r="BA46" s="138"/>
      <c r="BB46" s="139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43278.75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40"/>
      <c r="AZ47" s="141"/>
      <c r="BA47" s="141"/>
      <c r="BB47" s="142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40"/>
      <c r="AZ48" s="141"/>
      <c r="BA48" s="141"/>
      <c r="BB48" s="142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40"/>
      <c r="AZ49" s="141"/>
      <c r="BA49" s="141"/>
      <c r="BB49" s="142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40"/>
      <c r="AZ50" s="141"/>
      <c r="BA50" s="141"/>
      <c r="BB50" s="142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43279.75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2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1</v>
      </c>
      <c r="AE51" s="58">
        <f>COUNTIF($S$7:$T$54,"=" &amp; AB51 &amp; "_lose")</f>
        <v>1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4</v>
      </c>
      <c r="AH51" s="58">
        <f>(AF51-AG51)*100+AK51*10000+AF51</f>
        <v>40004</v>
      </c>
      <c r="AI51" s="58">
        <f>AF51-AG51</f>
        <v>0</v>
      </c>
      <c r="AJ51" s="58">
        <f>(AI51-AI55)/AI54</f>
        <v>0.42857142857142855</v>
      </c>
      <c r="AK51" s="58">
        <f>AC51*3+AD51</f>
        <v>4</v>
      </c>
      <c r="AL51" s="58">
        <f>AP51/AP54*1000+AQ51/AQ54*100+AT51/AT54*10+AR51/AR54</f>
        <v>50.666666666666664</v>
      </c>
      <c r="AM51" s="58">
        <f>VLOOKUP(AB51,db_fifarank,2,FALSE)/2000000</f>
        <v>4.4200000000000001E-4</v>
      </c>
      <c r="AN51" s="59">
        <f>1000*AK51/AK54+100*AJ51+10*AF51/AF54+1*AL51/AL54+AM51</f>
        <v>1053.8382300184333</v>
      </c>
      <c r="AO51" s="60" t="str">
        <f>IF(SUM(AC50:AE53)=12,J52,INDEX(T,85,lang))</f>
        <v>Senegal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1</v>
      </c>
      <c r="AR51" s="62">
        <f>SUMPRODUCT(($E$7:$E$54=AB51)*($U$7:$U$54)*($F$7:$F$54))+SUMPRODUCT(($H$7:$H$54=AB51)*($U$7:$U$54)*($G$7:$G$54))</f>
        <v>2</v>
      </c>
      <c r="AS51" s="62">
        <f>SUMPRODUCT(($E$7:$E$54=AB51)*($U$7:$U$54)*($G$7:$G$54))+SUMPRODUCT(($H$7:$H$54=AB51)*($U$7:$U$54)*($F$7:$F$54))</f>
        <v>2</v>
      </c>
      <c r="AT51" s="62">
        <f>AR51-AS51</f>
        <v>0</v>
      </c>
      <c r="AY51" s="140"/>
      <c r="AZ51" s="141"/>
      <c r="BA51" s="141"/>
      <c r="BB51" s="142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Senegal</v>
      </c>
      <c r="K52" s="27">
        <f>L52+M52+N52</f>
        <v>3</v>
      </c>
      <c r="L52" s="27">
        <f>VLOOKUP(2,AA50:AK53,3,FALSE)</f>
        <v>1</v>
      </c>
      <c r="M52" s="27">
        <f>VLOOKUP(2,AA50:AK53,4,FALSE)</f>
        <v>1</v>
      </c>
      <c r="N52" s="27">
        <f>VLOOKUP(2,AA50:AK53,5,FALSE)</f>
        <v>1</v>
      </c>
      <c r="O52" s="27" t="str">
        <f>VLOOKUP(2,AA50:AK53,6,FALSE) &amp; " - " &amp; VLOOKUP(2,AA50:AK53,7,FALSE)</f>
        <v>4 - 4</v>
      </c>
      <c r="P52" s="73">
        <f>L52*3+M52</f>
        <v>4</v>
      </c>
      <c r="R52" s="58">
        <f>DATE(2018,6,28)+TIME(7,0,0)+gmt_delta</f>
        <v>43279.75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43"/>
      <c r="AZ52" s="144"/>
      <c r="BA52" s="144"/>
      <c r="BB52" s="145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Japan</v>
      </c>
      <c r="K53" s="27">
        <f>L53+M53+N53</f>
        <v>3</v>
      </c>
      <c r="L53" s="27">
        <f>VLOOKUP(3,AA50:AK53,3,FALSE)</f>
        <v>1</v>
      </c>
      <c r="M53" s="27">
        <f>VLOOKUP(3,AA50:AK53,4,FALSE)</f>
        <v>1</v>
      </c>
      <c r="N53" s="27">
        <f>VLOOKUP(3,AA50:AK53,5,FALSE)</f>
        <v>1</v>
      </c>
      <c r="O53" s="27" t="str">
        <f>VLOOKUP(3,AA50:AK53,6,FALSE) &amp; " - " &amp; VLOOKUP(3,AA50:AK53,7,FALSE)</f>
        <v>4 - 4</v>
      </c>
      <c r="P53" s="73">
        <f>L53*3+M53</f>
        <v>4</v>
      </c>
      <c r="R53" s="58">
        <f>DATE(2018,6,28)+TIME(3,0,0)+gmt_delta</f>
        <v>43279.583333333336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3</v>
      </c>
      <c r="AB53" s="59" t="str">
        <f>VLOOKUP("Japan",T,lang,FALSE)</f>
        <v>Japan</v>
      </c>
      <c r="AC53" s="58">
        <f>COUNTIF($S$7:$T$54,"=" &amp; AB53 &amp; "_win")</f>
        <v>1</v>
      </c>
      <c r="AD53" s="58">
        <f>COUNTIF($S$7:$T$54,"=" &amp; AB53 &amp; "_draw")</f>
        <v>1</v>
      </c>
      <c r="AE53" s="58">
        <f>COUNTIF($S$7:$T$54,"=" &amp; AB53 &amp; "_lose")</f>
        <v>1</v>
      </c>
      <c r="AF53" s="58">
        <f>SUMIF($E$7:$E$54,$AB53,$F$7:$F$54) + SUMIF($H$7:$H$54,$AB53,$G$7:$G$54)</f>
        <v>4</v>
      </c>
      <c r="AG53" s="58">
        <f>SUMIF($E$7:$E$54,$AB53,$G$7:$G$54) + SUMIF($H$7:$H$54,$AB53,$F$7:$F$54)</f>
        <v>4</v>
      </c>
      <c r="AH53" s="58">
        <f>(AF53-AG53)*100+AK53*10000+AF53</f>
        <v>40004</v>
      </c>
      <c r="AI53" s="58">
        <f>AF53-AG53</f>
        <v>0</v>
      </c>
      <c r="AJ53" s="58">
        <f>(AI53-AI55)/AI54</f>
        <v>0.42857142857142855</v>
      </c>
      <c r="AK53" s="58">
        <f>AC53*3+AD53</f>
        <v>4</v>
      </c>
      <c r="AL53" s="58">
        <f>AP53/AP54*1000+AQ53/AQ54*100+AT53/AT54*10+AR53/AR54</f>
        <v>50.666666666666664</v>
      </c>
      <c r="AM53" s="58">
        <f>VLOOKUP(AB53,db_fifarank,2,FALSE)/2000000</f>
        <v>2.9999999999999997E-4</v>
      </c>
      <c r="AN53" s="59">
        <f>1000*AK53/AK54+100*AJ53+10*AF53/AF54+1*AL53/AL54+AM53</f>
        <v>1053.8380880184332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1</v>
      </c>
      <c r="AR53" s="62">
        <f>SUMPRODUCT(($E$7:$E$54=AB53)*($U$7:$U$54)*($F$7:$F$54))+SUMPRODUCT(($H$7:$H$54=AB53)*($U$7:$U$54)*($G$7:$G$54))</f>
        <v>2</v>
      </c>
      <c r="AS53" s="62">
        <f>SUMPRODUCT(($E$7:$E$54=AB53)*($U$7:$U$54)*($G$7:$G$54))+SUMPRODUCT(($H$7:$H$54=AB53)*($U$7:$U$54)*($F$7:$F$54))</f>
        <v>2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43279.583333333336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2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51.666666666666664</v>
      </c>
      <c r="AP54" s="58">
        <f>MAX(AP50:AP53)-MIN(AP50:AP53)+1</f>
        <v>1</v>
      </c>
      <c r="AQ54" s="58">
        <f>MAX(AQ50:AQ53)-MIN(AQ50:AQ53)+1</f>
        <v>2</v>
      </c>
      <c r="AR54" s="58">
        <f>MAX(AR50:AR53)-MIN(AR50:AR53)+1</f>
        <v>3</v>
      </c>
      <c r="AS54" s="58">
        <f>MAX(AS50:AS53)-MIN(AS50:AS53)+1</f>
        <v>3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3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3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3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3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3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3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3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3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3">
      <c r="R71" s="58">
        <f>DATE(2018,7,7)+TIME(7,0,0)+gmt_delta</f>
        <v>43288.75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3">
      <c r="R72" s="58">
        <f>DATE(2018,7,7)+TIME(3,0,0)+gmt_delta</f>
        <v>43288.583333333336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3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AY46:BB52"/>
    <mergeCell ref="AY38:AY39"/>
    <mergeCell ref="BJ41:BN42"/>
    <mergeCell ref="AY34:AY35"/>
    <mergeCell ref="BQ35:BQ36"/>
    <mergeCell ref="BE36:BE37"/>
    <mergeCell ref="BO41:BT42"/>
    <mergeCell ref="AY30:AY31"/>
    <mergeCell ref="BQ31:BT32"/>
    <mergeCell ref="BK32:BK33"/>
    <mergeCell ref="AY26:AY27"/>
    <mergeCell ref="BE28:BE29"/>
    <mergeCell ref="AY22:AY23"/>
    <mergeCell ref="BQ23:BQ24"/>
    <mergeCell ref="AY18:AY19"/>
    <mergeCell ref="BE20:BE21"/>
    <mergeCell ref="AY14:AY15"/>
    <mergeCell ref="BK16:BK17"/>
    <mergeCell ref="AY10:AY11"/>
    <mergeCell ref="BE12:BE13"/>
    <mergeCell ref="AY6:BB7"/>
    <mergeCell ref="BE6:BH7"/>
    <mergeCell ref="BK6:BN7"/>
    <mergeCell ref="BQ6:BT7"/>
    <mergeCell ref="A1:P1"/>
    <mergeCell ref="O3:P3"/>
    <mergeCell ref="A5:H6"/>
    <mergeCell ref="J5:P6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2018-06-28T19:46:51Z</dcterms:modified>
</cp:coreProperties>
</file>