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so4235/Desktop/"/>
    </mc:Choice>
  </mc:AlternateContent>
  <xr:revisionPtr revIDLastSave="0" documentId="13_ncr:1_{F73D2FC1-B086-2249-8027-FED548A5A777}" xr6:coauthVersionLast="34" xr6:coauthVersionMax="34" xr10:uidLastSave="{00000000-0000-0000-0000-000000000000}"/>
  <bookViews>
    <workbookView xWindow="2380" yWindow="580" windowWidth="23820" windowHeight="13820" activeTab="2" xr2:uid="{06679F38-40B3-4A34-860F-690D3A58D83C}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4" i="3" l="1"/>
  <c r="O3" i="3"/>
  <c r="Y22" i="3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AB38" i="3"/>
  <c r="AB8" i="3"/>
  <c r="E7" i="3"/>
  <c r="S7" i="3"/>
  <c r="AB9" i="3"/>
  <c r="H7" i="3"/>
  <c r="T7" i="3"/>
  <c r="AB10" i="3"/>
  <c r="E8" i="3"/>
  <c r="S8" i="3"/>
  <c r="AB11" i="3"/>
  <c r="H8" i="3"/>
  <c r="T8" i="3"/>
  <c r="AB14" i="3"/>
  <c r="E9" i="3"/>
  <c r="S9" i="3"/>
  <c r="AB15" i="3"/>
  <c r="H9" i="3"/>
  <c r="T9" i="3"/>
  <c r="AB16" i="3"/>
  <c r="E10" i="3"/>
  <c r="S10" i="3"/>
  <c r="AB17" i="3"/>
  <c r="H10" i="3"/>
  <c r="T10" i="3"/>
  <c r="AB20" i="3"/>
  <c r="E11" i="3"/>
  <c r="S11" i="3"/>
  <c r="AB21" i="3"/>
  <c r="H11" i="3"/>
  <c r="T11" i="3"/>
  <c r="AB22" i="3"/>
  <c r="E12" i="3"/>
  <c r="S12" i="3"/>
  <c r="AB23" i="3"/>
  <c r="H12" i="3"/>
  <c r="T12" i="3"/>
  <c r="AB26" i="3"/>
  <c r="E13" i="3"/>
  <c r="S13" i="3"/>
  <c r="AB27" i="3"/>
  <c r="H13" i="3"/>
  <c r="T13" i="3"/>
  <c r="AB28" i="3"/>
  <c r="E14" i="3"/>
  <c r="S14" i="3"/>
  <c r="AB29" i="3"/>
  <c r="H14" i="3"/>
  <c r="T14" i="3"/>
  <c r="AB32" i="3"/>
  <c r="E15" i="3"/>
  <c r="S15" i="3"/>
  <c r="AB33" i="3"/>
  <c r="H15" i="3"/>
  <c r="T15" i="3"/>
  <c r="AB34" i="3"/>
  <c r="E16" i="3"/>
  <c r="S16" i="3"/>
  <c r="AB35" i="3"/>
  <c r="H16" i="3"/>
  <c r="T16" i="3"/>
  <c r="E17" i="3"/>
  <c r="S17" i="3"/>
  <c r="AB39" i="3"/>
  <c r="H17" i="3"/>
  <c r="T17" i="3"/>
  <c r="AB40" i="3"/>
  <c r="E18" i="3"/>
  <c r="S18" i="3"/>
  <c r="AB41" i="3"/>
  <c r="H18" i="3"/>
  <c r="T18" i="3"/>
  <c r="AB44" i="3"/>
  <c r="E19" i="3"/>
  <c r="S19" i="3"/>
  <c r="AB45" i="3"/>
  <c r="H19" i="3"/>
  <c r="T19" i="3"/>
  <c r="AB46" i="3"/>
  <c r="E20" i="3"/>
  <c r="S20" i="3"/>
  <c r="AB47" i="3"/>
  <c r="H20" i="3"/>
  <c r="T20" i="3"/>
  <c r="AB50" i="3"/>
  <c r="E21" i="3"/>
  <c r="S21" i="3"/>
  <c r="AB51" i="3"/>
  <c r="H21" i="3"/>
  <c r="T21" i="3"/>
  <c r="AB52" i="3"/>
  <c r="E22" i="3"/>
  <c r="S22" i="3"/>
  <c r="AB53" i="3"/>
  <c r="H22" i="3"/>
  <c r="T22" i="3"/>
  <c r="E23" i="3"/>
  <c r="S23" i="3"/>
  <c r="H23" i="3"/>
  <c r="T23" i="3"/>
  <c r="E24" i="3"/>
  <c r="S24" i="3"/>
  <c r="H24" i="3"/>
  <c r="T24" i="3"/>
  <c r="E25" i="3"/>
  <c r="S25" i="3"/>
  <c r="H25" i="3"/>
  <c r="T25" i="3"/>
  <c r="E26" i="3"/>
  <c r="S26" i="3"/>
  <c r="H26" i="3"/>
  <c r="T26" i="3"/>
  <c r="E27" i="3"/>
  <c r="S27" i="3"/>
  <c r="H27" i="3"/>
  <c r="T27" i="3"/>
  <c r="E28" i="3"/>
  <c r="S28" i="3"/>
  <c r="H28" i="3"/>
  <c r="T28" i="3"/>
  <c r="E29" i="3"/>
  <c r="S29" i="3"/>
  <c r="H29" i="3"/>
  <c r="T29" i="3"/>
  <c r="E30" i="3"/>
  <c r="S30" i="3"/>
  <c r="H30" i="3"/>
  <c r="T30" i="3"/>
  <c r="E31" i="3"/>
  <c r="S31" i="3"/>
  <c r="H31" i="3"/>
  <c r="T31" i="3"/>
  <c r="E32" i="3"/>
  <c r="S32" i="3"/>
  <c r="H32" i="3"/>
  <c r="T32" i="3"/>
  <c r="E33" i="3"/>
  <c r="S33" i="3"/>
  <c r="H33" i="3"/>
  <c r="T33" i="3"/>
  <c r="E34" i="3"/>
  <c r="S34" i="3"/>
  <c r="H34" i="3"/>
  <c r="T34" i="3"/>
  <c r="E35" i="3"/>
  <c r="S35" i="3"/>
  <c r="H35" i="3"/>
  <c r="T35" i="3"/>
  <c r="E36" i="3"/>
  <c r="S36" i="3"/>
  <c r="H36" i="3"/>
  <c r="T36" i="3"/>
  <c r="E37" i="3"/>
  <c r="S37" i="3"/>
  <c r="H37" i="3"/>
  <c r="T37" i="3"/>
  <c r="E38" i="3"/>
  <c r="S38" i="3"/>
  <c r="H38" i="3"/>
  <c r="T38" i="3"/>
  <c r="E39" i="3"/>
  <c r="S39" i="3"/>
  <c r="H39" i="3"/>
  <c r="T39" i="3"/>
  <c r="E40" i="3"/>
  <c r="S40" i="3"/>
  <c r="H40" i="3"/>
  <c r="T40" i="3"/>
  <c r="E41" i="3"/>
  <c r="S41" i="3"/>
  <c r="H41" i="3"/>
  <c r="T41" i="3"/>
  <c r="E42" i="3"/>
  <c r="S42" i="3"/>
  <c r="H42" i="3"/>
  <c r="T42" i="3"/>
  <c r="E43" i="3"/>
  <c r="S43" i="3"/>
  <c r="H43" i="3"/>
  <c r="T43" i="3"/>
  <c r="E44" i="3"/>
  <c r="S44" i="3"/>
  <c r="H44" i="3"/>
  <c r="T44" i="3"/>
  <c r="E45" i="3"/>
  <c r="S45" i="3"/>
  <c r="H45" i="3"/>
  <c r="T45" i="3"/>
  <c r="E46" i="3"/>
  <c r="S46" i="3"/>
  <c r="H46" i="3"/>
  <c r="T46" i="3"/>
  <c r="E47" i="3"/>
  <c r="S47" i="3"/>
  <c r="H47" i="3"/>
  <c r="T47" i="3"/>
  <c r="E48" i="3"/>
  <c r="S48" i="3"/>
  <c r="H48" i="3"/>
  <c r="T48" i="3"/>
  <c r="E49" i="3"/>
  <c r="S49" i="3"/>
  <c r="H49" i="3"/>
  <c r="T49" i="3"/>
  <c r="E50" i="3"/>
  <c r="S50" i="3"/>
  <c r="H50" i="3"/>
  <c r="T50" i="3"/>
  <c r="E51" i="3"/>
  <c r="S51" i="3"/>
  <c r="H51" i="3"/>
  <c r="T51" i="3"/>
  <c r="E52" i="3"/>
  <c r="S52" i="3"/>
  <c r="H52" i="3"/>
  <c r="T52" i="3"/>
  <c r="E53" i="3"/>
  <c r="S53" i="3"/>
  <c r="H53" i="3"/>
  <c r="T53" i="3"/>
  <c r="E54" i="3"/>
  <c r="S54" i="3"/>
  <c r="H54" i="3"/>
  <c r="T54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K38" i="3"/>
  <c r="AK39" i="3"/>
  <c r="AK40" i="3"/>
  <c r="AK41" i="3"/>
  <c r="AK42" i="3"/>
  <c r="AF38" i="3"/>
  <c r="AG38" i="3"/>
  <c r="AI38" i="3"/>
  <c r="AF39" i="3"/>
  <c r="AG39" i="3"/>
  <c r="AI39" i="3"/>
  <c r="AF40" i="3"/>
  <c r="AG40" i="3"/>
  <c r="AI40" i="3"/>
  <c r="AF41" i="3"/>
  <c r="AG41" i="3"/>
  <c r="AI41" i="3"/>
  <c r="AI43" i="3"/>
  <c r="AI42" i="3"/>
  <c r="AJ38" i="3"/>
  <c r="AF42" i="3"/>
  <c r="S58" i="3"/>
  <c r="T58" i="3"/>
  <c r="BF12" i="3"/>
  <c r="S69" i="3"/>
  <c r="T69" i="3"/>
  <c r="BL16" i="3"/>
  <c r="U76" i="3"/>
  <c r="Z76" i="3"/>
  <c r="BR35" i="3"/>
  <c r="T81" i="3"/>
  <c r="AC14" i="3"/>
  <c r="AD14" i="3"/>
  <c r="AE14" i="3"/>
  <c r="AC15" i="3"/>
  <c r="AD15" i="3"/>
  <c r="AE15" i="3"/>
  <c r="AC16" i="3"/>
  <c r="AD16" i="3"/>
  <c r="AE16" i="3"/>
  <c r="AC17" i="3"/>
  <c r="AD17" i="3"/>
  <c r="AE17" i="3"/>
  <c r="AK14" i="3"/>
  <c r="AK15" i="3"/>
  <c r="AK16" i="3"/>
  <c r="AK17" i="3"/>
  <c r="AK18" i="3"/>
  <c r="AF14" i="3"/>
  <c r="AG14" i="3"/>
  <c r="AI14" i="3"/>
  <c r="AF15" i="3"/>
  <c r="AG15" i="3"/>
  <c r="AI15" i="3"/>
  <c r="AF16" i="3"/>
  <c r="AG16" i="3"/>
  <c r="AI16" i="3"/>
  <c r="AF17" i="3"/>
  <c r="AG17" i="3"/>
  <c r="AI17" i="3"/>
  <c r="AI19" i="3"/>
  <c r="AI18" i="3"/>
  <c r="AJ14" i="3"/>
  <c r="AF18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K32" i="3"/>
  <c r="AK33" i="3"/>
  <c r="AK34" i="3"/>
  <c r="AK35" i="3"/>
  <c r="AK36" i="3"/>
  <c r="AF32" i="3"/>
  <c r="AG32" i="3"/>
  <c r="AI32" i="3"/>
  <c r="AF33" i="3"/>
  <c r="AG33" i="3"/>
  <c r="AI33" i="3"/>
  <c r="AF34" i="3"/>
  <c r="AG34" i="3"/>
  <c r="AI34" i="3"/>
  <c r="AF35" i="3"/>
  <c r="AG35" i="3"/>
  <c r="AI35" i="3"/>
  <c r="AI37" i="3"/>
  <c r="AI36" i="3"/>
  <c r="AJ32" i="3"/>
  <c r="AF36" i="3"/>
  <c r="AC44" i="3"/>
  <c r="AD44" i="3"/>
  <c r="AE44" i="3"/>
  <c r="AC45" i="3"/>
  <c r="AD45" i="3"/>
  <c r="AE45" i="3"/>
  <c r="AC46" i="3"/>
  <c r="AD46" i="3"/>
  <c r="AE46" i="3"/>
  <c r="AC47" i="3"/>
  <c r="AD47" i="3"/>
  <c r="AE47" i="3"/>
  <c r="AK44" i="3"/>
  <c r="AK45" i="3"/>
  <c r="AK46" i="3"/>
  <c r="AK47" i="3"/>
  <c r="AK48" i="3"/>
  <c r="AF44" i="3"/>
  <c r="AG44" i="3"/>
  <c r="AI44" i="3"/>
  <c r="AF45" i="3"/>
  <c r="AG45" i="3"/>
  <c r="AI45" i="3"/>
  <c r="AF46" i="3"/>
  <c r="AG46" i="3"/>
  <c r="AI46" i="3"/>
  <c r="AF47" i="3"/>
  <c r="AG47" i="3"/>
  <c r="AI47" i="3"/>
  <c r="AI49" i="3"/>
  <c r="AI48" i="3"/>
  <c r="AJ44" i="3"/>
  <c r="AF48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K26" i="3"/>
  <c r="AK27" i="3"/>
  <c r="AK28" i="3"/>
  <c r="AK29" i="3"/>
  <c r="AK30" i="3"/>
  <c r="AF26" i="3"/>
  <c r="AG26" i="3"/>
  <c r="AI26" i="3"/>
  <c r="AF27" i="3"/>
  <c r="AG27" i="3"/>
  <c r="AI27" i="3"/>
  <c r="AF28" i="3"/>
  <c r="AG28" i="3"/>
  <c r="AI28" i="3"/>
  <c r="AF29" i="3"/>
  <c r="AG29" i="3"/>
  <c r="AI29" i="3"/>
  <c r="AI31" i="3"/>
  <c r="AI30" i="3"/>
  <c r="AJ26" i="3"/>
  <c r="AF30" i="3"/>
  <c r="AC20" i="3"/>
  <c r="AD20" i="3"/>
  <c r="AE20" i="3"/>
  <c r="AC21" i="3"/>
  <c r="AD21" i="3"/>
  <c r="AE21" i="3"/>
  <c r="AC22" i="3"/>
  <c r="AD22" i="3"/>
  <c r="AE22" i="3"/>
  <c r="AC23" i="3"/>
  <c r="AD23" i="3"/>
  <c r="AE23" i="3"/>
  <c r="AK20" i="3"/>
  <c r="AK21" i="3"/>
  <c r="AK22" i="3"/>
  <c r="AK23" i="3"/>
  <c r="AK24" i="3"/>
  <c r="AF20" i="3"/>
  <c r="AG20" i="3"/>
  <c r="AI20" i="3"/>
  <c r="AF21" i="3"/>
  <c r="AG21" i="3"/>
  <c r="AI21" i="3"/>
  <c r="AF22" i="3"/>
  <c r="AG22" i="3"/>
  <c r="AI22" i="3"/>
  <c r="AF23" i="3"/>
  <c r="AG23" i="3"/>
  <c r="AI23" i="3"/>
  <c r="AI25" i="3"/>
  <c r="AI24" i="3"/>
  <c r="AJ20" i="3"/>
  <c r="AF24" i="3"/>
  <c r="G48" i="2"/>
  <c r="G16" i="2"/>
  <c r="G15" i="2"/>
  <c r="R72" i="3"/>
  <c r="R71" i="3"/>
  <c r="BE27" i="3"/>
  <c r="L20" i="3"/>
  <c r="R85" i="3"/>
  <c r="BQ22" i="3"/>
  <c r="R64" i="3"/>
  <c r="AY33" i="3"/>
  <c r="R77" i="3"/>
  <c r="BK31" i="3"/>
  <c r="R63" i="3"/>
  <c r="AY21" i="3"/>
  <c r="R58" i="3"/>
  <c r="AY9" i="3"/>
  <c r="BE35" i="3"/>
  <c r="R28" i="3"/>
  <c r="R69" i="3"/>
  <c r="BE11" i="3"/>
  <c r="R70" i="3"/>
  <c r="BE19" i="3"/>
  <c r="R65" i="3"/>
  <c r="AY37" i="3"/>
  <c r="R81" i="3"/>
  <c r="BQ34" i="3"/>
  <c r="R60" i="3"/>
  <c r="AY25" i="3"/>
  <c r="R76" i="3"/>
  <c r="BK15" i="3"/>
  <c r="R62" i="3"/>
  <c r="AY17" i="3"/>
  <c r="R61" i="3"/>
  <c r="AY29" i="3"/>
  <c r="R59" i="3"/>
  <c r="AY13" i="3"/>
  <c r="R51" i="3"/>
  <c r="R43" i="3"/>
  <c r="R35" i="3"/>
  <c r="R42" i="3"/>
  <c r="R34" i="3"/>
  <c r="R33" i="3"/>
  <c r="B33" i="3"/>
  <c r="R48" i="3"/>
  <c r="B48" i="3"/>
  <c r="R40" i="3"/>
  <c r="R50" i="3"/>
  <c r="R44" i="3"/>
  <c r="R49" i="3"/>
  <c r="R41" i="3"/>
  <c r="B41" i="3"/>
  <c r="R32" i="3"/>
  <c r="R47" i="3"/>
  <c r="C47" i="3"/>
  <c r="R39" i="3"/>
  <c r="D39" i="3"/>
  <c r="R31" i="3"/>
  <c r="R36" i="3"/>
  <c r="R54" i="3"/>
  <c r="R46" i="3"/>
  <c r="R38" i="3"/>
  <c r="B38" i="3"/>
  <c r="R30" i="3"/>
  <c r="R53" i="3"/>
  <c r="R45" i="3"/>
  <c r="R37" i="3"/>
  <c r="R29" i="3"/>
  <c r="R52" i="3"/>
  <c r="P8" i="3"/>
  <c r="BQ6" i="3"/>
  <c r="P44" i="3"/>
  <c r="P38" i="3"/>
  <c r="I15" i="2"/>
  <c r="J14" i="3"/>
  <c r="K32" i="3"/>
  <c r="B31" i="2"/>
  <c r="B34" i="2"/>
  <c r="K14" i="3"/>
  <c r="M20" i="3"/>
  <c r="J26" i="3"/>
  <c r="L32" i="3"/>
  <c r="BJ41" i="3"/>
  <c r="J50" i="3"/>
  <c r="B17" i="2"/>
  <c r="J8" i="3"/>
  <c r="L14" i="3"/>
  <c r="K26" i="3"/>
  <c r="M32" i="3"/>
  <c r="J38" i="3"/>
  <c r="J44" i="3"/>
  <c r="B39" i="2"/>
  <c r="K8" i="3"/>
  <c r="M14" i="3"/>
  <c r="O20" i="3"/>
  <c r="L26" i="3"/>
  <c r="N32" i="3"/>
  <c r="K38" i="3"/>
  <c r="K44" i="3"/>
  <c r="L50" i="3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B19" i="2"/>
  <c r="B23" i="2"/>
  <c r="AY6" i="3"/>
  <c r="M8" i="3"/>
  <c r="O14" i="3"/>
  <c r="N26" i="3"/>
  <c r="P32" i="3"/>
  <c r="M38" i="3"/>
  <c r="M44" i="3"/>
  <c r="N50" i="3"/>
  <c r="B26" i="2"/>
  <c r="BE6" i="3"/>
  <c r="N8" i="3"/>
  <c r="P14" i="3"/>
  <c r="J20" i="3"/>
  <c r="O26" i="3"/>
  <c r="BQ31" i="3"/>
  <c r="N38" i="3"/>
  <c r="N44" i="3"/>
  <c r="O50" i="3"/>
  <c r="B48" i="2"/>
  <c r="A1" i="3"/>
  <c r="B29" i="2"/>
  <c r="BK6" i="3"/>
  <c r="O8" i="3"/>
  <c r="K20" i="3"/>
  <c r="P26" i="3"/>
  <c r="J32" i="3"/>
  <c r="O38" i="3"/>
  <c r="O44" i="3"/>
  <c r="P50" i="3"/>
  <c r="B46" i="2"/>
  <c r="R27" i="3"/>
  <c r="B27" i="3"/>
  <c r="R20" i="3"/>
  <c r="B20" i="3"/>
  <c r="R26" i="3"/>
  <c r="C26" i="3"/>
  <c r="R24" i="3"/>
  <c r="R25" i="3"/>
  <c r="C25" i="3"/>
  <c r="R23" i="3"/>
  <c r="C23" i="3"/>
  <c r="R18" i="3"/>
  <c r="R19" i="3"/>
  <c r="C19" i="3"/>
  <c r="R22" i="3"/>
  <c r="D22" i="3"/>
  <c r="R21" i="3"/>
  <c r="C21" i="3"/>
  <c r="R17" i="3"/>
  <c r="B17" i="3"/>
  <c r="R16" i="3"/>
  <c r="C16" i="3"/>
  <c r="R8" i="3"/>
  <c r="B8" i="3"/>
  <c r="R15" i="3"/>
  <c r="C15" i="3"/>
  <c r="R14" i="3"/>
  <c r="C14" i="3"/>
  <c r="R12" i="3"/>
  <c r="D12" i="3"/>
  <c r="R11" i="3"/>
  <c r="C11" i="3"/>
  <c r="R9" i="3"/>
  <c r="R7" i="3"/>
  <c r="C7" i="3"/>
  <c r="R13" i="3"/>
  <c r="B13" i="3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C8" i="3"/>
  <c r="D8" i="3"/>
  <c r="B29" i="3"/>
  <c r="D38" i="3"/>
  <c r="C36" i="3"/>
  <c r="D49" i="3"/>
  <c r="C49" i="3"/>
  <c r="B49" i="3"/>
  <c r="C34" i="3"/>
  <c r="B46" i="3"/>
  <c r="D51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/>
  <c r="D41" i="3"/>
  <c r="C38" i="3"/>
  <c r="B15" i="3"/>
  <c r="C22" i="3"/>
  <c r="C39" i="3"/>
  <c r="B11" i="3"/>
  <c r="B22" i="3"/>
  <c r="B39" i="3"/>
  <c r="D33" i="3"/>
  <c r="D27" i="3"/>
  <c r="C48" i="3"/>
  <c r="X15" i="3"/>
  <c r="X44" i="3"/>
  <c r="X10" i="3"/>
  <c r="X8" i="3"/>
  <c r="X53" i="3"/>
  <c r="B16" i="3"/>
  <c r="C13" i="3"/>
  <c r="D16" i="3"/>
  <c r="X40" i="3"/>
  <c r="AM16" i="3"/>
  <c r="AM17" i="3"/>
  <c r="AM9" i="3"/>
  <c r="AM40" i="3"/>
  <c r="X27" i="3"/>
  <c r="X52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X35" i="3"/>
  <c r="X11" i="3"/>
  <c r="X22" i="3"/>
  <c r="X48" i="3"/>
  <c r="X34" i="3"/>
  <c r="X46" i="3"/>
  <c r="X49" i="3"/>
  <c r="X45" i="3"/>
  <c r="X32" i="3"/>
  <c r="X24" i="3"/>
  <c r="X25" i="3"/>
  <c r="X29" i="3"/>
  <c r="X7" i="3"/>
  <c r="X17" i="3"/>
  <c r="X36" i="3"/>
  <c r="X14" i="3"/>
  <c r="X9" i="3"/>
  <c r="X47" i="3"/>
  <c r="X31" i="3"/>
  <c r="X38" i="3"/>
  <c r="X43" i="3"/>
  <c r="X41" i="3"/>
  <c r="X20" i="3"/>
  <c r="X21" i="3"/>
  <c r="X42" i="3"/>
  <c r="X13" i="3"/>
  <c r="X51" i="3"/>
  <c r="X39" i="3"/>
  <c r="X18" i="3"/>
  <c r="X23" i="3"/>
  <c r="X33" i="3"/>
  <c r="X28" i="3"/>
  <c r="X26" i="3"/>
  <c r="X19" i="3"/>
  <c r="X16" i="3"/>
  <c r="X50" i="3"/>
  <c r="X30" i="3"/>
  <c r="X37" i="3"/>
  <c r="X12" i="3"/>
  <c r="X54" i="3"/>
  <c r="AG10" i="3"/>
  <c r="AG53" i="3"/>
  <c r="AF10" i="3"/>
  <c r="AG11" i="3"/>
  <c r="AF51" i="3"/>
  <c r="AF50" i="3"/>
  <c r="AF53" i="3"/>
  <c r="AG52" i="3"/>
  <c r="AG9" i="3"/>
  <c r="AG51" i="3"/>
  <c r="AG8" i="3"/>
  <c r="AG50" i="3"/>
  <c r="AF9" i="3"/>
  <c r="AF8" i="3"/>
  <c r="AF52" i="3"/>
  <c r="AF11" i="3"/>
  <c r="AI9" i="3"/>
  <c r="AI51" i="3"/>
  <c r="AI8" i="3"/>
  <c r="AH10" i="3"/>
  <c r="AG18" i="3"/>
  <c r="AG42" i="3"/>
  <c r="AI10" i="3"/>
  <c r="AG36" i="3"/>
  <c r="AI52" i="3"/>
  <c r="AG54" i="3"/>
  <c r="AH11" i="3"/>
  <c r="AG30" i="3"/>
  <c r="AI53" i="3"/>
  <c r="AF54" i="3"/>
  <c r="AG24" i="3"/>
  <c r="AG12" i="3"/>
  <c r="AI11" i="3"/>
  <c r="AH8" i="3"/>
  <c r="AF12" i="3"/>
  <c r="AG48" i="3"/>
  <c r="AH9" i="3"/>
  <c r="AI50" i="3"/>
  <c r="AC50" i="3"/>
  <c r="AE51" i="3"/>
  <c r="AC51" i="3"/>
  <c r="AE8" i="3"/>
  <c r="AD9" i="3"/>
  <c r="AC8" i="3"/>
  <c r="AC53" i="3"/>
  <c r="AC11" i="3"/>
  <c r="AD53" i="3"/>
  <c r="AC9" i="3"/>
  <c r="AD10" i="3"/>
  <c r="AD8" i="3"/>
  <c r="AC10" i="3"/>
  <c r="AE11" i="3"/>
  <c r="AD11" i="3"/>
  <c r="AE10" i="3"/>
  <c r="AE50" i="3"/>
  <c r="AD51" i="3"/>
  <c r="AD52" i="3"/>
  <c r="AE53" i="3"/>
  <c r="AE9" i="3"/>
  <c r="AD50" i="3"/>
  <c r="AE52" i="3"/>
  <c r="AC52" i="3"/>
  <c r="AJ41" i="3"/>
  <c r="AH29" i="3"/>
  <c r="U7" i="3"/>
  <c r="V7" i="3"/>
  <c r="U8" i="3"/>
  <c r="W8" i="3"/>
  <c r="AJ21" i="3"/>
  <c r="AJ46" i="3"/>
  <c r="AH34" i="3"/>
  <c r="AH39" i="3"/>
  <c r="AH17" i="3"/>
  <c r="AJ16" i="3"/>
  <c r="AI55" i="3"/>
  <c r="AI54" i="3"/>
  <c r="AJ53" i="3"/>
  <c r="AI13" i="3"/>
  <c r="AI12" i="3"/>
  <c r="AJ9" i="3"/>
  <c r="AH13" i="3"/>
  <c r="AH12" i="3"/>
  <c r="AE42" i="3"/>
  <c r="AH22" i="3"/>
  <c r="AK51" i="3"/>
  <c r="AH51" i="3"/>
  <c r="AH35" i="3"/>
  <c r="AE48" i="3"/>
  <c r="AH47" i="3"/>
  <c r="AH16" i="3"/>
  <c r="AK52" i="3"/>
  <c r="AH52" i="3"/>
  <c r="AK9" i="3"/>
  <c r="AE36" i="3"/>
  <c r="AH45" i="3"/>
  <c r="AE24" i="3"/>
  <c r="AE18" i="3"/>
  <c r="AH28" i="3"/>
  <c r="AD42" i="3"/>
  <c r="AE12" i="3"/>
  <c r="AE30" i="3"/>
  <c r="AH27" i="3"/>
  <c r="AK10" i="3"/>
  <c r="AH41" i="3"/>
  <c r="AD24" i="3"/>
  <c r="AH23" i="3"/>
  <c r="AH15" i="3"/>
  <c r="AD54" i="3"/>
  <c r="AC12" i="3"/>
  <c r="AK8" i="3"/>
  <c r="AC24" i="3"/>
  <c r="AD48" i="3"/>
  <c r="AK11" i="3"/>
  <c r="AD30" i="3"/>
  <c r="AE54" i="3"/>
  <c r="AC48" i="3"/>
  <c r="AC30" i="3"/>
  <c r="AC18" i="3"/>
  <c r="AD12" i="3"/>
  <c r="AD36" i="3"/>
  <c r="AD18" i="3"/>
  <c r="AK50" i="3"/>
  <c r="AC54" i="3"/>
  <c r="AC36" i="3"/>
  <c r="AC42" i="3"/>
  <c r="AK53" i="3"/>
  <c r="U54" i="3"/>
  <c r="W54" i="3"/>
  <c r="AJ39" i="3"/>
  <c r="AJ40" i="3"/>
  <c r="AJ35" i="3"/>
  <c r="AJ33" i="3"/>
  <c r="AJ34" i="3"/>
  <c r="AJ22" i="3"/>
  <c r="W7" i="3"/>
  <c r="V8" i="3"/>
  <c r="AJ23" i="3"/>
  <c r="AJ47" i="3"/>
  <c r="AJ45" i="3"/>
  <c r="AJ15" i="3"/>
  <c r="AJ17" i="3"/>
  <c r="AJ51" i="3"/>
  <c r="AJ52" i="3"/>
  <c r="AJ50" i="3"/>
  <c r="AJ8" i="3"/>
  <c r="AJ11" i="3"/>
  <c r="AJ10" i="3"/>
  <c r="U42" i="3"/>
  <c r="V42" i="3"/>
  <c r="U14" i="3"/>
  <c r="W14" i="3"/>
  <c r="U12" i="3"/>
  <c r="W12" i="3"/>
  <c r="U10" i="3"/>
  <c r="W10" i="3"/>
  <c r="AK54" i="3"/>
  <c r="AH50" i="3"/>
  <c r="AH33" i="3"/>
  <c r="U32" i="3"/>
  <c r="AJ28" i="3"/>
  <c r="AH21" i="3"/>
  <c r="U46" i="3"/>
  <c r="U40" i="3"/>
  <c r="AH44" i="3"/>
  <c r="U51" i="3"/>
  <c r="U24" i="3"/>
  <c r="U30" i="3"/>
  <c r="AH26" i="3"/>
  <c r="AK12" i="3"/>
  <c r="AH14" i="3"/>
  <c r="U39" i="3"/>
  <c r="AH46" i="3"/>
  <c r="U20" i="3"/>
  <c r="AH53" i="3"/>
  <c r="AH40" i="3"/>
  <c r="AH38" i="3"/>
  <c r="AH32" i="3"/>
  <c r="AJ27" i="3"/>
  <c r="AH20" i="3"/>
  <c r="AJ29" i="3"/>
  <c r="V54" i="3"/>
  <c r="W51" i="3"/>
  <c r="V51" i="3"/>
  <c r="U52" i="3"/>
  <c r="U36" i="3"/>
  <c r="V36" i="3"/>
  <c r="U53" i="3"/>
  <c r="U47" i="3"/>
  <c r="W47" i="3"/>
  <c r="U44" i="3"/>
  <c r="V44" i="3"/>
  <c r="U45" i="3"/>
  <c r="V45" i="3"/>
  <c r="W42" i="3"/>
  <c r="U41" i="3"/>
  <c r="U35" i="3"/>
  <c r="V35" i="3"/>
  <c r="U25" i="3"/>
  <c r="V25" i="3"/>
  <c r="U22" i="3"/>
  <c r="V22" i="3"/>
  <c r="U19" i="3"/>
  <c r="V19" i="3"/>
  <c r="U48" i="3"/>
  <c r="V48" i="3"/>
  <c r="U50" i="3"/>
  <c r="W50" i="3"/>
  <c r="V10" i="3"/>
  <c r="U16" i="3"/>
  <c r="U37" i="3"/>
  <c r="V37" i="3"/>
  <c r="V14" i="3"/>
  <c r="U23" i="3"/>
  <c r="V23" i="3"/>
  <c r="U29" i="3"/>
  <c r="V29" i="3"/>
  <c r="V12" i="3"/>
  <c r="AH19" i="3"/>
  <c r="AH18" i="3"/>
  <c r="U9" i="3"/>
  <c r="U26" i="3"/>
  <c r="W39" i="3"/>
  <c r="V39" i="3"/>
  <c r="AH37" i="3"/>
  <c r="AH36" i="3"/>
  <c r="U15" i="3"/>
  <c r="U31" i="3"/>
  <c r="W40" i="3"/>
  <c r="V40" i="3"/>
  <c r="AH31" i="3"/>
  <c r="AH30" i="3"/>
  <c r="U13" i="3"/>
  <c r="U28" i="3"/>
  <c r="U49" i="3"/>
  <c r="AH55" i="3"/>
  <c r="AH54" i="3"/>
  <c r="U21" i="3"/>
  <c r="U38" i="3"/>
  <c r="AH43" i="3"/>
  <c r="AH42" i="3"/>
  <c r="U17" i="3"/>
  <c r="U33" i="3"/>
  <c r="W32" i="3"/>
  <c r="V32" i="3"/>
  <c r="AH25" i="3"/>
  <c r="AH24" i="3"/>
  <c r="U11" i="3"/>
  <c r="U27" i="3"/>
  <c r="U43" i="3"/>
  <c r="AH49" i="3"/>
  <c r="AH48" i="3"/>
  <c r="U18" i="3"/>
  <c r="U34" i="3"/>
  <c r="V30" i="3"/>
  <c r="W30" i="3"/>
  <c r="W46" i="3"/>
  <c r="V46" i="3"/>
  <c r="W20" i="3"/>
  <c r="V20" i="3"/>
  <c r="W24" i="3"/>
  <c r="V24" i="3"/>
  <c r="W36" i="3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40" i="3"/>
  <c r="AQ11" i="3"/>
  <c r="AR32" i="3"/>
  <c r="AQ26" i="3"/>
  <c r="AS38" i="3"/>
  <c r="AS14" i="3"/>
  <c r="AR40" i="3"/>
  <c r="AS33" i="3"/>
  <c r="AQ34" i="3"/>
  <c r="AR53" i="3"/>
  <c r="AR10" i="3"/>
  <c r="AS22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R46" i="3"/>
  <c r="AQ32" i="3"/>
  <c r="AS16" i="3"/>
  <c r="AR20" i="3"/>
  <c r="AQ39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R36" i="3"/>
  <c r="AT32" i="3"/>
  <c r="AT33" i="3"/>
  <c r="AP12" i="3"/>
  <c r="AS48" i="3"/>
  <c r="AT15" i="3"/>
  <c r="AT9" i="3"/>
  <c r="AS24" i="3"/>
  <c r="AP54" i="3"/>
  <c r="AT1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/>
  <c r="AL53" i="3"/>
  <c r="AT30" i="3"/>
  <c r="AT18" i="3"/>
  <c r="AT12" i="3"/>
  <c r="AT48" i="3"/>
  <c r="AT42" i="3"/>
  <c r="AT24" i="3"/>
  <c r="AT36" i="3"/>
  <c r="AL52" i="3"/>
  <c r="AL50" i="3"/>
  <c r="AL51" i="3"/>
  <c r="AL11" i="3"/>
  <c r="AL10" i="3"/>
  <c r="AL8" i="3"/>
  <c r="AL9" i="3"/>
  <c r="AL54" i="3"/>
  <c r="AN51" i="3"/>
  <c r="AL12" i="3"/>
  <c r="AN9" i="3"/>
  <c r="AN52" i="3"/>
  <c r="AN53" i="3"/>
  <c r="AN50" i="3"/>
  <c r="AN8" i="3"/>
  <c r="AN10" i="3"/>
  <c r="AN11" i="3"/>
  <c r="AA50" i="3"/>
  <c r="AA53" i="3"/>
  <c r="AA51" i="3"/>
  <c r="AA52" i="3"/>
  <c r="AA10" i="3"/>
  <c r="AA11" i="3"/>
  <c r="AA8" i="3"/>
  <c r="AA9" i="3"/>
  <c r="L51" i="3"/>
  <c r="L52" i="3"/>
  <c r="J51" i="3"/>
  <c r="AO50" i="3"/>
  <c r="AZ38" i="3"/>
  <c r="S65" i="3"/>
  <c r="T65" i="3"/>
  <c r="BF37" i="3"/>
  <c r="M52" i="3"/>
  <c r="J52" i="3"/>
  <c r="AO51" i="3"/>
  <c r="AZ23" i="3"/>
  <c r="O51" i="3"/>
  <c r="N51" i="3"/>
  <c r="M51" i="3"/>
  <c r="L9" i="3"/>
  <c r="N52" i="3"/>
  <c r="O52" i="3"/>
  <c r="O53" i="3"/>
  <c r="N53" i="3"/>
  <c r="O54" i="3"/>
  <c r="J53" i="3"/>
  <c r="M54" i="3"/>
  <c r="N54" i="3"/>
  <c r="L54" i="3"/>
  <c r="J54" i="3"/>
  <c r="L53" i="3"/>
  <c r="M9" i="3"/>
  <c r="N9" i="3"/>
  <c r="O9" i="3"/>
  <c r="M53" i="3"/>
  <c r="L12" i="3"/>
  <c r="J9" i="3"/>
  <c r="AO8" i="3"/>
  <c r="AZ10" i="3"/>
  <c r="O10" i="3"/>
  <c r="M10" i="3"/>
  <c r="M12" i="3"/>
  <c r="N12" i="3"/>
  <c r="J10" i="3"/>
  <c r="AO9" i="3"/>
  <c r="AZ27" i="3"/>
  <c r="J11" i="3"/>
  <c r="N11" i="3"/>
  <c r="N10" i="3"/>
  <c r="L10" i="3"/>
  <c r="O12" i="3"/>
  <c r="O11" i="3"/>
  <c r="M11" i="3"/>
  <c r="L11" i="3"/>
  <c r="J12" i="3"/>
  <c r="P52" i="3"/>
  <c r="K52" i="3"/>
  <c r="P51" i="3"/>
  <c r="K51" i="3"/>
  <c r="P9" i="3"/>
  <c r="P54" i="3"/>
  <c r="K54" i="3"/>
  <c r="K9" i="3"/>
  <c r="P53" i="3"/>
  <c r="K53" i="3"/>
  <c r="K12" i="3"/>
  <c r="K10" i="3"/>
  <c r="P10" i="3"/>
  <c r="P12" i="3"/>
  <c r="P11" i="3"/>
  <c r="K11" i="3"/>
  <c r="AP26" i="3"/>
  <c r="AP30" i="3"/>
  <c r="AL26" i="3"/>
  <c r="AL27" i="3"/>
  <c r="AL28" i="3"/>
  <c r="AL29" i="3"/>
  <c r="AL30" i="3"/>
  <c r="AN26" i="3"/>
  <c r="AN27" i="3"/>
  <c r="AN28" i="3"/>
  <c r="AN29" i="3"/>
  <c r="AA26" i="3"/>
  <c r="AA27" i="3"/>
  <c r="AA28" i="3"/>
  <c r="AA29" i="3"/>
  <c r="L30" i="3"/>
  <c r="M30" i="3"/>
  <c r="P30" i="3"/>
  <c r="L27" i="3"/>
  <c r="M27" i="3"/>
  <c r="P27" i="3"/>
  <c r="L29" i="3"/>
  <c r="M29" i="3"/>
  <c r="N29" i="3"/>
  <c r="K29" i="3"/>
  <c r="N27" i="3"/>
  <c r="K27" i="3"/>
  <c r="AP44" i="3"/>
  <c r="AP48" i="3"/>
  <c r="AL44" i="3"/>
  <c r="AL45" i="3"/>
  <c r="AL46" i="3"/>
  <c r="AL47" i="3"/>
  <c r="AL48" i="3"/>
  <c r="AN44" i="3"/>
  <c r="AN45" i="3"/>
  <c r="AN46" i="3"/>
  <c r="AN47" i="3"/>
  <c r="AA44" i="3"/>
  <c r="AA45" i="3"/>
  <c r="AA46" i="3"/>
  <c r="L48" i="3"/>
  <c r="M48" i="3"/>
  <c r="P48" i="3"/>
  <c r="L28" i="3"/>
  <c r="M28" i="3"/>
  <c r="N28" i="3"/>
  <c r="K28" i="3"/>
  <c r="AP20" i="3"/>
  <c r="AP24" i="3"/>
  <c r="AL20" i="3"/>
  <c r="AL21" i="3"/>
  <c r="AL22" i="3"/>
  <c r="AL23" i="3"/>
  <c r="AL24" i="3"/>
  <c r="AN20" i="3"/>
  <c r="AN21" i="3"/>
  <c r="AN22" i="3"/>
  <c r="AN23" i="3"/>
  <c r="AA20" i="3"/>
  <c r="AA21" i="3"/>
  <c r="L24" i="3"/>
  <c r="M24" i="3"/>
  <c r="N24" i="3"/>
  <c r="K24" i="3"/>
  <c r="P24" i="3"/>
  <c r="P28" i="3"/>
  <c r="N30" i="3"/>
  <c r="K30" i="3"/>
  <c r="AA22" i="3"/>
  <c r="L23" i="3"/>
  <c r="M23" i="3"/>
  <c r="N23" i="3"/>
  <c r="K23" i="3"/>
  <c r="P23" i="3"/>
  <c r="P29" i="3"/>
  <c r="L21" i="3"/>
  <c r="M21" i="3"/>
  <c r="N21" i="3"/>
  <c r="K21" i="3"/>
  <c r="P21" i="3"/>
  <c r="AA23" i="3"/>
  <c r="L22" i="3"/>
  <c r="M22" i="3"/>
  <c r="P22" i="3"/>
  <c r="N22" i="3"/>
  <c r="K22" i="3"/>
  <c r="L47" i="3"/>
  <c r="M47" i="3"/>
  <c r="N47" i="3"/>
  <c r="K47" i="3"/>
  <c r="N48" i="3"/>
  <c r="K48" i="3"/>
  <c r="AA47" i="3"/>
  <c r="L46" i="3"/>
  <c r="M46" i="3"/>
  <c r="N46" i="3"/>
  <c r="K46" i="3"/>
  <c r="P47" i="3"/>
  <c r="L45" i="3"/>
  <c r="M45" i="3"/>
  <c r="N45" i="3"/>
  <c r="K45" i="3"/>
  <c r="P46" i="3"/>
  <c r="P45" i="3"/>
  <c r="O30" i="3"/>
  <c r="J30" i="3"/>
  <c r="O29" i="3"/>
  <c r="J48" i="3"/>
  <c r="J29" i="3"/>
  <c r="O28" i="3"/>
  <c r="J28" i="3"/>
  <c r="AO27" i="3"/>
  <c r="AZ15" i="3"/>
  <c r="O47" i="3"/>
  <c r="J46" i="3"/>
  <c r="AO45" i="3"/>
  <c r="AZ39" i="3"/>
  <c r="O22" i="3"/>
  <c r="J22" i="3"/>
  <c r="AO21" i="3"/>
  <c r="AZ31" i="3"/>
  <c r="J23" i="3"/>
  <c r="O45" i="3"/>
  <c r="J47" i="3"/>
  <c r="O27" i="3"/>
  <c r="O23" i="3"/>
  <c r="O24" i="3"/>
  <c r="J24" i="3"/>
  <c r="O46" i="3"/>
  <c r="O48" i="3"/>
  <c r="O21" i="3"/>
  <c r="J21" i="3"/>
  <c r="AO20" i="3"/>
  <c r="AZ14" i="3"/>
  <c r="S59" i="3"/>
  <c r="T59" i="3"/>
  <c r="BF13" i="3"/>
  <c r="J45" i="3"/>
  <c r="AO44" i="3"/>
  <c r="AZ22" i="3"/>
  <c r="S63" i="3"/>
  <c r="T63" i="3"/>
  <c r="BF21" i="3"/>
  <c r="J27" i="3"/>
  <c r="AO26" i="3"/>
  <c r="AZ30" i="3"/>
  <c r="S61" i="3"/>
  <c r="T61" i="3"/>
  <c r="BF29" i="3"/>
  <c r="AP14" i="3"/>
  <c r="AP18" i="3"/>
  <c r="AL14" i="3"/>
  <c r="AL15" i="3"/>
  <c r="AL16" i="3"/>
  <c r="AL17" i="3"/>
  <c r="AL18" i="3"/>
  <c r="AN14" i="3"/>
  <c r="AN15" i="3"/>
  <c r="AN16" i="3"/>
  <c r="AN17" i="3"/>
  <c r="AA14" i="3"/>
  <c r="AA15" i="3"/>
  <c r="O16" i="3"/>
  <c r="AA16" i="3"/>
  <c r="AA17" i="3"/>
  <c r="O17" i="3"/>
  <c r="O15" i="3"/>
  <c r="J17" i="3"/>
  <c r="O18" i="3"/>
  <c r="J18" i="3"/>
  <c r="AP32" i="3"/>
  <c r="AP36" i="3"/>
  <c r="AL32" i="3"/>
  <c r="AL33" i="3"/>
  <c r="AL34" i="3"/>
  <c r="AL35" i="3"/>
  <c r="AL36" i="3"/>
  <c r="AN32" i="3"/>
  <c r="AN33" i="3"/>
  <c r="AN34" i="3"/>
  <c r="AN35" i="3"/>
  <c r="AA32" i="3"/>
  <c r="AA33" i="3"/>
  <c r="AA34" i="3"/>
  <c r="O36" i="3"/>
  <c r="AA35" i="3"/>
  <c r="J35" i="3"/>
  <c r="O34" i="3"/>
  <c r="O33" i="3"/>
  <c r="J36" i="3"/>
  <c r="O35" i="3"/>
  <c r="J33" i="3"/>
  <c r="AO32" i="3"/>
  <c r="AZ18" i="3"/>
  <c r="AP38" i="3"/>
  <c r="AP42" i="3"/>
  <c r="AL38" i="3"/>
  <c r="AL39" i="3"/>
  <c r="AL40" i="3"/>
  <c r="AL41" i="3"/>
  <c r="AL42" i="3"/>
  <c r="AN38" i="3"/>
  <c r="AN39" i="3"/>
  <c r="AN40" i="3"/>
  <c r="AN41" i="3"/>
  <c r="AA38" i="3"/>
  <c r="AA39" i="3"/>
  <c r="AA40" i="3"/>
  <c r="O41" i="3"/>
  <c r="AA41" i="3"/>
  <c r="O42" i="3"/>
  <c r="J39" i="3"/>
  <c r="AO38" i="3"/>
  <c r="AZ34" i="3"/>
  <c r="J41" i="3"/>
  <c r="J42" i="3"/>
  <c r="O40" i="3"/>
  <c r="O39" i="3"/>
  <c r="L16" i="3"/>
  <c r="M16" i="3"/>
  <c r="P16" i="3"/>
  <c r="N16" i="3"/>
  <c r="K16" i="3"/>
  <c r="L18" i="3"/>
  <c r="M18" i="3"/>
  <c r="N18" i="3"/>
  <c r="K18" i="3"/>
  <c r="L15" i="3"/>
  <c r="M15" i="3"/>
  <c r="P15" i="3"/>
  <c r="P18" i="3"/>
  <c r="N15" i="3"/>
  <c r="K15" i="3"/>
  <c r="L17" i="3"/>
  <c r="M17" i="3"/>
  <c r="P17" i="3"/>
  <c r="N17" i="3"/>
  <c r="K17" i="3"/>
  <c r="L39" i="3"/>
  <c r="M39" i="3"/>
  <c r="N39" i="3"/>
  <c r="K39" i="3"/>
  <c r="P39" i="3"/>
  <c r="L36" i="3"/>
  <c r="M36" i="3"/>
  <c r="N36" i="3"/>
  <c r="K36" i="3"/>
  <c r="P36" i="3"/>
  <c r="L42" i="3"/>
  <c r="M42" i="3"/>
  <c r="N42" i="3"/>
  <c r="K42" i="3"/>
  <c r="P42" i="3"/>
  <c r="L40" i="3"/>
  <c r="M40" i="3"/>
  <c r="N40" i="3"/>
  <c r="K40" i="3"/>
  <c r="P40" i="3"/>
  <c r="L33" i="3"/>
  <c r="M33" i="3"/>
  <c r="P33" i="3"/>
  <c r="N33" i="3"/>
  <c r="K33" i="3"/>
  <c r="L41" i="3"/>
  <c r="M41" i="3"/>
  <c r="N41" i="3"/>
  <c r="K41" i="3"/>
  <c r="P41" i="3"/>
  <c r="L34" i="3"/>
  <c r="M34" i="3"/>
  <c r="P34" i="3"/>
  <c r="N34" i="3"/>
  <c r="K34" i="3"/>
  <c r="L35" i="3"/>
  <c r="M35" i="3"/>
  <c r="N35" i="3"/>
  <c r="K35" i="3"/>
  <c r="P35" i="3"/>
  <c r="J40" i="3"/>
  <c r="AO39" i="3"/>
  <c r="AZ19" i="3"/>
  <c r="S62" i="3"/>
  <c r="T62" i="3"/>
  <c r="BF20" i="3"/>
  <c r="S70" i="3"/>
  <c r="T70" i="3"/>
  <c r="BL17" i="3"/>
  <c r="S76" i="3"/>
  <c r="T76" i="3"/>
  <c r="BR23" i="3"/>
  <c r="S85" i="3"/>
  <c r="BO41" i="3"/>
  <c r="J15" i="3"/>
  <c r="AO14" i="3"/>
  <c r="AZ26" i="3"/>
  <c r="S60" i="3"/>
  <c r="T60" i="3"/>
  <c r="BF28" i="3"/>
  <c r="S71" i="3"/>
  <c r="T71" i="3"/>
  <c r="BL32" i="3"/>
  <c r="U77" i="3"/>
  <c r="Z77" i="3"/>
  <c r="BR36" i="3"/>
  <c r="J34" i="3"/>
  <c r="AO33" i="3"/>
  <c r="AZ35" i="3"/>
  <c r="S64" i="3"/>
  <c r="T64" i="3"/>
  <c r="BF36" i="3"/>
  <c r="S72" i="3"/>
  <c r="T72" i="3"/>
  <c r="BL33" i="3"/>
  <c r="S77" i="3"/>
  <c r="T77" i="3"/>
  <c r="BR24" i="3"/>
  <c r="J16" i="3"/>
  <c r="AO15" i="3"/>
  <c r="AZ11" i="3"/>
  <c r="T85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<sst xmlns="http://schemas.openxmlformats.org/spreadsheetml/2006/main" count="4552" uniqueCount="2581">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</sst>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19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64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1E7F-AE8F-44BD-B850-8391483B98A0}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4" defaultRowHeight="15" x14ac:dyDescent="0.2"/>
  <cols>
    <col min="1" max="1" width="14" style="81"/>
  </cols>
  <sheetData>
    <row r="1" spans="1:44" x14ac:dyDescent="0.2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2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2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2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2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2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2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2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2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2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2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2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2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2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2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2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2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2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2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2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2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2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2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2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2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2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2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2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2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2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2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2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2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2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2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2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2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2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2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2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2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2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2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2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2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2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2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2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2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2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2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2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2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2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2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2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2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2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2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2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2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2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2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2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2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2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2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2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2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2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2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2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2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2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2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2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2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2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2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2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2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2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2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2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2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2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2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2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2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2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2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2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2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2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2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2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2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2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2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2">
      <c r="A103" s="82"/>
    </row>
    <row r="104" spans="1:44" x14ac:dyDescent="0.2">
      <c r="A104" s="82"/>
    </row>
    <row r="105" spans="1:44" x14ac:dyDescent="0.2">
      <c r="A105" s="82"/>
    </row>
    <row r="106" spans="1:44" x14ac:dyDescent="0.2">
      <c r="A106" s="82"/>
    </row>
    <row r="107" spans="1:44" x14ac:dyDescent="0.2">
      <c r="A107" s="82"/>
    </row>
    <row r="108" spans="1:44" x14ac:dyDescent="0.2">
      <c r="A108" s="82"/>
    </row>
    <row r="109" spans="1:44" x14ac:dyDescent="0.2">
      <c r="A109" s="82"/>
    </row>
    <row r="110" spans="1:44" x14ac:dyDescent="0.2">
      <c r="A110" s="82"/>
    </row>
    <row r="111" spans="1:44" x14ac:dyDescent="0.2">
      <c r="A111" s="82"/>
    </row>
    <row r="112" spans="1:44" x14ac:dyDescent="0.2">
      <c r="A112" s="82"/>
    </row>
    <row r="113" spans="1:43" x14ac:dyDescent="0.2">
      <c r="A113" s="82"/>
    </row>
    <row r="114" spans="1:43" x14ac:dyDescent="0.2">
      <c r="A114" s="82"/>
    </row>
    <row r="115" spans="1:43" x14ac:dyDescent="0.2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2527-19E5-4875-93D2-CFC0AC718D02}">
  <dimension ref="B1:I49"/>
  <sheetViews>
    <sheetView showGridLines="0" topLeftCell="A9" workbookViewId="0">
      <selection activeCell="C4" sqref="C4"/>
    </sheetView>
  </sheetViews>
  <sheetFormatPr baseColWidth="10" defaultColWidth="9.1640625" defaultRowHeight="15" x14ac:dyDescent="0.2"/>
  <cols>
    <col min="1" max="1" width="1.1640625" style="11" customWidth="1"/>
    <col min="2" max="2" width="18.83203125" style="11" bestFit="1" customWidth="1"/>
    <col min="3" max="3" width="20.33203125" style="11" customWidth="1"/>
    <col min="4" max="4" width="9.1640625" style="11"/>
    <col min="5" max="5" width="1.1640625" style="11" customWidth="1"/>
    <col min="6" max="6" width="9.1640625" style="11"/>
    <col min="7" max="7" width="27.5" style="11" bestFit="1" customWidth="1"/>
    <col min="8" max="8" width="2.6640625" style="11" customWidth="1"/>
    <col min="9" max="9" width="1.1640625" style="11" customWidth="1"/>
    <col min="10" max="16384" width="9.1640625" style="11"/>
  </cols>
  <sheetData>
    <row r="1" spans="2:9" ht="7.5" customHeight="1" x14ac:dyDescent="0.2"/>
    <row r="2" spans="2:9" ht="17" thickBot="1" x14ac:dyDescent="0.2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2">
      <c r="B3" s="86"/>
      <c r="C3" s="87"/>
      <c r="D3" s="88"/>
      <c r="F3" s="86"/>
      <c r="G3" s="87"/>
      <c r="H3" s="88"/>
    </row>
    <row r="4" spans="2:9" x14ac:dyDescent="0.2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2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2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2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2">
      <c r="B8" s="98" t="s">
        <v>2124</v>
      </c>
      <c r="C8" s="107" t="s">
        <v>2125</v>
      </c>
      <c r="D8" s="88"/>
      <c r="F8" s="90" t="s">
        <v>2126</v>
      </c>
      <c r="G8" s="92" t="s">
        <v>2127</v>
      </c>
      <c r="H8" s="88"/>
    </row>
    <row r="9" spans="2:9" x14ac:dyDescent="0.2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2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2">
      <c r="B11" s="86"/>
      <c r="C11" s="87"/>
      <c r="D11" s="88"/>
      <c r="F11" s="95"/>
      <c r="G11" s="96"/>
      <c r="H11" s="97"/>
    </row>
    <row r="12" spans="2:9" x14ac:dyDescent="0.2">
      <c r="B12" s="98" t="s">
        <v>2184</v>
      </c>
      <c r="C12" s="107" t="s">
        <v>1151</v>
      </c>
      <c r="D12" s="88"/>
    </row>
    <row r="13" spans="2:9" ht="9" customHeight="1" x14ac:dyDescent="0.2">
      <c r="B13" s="95"/>
      <c r="C13" s="96"/>
      <c r="D13" s="97"/>
    </row>
    <row r="14" spans="2:9" ht="9" customHeight="1" x14ac:dyDescent="0.2"/>
    <row r="15" spans="2:9" ht="9" customHeight="1" x14ac:dyDescent="0.2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Argentina</v>
      </c>
    </row>
    <row r="16" spans="2:9" ht="17" thickBot="1" x14ac:dyDescent="0.2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0.45833333333333331</v>
      </c>
      <c r="H16" s="108"/>
      <c r="I16" s="108"/>
    </row>
    <row r="17" spans="2:9" x14ac:dyDescent="0.2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2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2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2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2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2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2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2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2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2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2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2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2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2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2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2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2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2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2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2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2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2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2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2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2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2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2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2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2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2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2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2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2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 xr:uid="{0DBAD2C3-6A5E-43E5-9FC6-9E3CAE1C968A}">
      <formula1>lang_list</formula1>
    </dataValidation>
    <dataValidation type="list" allowBlank="1" showInputMessage="1" showErrorMessage="1" promptTitle="Select Summer Time" prompt="Use drop-down List" sqref="C6" xr:uid="{28AC6A07-581B-484E-B93A-3F6462423AE7}">
      <formula1>"Yes,No"</formula1>
    </dataValidation>
    <dataValidation type="list" allowBlank="1" showInputMessage="1" showErrorMessage="1" promptTitle="Select GTM-time" prompt="Use drop-down List" sqref="C8" xr:uid="{EC83C832-B212-425C-9943-F17313271E59}">
      <formula1>$F$18:$F$41</formula1>
    </dataValidation>
    <dataValidation type="list" allowBlank="1" showInputMessage="1" showErrorMessage="1" promptTitle="Select Minutes" prompt="Use drop-down List" sqref="C10" xr:uid="{C6794E40-584C-4822-8504-C53404E82E2B}">
      <formula1>$F$43:$F$46</formula1>
    </dataValidation>
    <dataValidation type="list" allowBlank="1" showInputMessage="1" showErrorMessage="1" promptTitle="Select Your Favorite Team" prompt="Use drop-down List" sqref="C12" xr:uid="{5F5DA096-193C-403D-9698-1DEED542F9BD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AAD0-B7F9-4EC8-A89D-FA373AF4B5F2}">
  <sheetPr>
    <pageSetUpPr fitToPage="1"/>
  </sheetPr>
  <dimension ref="A1:BT97"/>
  <sheetViews>
    <sheetView showGridLines="0" tabSelected="1" topLeftCell="J6" zoomScaleNormal="100" workbookViewId="0">
      <selection activeCell="BA10" sqref="BA10"/>
    </sheetView>
  </sheetViews>
  <sheetFormatPr baseColWidth="10" defaultColWidth="9.1640625" defaultRowHeight="15" x14ac:dyDescent="0.2"/>
  <cols>
    <col min="1" max="1" width="4.83203125" style="4" customWidth="1"/>
    <col min="2" max="2" width="6.1640625" style="4" customWidth="1"/>
    <col min="3" max="3" width="11.6640625" style="4" bestFit="1" customWidth="1"/>
    <col min="4" max="4" width="7.33203125" style="5" customWidth="1"/>
    <col min="5" max="5" width="22.5" style="6" customWidth="1"/>
    <col min="6" max="7" width="4.33203125" style="7" customWidth="1"/>
    <col min="8" max="8" width="22.5" style="8" customWidth="1"/>
    <col min="9" max="9" width="3.5" style="3" customWidth="1"/>
    <col min="10" max="10" width="14" style="9" customWidth="1"/>
    <col min="11" max="14" width="5.5" style="10" customWidth="1"/>
    <col min="15" max="15" width="7.6640625" style="10" customWidth="1"/>
    <col min="16" max="16" width="6.6640625" style="10" customWidth="1"/>
    <col min="17" max="17" width="3.5" style="2" customWidth="1"/>
    <col min="18" max="18" width="15.5" style="58" hidden="1" customWidth="1"/>
    <col min="19" max="20" width="16" style="65" hidden="1" customWidth="1"/>
    <col min="21" max="21" width="5" style="59" hidden="1" customWidth="1"/>
    <col min="22" max="25" width="6.1640625" style="58" hidden="1" customWidth="1"/>
    <col min="26" max="26" width="4.33203125" style="59" hidden="1" customWidth="1"/>
    <col min="27" max="27" width="5.5" style="58" hidden="1" customWidth="1"/>
    <col min="28" max="28" width="13.5" style="59" hidden="1" customWidth="1"/>
    <col min="29" max="33" width="5.5" style="58" hidden="1" customWidth="1"/>
    <col min="34" max="36" width="6" style="58" hidden="1" customWidth="1"/>
    <col min="37" max="37" width="5.5" style="58" hidden="1" customWidth="1"/>
    <col min="38" max="38" width="6" style="58" hidden="1" customWidth="1"/>
    <col min="39" max="39" width="7.1640625" style="59" hidden="1" customWidth="1"/>
    <col min="40" max="40" width="10" style="59" hidden="1" customWidth="1"/>
    <col min="41" max="41" width="15.33203125" style="60" hidden="1" customWidth="1"/>
    <col min="42" max="42" width="4.6640625" style="61" hidden="1" customWidth="1"/>
    <col min="43" max="46" width="4.6640625" style="62" hidden="1" customWidth="1"/>
    <col min="47" max="49" width="9.1640625" style="63" hidden="1" customWidth="1"/>
    <col min="50" max="50" width="9.1640625" style="64" hidden="1" customWidth="1"/>
    <col min="51" max="51" width="3.33203125" style="3" customWidth="1"/>
    <col min="52" max="52" width="19.6640625" style="3" customWidth="1"/>
    <col min="53" max="54" width="3" style="3" customWidth="1"/>
    <col min="55" max="56" width="2" style="3" customWidth="1"/>
    <col min="57" max="57" width="3.33203125" style="3" customWidth="1"/>
    <col min="58" max="58" width="19.6640625" style="3" customWidth="1"/>
    <col min="59" max="60" width="3" style="3" customWidth="1"/>
    <col min="61" max="62" width="2" style="3" customWidth="1"/>
    <col min="63" max="63" width="3.33203125" style="3" customWidth="1"/>
    <col min="64" max="64" width="19.6640625" style="3" customWidth="1"/>
    <col min="65" max="66" width="3" style="3" customWidth="1"/>
    <col min="67" max="68" width="2" style="3" customWidth="1"/>
    <col min="69" max="69" width="3.33203125" style="3" customWidth="1"/>
    <col min="70" max="70" width="19.6640625" style="3" customWidth="1"/>
    <col min="71" max="72" width="3" style="3" customWidth="1"/>
    <col min="73" max="16384" width="9.1640625" style="3"/>
  </cols>
  <sheetData>
    <row r="1" spans="1:72" ht="47" x14ac:dyDescent="0.2">
      <c r="A1" s="115" t="str">
        <f>INDEX(T,2,lang)</f>
        <v>2018 World Cup Final Tournament Schedule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2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6" t="str">
        <f>"Language: " &amp; Settings!C4</f>
        <v>Language: English</v>
      </c>
      <c r="P3" s="116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2"/>
    <row r="5" spans="1:72" ht="15" customHeight="1" x14ac:dyDescent="0.2">
      <c r="A5" s="117" t="str">
        <f>INDEX(T,3,lang)</f>
        <v>Group Stage</v>
      </c>
      <c r="B5" s="118"/>
      <c r="C5" s="118"/>
      <c r="D5" s="118"/>
      <c r="E5" s="118"/>
      <c r="F5" s="118"/>
      <c r="G5" s="118"/>
      <c r="H5" s="119"/>
      <c r="J5" s="123" t="s">
        <v>2174</v>
      </c>
      <c r="K5" s="124"/>
      <c r="L5" s="124"/>
      <c r="M5" s="124"/>
      <c r="N5" s="124"/>
      <c r="O5" s="124"/>
      <c r="P5" s="125"/>
    </row>
    <row r="6" spans="1:72" ht="15" customHeight="1" x14ac:dyDescent="0.2">
      <c r="A6" s="120"/>
      <c r="B6" s="121"/>
      <c r="C6" s="121"/>
      <c r="D6" s="121"/>
      <c r="E6" s="121"/>
      <c r="F6" s="121"/>
      <c r="G6" s="121"/>
      <c r="H6" s="122"/>
      <c r="J6" s="126"/>
      <c r="K6" s="127"/>
      <c r="L6" s="127"/>
      <c r="M6" s="127"/>
      <c r="N6" s="127"/>
      <c r="O6" s="127"/>
      <c r="P6" s="128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09" t="str">
        <f>INDEX(T,4,lang)</f>
        <v>Round of 16</v>
      </c>
      <c r="AZ6" s="110"/>
      <c r="BA6" s="110"/>
      <c r="BB6" s="111"/>
      <c r="BE6" s="109" t="str">
        <f>INDEX(T,5,lang)</f>
        <v>Quarterfinals</v>
      </c>
      <c r="BF6" s="110"/>
      <c r="BG6" s="110"/>
      <c r="BH6" s="111"/>
      <c r="BK6" s="109" t="str">
        <f>INDEX(T,6,lang)</f>
        <v>Semi-Finals</v>
      </c>
      <c r="BL6" s="110"/>
      <c r="BM6" s="110"/>
      <c r="BN6" s="111"/>
      <c r="BQ6" s="109" t="str">
        <f>INDEX(T,8,lang)</f>
        <v>Final</v>
      </c>
      <c r="BR6" s="110"/>
      <c r="BS6" s="110"/>
      <c r="BT6" s="111"/>
    </row>
    <row r="7" spans="1:72" ht="15" customHeight="1" x14ac:dyDescent="0.2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0.625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43265.625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12"/>
      <c r="AZ7" s="113"/>
      <c r="BA7" s="113"/>
      <c r="BB7" s="114"/>
      <c r="BE7" s="112"/>
      <c r="BF7" s="113"/>
      <c r="BG7" s="113"/>
      <c r="BH7" s="114"/>
      <c r="BK7" s="112"/>
      <c r="BL7" s="113"/>
      <c r="BM7" s="113"/>
      <c r="BN7" s="114"/>
      <c r="BQ7" s="112"/>
      <c r="BR7" s="113"/>
      <c r="BS7" s="113"/>
      <c r="BT7" s="114"/>
    </row>
    <row r="8" spans="1:72" ht="15" customHeight="1" x14ac:dyDescent="0.2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0.5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43266.5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2</v>
      </c>
      <c r="AB8" s="59" t="str">
        <f>VLOOKUP("Russia",T,lang,FALSE)</f>
        <v>Russia</v>
      </c>
      <c r="AC8" s="58">
        <f>COUNTIF($S$7:$T$54,"=" &amp; AB8 &amp; "_win")</f>
        <v>1</v>
      </c>
      <c r="AD8" s="58">
        <f>COUNTIF($S$7:$T$54,"=" &amp; AB8 &amp; "_draw")</f>
        <v>1</v>
      </c>
      <c r="AE8" s="58">
        <f>COUNTIF($S$7:$T$54,"=" &amp; AB8 &amp; "_lose")</f>
        <v>1</v>
      </c>
      <c r="AF8" s="58">
        <f>SUMIF($E$7:$E$54,$AB8,$F$7:$F$54) + SUMIF($H$7:$H$54,$AB8,$G$7:$G$54)</f>
        <v>10</v>
      </c>
      <c r="AG8" s="58">
        <f>SUMIF($E$7:$E$54,$AB8,$G$7:$G$54) + SUMIF($H$7:$H$54,$AB8,$F$7:$F$54)</f>
        <v>7</v>
      </c>
      <c r="AH8" s="58">
        <f>(AF8-AG8)+1</f>
        <v>4</v>
      </c>
      <c r="AI8" s="58">
        <f>AF8-AG8</f>
        <v>3</v>
      </c>
      <c r="AJ8" s="58">
        <f>(AI8-AI13)/AI12</f>
        <v>0.73684210526315785</v>
      </c>
      <c r="AK8" s="58">
        <f>AC8*3+AD8</f>
        <v>4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482.77538661722485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2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0.75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3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9 - 2</v>
      </c>
      <c r="P9" s="71">
        <f>L9*3+M9</f>
        <v>9</v>
      </c>
      <c r="R9" s="58">
        <f>DATE(2018,6,15)+TIME(7,0,0)+gmt_delta</f>
        <v>43266.75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1</v>
      </c>
      <c r="V9" s="58">
        <f t="shared" si="5"/>
        <v>3</v>
      </c>
      <c r="W9" s="58">
        <f t="shared" si="6"/>
        <v>3</v>
      </c>
      <c r="X9" s="58">
        <f t="shared" si="7"/>
        <v>0</v>
      </c>
      <c r="Y9" s="58">
        <f t="shared" si="9"/>
        <v>0</v>
      </c>
      <c r="AA9" s="58">
        <f>COUNTIF(AN8:AN11,CONCATENATE("&gt;=",AN9))</f>
        <v>4</v>
      </c>
      <c r="AB9" s="59" t="str">
        <f>VLOOKUP("Saudi Arabia",T,lang,FALSE)</f>
        <v>Saudi Arabia</v>
      </c>
      <c r="AC9" s="58">
        <f>COUNTIF($S$7:$T$54,"=" &amp; AB9 &amp; "_win")</f>
        <v>0</v>
      </c>
      <c r="AD9" s="58">
        <f>COUNTIF($S$7:$T$54,"=" &amp; AB9 &amp; "_draw")</f>
        <v>0</v>
      </c>
      <c r="AE9" s="58">
        <f>COUNTIF($S$7:$T$54,"=" &amp; AB9 &amp; "_lose")</f>
        <v>3</v>
      </c>
      <c r="AF9" s="58">
        <f>SUMIF($E$7:$E$54,$AB9,$F$7:$F$54) + SUMIF($H$7:$H$54,$AB9,$G$7:$G$54)</f>
        <v>0</v>
      </c>
      <c r="AG9" s="58">
        <f>SUMIF($E$7:$E$54,$AB9,$G$7:$G$54) + SUMIF($H$7:$H$54,$AB9,$F$7:$F$54)</f>
        <v>11</v>
      </c>
      <c r="AH9" s="58">
        <f>(AF9-AG9)+1</f>
        <v>-10</v>
      </c>
      <c r="AI9" s="58">
        <f>AF9-AG9</f>
        <v>-11</v>
      </c>
      <c r="AJ9" s="58">
        <f>(AI9-AI13)/AI12</f>
        <v>0</v>
      </c>
      <c r="AK9" s="58">
        <f>AC9*3+AD9</f>
        <v>0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2.7149999999999999E-4</v>
      </c>
      <c r="AO9" s="60" t="str">
        <f>IF(SUM(AC8:AE11)=12,J10,INDEX(T,71,lang))</f>
        <v>Russia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18:00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2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0.625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Russia</v>
      </c>
      <c r="K10" s="27">
        <f>L10+M10+N10</f>
        <v>3</v>
      </c>
      <c r="L10" s="27">
        <f>VLOOKUP(2,AA8:AK11,3,FALSE)</f>
        <v>1</v>
      </c>
      <c r="M10" s="27">
        <f>VLOOKUP(2,AA8:AK11,4,FALSE)</f>
        <v>1</v>
      </c>
      <c r="N10" s="27">
        <f>VLOOKUP(2,AA8:AK11,5,FALSE)</f>
        <v>1</v>
      </c>
      <c r="O10" s="27" t="str">
        <f>VLOOKUP(2,AA8:AK11,6,FALSE) &amp; " - " &amp; VLOOKUP(2,AA8:AK11,7,FALSE)</f>
        <v>10 - 7</v>
      </c>
      <c r="P10" s="73">
        <f>L10*3+M10</f>
        <v>4</v>
      </c>
      <c r="R10" s="58">
        <f>DATE(2018,6,15)+TIME(4,0,0)+gmt_delta</f>
        <v>43266.625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3</v>
      </c>
      <c r="AB10" s="59" t="str">
        <f>VLOOKUP("Egypt",T,lang,FALSE)</f>
        <v>Egypt</v>
      </c>
      <c r="AC10" s="58">
        <f>COUNTIF($S$7:$T$54,"=" &amp; AB10 &amp; "_win")</f>
        <v>1</v>
      </c>
      <c r="AD10" s="58">
        <f>COUNTIF($S$7:$T$54,"=" &amp; AB10 &amp; "_draw")</f>
        <v>1</v>
      </c>
      <c r="AE10" s="58">
        <f>COUNTIF($S$7:$T$54,"=" &amp; AB10 &amp; "_lose")</f>
        <v>1</v>
      </c>
      <c r="AF10" s="58">
        <f>SUMIF($E$7:$E$54,$AB10,$F$7:$F$54) + SUMIF($H$7:$H$54,$AB10,$G$7:$G$54)</f>
        <v>5</v>
      </c>
      <c r="AG10" s="58">
        <f>SUMIF($E$7:$E$54,$AB10,$G$7:$G$54) + SUMIF($H$7:$H$54,$AB10,$F$7:$F$54)</f>
        <v>4</v>
      </c>
      <c r="AH10" s="58">
        <f>(AF10-AG10)+1</f>
        <v>2</v>
      </c>
      <c r="AI10" s="58">
        <f>AF10-AG10</f>
        <v>1</v>
      </c>
      <c r="AJ10" s="58">
        <f>(AI10-AI13)/AI12</f>
        <v>0.63157894736842102</v>
      </c>
      <c r="AK10" s="58">
        <f>AC10*3+AD10</f>
        <v>4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467.70375178229665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29">
        <v>49</v>
      </c>
      <c r="AZ10" s="28" t="str">
        <f>AO8</f>
        <v>Uruguay</v>
      </c>
      <c r="BA10" s="29">
        <v>1</v>
      </c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2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0.41666666666666669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Egypt</v>
      </c>
      <c r="K11" s="27">
        <f>L11+M11+N11</f>
        <v>3</v>
      </c>
      <c r="L11" s="27">
        <f>VLOOKUP(3,AA8:AK11,3,FALSE)</f>
        <v>1</v>
      </c>
      <c r="M11" s="27">
        <f>VLOOKUP(3,AA8:AK11,4,FALSE)</f>
        <v>1</v>
      </c>
      <c r="N11" s="27">
        <f>VLOOKUP(3,AA8:AK11,5,FALSE)</f>
        <v>1</v>
      </c>
      <c r="O11" s="27" t="str">
        <f>VLOOKUP(3,AA8:AK11,6,FALSE) &amp; " - " &amp; VLOOKUP(3,AA8:AK11,7,FALSE)</f>
        <v>5 - 4</v>
      </c>
      <c r="P11" s="73">
        <f>L11*3+M11</f>
        <v>4</v>
      </c>
      <c r="R11" s="58">
        <f>DATE(2018,6,15)+TIME(23,0,0)+gmt_delta</f>
        <v>43267.416666666672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3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9</v>
      </c>
      <c r="AG11" s="58">
        <f>SUMIF($E$7:$E$54,$AB11,$G$7:$G$54) + SUMIF($H$7:$H$54,$AB11,$F$7:$F$54)</f>
        <v>2</v>
      </c>
      <c r="AH11" s="58">
        <f>(AF11-AG11)+1</f>
        <v>8</v>
      </c>
      <c r="AI11" s="58">
        <f>AF11-AG11</f>
        <v>7</v>
      </c>
      <c r="AJ11" s="58">
        <f>(AI11-AI13)/AI12</f>
        <v>0.94736842105263153</v>
      </c>
      <c r="AK11" s="58">
        <f>AC11*3+AD11</f>
        <v>9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1002.9191222870812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30"/>
      <c r="AZ11" s="31" t="str">
        <f>AO15</f>
        <v>Spain</v>
      </c>
      <c r="BA11" s="32">
        <v>3</v>
      </c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14:00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2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0.66666666666666663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Saudi Arabia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0 - 11</v>
      </c>
      <c r="P12" s="76">
        <f>L12*3+M12</f>
        <v>0</v>
      </c>
      <c r="R12" s="58">
        <f>DATE(2018,6,16)+TIME(5,0,0)+gmt_delta</f>
        <v>43267.666666666672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4</v>
      </c>
      <c r="AD12" s="58">
        <f t="shared" si="10"/>
        <v>2</v>
      </c>
      <c r="AE12" s="58">
        <f t="shared" si="10"/>
        <v>4</v>
      </c>
      <c r="AF12" s="58">
        <f t="shared" si="10"/>
        <v>11</v>
      </c>
      <c r="AG12" s="58">
        <f t="shared" si="10"/>
        <v>10</v>
      </c>
      <c r="AH12" s="58">
        <f>MAX(AH8:AH11)-AH13+1</f>
        <v>19</v>
      </c>
      <c r="AI12" s="58">
        <f>MAX(AI8:AI11)-AI13+1</f>
        <v>19</v>
      </c>
      <c r="AK12" s="58">
        <f t="shared" si="10"/>
        <v>10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29">
        <v>57</v>
      </c>
      <c r="BF12" s="28" t="str">
        <f>T58</f>
        <v>Spain</v>
      </c>
      <c r="BG12" s="29">
        <v>2</v>
      </c>
      <c r="BH12" s="30">
        <v>3</v>
      </c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2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0.54166666666666663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43267.541666666672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1</v>
      </c>
      <c r="Y13" s="58">
        <f t="shared" si="9"/>
        <v>0</v>
      </c>
      <c r="AH13" s="58">
        <f>MIN(AH8:AH11)</f>
        <v>-10</v>
      </c>
      <c r="AI13" s="58">
        <f>MIN(AI8:AI11)</f>
        <v>-11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14:00</v>
      </c>
      <c r="AZ13" s="25"/>
      <c r="BA13" s="25"/>
      <c r="BB13" s="35"/>
      <c r="BC13" s="36"/>
      <c r="BD13" s="39"/>
      <c r="BE13" s="130"/>
      <c r="BF13" s="31" t="str">
        <f>T59</f>
        <v>France</v>
      </c>
      <c r="BG13" s="32">
        <v>2</v>
      </c>
      <c r="BH13" s="33">
        <v>2</v>
      </c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2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0.79166666666666663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43267.791666666672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1</v>
      </c>
      <c r="AB14" s="59" t="str">
        <f>VLOOKUP("Portugal",T,lang,FALSE)</f>
        <v>Portugal</v>
      </c>
      <c r="AC14" s="58">
        <f>COUNTIF($S$7:$T$54,"=" &amp; AB14 &amp; "_win")</f>
        <v>2</v>
      </c>
      <c r="AD14" s="58">
        <f>COUNTIF($S$7:$T$54,"=" &amp; AB14 &amp; "_draw")</f>
        <v>1</v>
      </c>
      <c r="AE14" s="58">
        <f>COUNTIF($S$7:$T$54,"=" &amp; AB14 &amp; "_lose")</f>
        <v>0</v>
      </c>
      <c r="AF14" s="58">
        <f>SUMIF($E$7:$E$54,$AB14,$F$7:$F$54) + SUMIF($H$7:$H$54,$AB14,$G$7:$G$54)</f>
        <v>12</v>
      </c>
      <c r="AG14" s="58">
        <f>SUMIF($E$7:$E$54,$AB14,$G$7:$G$54) + SUMIF($H$7:$H$54,$AB14,$F$7:$F$54)</f>
        <v>5</v>
      </c>
      <c r="AH14" s="58">
        <f>(AF14-AG14)*100+AK14*10000+AF14</f>
        <v>70712</v>
      </c>
      <c r="AI14" s="58">
        <f>AF14-AG14</f>
        <v>7</v>
      </c>
      <c r="AJ14" s="58">
        <f>(AI14-AI19)/AI18</f>
        <v>0.9375</v>
      </c>
      <c r="AK14" s="58">
        <f>AC14*3+AD14</f>
        <v>7</v>
      </c>
      <c r="AL14" s="58">
        <f>AP14/AP18*1000+AQ14/AQ18*100+AT14/AT18*10+AR14/AR18</f>
        <v>50.75</v>
      </c>
      <c r="AM14" s="58">
        <f>VLOOKUP(AB14,db_fifarank,2,FALSE)/2000000</f>
        <v>6.7900000000000002E-4</v>
      </c>
      <c r="AN14" s="59">
        <f>1000*AK14/AK18+100*AJ14+10*AF14/AF18+1*AL14/AL18+AM14</f>
        <v>980.64044623759332</v>
      </c>
      <c r="AO14" s="60" t="str">
        <f>IF(SUM(AC14:AE17)=12,J15,INDEX(T,72,lang))</f>
        <v>Portugal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1</v>
      </c>
      <c r="AR14" s="62">
        <f>SUMPRODUCT(($E$7:$E$54=AB14)*($U$7:$U$54)*($F$7:$F$54))+SUMPRODUCT(($H$7:$H$54=AB14)*($U$7:$U$54)*($G$7:$G$54))</f>
        <v>3</v>
      </c>
      <c r="AS14" s="62">
        <f>SUMPRODUCT(($E$7:$E$54=AB14)*($U$7:$U$54)*($G$7:$G$54))+SUMPRODUCT(($H$7:$H$54=AB14)*($U$7:$U$54)*($F$7:$F$54))</f>
        <v>3</v>
      </c>
      <c r="AT14" s="62">
        <f>AR14-AS14</f>
        <v>0</v>
      </c>
      <c r="AY14" s="129">
        <v>50</v>
      </c>
      <c r="AZ14" s="28" t="str">
        <f>AO20</f>
        <v>France</v>
      </c>
      <c r="BA14" s="29">
        <v>3</v>
      </c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2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0.75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Portugal</v>
      </c>
      <c r="K15" s="70">
        <f>L15+M15+N15</f>
        <v>3</v>
      </c>
      <c r="L15" s="70">
        <f>VLOOKUP(1,AA14:AK17,3,FALSE)</f>
        <v>2</v>
      </c>
      <c r="M15" s="70">
        <f>VLOOKUP(1,AA14:AK17,4,FALSE)</f>
        <v>1</v>
      </c>
      <c r="N15" s="70">
        <f>VLOOKUP(1,AA14:AK17,5,FALSE)</f>
        <v>0</v>
      </c>
      <c r="O15" s="70" t="str">
        <f>VLOOKUP(1,AA14:AK17,6,FALSE) &amp; " - " &amp; VLOOKUP(1,AA14:AK17,7,FALSE)</f>
        <v>12 - 5</v>
      </c>
      <c r="P15" s="71">
        <f>L15*3+M15</f>
        <v>7</v>
      </c>
      <c r="R15" s="58">
        <f>DATE(2018,6,17)+TIME(7,0,0)+gmt_delta</f>
        <v>43268.75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2</v>
      </c>
      <c r="AB15" s="59" t="str">
        <f>VLOOKUP("Spain",T,lang,FALSE)</f>
        <v>Spain</v>
      </c>
      <c r="AC15" s="58">
        <f>COUNTIF($S$7:$T$54,"=" &amp; AB15 &amp; "_win")</f>
        <v>2</v>
      </c>
      <c r="AD15" s="58">
        <f>COUNTIF($S$7:$T$54,"=" &amp; AB15 &amp; "_draw")</f>
        <v>1</v>
      </c>
      <c r="AE15" s="58">
        <f>COUNTIF($S$7:$T$54,"=" &amp; AB15 &amp; "_lose")</f>
        <v>0</v>
      </c>
      <c r="AF15" s="58">
        <f>SUMIF($E$7:$E$54,$AB15,$F$7:$F$54) + SUMIF($H$7:$H$54,$AB15,$G$7:$G$54)</f>
        <v>12</v>
      </c>
      <c r="AG15" s="58">
        <f>SUMIF($E$7:$E$54,$AB15,$G$7:$G$54) + SUMIF($H$7:$H$54,$AB15,$F$7:$F$54)</f>
        <v>5</v>
      </c>
      <c r="AH15" s="58">
        <f>(AF15-AG15)*100+AK15*10000+AF15</f>
        <v>70712</v>
      </c>
      <c r="AI15" s="58">
        <f>AF15-AG15</f>
        <v>7</v>
      </c>
      <c r="AJ15" s="58">
        <f>(AI15-AI19)/AI18</f>
        <v>0.9375</v>
      </c>
      <c r="AK15" s="58">
        <f>AC15*3+AD15</f>
        <v>7</v>
      </c>
      <c r="AL15" s="58">
        <f>AP15/AP18*1000+AQ15/AQ18*100+AT15/AT18*10+AR15/AR18</f>
        <v>50.75</v>
      </c>
      <c r="AM15" s="58">
        <f>VLOOKUP(AB15,db_fifarank,2,FALSE)/2000000</f>
        <v>6.1550000000000005E-4</v>
      </c>
      <c r="AN15" s="59">
        <f>1000*AK15/AK18+100*AJ15+10*AF15/AF18+1*AL15/AL18+AM15</f>
        <v>980.64038273759331</v>
      </c>
      <c r="AO15" s="60" t="str">
        <f>IF(SUM(AC14:AE17)=12,J16,INDEX(T,73,lang))</f>
        <v>Spain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1</v>
      </c>
      <c r="AR15" s="62">
        <f>SUMPRODUCT(($E$7:$E$54=AB15)*($U$7:$U$54)*($F$7:$F$54))+SUMPRODUCT(($H$7:$H$54=AB15)*($U$7:$U$54)*($G$7:$G$54))</f>
        <v>3</v>
      </c>
      <c r="AS15" s="62">
        <f>SUMPRODUCT(($E$7:$E$54=AB15)*($U$7:$U$54)*($G$7:$G$54))+SUMPRODUCT(($H$7:$H$54=AB15)*($U$7:$U$54)*($F$7:$F$54))</f>
        <v>3</v>
      </c>
      <c r="AT15" s="62">
        <f>AR15-AS15</f>
        <v>0</v>
      </c>
      <c r="AY15" s="130"/>
      <c r="AZ15" s="31" t="str">
        <f>AO27</f>
        <v>Croatia</v>
      </c>
      <c r="BA15" s="32">
        <v>1</v>
      </c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18:00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2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0.5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Spain</v>
      </c>
      <c r="K16" s="27">
        <f>L16+M16+N16</f>
        <v>3</v>
      </c>
      <c r="L16" s="27">
        <f>VLOOKUP(2,AA14:AK17,3,FALSE)</f>
        <v>2</v>
      </c>
      <c r="M16" s="27">
        <f>VLOOKUP(2,AA14:AK17,4,FALSE)</f>
        <v>1</v>
      </c>
      <c r="N16" s="27">
        <f>VLOOKUP(2,AA14:AK17,5,FALSE)</f>
        <v>0</v>
      </c>
      <c r="O16" s="27" t="str">
        <f>VLOOKUP(2,AA14:AK17,6,FALSE) &amp; " - " &amp; VLOOKUP(2,AA14:AK17,7,FALSE)</f>
        <v>12 - 5</v>
      </c>
      <c r="P16" s="73">
        <f>L16*3+M16</f>
        <v>7</v>
      </c>
      <c r="R16" s="58">
        <f>DATE(2018,6,17)+TIME(1,0,0)+gmt_delta</f>
        <v>43268.5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0</v>
      </c>
      <c r="AE16" s="58">
        <f>COUNTIF($S$7:$T$54,"=" &amp; AB16 &amp; "_lose")</f>
        <v>3</v>
      </c>
      <c r="AF16" s="58">
        <f>SUMIF($E$7:$E$54,$AB16,$F$7:$F$54) + SUMIF($H$7:$H$54,$AB16,$G$7:$G$54)</f>
        <v>2</v>
      </c>
      <c r="AG16" s="58">
        <f>SUMIF($E$7:$E$54,$AB16,$G$7:$G$54) + SUMIF($H$7:$H$54,$AB16,$F$7:$F$54)</f>
        <v>10</v>
      </c>
      <c r="AH16" s="58">
        <f>(AF16-AG16)*100+AK16*10000+AF16</f>
        <v>-798</v>
      </c>
      <c r="AI16" s="58">
        <f>AF16-AG16</f>
        <v>-8</v>
      </c>
      <c r="AJ16" s="58">
        <f>(AI16-AI19)/AI18</f>
        <v>0</v>
      </c>
      <c r="AK16" s="58">
        <f>AC16*3+AD16</f>
        <v>0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1.8185508181818182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29">
        <v>61</v>
      </c>
      <c r="BL16" s="28" t="str">
        <f>T69</f>
        <v>Spain</v>
      </c>
      <c r="BM16" s="29">
        <v>3</v>
      </c>
      <c r="BN16" s="30"/>
      <c r="BO16" s="25"/>
      <c r="BP16" s="41"/>
      <c r="BQ16" s="25"/>
      <c r="BR16" s="25"/>
      <c r="BS16" s="25"/>
      <c r="BT16" s="25"/>
    </row>
    <row r="17" spans="1:72" ht="15" customHeight="1" x14ac:dyDescent="0.2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0.625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0</v>
      </c>
      <c r="N17" s="27">
        <f>VLOOKUP(3,AA14:AK17,5,FALSE)</f>
        <v>2</v>
      </c>
      <c r="O17" s="27" t="str">
        <f>VLOOKUP(3,AA14:AK17,6,FALSE) &amp; " - " &amp; VLOOKUP(3,AA14:AK17,7,FALSE)</f>
        <v>3 - 9</v>
      </c>
      <c r="P17" s="73">
        <f>L17*3+M17</f>
        <v>3</v>
      </c>
      <c r="R17" s="58">
        <f>DATE(2018,6,17)+TIME(4,0,0)+gmt_delta</f>
        <v>43268.625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0</v>
      </c>
      <c r="AE17" s="58">
        <f>COUNTIF($S$7:$T$54,"=" &amp; AB17 &amp; "_lose")</f>
        <v>2</v>
      </c>
      <c r="AF17" s="58">
        <f>SUMIF($E$7:$E$54,$AB17,$F$7:$F$54) + SUMIF($H$7:$H$54,$AB17,$G$7:$G$54)</f>
        <v>3</v>
      </c>
      <c r="AG17" s="58">
        <f>SUMIF($E$7:$E$54,$AB17,$G$7:$G$54) + SUMIF($H$7:$H$54,$AB17,$F$7:$F$54)</f>
        <v>9</v>
      </c>
      <c r="AH17" s="58">
        <f>(AF17-AG17)*100+AK17*10000+AF17</f>
        <v>29403</v>
      </c>
      <c r="AI17" s="58">
        <f>AF17-AG17</f>
        <v>-6</v>
      </c>
      <c r="AJ17" s="58">
        <f>(AI17-AI19)/AI18</f>
        <v>0.125</v>
      </c>
      <c r="AK17" s="58">
        <f>AC17*3+AD17</f>
        <v>3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390.22767172727276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14:00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30"/>
      <c r="BL17" s="31" t="str">
        <f>T70</f>
        <v>Germany</v>
      </c>
      <c r="BM17" s="32">
        <v>4</v>
      </c>
      <c r="BN17" s="33"/>
      <c r="BO17" s="34"/>
      <c r="BP17" s="42"/>
      <c r="BQ17" s="25"/>
      <c r="BR17" s="25"/>
      <c r="BS17" s="25"/>
      <c r="BT17" s="25"/>
    </row>
    <row r="18" spans="1:72" ht="15" customHeight="1" x14ac:dyDescent="0.2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0.5</v>
      </c>
      <c r="E18" s="22" t="str">
        <f>AB40</f>
        <v>Sweden</v>
      </c>
      <c r="F18" s="23">
        <v>2</v>
      </c>
      <c r="G18" s="24">
        <v>1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0</v>
      </c>
      <c r="N18" s="75">
        <f>VLOOKUP(4,AA14:AK17,5,FALSE)</f>
        <v>3</v>
      </c>
      <c r="O18" s="75" t="str">
        <f>VLOOKUP(4,AA14:AK17,6,FALSE) &amp; " - " &amp; VLOOKUP(4,AA14:AK17,7,FALSE)</f>
        <v>2 - 10</v>
      </c>
      <c r="P18" s="76">
        <f>L18*3+M18</f>
        <v>0</v>
      </c>
      <c r="R18" s="58">
        <f>DATE(2018,6,18)+TIME(1,0,0)+gmt_delta</f>
        <v>43269.5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3</v>
      </c>
      <c r="AD18" s="58">
        <f t="shared" si="11"/>
        <v>2</v>
      </c>
      <c r="AE18" s="58">
        <f t="shared" si="11"/>
        <v>4</v>
      </c>
      <c r="AF18" s="58">
        <f t="shared" si="11"/>
        <v>11</v>
      </c>
      <c r="AG18" s="58">
        <f t="shared" si="11"/>
        <v>6</v>
      </c>
      <c r="AH18" s="58">
        <f>MAX(AH14:AH17)-AH19+1</f>
        <v>71511</v>
      </c>
      <c r="AI18" s="58">
        <f>MAX(AI14:AI17)-AI19+1</f>
        <v>16</v>
      </c>
      <c r="AK18" s="58">
        <f t="shared" si="11"/>
        <v>8</v>
      </c>
      <c r="AL18" s="58">
        <f t="shared" si="11"/>
        <v>51.75</v>
      </c>
      <c r="AP18" s="58">
        <f>MAX(AP14:AP17)-MIN(AP14:AP17)+1</f>
        <v>1</v>
      </c>
      <c r="AQ18" s="58">
        <f>MAX(AQ14:AQ17)-MIN(AQ14:AQ17)+1</f>
        <v>2</v>
      </c>
      <c r="AR18" s="58">
        <f>MAX(AR14:AR17)-MIN(AR14:AR17)+1</f>
        <v>4</v>
      </c>
      <c r="AS18" s="58">
        <f>MAX(AS14:AS17)-MIN(AS14:AS17)+1</f>
        <v>4</v>
      </c>
      <c r="AT18" s="58">
        <f>MAX(AT14:AT17)-MIN(AT14:AT17)+1</f>
        <v>1</v>
      </c>
      <c r="AY18" s="129">
        <v>53</v>
      </c>
      <c r="AZ18" s="28" t="str">
        <f>AO32</f>
        <v>Switzerland</v>
      </c>
      <c r="BA18" s="29">
        <v>2</v>
      </c>
      <c r="BB18" s="30">
        <v>1</v>
      </c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2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0.625</v>
      </c>
      <c r="E19" s="22" t="str">
        <f>AB44</f>
        <v>Belgium</v>
      </c>
      <c r="F19" s="23">
        <v>3</v>
      </c>
      <c r="G19" s="24">
        <v>2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43269.625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-798</v>
      </c>
      <c r="AI19" s="58">
        <f>MIN(AI14:AI17)</f>
        <v>-8</v>
      </c>
      <c r="AY19" s="130"/>
      <c r="AZ19" s="31" t="str">
        <f>AO39</f>
        <v>Germany</v>
      </c>
      <c r="BA19" s="32">
        <v>2</v>
      </c>
      <c r="BB19" s="33">
        <v>3</v>
      </c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18:00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2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0.75</v>
      </c>
      <c r="E20" s="22" t="str">
        <f>AB46</f>
        <v>Tunisia</v>
      </c>
      <c r="F20" s="23">
        <v>0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43269.75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3</v>
      </c>
      <c r="AD20" s="58">
        <f>COUNTIF($S$7:$T$54,"=" &amp; AB20 &amp; "_draw")</f>
        <v>0</v>
      </c>
      <c r="AE20" s="58">
        <f>COUNTIF($S$7:$T$54,"=" &amp; AB20 &amp; "_lose")</f>
        <v>0</v>
      </c>
      <c r="AF20" s="58">
        <f>SUMIF($E$7:$E$54,$AB20,$F$7:$F$54) + SUMIF($H$7:$H$54,$AB20,$G$7:$G$54)</f>
        <v>9</v>
      </c>
      <c r="AG20" s="58">
        <f>SUMIF($E$7:$E$54,$AB20,$G$7:$G$54) + SUMIF($H$7:$H$54,$AB20,$F$7:$F$54)</f>
        <v>4</v>
      </c>
      <c r="AH20" s="58">
        <f>(AF20-AG20)*100+AK20*10000+AF20</f>
        <v>90509</v>
      </c>
      <c r="AI20" s="58">
        <f>AF20-AG20</f>
        <v>5</v>
      </c>
      <c r="AJ20" s="58">
        <f>(AI20-AI25)/AI24</f>
        <v>0.90909090909090906</v>
      </c>
      <c r="AK20" s="58">
        <f>AC20*3+AD20</f>
        <v>9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1008.9096824090909</v>
      </c>
      <c r="AO20" s="60" t="str">
        <f>IF(SUM(AC20:AE23)=12,J21,INDEX(T,74,lang))</f>
        <v>France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29">
        <v>58</v>
      </c>
      <c r="BF20" s="28" t="str">
        <f>T62</f>
        <v>Germany</v>
      </c>
      <c r="BG20" s="29">
        <v>3</v>
      </c>
      <c r="BH20" s="30">
        <v>4</v>
      </c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2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0.625</v>
      </c>
      <c r="E21" s="22" t="str">
        <f>AB50</f>
        <v>Poland</v>
      </c>
      <c r="F21" s="23">
        <v>5</v>
      </c>
      <c r="G21" s="24">
        <v>1</v>
      </c>
      <c r="H21" s="67" t="str">
        <f>AB51</f>
        <v>Senegal</v>
      </c>
      <c r="J21" s="69" t="str">
        <f>VLOOKUP(1,AA20:AK23,2,FALSE)</f>
        <v>France</v>
      </c>
      <c r="K21" s="70">
        <f>L21+M21+N21</f>
        <v>3</v>
      </c>
      <c r="L21" s="70">
        <f>VLOOKUP(1,AA20:AK23,3,FALSE)</f>
        <v>3</v>
      </c>
      <c r="M21" s="70">
        <f>VLOOKUP(1,AA20:AK23,4,FALSE)</f>
        <v>0</v>
      </c>
      <c r="N21" s="70">
        <f>VLOOKUP(1,AA20:AK23,5,FALSE)</f>
        <v>0</v>
      </c>
      <c r="O21" s="70" t="str">
        <f>VLOOKUP(1,AA20:AK23,6,FALSE) &amp; " - " &amp; VLOOKUP(1,AA20:AK23,7,FALSE)</f>
        <v>9 - 4</v>
      </c>
      <c r="P21" s="71">
        <f>L21*3+M21</f>
        <v>9</v>
      </c>
      <c r="R21" s="58">
        <f>DATE(2018,6,19)+TIME(4,0,0)+gmt_delta</f>
        <v>43270.625</v>
      </c>
      <c r="S21" s="65" t="str">
        <f t="shared" si="2"/>
        <v>Poland_win</v>
      </c>
      <c r="T21" s="65" t="str">
        <f t="shared" si="3"/>
        <v>Senegal_lose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1</v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0</v>
      </c>
      <c r="AE21" s="58">
        <f>COUNTIF($S$7:$T$54,"=" &amp; AB21 &amp; "_lose")</f>
        <v>3</v>
      </c>
      <c r="AF21" s="58">
        <f>SUMIF($E$7:$E$54,$AB21,$F$7:$F$54) + SUMIF($H$7:$H$54,$AB21,$G$7:$G$54)</f>
        <v>5</v>
      </c>
      <c r="AG21" s="58">
        <f>SUMIF($E$7:$E$54,$AB21,$G$7:$G$54) + SUMIF($H$7:$H$54,$AB21,$F$7:$F$54)</f>
        <v>10</v>
      </c>
      <c r="AH21" s="58">
        <f>(AF21-AG21)*100+AK21*10000+AF21</f>
        <v>-495</v>
      </c>
      <c r="AI21" s="58">
        <f>AF21-AG21</f>
        <v>-5</v>
      </c>
      <c r="AJ21" s="58">
        <f>(AI21-AI25)/AI24</f>
        <v>0</v>
      </c>
      <c r="AK21" s="58">
        <f>AC21*3+AD21</f>
        <v>0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10.0003735</v>
      </c>
      <c r="AO21" s="60" t="str">
        <f>IF(SUM(AC20:AE23)=12,J22,INDEX(T,75,lang))</f>
        <v>Denmark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18:00</v>
      </c>
      <c r="AZ21" s="25"/>
      <c r="BA21" s="25"/>
      <c r="BB21" s="35"/>
      <c r="BC21" s="36"/>
      <c r="BD21" s="39"/>
      <c r="BE21" s="130"/>
      <c r="BF21" s="31" t="str">
        <f>T63</f>
        <v>Belgium</v>
      </c>
      <c r="BG21" s="32">
        <v>3</v>
      </c>
      <c r="BH21" s="33">
        <v>2</v>
      </c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2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0.5</v>
      </c>
      <c r="E22" s="22" t="str">
        <f>AB52</f>
        <v>Colombia</v>
      </c>
      <c r="F22" s="23">
        <v>4</v>
      </c>
      <c r="G22" s="24">
        <v>0</v>
      </c>
      <c r="H22" s="67" t="str">
        <f>AB53</f>
        <v>Japan</v>
      </c>
      <c r="J22" s="72" t="str">
        <f>VLOOKUP(2,AA20:AK23,2,FALSE)</f>
        <v>Denmark</v>
      </c>
      <c r="K22" s="27">
        <f>L22+M22+N22</f>
        <v>3</v>
      </c>
      <c r="L22" s="27">
        <f>VLOOKUP(2,AA20:AK23,3,FALSE)</f>
        <v>2</v>
      </c>
      <c r="M22" s="27">
        <f>VLOOKUP(2,AA20:AK23,4,FALSE)</f>
        <v>0</v>
      </c>
      <c r="N22" s="27">
        <f>VLOOKUP(2,AA20:AK23,5,FALSE)</f>
        <v>1</v>
      </c>
      <c r="O22" s="27" t="str">
        <f>VLOOKUP(2,AA20:AK23,6,FALSE) &amp; " - " &amp; VLOOKUP(2,AA20:AK23,7,FALSE)</f>
        <v>7 - 6</v>
      </c>
      <c r="P22" s="73">
        <f>L22*3+M22</f>
        <v>6</v>
      </c>
      <c r="R22" s="58">
        <f>DATE(2018,6,19)+TIME(1,0,0)+gmt_delta</f>
        <v>43270.5</v>
      </c>
      <c r="S22" s="65" t="str">
        <f t="shared" si="2"/>
        <v>Colombia_win</v>
      </c>
      <c r="T22" s="65" t="str">
        <f t="shared" si="3"/>
        <v>Japan_lose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1</v>
      </c>
      <c r="AA22" s="58">
        <f>COUNTIF(AN20:AN23,CONCATENATE("&gt;=",AN22))</f>
        <v>3</v>
      </c>
      <c r="AB22" s="59" t="str">
        <f>VLOOKUP("Peru",T,lang,FALSE)</f>
        <v>Peru</v>
      </c>
      <c r="AC22" s="58">
        <f>COUNTIF($S$7:$T$54,"=" &amp; AB22 &amp; "_win")</f>
        <v>1</v>
      </c>
      <c r="AD22" s="58">
        <f>COUNTIF($S$7:$T$54,"=" &amp; AB22 &amp; "_draw")</f>
        <v>0</v>
      </c>
      <c r="AE22" s="58">
        <f>COUNTIF($S$7:$T$54,"=" &amp; AB22 &amp; "_lose")</f>
        <v>2</v>
      </c>
      <c r="AF22" s="58">
        <f>SUMIF($E$7:$E$54,$AB22,$F$7:$F$54) + SUMIF($H$7:$H$54,$AB22,$G$7:$G$54)</f>
        <v>5</v>
      </c>
      <c r="AG22" s="58">
        <f>SUMIF($E$7:$E$54,$AB22,$G$7:$G$54) + SUMIF($H$7:$H$54,$AB22,$F$7:$F$54)</f>
        <v>6</v>
      </c>
      <c r="AH22" s="58">
        <f>(AF22-AG22)*100+AK22*10000+AF22</f>
        <v>29905</v>
      </c>
      <c r="AI22" s="58">
        <f>AF22-AG22</f>
        <v>-1</v>
      </c>
      <c r="AJ22" s="58">
        <f>(AI22-AI25)/AI24</f>
        <v>0.36363636363636365</v>
      </c>
      <c r="AK22" s="58">
        <f>AC22*3+AD22</f>
        <v>3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346.36420036363637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29">
        <v>54</v>
      </c>
      <c r="AZ22" s="28" t="str">
        <f>AO44</f>
        <v>Belgium</v>
      </c>
      <c r="BA22" s="29">
        <v>3</v>
      </c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15:00</v>
      </c>
      <c r="BR22" s="25"/>
      <c r="BS22" s="25"/>
      <c r="BT22" s="35"/>
    </row>
    <row r="23" spans="1:72" ht="15" customHeight="1" x14ac:dyDescent="0.2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0.75</v>
      </c>
      <c r="E23" s="22" t="str">
        <f>AB8</f>
        <v>Russia</v>
      </c>
      <c r="F23" s="23">
        <v>3</v>
      </c>
      <c r="G23" s="24">
        <v>3</v>
      </c>
      <c r="H23" s="67" t="str">
        <f>AB10</f>
        <v>Egypt</v>
      </c>
      <c r="J23" s="72" t="str">
        <f>VLOOKUP(3,AA20:AK23,2,FALSE)</f>
        <v>Peru</v>
      </c>
      <c r="K23" s="27">
        <f>L23+M23+N23</f>
        <v>3</v>
      </c>
      <c r="L23" s="27">
        <f>VLOOKUP(3,AA20:AK23,3,FALSE)</f>
        <v>1</v>
      </c>
      <c r="M23" s="27">
        <f>VLOOKUP(3,AA20:AK23,4,FALSE)</f>
        <v>0</v>
      </c>
      <c r="N23" s="27">
        <f>VLOOKUP(3,AA20:AK23,5,FALSE)</f>
        <v>2</v>
      </c>
      <c r="O23" s="27" t="str">
        <f>VLOOKUP(3,AA20:AK23,6,FALSE) &amp; " - " &amp; VLOOKUP(3,AA20:AK23,7,FALSE)</f>
        <v>5 - 6</v>
      </c>
      <c r="P23" s="73">
        <f>L23*3+M23</f>
        <v>3</v>
      </c>
      <c r="R23" s="58">
        <f>DATE(2018,6,19)+TIME(7,0,0)+gmt_delta</f>
        <v>43270.75</v>
      </c>
      <c r="S23" s="65" t="str">
        <f t="shared" si="2"/>
        <v>Russia_draw</v>
      </c>
      <c r="T23" s="65" t="str">
        <f t="shared" si="3"/>
        <v>Egypt_draw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0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2</v>
      </c>
      <c r="AD23" s="58">
        <f>COUNTIF($S$7:$T$54,"=" &amp; AB23 &amp; "_draw")</f>
        <v>0</v>
      </c>
      <c r="AE23" s="58">
        <f>COUNTIF($S$7:$T$54,"=" &amp; AB23 &amp; "_lose")</f>
        <v>1</v>
      </c>
      <c r="AF23" s="58">
        <f>SUMIF($E$7:$E$54,$AB23,$F$7:$F$54) + SUMIF($H$7:$H$54,$AB23,$G$7:$G$54)</f>
        <v>7</v>
      </c>
      <c r="AG23" s="58">
        <f>SUMIF($E$7:$E$54,$AB23,$G$7:$G$54) + SUMIF($H$7:$H$54,$AB23,$F$7:$F$54)</f>
        <v>6</v>
      </c>
      <c r="AH23" s="58">
        <f>(AF23-AG23)*100+AK23*10000+AF23</f>
        <v>60107</v>
      </c>
      <c r="AI23" s="58">
        <f>AF23-AG23</f>
        <v>1</v>
      </c>
      <c r="AJ23" s="58">
        <f>(AI23-AI25)/AI24</f>
        <v>0.54545454545454541</v>
      </c>
      <c r="AK23" s="58">
        <f>AC23*3+AD23</f>
        <v>6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668.54600404545454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30"/>
      <c r="AZ23" s="31" t="str">
        <f>AO51</f>
        <v>Colombia</v>
      </c>
      <c r="BA23" s="32">
        <v>2</v>
      </c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29">
        <v>64</v>
      </c>
      <c r="BR23" s="28" t="str">
        <f>T76</f>
        <v>Germany</v>
      </c>
      <c r="BS23" s="29">
        <v>3</v>
      </c>
      <c r="BT23" s="30"/>
    </row>
    <row r="24" spans="1:72" ht="15" customHeight="1" x14ac:dyDescent="0.2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0.625</v>
      </c>
      <c r="E24" s="22" t="str">
        <f>AB11</f>
        <v>Uruguay</v>
      </c>
      <c r="F24" s="23">
        <v>4</v>
      </c>
      <c r="G24" s="24">
        <v>0</v>
      </c>
      <c r="H24" s="67" t="str">
        <f>AB9</f>
        <v>Saudi Arabia</v>
      </c>
      <c r="J24" s="74" t="str">
        <f>VLOOKUP(4,AA20:AK23,2,FALSE)</f>
        <v>Australia</v>
      </c>
      <c r="K24" s="75">
        <f>L24+M24+N24</f>
        <v>3</v>
      </c>
      <c r="L24" s="75">
        <f>VLOOKUP(4,AA20:AK23,3,FALSE)</f>
        <v>0</v>
      </c>
      <c r="M24" s="75">
        <f>VLOOKUP(4,AA20:AK23,4,FALSE)</f>
        <v>0</v>
      </c>
      <c r="N24" s="75">
        <f>VLOOKUP(4,AA20:AK23,5,FALSE)</f>
        <v>3</v>
      </c>
      <c r="O24" s="75" t="str">
        <f>VLOOKUP(4,AA20:AK23,6,FALSE) &amp; " - " &amp; VLOOKUP(4,AA20:AK23,7,FALSE)</f>
        <v>5 - 10</v>
      </c>
      <c r="P24" s="76">
        <f>L24*3+M24</f>
        <v>0</v>
      </c>
      <c r="R24" s="58">
        <f>DATE(2018,6,20)+TIME(4,0,0)+gmt_delta</f>
        <v>43271.625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4</v>
      </c>
      <c r="AD24" s="58">
        <f t="shared" si="12"/>
        <v>1</v>
      </c>
      <c r="AE24" s="58">
        <f t="shared" si="12"/>
        <v>4</v>
      </c>
      <c r="AF24" s="58">
        <f t="shared" si="12"/>
        <v>5</v>
      </c>
      <c r="AG24" s="58">
        <f t="shared" si="12"/>
        <v>7</v>
      </c>
      <c r="AH24" s="58">
        <f>MAX(AH20:AH23)-AH25+1</f>
        <v>91005</v>
      </c>
      <c r="AI24" s="58">
        <f>MAX(AI20:AI23)-AI25+1</f>
        <v>11</v>
      </c>
      <c r="AK24" s="58">
        <f t="shared" si="12"/>
        <v>10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30"/>
      <c r="BR24" s="31" t="str">
        <f>T77</f>
        <v>Brazil</v>
      </c>
      <c r="BS24" s="32">
        <v>2</v>
      </c>
      <c r="BT24" s="33"/>
    </row>
    <row r="25" spans="1:72" ht="15" customHeight="1" x14ac:dyDescent="0.2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0.5</v>
      </c>
      <c r="E25" s="22" t="str">
        <f>AB14</f>
        <v>Portugal</v>
      </c>
      <c r="F25" s="23">
        <v>5</v>
      </c>
      <c r="G25" s="24">
        <v>1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43271.5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-495</v>
      </c>
      <c r="AI25" s="58">
        <f>MIN(AI20:AI23)</f>
        <v>-5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14:00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2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0.75</v>
      </c>
      <c r="E26" s="22" t="str">
        <f>AB17</f>
        <v>Iran</v>
      </c>
      <c r="F26" s="23">
        <v>1</v>
      </c>
      <c r="G26" s="24">
        <v>5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43271.75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0</v>
      </c>
      <c r="Y26" s="58">
        <f t="shared" si="9"/>
        <v>-1</v>
      </c>
      <c r="AA26" s="58">
        <f>COUNTIF(AN26:AN29,CONCATENATE("&gt;=",AN26))</f>
        <v>1</v>
      </c>
      <c r="AB26" s="59" t="str">
        <f>VLOOKUP("Argentina",T,lang,FALSE)</f>
        <v>Argentina</v>
      </c>
      <c r="AC26" s="58">
        <f>COUNTIF($S$7:$T$54,"=" &amp; AB26 &amp; "_win")</f>
        <v>2</v>
      </c>
      <c r="AD26" s="58">
        <f>COUNTIF($S$7:$T$54,"=" &amp; AB26 &amp; "_draw")</f>
        <v>1</v>
      </c>
      <c r="AE26" s="58">
        <f>COUNTIF($S$7:$T$54,"=" &amp; AB26 &amp; "_lose")</f>
        <v>0</v>
      </c>
      <c r="AF26" s="58">
        <f>SUMIF($E$7:$E$54,$AB26,$F$7:$F$54) + SUMIF($H$7:$H$54,$AB26,$G$7:$G$54)</f>
        <v>9</v>
      </c>
      <c r="AG26" s="58">
        <f>SUMIF($E$7:$E$54,$AB26,$G$7:$G$54) + SUMIF($H$7:$H$54,$AB26,$F$7:$F$54)</f>
        <v>2</v>
      </c>
      <c r="AH26" s="58">
        <f>(AF26-AG26)*100+AK26*10000+AF26</f>
        <v>70709</v>
      </c>
      <c r="AI26" s="58">
        <f>AF26-AG26</f>
        <v>7</v>
      </c>
      <c r="AJ26" s="58">
        <f>(AI26-AI31)/AI30</f>
        <v>0.93333333333333335</v>
      </c>
      <c r="AK26" s="58">
        <f>AC26*3+AD26</f>
        <v>7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979.58400733333337</v>
      </c>
      <c r="AO26" s="60" t="str">
        <f>IF(SUM(AC26:AE29)=12,J27,INDEX(T,76,lang))</f>
        <v>Argentina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29">
        <v>51</v>
      </c>
      <c r="AZ26" s="28" t="str">
        <f>AO14</f>
        <v>Portugal</v>
      </c>
      <c r="BA26" s="29">
        <v>4</v>
      </c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2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0.625</v>
      </c>
      <c r="E27" s="22" t="str">
        <f>AB20</f>
        <v>France</v>
      </c>
      <c r="F27" s="23">
        <v>3</v>
      </c>
      <c r="G27" s="24">
        <v>1</v>
      </c>
      <c r="H27" s="67" t="str">
        <f>AB22</f>
        <v>Peru</v>
      </c>
      <c r="J27" s="69" t="str">
        <f>VLOOKUP(1,AA26:AK29,2,FALSE)</f>
        <v>Argentina</v>
      </c>
      <c r="K27" s="70">
        <f>L27+M27+N27</f>
        <v>3</v>
      </c>
      <c r="L27" s="70">
        <f>VLOOKUP(1,AA26:AK29,3,FALSE)</f>
        <v>2</v>
      </c>
      <c r="M27" s="70">
        <f>VLOOKUP(1,AA26:AK29,4,FALSE)</f>
        <v>1</v>
      </c>
      <c r="N27" s="70">
        <f>VLOOKUP(1,AA26:AK29,5,FALSE)</f>
        <v>0</v>
      </c>
      <c r="O27" s="70" t="str">
        <f>VLOOKUP(1,AA26:AK29,6,FALSE) &amp; " - " &amp; VLOOKUP(1,AA26:AK29,7,FALSE)</f>
        <v>9 - 2</v>
      </c>
      <c r="P27" s="71">
        <f>L27*3+M27</f>
        <v>7</v>
      </c>
      <c r="R27" s="58">
        <f>DATE(2018,6,21)+TIME(4,0,0)+gmt_delta</f>
        <v>43272.625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3</v>
      </c>
      <c r="AB27" s="59" t="str">
        <f>VLOOKUP("Iceland",T,lang,FALSE)</f>
        <v>Iceland</v>
      </c>
      <c r="AC27" s="58">
        <f>COUNTIF($S$7:$T$54,"=" &amp; AB27 &amp; "_win")</f>
        <v>1</v>
      </c>
      <c r="AD27" s="58">
        <f>COUNTIF($S$7:$T$54,"=" &amp; AB27 &amp; "_draw")</f>
        <v>1</v>
      </c>
      <c r="AE27" s="58">
        <f>COUNTIF($S$7:$T$54,"=" &amp; AB27 &amp; "_lose")</f>
        <v>1</v>
      </c>
      <c r="AF27" s="58">
        <f>SUMIF($E$7:$E$54,$AB27,$F$7:$F$54) + SUMIF($H$7:$H$54,$AB27,$G$7:$G$54)</f>
        <v>5</v>
      </c>
      <c r="AG27" s="58">
        <f>SUMIF($E$7:$E$54,$AB27,$G$7:$G$54) + SUMIF($H$7:$H$54,$AB27,$F$7:$F$54)</f>
        <v>5</v>
      </c>
      <c r="AH27" s="58">
        <f>(AF27-AG27)*100+AK27*10000+AF27</f>
        <v>40005</v>
      </c>
      <c r="AI27" s="58">
        <f>AF27-AG27</f>
        <v>0</v>
      </c>
      <c r="AJ27" s="58">
        <f>(AI27-AI31)/AI30</f>
        <v>0.46666666666666667</v>
      </c>
      <c r="AK27" s="58">
        <f>AC27*3+AD27</f>
        <v>4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552.91712166666662</v>
      </c>
      <c r="AO27" s="60" t="str">
        <f>IF(SUM(AC26:AE29)=12,J28,INDEX(T,77,lang))</f>
        <v>Croatia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30"/>
      <c r="AZ27" s="31" t="str">
        <f>AO9</f>
        <v>Russia</v>
      </c>
      <c r="BA27" s="32">
        <v>2</v>
      </c>
      <c r="BB27" s="33"/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18:00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2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0.5</v>
      </c>
      <c r="E28" s="22" t="str">
        <f>AB23</f>
        <v>Denmark</v>
      </c>
      <c r="F28" s="23">
        <v>4</v>
      </c>
      <c r="G28" s="24">
        <v>2</v>
      </c>
      <c r="H28" s="67" t="str">
        <f>AB21</f>
        <v>Australia</v>
      </c>
      <c r="J28" s="72" t="str">
        <f>VLOOKUP(2,AA26:AK29,2,FALSE)</f>
        <v>Croatia</v>
      </c>
      <c r="K28" s="27">
        <f>L28+M28+N28</f>
        <v>3</v>
      </c>
      <c r="L28" s="27">
        <f>VLOOKUP(2,AA26:AK29,3,FALSE)</f>
        <v>2</v>
      </c>
      <c r="M28" s="27">
        <f>VLOOKUP(2,AA26:AK29,4,FALSE)</f>
        <v>0</v>
      </c>
      <c r="N28" s="27">
        <f>VLOOKUP(2,AA26:AK29,5,FALSE)</f>
        <v>1</v>
      </c>
      <c r="O28" s="27" t="str">
        <f>VLOOKUP(2,AA26:AK29,6,FALSE) &amp; " - " &amp; VLOOKUP(2,AA26:AK29,7,FALSE)</f>
        <v>5 - 5</v>
      </c>
      <c r="P28" s="73">
        <f>L28*3+M28</f>
        <v>6</v>
      </c>
      <c r="R28" s="58">
        <f>DATE(2018,6,21)+TIME(1,0,0)+gmt_delta</f>
        <v>43272.5</v>
      </c>
      <c r="S28" s="65" t="str">
        <f t="shared" si="2"/>
        <v>Denmark_win</v>
      </c>
      <c r="T28" s="65" t="str">
        <f t="shared" si="3"/>
        <v>Australia_lose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1</v>
      </c>
      <c r="AA28" s="58">
        <f>COUNTIF(AN26:AN29,CONCATENATE("&gt;=",AN28))</f>
        <v>2</v>
      </c>
      <c r="AB28" s="59" t="str">
        <f>VLOOKUP("Croatia",T,lang,FALSE)</f>
        <v>Croatia</v>
      </c>
      <c r="AC28" s="58">
        <f>COUNTIF($S$7:$T$54,"=" &amp; AB28 &amp; "_win")</f>
        <v>2</v>
      </c>
      <c r="AD28" s="58">
        <f>COUNTIF($S$7:$T$54,"=" &amp; AB28 &amp; "_draw")</f>
        <v>0</v>
      </c>
      <c r="AE28" s="58">
        <f>COUNTIF($S$7:$T$54,"=" &amp; AB28 &amp; "_lose")</f>
        <v>1</v>
      </c>
      <c r="AF28" s="58">
        <f>SUMIF($E$7:$E$54,$AB28,$F$7:$F$54) + SUMIF($H$7:$H$54,$AB28,$G$7:$G$54)</f>
        <v>5</v>
      </c>
      <c r="AG28" s="58">
        <f>SUMIF($E$7:$E$54,$AB28,$G$7:$G$54) + SUMIF($H$7:$H$54,$AB28,$F$7:$F$54)</f>
        <v>5</v>
      </c>
      <c r="AH28" s="58">
        <f>(AF28-AG28)*100+AK28*10000+AF28</f>
        <v>60005</v>
      </c>
      <c r="AI28" s="58">
        <f>AF28-AG28</f>
        <v>0</v>
      </c>
      <c r="AJ28" s="58">
        <f>(AI28-AI31)/AI30</f>
        <v>0.46666666666666667</v>
      </c>
      <c r="AK28" s="58">
        <f>AC28*3+AD28</f>
        <v>6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802.91717566666659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29">
        <v>59</v>
      </c>
      <c r="BF28" s="28" t="str">
        <f>T60</f>
        <v>Portugal</v>
      </c>
      <c r="BG28" s="29">
        <v>3</v>
      </c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2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0.75</v>
      </c>
      <c r="E29" s="22" t="str">
        <f>AB26</f>
        <v>Argentina</v>
      </c>
      <c r="F29" s="23">
        <v>3</v>
      </c>
      <c r="G29" s="24">
        <v>0</v>
      </c>
      <c r="H29" s="67" t="str">
        <f>AB28</f>
        <v>Croatia</v>
      </c>
      <c r="J29" s="72" t="str">
        <f>VLOOKUP(3,AA26:AK29,2,FALSE)</f>
        <v>Iceland</v>
      </c>
      <c r="K29" s="27">
        <f>L29+M29+N29</f>
        <v>3</v>
      </c>
      <c r="L29" s="27">
        <f>VLOOKUP(3,AA26:AK29,3,FALSE)</f>
        <v>1</v>
      </c>
      <c r="M29" s="27">
        <f>VLOOKUP(3,AA26:AK29,4,FALSE)</f>
        <v>1</v>
      </c>
      <c r="N29" s="27">
        <f>VLOOKUP(3,AA26:AK29,5,FALSE)</f>
        <v>1</v>
      </c>
      <c r="O29" s="27" t="str">
        <f>VLOOKUP(3,AA26:AK29,6,FALSE) &amp; " - " &amp; VLOOKUP(3,AA26:AK29,7,FALSE)</f>
        <v>5 - 5</v>
      </c>
      <c r="P29" s="73">
        <f>L29*3+M29</f>
        <v>4</v>
      </c>
      <c r="R29" s="58">
        <f>DATE(2018,6,21)+TIME(7,0,0)+gmt_delta</f>
        <v>43272.75</v>
      </c>
      <c r="S29" s="65" t="str">
        <f t="shared" si="2"/>
        <v>Argentina_win</v>
      </c>
      <c r="T29" s="65" t="str">
        <f t="shared" si="3"/>
        <v>Croatia_lose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1</v>
      </c>
      <c r="Y29" s="58">
        <f t="shared" si="9"/>
        <v>1</v>
      </c>
      <c r="AA29" s="58">
        <f>COUNTIF(AN26:AN29,CONCATENATE("&gt;=",AN29))</f>
        <v>4</v>
      </c>
      <c r="AB29" s="59" t="str">
        <f>VLOOKUP("Nigeria",T,lang,FALSE)</f>
        <v>Nigeria</v>
      </c>
      <c r="AC29" s="58">
        <f>COUNTIF($S$7:$T$54,"=" &amp; AB29 &amp; "_win")</f>
        <v>0</v>
      </c>
      <c r="AD29" s="58">
        <f>COUNTIF($S$7:$T$54,"=" &amp; AB29 &amp; "_draw")</f>
        <v>0</v>
      </c>
      <c r="AE29" s="58">
        <f>COUNTIF($S$7:$T$54,"=" &amp; AB29 &amp; "_lose")</f>
        <v>3</v>
      </c>
      <c r="AF29" s="58">
        <f>SUMIF($E$7:$E$54,$AB29,$F$7:$F$54) + SUMIF($H$7:$H$54,$AB29,$G$7:$G$54)</f>
        <v>2</v>
      </c>
      <c r="AG29" s="58">
        <f>SUMIF($E$7:$E$54,$AB29,$G$7:$G$54) + SUMIF($H$7:$H$54,$AB29,$F$7:$F$54)</f>
        <v>9</v>
      </c>
      <c r="AH29" s="58">
        <f>(AF29-AG29)*100+AK29*10000+AF29</f>
        <v>-698</v>
      </c>
      <c r="AI29" s="58">
        <f>AF29-AG29</f>
        <v>-7</v>
      </c>
      <c r="AJ29" s="58">
        <f>(AI29-AI31)/AI30</f>
        <v>0</v>
      </c>
      <c r="AK29" s="58">
        <f>AC29*3+AD29</f>
        <v>0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2.5003199999999999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18:00</v>
      </c>
      <c r="AZ29" s="25"/>
      <c r="BA29" s="25"/>
      <c r="BB29" s="35"/>
      <c r="BC29" s="36"/>
      <c r="BD29" s="39"/>
      <c r="BE29" s="130"/>
      <c r="BF29" s="31" t="str">
        <f>T61</f>
        <v>Argentina</v>
      </c>
      <c r="BG29" s="32">
        <v>2</v>
      </c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2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0.625</v>
      </c>
      <c r="E30" s="22" t="str">
        <f>AB29</f>
        <v>Nigeria</v>
      </c>
      <c r="F30" s="23">
        <v>1</v>
      </c>
      <c r="G30" s="24">
        <v>2</v>
      </c>
      <c r="H30" s="67" t="str">
        <f>AB27</f>
        <v>Iceland</v>
      </c>
      <c r="J30" s="74" t="str">
        <f>VLOOKUP(4,AA26:AK29,2,FALSE)</f>
        <v>Nigeria</v>
      </c>
      <c r="K30" s="75">
        <f>L30+M30+N30</f>
        <v>3</v>
      </c>
      <c r="L30" s="75">
        <f>VLOOKUP(4,AA26:AK29,3,FALSE)</f>
        <v>0</v>
      </c>
      <c r="M30" s="75">
        <f>VLOOKUP(4,AA26:AK29,4,FALSE)</f>
        <v>0</v>
      </c>
      <c r="N30" s="75">
        <f>VLOOKUP(4,AA26:AK29,5,FALSE)</f>
        <v>3</v>
      </c>
      <c r="O30" s="75" t="str">
        <f>VLOOKUP(4,AA26:AK29,6,FALSE) &amp; " - " &amp; VLOOKUP(4,AA26:AK29,7,FALSE)</f>
        <v>2 - 9</v>
      </c>
      <c r="P30" s="76">
        <f>L30*3+M30</f>
        <v>0</v>
      </c>
      <c r="R30" s="58">
        <f>DATE(2018,6,22)+TIME(4,0,0)+gmt_delta</f>
        <v>43273.625</v>
      </c>
      <c r="S30" s="65" t="str">
        <f t="shared" si="2"/>
        <v>Nigeria_lose</v>
      </c>
      <c r="T30" s="65" t="str">
        <f t="shared" si="3"/>
        <v>Iceland_win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-1</v>
      </c>
      <c r="AC30" s="58">
        <f t="shared" ref="AC30:AL30" si="13">MAX(AC26:AC29)-MIN(AC26:AC29)+1</f>
        <v>3</v>
      </c>
      <c r="AD30" s="58">
        <f t="shared" si="13"/>
        <v>2</v>
      </c>
      <c r="AE30" s="58">
        <f t="shared" si="13"/>
        <v>4</v>
      </c>
      <c r="AF30" s="58">
        <f t="shared" si="13"/>
        <v>8</v>
      </c>
      <c r="AG30" s="58">
        <f t="shared" si="13"/>
        <v>8</v>
      </c>
      <c r="AH30" s="58">
        <f>MAX(AH26:AH29)-AH31+1</f>
        <v>71408</v>
      </c>
      <c r="AI30" s="58">
        <f>MAX(AI26:AI29)-AI31+1</f>
        <v>15</v>
      </c>
      <c r="AK30" s="58">
        <f t="shared" si="13"/>
        <v>8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29">
        <v>52</v>
      </c>
      <c r="AZ30" s="28" t="str">
        <f>AO26</f>
        <v>Argentina</v>
      </c>
      <c r="BA30" s="29">
        <v>3</v>
      </c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2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0.5</v>
      </c>
      <c r="E31" s="22" t="str">
        <f>AB32</f>
        <v>Brazil</v>
      </c>
      <c r="F31" s="23">
        <v>3</v>
      </c>
      <c r="G31" s="24">
        <v>1</v>
      </c>
      <c r="H31" s="67" t="str">
        <f>AB34</f>
        <v>Costa Rica</v>
      </c>
      <c r="R31" s="58">
        <f>DATE(2018,6,22)+TIME(1,0,0)+gmt_delta</f>
        <v>43273.5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-698</v>
      </c>
      <c r="AI31" s="58">
        <f>MIN(AI26:AI29)</f>
        <v>-7</v>
      </c>
      <c r="AY31" s="130"/>
      <c r="AZ31" s="31" t="str">
        <f>AO21</f>
        <v>Denmark</v>
      </c>
      <c r="BA31" s="32">
        <v>1</v>
      </c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18:00</v>
      </c>
      <c r="BL31" s="25"/>
      <c r="BM31" s="25"/>
      <c r="BN31" s="35"/>
      <c r="BO31" s="36"/>
      <c r="BP31" s="41"/>
      <c r="BQ31" s="131" t="str">
        <f>INDEX(T,7,lang)</f>
        <v>Third-Place Play-Off</v>
      </c>
      <c r="BR31" s="132"/>
      <c r="BS31" s="132"/>
      <c r="BT31" s="133"/>
    </row>
    <row r="32" spans="1:72" ht="15" customHeight="1" x14ac:dyDescent="0.2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0.75</v>
      </c>
      <c r="E32" s="22" t="str">
        <f>AB35</f>
        <v>Serbia</v>
      </c>
      <c r="F32" s="23">
        <v>0</v>
      </c>
      <c r="G32" s="24">
        <v>3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43273.75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2</v>
      </c>
      <c r="AB32" s="59" t="str">
        <f>VLOOKUP("Brazil",T,lang,FALSE)</f>
        <v>Brazil</v>
      </c>
      <c r="AC32" s="58">
        <f>COUNTIF($S$7:$T$54,"=" &amp; AB32 &amp; "_win")</f>
        <v>2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8</v>
      </c>
      <c r="AG32" s="58">
        <f>SUMIF($E$7:$E$54,$AB32,$G$7:$G$54) + SUMIF($H$7:$H$54,$AB32,$F$7:$F$54)</f>
        <v>4</v>
      </c>
      <c r="AH32" s="58">
        <f>(AF32-AG32)*100+AK32*10000+AF32</f>
        <v>70408</v>
      </c>
      <c r="AI32" s="58">
        <f>AF32-AG32</f>
        <v>4</v>
      </c>
      <c r="AJ32" s="58">
        <f>(AI32-AI37)/AI36</f>
        <v>0.76923076923076927</v>
      </c>
      <c r="AK32" s="58">
        <f>AC32*3+AD32</f>
        <v>7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963.35238985164835</v>
      </c>
      <c r="AO32" s="60" t="str">
        <f>IF(SUM(AC32:AE35)=12,J33,INDEX(T,78,lang))</f>
        <v>Switzerland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29">
        <v>62</v>
      </c>
      <c r="BL32" s="28" t="str">
        <f>T71</f>
        <v>Portugal</v>
      </c>
      <c r="BM32" s="29">
        <v>2</v>
      </c>
      <c r="BN32" s="30"/>
      <c r="BO32" s="40"/>
      <c r="BP32" s="41"/>
      <c r="BQ32" s="134"/>
      <c r="BR32" s="135"/>
      <c r="BS32" s="135"/>
      <c r="BT32" s="136"/>
    </row>
    <row r="33" spans="1:72" ht="15" customHeight="1" x14ac:dyDescent="0.2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0.75</v>
      </c>
      <c r="E33" s="22" t="str">
        <f>AB38</f>
        <v>Germany</v>
      </c>
      <c r="F33" s="23">
        <v>5</v>
      </c>
      <c r="G33" s="24">
        <v>1</v>
      </c>
      <c r="H33" s="67" t="str">
        <f>AB40</f>
        <v>Sweden</v>
      </c>
      <c r="J33" s="69" t="str">
        <f>VLOOKUP(1,AA32:AK35,2,FALSE)</f>
        <v>Switzerland</v>
      </c>
      <c r="K33" s="70">
        <f>L33+M33+N33</f>
        <v>3</v>
      </c>
      <c r="L33" s="70">
        <f>VLOOKUP(1,AA32:AK35,3,FALSE)</f>
        <v>2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8 - 2</v>
      </c>
      <c r="P33" s="71">
        <f>L33*3+M33</f>
        <v>7</v>
      </c>
      <c r="R33" s="58">
        <f>DATE(2018,6,23)+TIME(7,0,0)+gmt_delta</f>
        <v>43274.75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1</v>
      </c>
      <c r="AB33" s="59" t="str">
        <f>VLOOKUP("Switzerland",T,lang,FALSE)</f>
        <v>Switzerland</v>
      </c>
      <c r="AC33" s="58">
        <f>COUNTIF($S$7:$T$54,"=" &amp; AB33 &amp; "_win")</f>
        <v>2</v>
      </c>
      <c r="AD33" s="58">
        <f>COUNTIF($S$7:$T$54,"=" &amp; AB33 &amp; "_draw")</f>
        <v>1</v>
      </c>
      <c r="AE33" s="58">
        <f>COUNTIF($S$7:$T$54,"=" &amp; AB33 &amp; "_lose")</f>
        <v>0</v>
      </c>
      <c r="AF33" s="58">
        <f>SUMIF($E$7:$E$54,$AB33,$F$7:$F$54) + SUMIF($H$7:$H$54,$AB33,$G$7:$G$54)</f>
        <v>8</v>
      </c>
      <c r="AG33" s="58">
        <f>SUMIF($E$7:$E$54,$AB33,$G$7:$G$54) + SUMIF($H$7:$H$54,$AB33,$F$7:$F$54)</f>
        <v>2</v>
      </c>
      <c r="AH33" s="58">
        <f>(AF33-AG33)*100+AK33*10000+AF33</f>
        <v>70608</v>
      </c>
      <c r="AI33" s="58">
        <f>AF33-AG33</f>
        <v>6</v>
      </c>
      <c r="AJ33" s="58">
        <f>(AI33-AI37)/AI36</f>
        <v>0.92307692307692313</v>
      </c>
      <c r="AK33" s="58">
        <f>AC33*3+AD33</f>
        <v>7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978.73685873626368</v>
      </c>
      <c r="AO33" s="60" t="str">
        <f>IF(SUM(AC32:AE35)=12,J34,INDEX(T,79,lang))</f>
        <v>Brazil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14:00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30"/>
      <c r="BL33" s="31" t="str">
        <f>T72</f>
        <v>Brazil</v>
      </c>
      <c r="BM33" s="32">
        <v>4</v>
      </c>
      <c r="BN33" s="33"/>
      <c r="BO33" s="41"/>
      <c r="BP33" s="41"/>
      <c r="BQ33" s="25"/>
      <c r="BR33" s="25"/>
      <c r="BS33" s="25"/>
      <c r="BT33" s="25"/>
    </row>
    <row r="34" spans="1:72" ht="15" customHeight="1" x14ac:dyDescent="0.2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0.625</v>
      </c>
      <c r="E34" s="22" t="str">
        <f>AB41</f>
        <v>Korea Republic</v>
      </c>
      <c r="F34" s="23">
        <v>2</v>
      </c>
      <c r="G34" s="24">
        <v>4</v>
      </c>
      <c r="H34" s="67" t="str">
        <f>AB39</f>
        <v>Mexico</v>
      </c>
      <c r="J34" s="72" t="str">
        <f>VLOOKUP(2,AA32:AK35,2,FALSE)</f>
        <v>Brazil</v>
      </c>
      <c r="K34" s="27">
        <f>L34+M34+N34</f>
        <v>3</v>
      </c>
      <c r="L34" s="27">
        <f>VLOOKUP(2,AA32:AK35,3,FALSE)</f>
        <v>2</v>
      </c>
      <c r="M34" s="27">
        <f>VLOOKUP(2,AA32:AK35,4,FALSE)</f>
        <v>1</v>
      </c>
      <c r="N34" s="27">
        <f>VLOOKUP(2,AA32:AK35,5,FALSE)</f>
        <v>0</v>
      </c>
      <c r="O34" s="27" t="str">
        <f>VLOOKUP(2,AA32:AK35,6,FALSE) &amp; " - " &amp; VLOOKUP(2,AA32:AK35,7,FALSE)</f>
        <v>8 - 4</v>
      </c>
      <c r="P34" s="73">
        <f>L34*3+M34</f>
        <v>7</v>
      </c>
      <c r="R34" s="58">
        <f>DATE(2018,6,23)+TIME(4,0,0)+gmt_delta</f>
        <v>43274.625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0</v>
      </c>
      <c r="AE34" s="58">
        <f>COUNTIF($S$7:$T$54,"=" &amp; AB34 &amp; "_lose")</f>
        <v>3</v>
      </c>
      <c r="AF34" s="58">
        <f>SUMIF($E$7:$E$54,$AB34,$F$7:$F$54) + SUMIF($H$7:$H$54,$AB34,$G$7:$G$54)</f>
        <v>2</v>
      </c>
      <c r="AG34" s="58">
        <f>SUMIF($E$7:$E$54,$AB34,$G$7:$G$54) + SUMIF($H$7:$H$54,$AB34,$F$7:$F$54)</f>
        <v>8</v>
      </c>
      <c r="AH34" s="58">
        <f>(AF34-AG34)*100+AK34*10000+AF34</f>
        <v>-598</v>
      </c>
      <c r="AI34" s="58">
        <f>AF34-AG34</f>
        <v>-6</v>
      </c>
      <c r="AJ34" s="58">
        <f>(AI34-AI37)/AI36</f>
        <v>0</v>
      </c>
      <c r="AK34" s="58">
        <f>AC34*3+AD34</f>
        <v>0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2.8575678571428571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29">
        <v>55</v>
      </c>
      <c r="AZ34" s="28" t="str">
        <f>AO38</f>
        <v>Mexico</v>
      </c>
      <c r="BA34" s="29">
        <v>1</v>
      </c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14:00</v>
      </c>
      <c r="BR34" s="25"/>
      <c r="BS34" s="25"/>
      <c r="BT34" s="35"/>
    </row>
    <row r="35" spans="1:72" ht="15" customHeight="1" x14ac:dyDescent="0.2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0.5</v>
      </c>
      <c r="E35" s="22" t="str">
        <f>AB44</f>
        <v>Belgium</v>
      </c>
      <c r="F35" s="23">
        <v>5</v>
      </c>
      <c r="G35" s="24">
        <v>2</v>
      </c>
      <c r="H35" s="67" t="str">
        <f>AB46</f>
        <v>Tunisia</v>
      </c>
      <c r="J35" s="72" t="str">
        <f>VLOOKUP(3,AA32:AK35,2,FALSE)</f>
        <v>Serbia</v>
      </c>
      <c r="K35" s="27">
        <f>L35+M35+N35</f>
        <v>3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2</v>
      </c>
      <c r="O35" s="27" t="str">
        <f>VLOOKUP(3,AA32:AK35,6,FALSE) &amp; " - " &amp; VLOOKUP(3,AA32:AK35,7,FALSE)</f>
        <v>3 - 7</v>
      </c>
      <c r="P35" s="73">
        <f>L35*3+M35</f>
        <v>3</v>
      </c>
      <c r="R35" s="58">
        <f>DATE(2018,6,23)+TIME(1,0,0)+gmt_delta</f>
        <v>43274.5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2</v>
      </c>
      <c r="AF35" s="58">
        <f>SUMIF($E$7:$E$54,$AB35,$F$7:$F$54) + SUMIF($H$7:$H$54,$AB35,$G$7:$G$54)</f>
        <v>3</v>
      </c>
      <c r="AG35" s="58">
        <f>SUMIF($E$7:$E$54,$AB35,$G$7:$G$54) + SUMIF($H$7:$H$54,$AB35,$F$7:$F$54)</f>
        <v>7</v>
      </c>
      <c r="AH35" s="58">
        <f>(AF35-AG35)*100+AK35*10000+AF35</f>
        <v>29603</v>
      </c>
      <c r="AI35" s="58">
        <f>AF35-AG35</f>
        <v>-4</v>
      </c>
      <c r="AJ35" s="58">
        <f>(AI35-AI37)/AI36</f>
        <v>0.15384615384615385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394.67070767032965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30"/>
      <c r="AZ35" s="31" t="str">
        <f>AO33</f>
        <v>Brazil</v>
      </c>
      <c r="BA35" s="32">
        <v>3</v>
      </c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14:00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29">
        <v>63</v>
      </c>
      <c r="BR35" s="28" t="str">
        <f>Z76</f>
        <v>Spain</v>
      </c>
      <c r="BS35" s="29">
        <v>3</v>
      </c>
      <c r="BT35" s="30"/>
    </row>
    <row r="36" spans="1:72" ht="15" customHeight="1" x14ac:dyDescent="0.2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0.5</v>
      </c>
      <c r="E36" s="22" t="str">
        <f>AB47</f>
        <v>England</v>
      </c>
      <c r="F36" s="23">
        <v>3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3</v>
      </c>
      <c r="L36" s="75">
        <f>VLOOKUP(4,AA32:AK35,3,FALSE)</f>
        <v>0</v>
      </c>
      <c r="M36" s="75">
        <f>VLOOKUP(4,AA32:AK35,4,FALSE)</f>
        <v>0</v>
      </c>
      <c r="N36" s="75">
        <f>VLOOKUP(4,AA32:AK35,5,FALSE)</f>
        <v>3</v>
      </c>
      <c r="O36" s="75" t="str">
        <f>VLOOKUP(4,AA32:AK35,6,FALSE) &amp; " - " &amp; VLOOKUP(4,AA32:AK35,7,FALSE)</f>
        <v>2 - 8</v>
      </c>
      <c r="P36" s="76">
        <f>L36*3+M36</f>
        <v>0</v>
      </c>
      <c r="R36" s="58">
        <f>DATE(2018,6,24)+TIME(1,0,0)+gmt_delta</f>
        <v>43275.5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3</v>
      </c>
      <c r="AD36" s="58">
        <f t="shared" si="14"/>
        <v>2</v>
      </c>
      <c r="AE36" s="58">
        <f t="shared" si="14"/>
        <v>4</v>
      </c>
      <c r="AF36" s="58">
        <f t="shared" si="14"/>
        <v>7</v>
      </c>
      <c r="AG36" s="58">
        <f t="shared" si="14"/>
        <v>7</v>
      </c>
      <c r="AH36" s="58">
        <f>MAX(AH32:AH35)-AH37+1</f>
        <v>71207</v>
      </c>
      <c r="AI36" s="58">
        <f>MAX(AI32:AI35)-AI37+1</f>
        <v>13</v>
      </c>
      <c r="AK36" s="58">
        <f t="shared" si="14"/>
        <v>8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29">
        <v>60</v>
      </c>
      <c r="BF36" s="28" t="str">
        <f>T64</f>
        <v>Brazil</v>
      </c>
      <c r="BG36" s="29">
        <v>3</v>
      </c>
      <c r="BH36" s="30"/>
      <c r="BI36" s="40"/>
      <c r="BJ36" s="25"/>
      <c r="BK36" s="25"/>
      <c r="BL36" s="25"/>
      <c r="BM36" s="25"/>
      <c r="BN36" s="25"/>
      <c r="BO36" s="25"/>
      <c r="BP36" s="25"/>
      <c r="BQ36" s="130"/>
      <c r="BR36" s="31" t="str">
        <f>Z77</f>
        <v>Portugal</v>
      </c>
      <c r="BS36" s="32">
        <v>1</v>
      </c>
      <c r="BT36" s="33"/>
    </row>
    <row r="37" spans="1:72" ht="15" customHeight="1" x14ac:dyDescent="0.2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0.75</v>
      </c>
      <c r="E37" s="22" t="str">
        <f>AB50</f>
        <v>Poland</v>
      </c>
      <c r="F37" s="23">
        <v>3</v>
      </c>
      <c r="G37" s="24">
        <v>1</v>
      </c>
      <c r="H37" s="67" t="str">
        <f>AB52</f>
        <v>Colombia</v>
      </c>
      <c r="R37" s="58">
        <f>DATE(2018,6,24)+TIME(7,0,0)+gmt_delta</f>
        <v>43275.75</v>
      </c>
      <c r="S37" s="65" t="str">
        <f t="shared" si="2"/>
        <v>Poland_win</v>
      </c>
      <c r="T37" s="65" t="str">
        <f t="shared" si="3"/>
        <v>Colombia_lose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1</v>
      </c>
      <c r="AH37" s="58">
        <f>MIN(AH32:AH35)</f>
        <v>-598</v>
      </c>
      <c r="AI37" s="58">
        <f>MIN(AI32:AI35)</f>
        <v>-6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18:00</v>
      </c>
      <c r="AZ37" s="25"/>
      <c r="BA37" s="25"/>
      <c r="BB37" s="35"/>
      <c r="BC37" s="36"/>
      <c r="BD37" s="39"/>
      <c r="BE37" s="130"/>
      <c r="BF37" s="31" t="str">
        <f>T65</f>
        <v>Poland</v>
      </c>
      <c r="BG37" s="32">
        <v>1</v>
      </c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2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0.625</v>
      </c>
      <c r="E38" s="22" t="str">
        <f>AB53</f>
        <v>Japan</v>
      </c>
      <c r="F38" s="23">
        <v>1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43275.625</v>
      </c>
      <c r="S38" s="65" t="str">
        <f t="shared" si="2"/>
        <v>Japan_lose</v>
      </c>
      <c r="T38" s="65" t="str">
        <f t="shared" si="3"/>
        <v>Senegal_win</v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>
        <f t="shared" si="9"/>
        <v>-1</v>
      </c>
      <c r="AA38" s="58">
        <f>COUNTIF(AN38:AN41,CONCATENATE("&gt;=",AN38))</f>
        <v>2</v>
      </c>
      <c r="AB38" s="59" t="str">
        <f>VLOOKUP("Germany",T,lang,FALSE)</f>
        <v>Germany</v>
      </c>
      <c r="AC38" s="58">
        <f>COUNTIF($S$7:$T$54,"=" &amp; AB38 &amp; "_win")</f>
        <v>2</v>
      </c>
      <c r="AD38" s="58">
        <f>COUNTIF($S$7:$T$54,"=" &amp; AB38 &amp; "_draw")</f>
        <v>0</v>
      </c>
      <c r="AE38" s="58">
        <f>COUNTIF($S$7:$T$54,"=" &amp; AB38 &amp; "_lose")</f>
        <v>1</v>
      </c>
      <c r="AF38" s="58">
        <f>SUMIF($E$7:$E$54,$AB38,$F$7:$F$54) + SUMIF($H$7:$H$54,$AB38,$G$7:$G$54)</f>
        <v>11</v>
      </c>
      <c r="AG38" s="58">
        <f>SUMIF($E$7:$E$54,$AB38,$G$7:$G$54) + SUMIF($H$7:$H$54,$AB38,$F$7:$F$54)</f>
        <v>2</v>
      </c>
      <c r="AH38" s="58">
        <f>(AF38-AG38)*100+AK38*10000+AF38</f>
        <v>60911</v>
      </c>
      <c r="AI38" s="58">
        <f>AF38-AG38</f>
        <v>9</v>
      </c>
      <c r="AJ38" s="58">
        <f>(AI38-AI43)/AI42</f>
        <v>0.94736842105263153</v>
      </c>
      <c r="AK38" s="58">
        <f>AC38*3+AD38</f>
        <v>6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856.95986532748532</v>
      </c>
      <c r="AO38" s="60" t="str">
        <f>IF(SUM(AC38:AE41)=12,J39,INDEX(T,80,lang))</f>
        <v>Mexico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29">
        <v>56</v>
      </c>
      <c r="AZ38" s="28" t="str">
        <f>AO50</f>
        <v>Poland</v>
      </c>
      <c r="BA38" s="29">
        <v>3</v>
      </c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2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0.58333333333333337</v>
      </c>
      <c r="E39" s="22" t="str">
        <f>AB11</f>
        <v>Uruguay</v>
      </c>
      <c r="F39" s="23">
        <v>4</v>
      </c>
      <c r="G39" s="24">
        <v>2</v>
      </c>
      <c r="H39" s="67" t="str">
        <f>AB8</f>
        <v>Russia</v>
      </c>
      <c r="J39" s="69" t="str">
        <f>VLOOKUP(1,AA38:AK41,2,FALSE)</f>
        <v>Mexico</v>
      </c>
      <c r="K39" s="70">
        <f>L39+M39+N39</f>
        <v>3</v>
      </c>
      <c r="L39" s="70">
        <f>VLOOKUP(1,AA38:AK41,3,FALSE)</f>
        <v>2</v>
      </c>
      <c r="M39" s="70">
        <f>VLOOKUP(1,AA38:AK41,4,FALSE)</f>
        <v>1</v>
      </c>
      <c r="N39" s="70">
        <f>VLOOKUP(1,AA38:AK41,5,FALSE)</f>
        <v>0</v>
      </c>
      <c r="O39" s="70" t="str">
        <f>VLOOKUP(1,AA38:AK41,6,FALSE) &amp; " - " &amp; VLOOKUP(1,AA38:AK41,7,FALSE)</f>
        <v>7 - 4</v>
      </c>
      <c r="P39" s="71">
        <f>L39*3+M39</f>
        <v>7</v>
      </c>
      <c r="R39" s="58">
        <f>DATE(2018,6,25)+TIME(3,0,0)+gmt_delta</f>
        <v>43276.583333333336</v>
      </c>
      <c r="S39" s="65" t="str">
        <f t="shared" si="2"/>
        <v>Uruguay_win</v>
      </c>
      <c r="T39" s="65" t="str">
        <f t="shared" si="3"/>
        <v>Russia_lose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1</v>
      </c>
      <c r="AA39" s="58">
        <f>COUNTIF(AN38:AN41,CONCATENATE("&gt;=",AN39))</f>
        <v>1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1</v>
      </c>
      <c r="AE39" s="58">
        <f>COUNTIF($S$7:$T$54,"=" &amp; AB39 &amp; "_lose")</f>
        <v>0</v>
      </c>
      <c r="AF39" s="58">
        <f>SUMIF($E$7:$E$54,$AB39,$F$7:$F$54) + SUMIF($H$7:$H$54,$AB39,$G$7:$G$54)</f>
        <v>7</v>
      </c>
      <c r="AG39" s="58">
        <f>SUMIF($E$7:$E$54,$AB39,$G$7:$G$54) + SUMIF($H$7:$H$54,$AB39,$F$7:$F$54)</f>
        <v>4</v>
      </c>
      <c r="AH39" s="58">
        <f>(AF39-AG39)*100+AK39*10000+AF39</f>
        <v>70307</v>
      </c>
      <c r="AI39" s="58">
        <f>AF39-AG39</f>
        <v>3</v>
      </c>
      <c r="AJ39" s="58">
        <f>(AI39-AI43)/AI42</f>
        <v>0.63157894736842102</v>
      </c>
      <c r="AK39" s="58">
        <f>AC39*3+AD39</f>
        <v>7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945.93618851461986</v>
      </c>
      <c r="AO39" s="60" t="str">
        <f>IF(SUM(AC38:AE41)=12,J40,INDEX(T,81,lang))</f>
        <v>Germany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30"/>
      <c r="AZ39" s="31" t="str">
        <f>AO45</f>
        <v>England</v>
      </c>
      <c r="BA39" s="32">
        <v>2</v>
      </c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2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0.58333333333333337</v>
      </c>
      <c r="E40" s="22" t="str">
        <f>AB9</f>
        <v>Saudi Arabia</v>
      </c>
      <c r="F40" s="23">
        <v>0</v>
      </c>
      <c r="G40" s="24">
        <v>2</v>
      </c>
      <c r="H40" s="67" t="str">
        <f>AB10</f>
        <v>Egypt</v>
      </c>
      <c r="J40" s="72" t="str">
        <f>VLOOKUP(2,AA38:AK41,2,FALSE)</f>
        <v>Germany</v>
      </c>
      <c r="K40" s="27">
        <f>L40+M40+N40</f>
        <v>3</v>
      </c>
      <c r="L40" s="27">
        <f>VLOOKUP(2,AA38:AK41,3,FALSE)</f>
        <v>2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11 - 2</v>
      </c>
      <c r="P40" s="73">
        <f>L40*3+M40</f>
        <v>6</v>
      </c>
      <c r="R40" s="58">
        <f>DATE(2018,6,25)+TIME(3,0,0)+gmt_delta</f>
        <v>43276.583333333336</v>
      </c>
      <c r="S40" s="65" t="str">
        <f t="shared" si="2"/>
        <v>Saudi Arabia_lose</v>
      </c>
      <c r="T40" s="65" t="str">
        <f t="shared" si="3"/>
        <v>Egypt_win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-1</v>
      </c>
      <c r="AA40" s="58">
        <f>COUNTIF(AN38:AN41,CONCATENATE("&gt;=",AN40))</f>
        <v>3</v>
      </c>
      <c r="AB40" s="59" t="str">
        <f>VLOOKUP("Sweden",T,lang,FALSE)</f>
        <v>Sweden</v>
      </c>
      <c r="AC40" s="58">
        <f>COUNTIF($S$7:$T$54,"=" &amp; AB40 &amp; "_win")</f>
        <v>1</v>
      </c>
      <c r="AD40" s="58">
        <f>COUNTIF($S$7:$T$54,"=" &amp; AB40 &amp; "_draw")</f>
        <v>1</v>
      </c>
      <c r="AE40" s="58">
        <f>COUNTIF($S$7:$T$54,"=" &amp; AB40 &amp; "_lose")</f>
        <v>1</v>
      </c>
      <c r="AF40" s="58">
        <f>SUMIF($E$7:$E$54,$AB40,$F$7:$F$54) + SUMIF($H$7:$H$54,$AB40,$G$7:$G$54)</f>
        <v>5</v>
      </c>
      <c r="AG40" s="58">
        <f>SUMIF($E$7:$E$54,$AB40,$G$7:$G$54) + SUMIF($H$7:$H$54,$AB40,$F$7:$F$54)</f>
        <v>8</v>
      </c>
      <c r="AH40" s="58">
        <f>(AF40-AG40)*100+AK40*10000+AF40</f>
        <v>39705</v>
      </c>
      <c r="AI40" s="58">
        <f>AF40-AG40</f>
        <v>-3</v>
      </c>
      <c r="AJ40" s="58">
        <f>(AI40-AI43)/AI42</f>
        <v>0.31578947368421051</v>
      </c>
      <c r="AK40" s="58">
        <f>AC40*3+AD40</f>
        <v>4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537.13500192397657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2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0.75</v>
      </c>
      <c r="E41" s="22" t="str">
        <f>AB17</f>
        <v>Iran</v>
      </c>
      <c r="F41" s="23">
        <v>1</v>
      </c>
      <c r="G41" s="24">
        <v>4</v>
      </c>
      <c r="H41" s="67" t="str">
        <f>AB14</f>
        <v>Portugal</v>
      </c>
      <c r="J41" s="72" t="str">
        <f>VLOOKUP(3,AA38:AK41,2,FALSE)</f>
        <v>Sweden</v>
      </c>
      <c r="K41" s="27">
        <f>L41+M41+N41</f>
        <v>3</v>
      </c>
      <c r="L41" s="27">
        <f>VLOOKUP(3,AA38:AK41,3,FALSE)</f>
        <v>1</v>
      </c>
      <c r="M41" s="27">
        <f>VLOOKUP(3,AA38:AK41,4,FALSE)</f>
        <v>1</v>
      </c>
      <c r="N41" s="27">
        <f>VLOOKUP(3,AA38:AK41,5,FALSE)</f>
        <v>1</v>
      </c>
      <c r="O41" s="27" t="str">
        <f>VLOOKUP(3,AA38:AK41,6,FALSE) &amp; " - " &amp; VLOOKUP(3,AA38:AK41,7,FALSE)</f>
        <v>5 - 8</v>
      </c>
      <c r="P41" s="73">
        <f>L41*3+M41</f>
        <v>4</v>
      </c>
      <c r="R41" s="58">
        <f>DATE(2018,6,25)+TIME(7,0,0)+gmt_delta</f>
        <v>43276.75</v>
      </c>
      <c r="S41" s="65" t="str">
        <f t="shared" si="2"/>
        <v>Iran_lose</v>
      </c>
      <c r="T41" s="65" t="str">
        <f t="shared" si="3"/>
        <v>Portugal_win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-1</v>
      </c>
      <c r="AA41" s="58">
        <f>COUNTIF(AN38:AN41,CONCATENATE("&gt;=",AN41))</f>
        <v>4</v>
      </c>
      <c r="AB41" s="59" t="str">
        <f>VLOOKUP("Korea Republic",T,lang,FALSE)</f>
        <v>Korea Republic</v>
      </c>
      <c r="AC41" s="58">
        <f>COUNTIF($S$7:$T$54,"=" &amp; AB41 &amp; "_win")</f>
        <v>0</v>
      </c>
      <c r="AD41" s="58">
        <f>COUNTIF($S$7:$T$54,"=" &amp; AB41 &amp; "_draw")</f>
        <v>0</v>
      </c>
      <c r="AE41" s="58">
        <f>COUNTIF($S$7:$T$54,"=" &amp; AB41 &amp; "_lose")</f>
        <v>3</v>
      </c>
      <c r="AF41" s="58">
        <f>SUMIF($E$7:$E$54,$AB41,$F$7:$F$54) + SUMIF($H$7:$H$54,$AB41,$G$7:$G$54)</f>
        <v>3</v>
      </c>
      <c r="AG41" s="58">
        <f>SUMIF($E$7:$E$54,$AB41,$G$7:$G$54) + SUMIF($H$7:$H$54,$AB41,$F$7:$F$54)</f>
        <v>12</v>
      </c>
      <c r="AH41" s="58">
        <f>(AF41-AG41)*100+AK41*10000+AF41</f>
        <v>-897</v>
      </c>
      <c r="AI41" s="58">
        <f>AF41-AG41</f>
        <v>-9</v>
      </c>
      <c r="AJ41" s="58">
        <f>(AI41-AI43)/AI42</f>
        <v>0</v>
      </c>
      <c r="AK41" s="58">
        <f>AC41*3+AD41</f>
        <v>0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3.3336183333333334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46" t="str">
        <f>INDEX(T,102,lang)</f>
        <v>World Champion 2018</v>
      </c>
      <c r="BK41" s="146"/>
      <c r="BL41" s="146"/>
      <c r="BM41" s="146"/>
      <c r="BN41" s="146"/>
      <c r="BO41" s="148" t="str">
        <f>S85</f>
        <v>Germany</v>
      </c>
      <c r="BP41" s="148"/>
      <c r="BQ41" s="148"/>
      <c r="BR41" s="148"/>
      <c r="BS41" s="148"/>
      <c r="BT41" s="148"/>
    </row>
    <row r="42" spans="1:72" ht="15" customHeight="1" x14ac:dyDescent="0.2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0.75</v>
      </c>
      <c r="E42" s="22" t="str">
        <f>AB15</f>
        <v>Spain</v>
      </c>
      <c r="F42" s="23">
        <v>4</v>
      </c>
      <c r="G42" s="24">
        <v>1</v>
      </c>
      <c r="H42" s="67" t="str">
        <f>AB16</f>
        <v>Morocco</v>
      </c>
      <c r="J42" s="74" t="str">
        <f>VLOOKUP(4,AA38:AK41,2,FALSE)</f>
        <v>Korea Republic</v>
      </c>
      <c r="K42" s="75">
        <f>L42+M42+N42</f>
        <v>3</v>
      </c>
      <c r="L42" s="75">
        <f>VLOOKUP(4,AA38:AK41,3,FALSE)</f>
        <v>0</v>
      </c>
      <c r="M42" s="75">
        <f>VLOOKUP(4,AA38:AK41,4,FALSE)</f>
        <v>0</v>
      </c>
      <c r="N42" s="75">
        <f>VLOOKUP(4,AA38:AK41,5,FALSE)</f>
        <v>3</v>
      </c>
      <c r="O42" s="75" t="str">
        <f>VLOOKUP(4,AA38:AK41,6,FALSE) &amp; " - " &amp; VLOOKUP(4,AA38:AK41,7,FALSE)</f>
        <v>3 - 12</v>
      </c>
      <c r="P42" s="76">
        <f>L42*3+M42</f>
        <v>0</v>
      </c>
      <c r="R42" s="58">
        <f>DATE(2018,6,25)+TIME(7,0,0)+gmt_delta</f>
        <v>43276.75</v>
      </c>
      <c r="S42" s="65" t="str">
        <f t="shared" si="2"/>
        <v>Spain_win</v>
      </c>
      <c r="T42" s="65" t="str">
        <f t="shared" si="3"/>
        <v>Morocco_lose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0</v>
      </c>
      <c r="Y42" s="58">
        <f t="shared" si="9"/>
        <v>1</v>
      </c>
      <c r="AC42" s="58">
        <f t="shared" ref="AC42:AL42" si="15">MAX(AC38:AC41)-MIN(AC38:AC41)+1</f>
        <v>3</v>
      </c>
      <c r="AD42" s="58">
        <f t="shared" si="15"/>
        <v>2</v>
      </c>
      <c r="AE42" s="58">
        <f t="shared" si="15"/>
        <v>4</v>
      </c>
      <c r="AF42" s="58">
        <f t="shared" si="15"/>
        <v>9</v>
      </c>
      <c r="AG42" s="58">
        <f t="shared" si="15"/>
        <v>11</v>
      </c>
      <c r="AH42" s="58">
        <f>MAX(AH38:AH41)-AH43+1</f>
        <v>71205</v>
      </c>
      <c r="AI42" s="58">
        <f>MAX(AI38:AI41)-AI43+1</f>
        <v>19</v>
      </c>
      <c r="AK42" s="58">
        <f t="shared" si="15"/>
        <v>8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47"/>
      <c r="BK42" s="147"/>
      <c r="BL42" s="147"/>
      <c r="BM42" s="147"/>
      <c r="BN42" s="147"/>
      <c r="BO42" s="149"/>
      <c r="BP42" s="149"/>
      <c r="BQ42" s="149"/>
      <c r="BR42" s="149"/>
      <c r="BS42" s="149"/>
      <c r="BT42" s="149"/>
    </row>
    <row r="43" spans="1:72" ht="15" customHeight="1" x14ac:dyDescent="0.2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0.58333333333333337</v>
      </c>
      <c r="E43" s="22" t="str">
        <f>AB23</f>
        <v>Denmark</v>
      </c>
      <c r="F43" s="23">
        <v>2</v>
      </c>
      <c r="G43" s="24">
        <v>4</v>
      </c>
      <c r="H43" s="67" t="str">
        <f>AB20</f>
        <v>France</v>
      </c>
      <c r="R43" s="58">
        <f>DATE(2018,6,26)+TIME(3,0,0)+gmt_delta</f>
        <v>43277.583333333336</v>
      </c>
      <c r="S43" s="65" t="str">
        <f t="shared" si="2"/>
        <v>Denmark_lose</v>
      </c>
      <c r="T43" s="65" t="str">
        <f t="shared" si="3"/>
        <v>France_win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-1</v>
      </c>
      <c r="AH43" s="58">
        <f>MIN(AH38:AH41)</f>
        <v>-897</v>
      </c>
      <c r="AI43" s="58">
        <f>MIN(AI38:AI41)</f>
        <v>-9</v>
      </c>
      <c r="AY43" s="80"/>
    </row>
    <row r="44" spans="1:72" ht="15" customHeight="1" x14ac:dyDescent="0.2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0.58333333333333337</v>
      </c>
      <c r="E44" s="22" t="str">
        <f>AB21</f>
        <v>Australia</v>
      </c>
      <c r="F44" s="23">
        <v>2</v>
      </c>
      <c r="G44" s="24">
        <v>4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43277.583333333336</v>
      </c>
      <c r="S44" s="65" t="str">
        <f t="shared" si="2"/>
        <v>Australia_lose</v>
      </c>
      <c r="T44" s="65" t="str">
        <f t="shared" si="3"/>
        <v>Peru_win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-1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3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12</v>
      </c>
      <c r="AG44" s="58">
        <f>SUMIF($E$7:$E$54,$AB44,$G$7:$G$54) + SUMIF($H$7:$H$54,$AB44,$F$7:$F$54)</f>
        <v>6</v>
      </c>
      <c r="AH44" s="58">
        <f>(AF44-AG44)*100+AK44*10000+AF44</f>
        <v>90612</v>
      </c>
      <c r="AI44" s="58">
        <f>AF44-AG44</f>
        <v>6</v>
      </c>
      <c r="AJ44" s="58">
        <f>(AI44-AI49)/AI48</f>
        <v>0.91666666666666663</v>
      </c>
      <c r="AK44" s="58">
        <f>AC44*3+AD44</f>
        <v>9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1105.0006625000001</v>
      </c>
      <c r="AO44" s="60" t="str">
        <f>IF(SUM(AC44:AE47)=12,J45,INDEX(T,82,lang))</f>
        <v>Belgium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2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0.75</v>
      </c>
      <c r="E45" s="22" t="str">
        <f>AB29</f>
        <v>Nigeria</v>
      </c>
      <c r="F45" s="23">
        <v>1</v>
      </c>
      <c r="G45" s="24">
        <v>5</v>
      </c>
      <c r="H45" s="67" t="str">
        <f>AB26</f>
        <v>Argentina</v>
      </c>
      <c r="J45" s="69" t="str">
        <f>VLOOKUP(1,AA44:AK47,2,FALSE)</f>
        <v>Belgium</v>
      </c>
      <c r="K45" s="70">
        <f>L45+M45+N45</f>
        <v>3</v>
      </c>
      <c r="L45" s="70">
        <f>VLOOKUP(1,AA44:AK47,3,FALSE)</f>
        <v>3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12 - 6</v>
      </c>
      <c r="P45" s="71">
        <f>L45*3+M45</f>
        <v>9</v>
      </c>
      <c r="R45" s="58">
        <f>DATE(2018,6,26)+TIME(7,0,0)+gmt_delta</f>
        <v>43277.75</v>
      </c>
      <c r="S45" s="65" t="str">
        <f t="shared" si="2"/>
        <v>Nigeria_lose</v>
      </c>
      <c r="T45" s="65" t="str">
        <f t="shared" si="3"/>
        <v>Argentina_win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1</v>
      </c>
      <c r="Y45" s="58">
        <f t="shared" si="9"/>
        <v>-1</v>
      </c>
      <c r="AA45" s="58">
        <f>COUNTIF(AN44:AN47,CONCATENATE("&gt;=",AN45))</f>
        <v>3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1</v>
      </c>
      <c r="AE45" s="58">
        <f>COUNTIF($S$7:$T$54,"=" &amp; AB45 &amp; "_lose")</f>
        <v>2</v>
      </c>
      <c r="AF45" s="58">
        <f>SUMIF($E$7:$E$54,$AB45,$F$7:$F$54) + SUMIF($H$7:$H$54,$AB45,$G$7:$G$54)</f>
        <v>5</v>
      </c>
      <c r="AG45" s="58">
        <f>SUMIF($E$7:$E$54,$AB45,$G$7:$G$54) + SUMIF($H$7:$H$54,$AB45,$F$7:$F$54)</f>
        <v>8</v>
      </c>
      <c r="AH45" s="58">
        <f>(AF45-AG45)*100+AK45*10000+AF45</f>
        <v>9705</v>
      </c>
      <c r="AI45" s="58">
        <f>AF45-AG45</f>
        <v>-3</v>
      </c>
      <c r="AJ45" s="58">
        <f>(AI45-AI49)/AI48</f>
        <v>0.16666666666666666</v>
      </c>
      <c r="AK45" s="58">
        <f>AC45*3+AD45</f>
        <v>1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133.33364383333333</v>
      </c>
      <c r="AO45" s="60" t="str">
        <f>IF(SUM(AC44:AE47)=12,J46,INDEX(T,83,lang))</f>
        <v>England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2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0.75</v>
      </c>
      <c r="E46" s="22" t="str">
        <f>AB27</f>
        <v>Iceland</v>
      </c>
      <c r="F46" s="23">
        <v>2</v>
      </c>
      <c r="G46" s="24">
        <v>3</v>
      </c>
      <c r="H46" s="67" t="str">
        <f>AB28</f>
        <v>Croatia</v>
      </c>
      <c r="J46" s="72" t="str">
        <f>VLOOKUP(2,AA44:AK47,2,FALSE)</f>
        <v>England</v>
      </c>
      <c r="K46" s="27">
        <f>L46+M46+N46</f>
        <v>3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1</v>
      </c>
      <c r="O46" s="27" t="str">
        <f>VLOOKUP(2,AA44:AK47,6,FALSE) &amp; " - " &amp; VLOOKUP(2,AA44:AK47,7,FALSE)</f>
        <v>7 - 5</v>
      </c>
      <c r="P46" s="73">
        <f>L46*3+M46</f>
        <v>6</v>
      </c>
      <c r="R46" s="58">
        <f>DATE(2018,6,26)+TIME(7,0,0)+gmt_delta</f>
        <v>43277.75</v>
      </c>
      <c r="S46" s="65" t="str">
        <f t="shared" si="2"/>
        <v>Iceland_lose</v>
      </c>
      <c r="T46" s="65" t="str">
        <f t="shared" si="3"/>
        <v>Croatia_win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-1</v>
      </c>
      <c r="AA46" s="58">
        <f>COUNTIF(AN44:AN47,CONCATENATE("&gt;=",AN46))</f>
        <v>4</v>
      </c>
      <c r="AB46" s="59" t="str">
        <f>VLOOKUP("Tunisia",T,lang,FALSE)</f>
        <v>Tunisia</v>
      </c>
      <c r="AC46" s="58">
        <f>COUNTIF($S$7:$T$54,"=" &amp; AB46 &amp; "_win")</f>
        <v>0</v>
      </c>
      <c r="AD46" s="58">
        <f>COUNTIF($S$7:$T$54,"=" &amp; AB46 &amp; "_draw")</f>
        <v>1</v>
      </c>
      <c r="AE46" s="58">
        <f>COUNTIF($S$7:$T$54,"=" &amp; AB46 &amp; "_lose")</f>
        <v>2</v>
      </c>
      <c r="AF46" s="58">
        <f>SUMIF($E$7:$E$54,$AB46,$F$7:$F$54) + SUMIF($H$7:$H$54,$AB46,$G$7:$G$54)</f>
        <v>4</v>
      </c>
      <c r="AG46" s="58">
        <f>SUMIF($E$7:$E$54,$AB46,$G$7:$G$54) + SUMIF($H$7:$H$54,$AB46,$F$7:$F$54)</f>
        <v>9</v>
      </c>
      <c r="AH46" s="58">
        <f>(AF46-AG46)*100+AK46*10000+AF46</f>
        <v>9504</v>
      </c>
      <c r="AI46" s="58">
        <f>AF46-AG46</f>
        <v>-5</v>
      </c>
      <c r="AJ46" s="58">
        <f>(AI46-AI49)/AI48</f>
        <v>0</v>
      </c>
      <c r="AK46" s="58">
        <f>AC46*3+AD46</f>
        <v>1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115.55597455555555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37" t="s">
        <v>2224</v>
      </c>
      <c r="AZ46" s="138"/>
      <c r="BA46" s="138"/>
      <c r="BB46" s="139"/>
    </row>
    <row r="47" spans="1:72" ht="15" customHeight="1" x14ac:dyDescent="0.2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0.75</v>
      </c>
      <c r="E47" s="22" t="str">
        <f>AB35</f>
        <v>Serbia</v>
      </c>
      <c r="F47" s="23">
        <v>2</v>
      </c>
      <c r="G47" s="24">
        <v>4</v>
      </c>
      <c r="H47" s="67" t="str">
        <f>AB32</f>
        <v>Brazil</v>
      </c>
      <c r="J47" s="72" t="str">
        <f>VLOOKUP(3,AA44:AK47,2,FALSE)</f>
        <v>Panama</v>
      </c>
      <c r="K47" s="27">
        <f>L47+M47+N47</f>
        <v>3</v>
      </c>
      <c r="L47" s="27">
        <f>VLOOKUP(3,AA44:AK47,3,FALSE)</f>
        <v>0</v>
      </c>
      <c r="M47" s="27">
        <f>VLOOKUP(3,AA44:AK47,4,FALSE)</f>
        <v>1</v>
      </c>
      <c r="N47" s="27">
        <f>VLOOKUP(3,AA44:AK47,5,FALSE)</f>
        <v>2</v>
      </c>
      <c r="O47" s="27" t="str">
        <f>VLOOKUP(3,AA44:AK47,6,FALSE) &amp; " - " &amp; VLOOKUP(3,AA44:AK47,7,FALSE)</f>
        <v>5 - 8</v>
      </c>
      <c r="P47" s="73">
        <f>L47*3+M47</f>
        <v>1</v>
      </c>
      <c r="R47" s="58">
        <f>DATE(2018,6,27)+TIME(7,0,0)+gmt_delta</f>
        <v>43278.75</v>
      </c>
      <c r="S47" s="65" t="str">
        <f t="shared" si="2"/>
        <v>Serbia_lose</v>
      </c>
      <c r="T47" s="65" t="str">
        <f t="shared" si="3"/>
        <v>Brazil_win</v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>
        <f t="shared" si="9"/>
        <v>-1</v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1</v>
      </c>
      <c r="AF47" s="58">
        <f>SUMIF($E$7:$E$54,$AB47,$F$7:$F$54) + SUMIF($H$7:$H$54,$AB47,$G$7:$G$54)</f>
        <v>7</v>
      </c>
      <c r="AG47" s="58">
        <f>SUMIF($E$7:$E$54,$AB47,$G$7:$G$54) + SUMIF($H$7:$H$54,$AB47,$F$7:$F$54)</f>
        <v>5</v>
      </c>
      <c r="AH47" s="58">
        <f>(AF47-AG47)*100+AK47*10000+AF47</f>
        <v>60207</v>
      </c>
      <c r="AI47" s="58">
        <f>AF47-AG47</f>
        <v>2</v>
      </c>
      <c r="AJ47" s="58">
        <f>(AI47-AI49)/AI48</f>
        <v>0.58333333333333337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732.77830127777781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40"/>
      <c r="AZ47" s="141"/>
      <c r="BA47" s="141"/>
      <c r="BB47" s="142"/>
    </row>
    <row r="48" spans="1:72" ht="15" customHeight="1" x14ac:dyDescent="0.2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0.75</v>
      </c>
      <c r="E48" s="22" t="str">
        <f>AB33</f>
        <v>Switzerland</v>
      </c>
      <c r="F48" s="23">
        <v>4</v>
      </c>
      <c r="G48" s="24">
        <v>1</v>
      </c>
      <c r="H48" s="67" t="str">
        <f>AB34</f>
        <v>Costa Rica</v>
      </c>
      <c r="J48" s="74" t="str">
        <f>VLOOKUP(4,AA44:AK47,2,FALSE)</f>
        <v>Tunisia</v>
      </c>
      <c r="K48" s="75">
        <f>L48+M48+N48</f>
        <v>3</v>
      </c>
      <c r="L48" s="75">
        <f>VLOOKUP(4,AA44:AK47,3,FALSE)</f>
        <v>0</v>
      </c>
      <c r="M48" s="75">
        <f>VLOOKUP(4,AA44:AK47,4,FALSE)</f>
        <v>1</v>
      </c>
      <c r="N48" s="75">
        <f>VLOOKUP(4,AA44:AK47,5,FALSE)</f>
        <v>2</v>
      </c>
      <c r="O48" s="75" t="str">
        <f>VLOOKUP(4,AA44:AK47,6,FALSE) &amp; " - " &amp; VLOOKUP(4,AA44:AK47,7,FALSE)</f>
        <v>4 - 9</v>
      </c>
      <c r="P48" s="76">
        <f>L48*3+M48</f>
        <v>1</v>
      </c>
      <c r="R48" s="58">
        <f>DATE(2018,6,27)+TIME(7,0,0)+gmt_delta</f>
        <v>43278.75</v>
      </c>
      <c r="S48" s="65" t="str">
        <f t="shared" si="2"/>
        <v>Switzerland_win</v>
      </c>
      <c r="T48" s="65" t="str">
        <f t="shared" si="3"/>
        <v>Costa Rica_lose</v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>
        <f t="shared" si="9"/>
        <v>1</v>
      </c>
      <c r="AC48" s="58">
        <f t="shared" ref="AC48:AL48" si="16">MAX(AC44:AC47)-MIN(AC44:AC47)+1</f>
        <v>4</v>
      </c>
      <c r="AD48" s="58">
        <f t="shared" si="16"/>
        <v>2</v>
      </c>
      <c r="AE48" s="58">
        <f t="shared" si="16"/>
        <v>3</v>
      </c>
      <c r="AF48" s="58">
        <f t="shared" si="16"/>
        <v>9</v>
      </c>
      <c r="AG48" s="58">
        <f t="shared" si="16"/>
        <v>5</v>
      </c>
      <c r="AH48" s="58">
        <f>MAX(AH44:AH47)-AH49+1</f>
        <v>81109</v>
      </c>
      <c r="AI48" s="58">
        <f>MAX(AI44:AI47)-AI49+1</f>
        <v>12</v>
      </c>
      <c r="AK48" s="58">
        <f t="shared" si="16"/>
        <v>9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40"/>
      <c r="AZ48" s="141"/>
      <c r="BA48" s="141"/>
      <c r="BB48" s="142"/>
    </row>
    <row r="49" spans="1:54" ht="15" customHeight="1" x14ac:dyDescent="0.2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0.58333333333333337</v>
      </c>
      <c r="E49" s="22" t="str">
        <f>AB41</f>
        <v>Korea Republic</v>
      </c>
      <c r="F49" s="23">
        <v>0</v>
      </c>
      <c r="G49" s="24">
        <v>6</v>
      </c>
      <c r="H49" s="67" t="str">
        <f>AB38</f>
        <v>Germany</v>
      </c>
      <c r="R49" s="58">
        <f>DATE(2018,6,27)+TIME(3,0,0)+gmt_delta</f>
        <v>43278.583333333336</v>
      </c>
      <c r="S49" s="65" t="str">
        <f t="shared" si="2"/>
        <v>Korea Republic_lose</v>
      </c>
      <c r="T49" s="65" t="str">
        <f t="shared" si="3"/>
        <v>Germany_win</v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>
        <f t="shared" si="9"/>
        <v>-1</v>
      </c>
      <c r="AH49" s="58">
        <f>MIN(AH44:AH47)</f>
        <v>9504</v>
      </c>
      <c r="AI49" s="58">
        <f>MIN(AI44:AI47)</f>
        <v>-5</v>
      </c>
      <c r="AY49" s="140"/>
      <c r="AZ49" s="141"/>
      <c r="BA49" s="141"/>
      <c r="BB49" s="142"/>
    </row>
    <row r="50" spans="1:54" ht="15" customHeight="1" x14ac:dyDescent="0.2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0.58333333333333337</v>
      </c>
      <c r="E50" s="22" t="str">
        <f>AB39</f>
        <v>Mexico</v>
      </c>
      <c r="F50" s="23">
        <v>2</v>
      </c>
      <c r="G50" s="24">
        <v>2</v>
      </c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43278.583333333336</v>
      </c>
      <c r="S50" s="65" t="str">
        <f t="shared" si="2"/>
        <v>Mexico_draw</v>
      </c>
      <c r="T50" s="65" t="str">
        <f t="shared" si="3"/>
        <v>Sweden_draw</v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>
        <f t="shared" si="9"/>
        <v>0</v>
      </c>
      <c r="AA50" s="58">
        <f>COUNTIF(AN50:AN53,CONCATENATE("&gt;=",AN50))</f>
        <v>1</v>
      </c>
      <c r="AB50" s="59" t="str">
        <f>VLOOKUP("Poland",T,lang,FALSE)</f>
        <v>Poland</v>
      </c>
      <c r="AC50" s="58">
        <f>COUNTIF($S$7:$T$54,"=" &amp; AB50 &amp; "_win")</f>
        <v>3</v>
      </c>
      <c r="AD50" s="58">
        <f>COUNTIF($S$7:$T$54,"=" &amp; AB50 &amp; "_draw")</f>
        <v>0</v>
      </c>
      <c r="AE50" s="58">
        <f>COUNTIF($S$7:$T$54,"=" &amp; AB50 &amp; "_lose")</f>
        <v>0</v>
      </c>
      <c r="AF50" s="58">
        <f>SUMIF($E$7:$E$54,$AB50,$F$7:$F$54) + SUMIF($H$7:$H$54,$AB50,$G$7:$G$54)</f>
        <v>13</v>
      </c>
      <c r="AG50" s="58">
        <f>SUMIF($E$7:$E$54,$AB50,$G$7:$G$54) + SUMIF($H$7:$H$54,$AB50,$F$7:$F$54)</f>
        <v>3</v>
      </c>
      <c r="AH50" s="58">
        <f>(AF50-AG50)*100+AK50*10000+AF50</f>
        <v>91013</v>
      </c>
      <c r="AI50" s="58">
        <f>AF50-AG50</f>
        <v>10</v>
      </c>
      <c r="AJ50" s="58">
        <f>(AI50-AI55)/AI54</f>
        <v>0.95</v>
      </c>
      <c r="AK50" s="58">
        <f>AC50*3+AD50</f>
        <v>9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1005.8339378333334</v>
      </c>
      <c r="AO50" s="60" t="str">
        <f>IF(SUM(AC50:AE53)=12,J51,INDEX(T,84,lang))</f>
        <v>Poland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40"/>
      <c r="AZ50" s="141"/>
      <c r="BA50" s="141"/>
      <c r="BB50" s="142"/>
    </row>
    <row r="51" spans="1:54" ht="15" customHeight="1" x14ac:dyDescent="0.2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0.75</v>
      </c>
      <c r="E51" s="22" t="str">
        <f>AB47</f>
        <v>England</v>
      </c>
      <c r="F51" s="23">
        <v>2</v>
      </c>
      <c r="G51" s="24">
        <v>4</v>
      </c>
      <c r="H51" s="67" t="str">
        <f>AB44</f>
        <v>Belgium</v>
      </c>
      <c r="J51" s="69" t="str">
        <f>VLOOKUP(1,AA50:AK53,2,FALSE)</f>
        <v>Poland</v>
      </c>
      <c r="K51" s="70">
        <f>L51+M51+N51</f>
        <v>3</v>
      </c>
      <c r="L51" s="70">
        <f>VLOOKUP(1,AA50:AK53,3,FALSE)</f>
        <v>3</v>
      </c>
      <c r="M51" s="70">
        <f>VLOOKUP(1,AA50:AK53,4,FALSE)</f>
        <v>0</v>
      </c>
      <c r="N51" s="70">
        <f>VLOOKUP(1,AA50:AK53,5,FALSE)</f>
        <v>0</v>
      </c>
      <c r="O51" s="70" t="str">
        <f>VLOOKUP(1,AA50:AK53,6,FALSE) &amp; " - " &amp; VLOOKUP(1,AA50:AK53,7,FALSE)</f>
        <v>13 - 3</v>
      </c>
      <c r="P51" s="71">
        <f>L51*3+M51</f>
        <v>9</v>
      </c>
      <c r="R51" s="58">
        <f>DATE(2018,6,28)+TIME(7,0,0)+gmt_delta</f>
        <v>43279.75</v>
      </c>
      <c r="S51" s="65" t="str">
        <f t="shared" si="2"/>
        <v>England_lose</v>
      </c>
      <c r="T51" s="65" t="str">
        <f t="shared" si="3"/>
        <v>Belgium_win</v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>
        <f t="shared" si="9"/>
        <v>-1</v>
      </c>
      <c r="AA51" s="58">
        <f>COUNTIF(AN50:AN53,CONCATENATE("&gt;=",AN51))</f>
        <v>3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0</v>
      </c>
      <c r="AE51" s="58">
        <f>COUNTIF($S$7:$T$54,"=" &amp; AB51 &amp; "_lose")</f>
        <v>2</v>
      </c>
      <c r="AF51" s="58">
        <f>SUMIF($E$7:$E$54,$AB51,$F$7:$F$54) + SUMIF($H$7:$H$54,$AB51,$G$7:$G$54)</f>
        <v>4</v>
      </c>
      <c r="AG51" s="58">
        <f>SUMIF($E$7:$E$54,$AB51,$G$7:$G$54) + SUMIF($H$7:$H$54,$AB51,$F$7:$F$54)</f>
        <v>10</v>
      </c>
      <c r="AH51" s="58">
        <f>(AF51-AG51)*100+AK51*10000+AF51</f>
        <v>29404</v>
      </c>
      <c r="AI51" s="58">
        <f>AF51-AG51</f>
        <v>-6</v>
      </c>
      <c r="AJ51" s="58">
        <f>(AI51-AI55)/AI54</f>
        <v>0.15</v>
      </c>
      <c r="AK51" s="58">
        <f>AC51*3+AD51</f>
        <v>3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318.33377533333334</v>
      </c>
      <c r="AO51" s="60" t="str">
        <f>IF(SUM(AC50:AE53)=12,J52,INDEX(T,85,lang))</f>
        <v>Colombia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40"/>
      <c r="AZ51" s="141"/>
      <c r="BA51" s="141"/>
      <c r="BB51" s="142"/>
    </row>
    <row r="52" spans="1:54" ht="15" customHeight="1" x14ac:dyDescent="0.2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0.75</v>
      </c>
      <c r="E52" s="22" t="str">
        <f>AB45</f>
        <v>Panama</v>
      </c>
      <c r="F52" s="23">
        <v>2</v>
      </c>
      <c r="G52" s="24">
        <v>2</v>
      </c>
      <c r="H52" s="67" t="str">
        <f>AB46</f>
        <v>Tunisia</v>
      </c>
      <c r="J52" s="72" t="str">
        <f>VLOOKUP(2,AA50:AK53,2,FALSE)</f>
        <v>Colombia</v>
      </c>
      <c r="K52" s="27">
        <f>L52+M52+N52</f>
        <v>3</v>
      </c>
      <c r="L52" s="27">
        <f>VLOOKUP(2,AA50:AK53,3,FALSE)</f>
        <v>2</v>
      </c>
      <c r="M52" s="27">
        <f>VLOOKUP(2,AA50:AK53,4,FALSE)</f>
        <v>0</v>
      </c>
      <c r="N52" s="27">
        <f>VLOOKUP(2,AA50:AK53,5,FALSE)</f>
        <v>1</v>
      </c>
      <c r="O52" s="27" t="str">
        <f>VLOOKUP(2,AA50:AK53,6,FALSE) &amp; " - " &amp; VLOOKUP(2,AA50:AK53,7,FALSE)</f>
        <v>9 - 4</v>
      </c>
      <c r="P52" s="73">
        <f>L52*3+M52</f>
        <v>6</v>
      </c>
      <c r="R52" s="58">
        <f>DATE(2018,6,28)+TIME(7,0,0)+gmt_delta</f>
        <v>43279.75</v>
      </c>
      <c r="S52" s="65" t="str">
        <f t="shared" si="2"/>
        <v>Panama_draw</v>
      </c>
      <c r="T52" s="65" t="str">
        <f t="shared" si="3"/>
        <v>Tunisia_draw</v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>
        <f t="shared" si="9"/>
        <v>0</v>
      </c>
      <c r="AA52" s="58">
        <f>COUNTIF(AN50:AN53,CONCATENATE("&gt;=",AN52))</f>
        <v>2</v>
      </c>
      <c r="AB52" s="59" t="str">
        <f>VLOOKUP("Colombia",T,lang,FALSE)</f>
        <v>Colombia</v>
      </c>
      <c r="AC52" s="58">
        <f>COUNTIF($S$7:$T$54,"=" &amp; AB52 &amp; "_win")</f>
        <v>2</v>
      </c>
      <c r="AD52" s="58">
        <f>COUNTIF($S$7:$T$54,"=" &amp; AB52 &amp; "_draw")</f>
        <v>0</v>
      </c>
      <c r="AE52" s="58">
        <f>COUNTIF($S$7:$T$54,"=" &amp; AB52 &amp; "_lose")</f>
        <v>1</v>
      </c>
      <c r="AF52" s="58">
        <f>SUMIF($E$7:$E$54,$AB52,$F$7:$F$54) + SUMIF($H$7:$H$54,$AB52,$G$7:$G$54)</f>
        <v>9</v>
      </c>
      <c r="AG52" s="58">
        <f>SUMIF($E$7:$E$54,$AB52,$G$7:$G$54) + SUMIF($H$7:$H$54,$AB52,$F$7:$F$54)</f>
        <v>4</v>
      </c>
      <c r="AH52" s="58">
        <f>(AF52-AG52)*100+AK52*10000+AF52</f>
        <v>60509</v>
      </c>
      <c r="AI52" s="58">
        <f>AF52-AG52</f>
        <v>5</v>
      </c>
      <c r="AJ52" s="58">
        <f>(AI52-AI55)/AI54</f>
        <v>0.7</v>
      </c>
      <c r="AK52" s="58">
        <f>AC52*3+AD52</f>
        <v>6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677.500539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43"/>
      <c r="AZ52" s="144"/>
      <c r="BA52" s="144"/>
      <c r="BB52" s="145"/>
    </row>
    <row r="53" spans="1:54" ht="15" customHeight="1" x14ac:dyDescent="0.2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0.58333333333333337</v>
      </c>
      <c r="E53" s="22" t="str">
        <f>AB53</f>
        <v>Japan</v>
      </c>
      <c r="F53" s="23">
        <v>1</v>
      </c>
      <c r="G53" s="24">
        <v>5</v>
      </c>
      <c r="H53" s="67" t="str">
        <f>AB50</f>
        <v>Poland</v>
      </c>
      <c r="J53" s="72" t="str">
        <f>VLOOKUP(3,AA50:AK53,2,FALSE)</f>
        <v>Senegal</v>
      </c>
      <c r="K53" s="27">
        <f>L53+M53+N53</f>
        <v>3</v>
      </c>
      <c r="L53" s="27">
        <f>VLOOKUP(3,AA50:AK53,3,FALSE)</f>
        <v>1</v>
      </c>
      <c r="M53" s="27">
        <f>VLOOKUP(3,AA50:AK53,4,FALSE)</f>
        <v>0</v>
      </c>
      <c r="N53" s="27">
        <f>VLOOKUP(3,AA50:AK53,5,FALSE)</f>
        <v>2</v>
      </c>
      <c r="O53" s="27" t="str">
        <f>VLOOKUP(3,AA50:AK53,6,FALSE) &amp; " - " &amp; VLOOKUP(3,AA50:AK53,7,FALSE)</f>
        <v>4 - 10</v>
      </c>
      <c r="P53" s="73">
        <f>L53*3+M53</f>
        <v>3</v>
      </c>
      <c r="R53" s="58">
        <f>DATE(2018,6,28)+TIME(3,0,0)+gmt_delta</f>
        <v>43279.583333333336</v>
      </c>
      <c r="S53" s="65" t="str">
        <f t="shared" si="2"/>
        <v>Japan_lose</v>
      </c>
      <c r="T53" s="65" t="str">
        <f t="shared" si="3"/>
        <v>Poland_win</v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>
        <f t="shared" si="9"/>
        <v>-1</v>
      </c>
      <c r="AA53" s="58">
        <f>COUNTIF(AN50:AN53,CONCATENATE("&gt;=",AN53))</f>
        <v>4</v>
      </c>
      <c r="AB53" s="59" t="str">
        <f>VLOOKUP("Japan",T,lang,FALSE)</f>
        <v>Japan</v>
      </c>
      <c r="AC53" s="58">
        <f>COUNTIF($S$7:$T$54,"=" &amp; AB53 &amp; "_win")</f>
        <v>0</v>
      </c>
      <c r="AD53" s="58">
        <f>COUNTIF($S$7:$T$54,"=" &amp; AB53 &amp; "_draw")</f>
        <v>0</v>
      </c>
      <c r="AE53" s="58">
        <f>COUNTIF($S$7:$T$54,"=" &amp; AB53 &amp; "_lose")</f>
        <v>3</v>
      </c>
      <c r="AF53" s="58">
        <f>SUMIF($E$7:$E$54,$AB53,$F$7:$F$54) + SUMIF($H$7:$H$54,$AB53,$G$7:$G$54)</f>
        <v>2</v>
      </c>
      <c r="AG53" s="58">
        <f>SUMIF($E$7:$E$54,$AB53,$G$7:$G$54) + SUMIF($H$7:$H$54,$AB53,$F$7:$F$54)</f>
        <v>11</v>
      </c>
      <c r="AH53" s="58">
        <f>(AF53-AG53)*100+AK53*10000+AF53</f>
        <v>-898</v>
      </c>
      <c r="AI53" s="58">
        <f>AF53-AG53</f>
        <v>-9</v>
      </c>
      <c r="AJ53" s="58">
        <f>(AI53-AI55)/AI54</f>
        <v>0</v>
      </c>
      <c r="AK53" s="58">
        <f>AC53*3+AD53</f>
        <v>0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1.6669666666666667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 x14ac:dyDescent="0.2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0.58333333333333337</v>
      </c>
      <c r="E54" s="48" t="str">
        <f>AB51</f>
        <v>Senegal</v>
      </c>
      <c r="F54" s="32">
        <v>1</v>
      </c>
      <c r="G54" s="33">
        <v>4</v>
      </c>
      <c r="H54" s="68" t="str">
        <f>AB52</f>
        <v>Colombia</v>
      </c>
      <c r="J54" s="74" t="str">
        <f>VLOOKUP(4,AA50:AK53,2,FALSE)</f>
        <v>Japan</v>
      </c>
      <c r="K54" s="75">
        <f>L54+M54+N54</f>
        <v>3</v>
      </c>
      <c r="L54" s="75">
        <f>VLOOKUP(4,AA50:AK53,3,FALSE)</f>
        <v>0</v>
      </c>
      <c r="M54" s="75">
        <f>VLOOKUP(4,AA50:AK53,4,FALSE)</f>
        <v>0</v>
      </c>
      <c r="N54" s="75">
        <f>VLOOKUP(4,AA50:AK53,5,FALSE)</f>
        <v>3</v>
      </c>
      <c r="O54" s="75" t="str">
        <f>VLOOKUP(4,AA50:AK53,6,FALSE) &amp; " - " &amp; VLOOKUP(4,AA50:AK53,7,FALSE)</f>
        <v>2 - 11</v>
      </c>
      <c r="P54" s="76">
        <f>L54*3+M54</f>
        <v>0</v>
      </c>
      <c r="R54" s="58">
        <f>DATE(2018,6,28)+TIME(3,0,0)+gmt_delta</f>
        <v>43279.583333333336</v>
      </c>
      <c r="S54" s="65" t="str">
        <f t="shared" si="2"/>
        <v>Senegal_lose</v>
      </c>
      <c r="T54" s="65" t="str">
        <f t="shared" si="3"/>
        <v>Colombia_win</v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>
        <f t="shared" si="9"/>
        <v>-1</v>
      </c>
      <c r="AC54" s="58">
        <f t="shared" ref="AC54:AL54" si="17">MAX(AC50:AC53)-MIN(AC50:AC53)+1</f>
        <v>4</v>
      </c>
      <c r="AD54" s="58">
        <f t="shared" si="17"/>
        <v>1</v>
      </c>
      <c r="AE54" s="58">
        <f t="shared" si="17"/>
        <v>4</v>
      </c>
      <c r="AF54" s="58">
        <f t="shared" si="17"/>
        <v>12</v>
      </c>
      <c r="AG54" s="58">
        <f t="shared" si="17"/>
        <v>9</v>
      </c>
      <c r="AH54" s="58">
        <f>MAX(AH50:AH53)-AH55+1</f>
        <v>91912</v>
      </c>
      <c r="AI54" s="58">
        <f>MAX(AI50:AI53)-AI55+1</f>
        <v>20</v>
      </c>
      <c r="AK54" s="58">
        <f t="shared" si="17"/>
        <v>10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 x14ac:dyDescent="0.2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-898</v>
      </c>
      <c r="AI55" s="58">
        <f>MIN(AI50:AI53)</f>
        <v>-9</v>
      </c>
    </row>
    <row r="56" spans="1:54" ht="12.75" customHeight="1" x14ac:dyDescent="0.2"/>
    <row r="57" spans="1:54" ht="12.75" customHeight="1" x14ac:dyDescent="0.2"/>
    <row r="58" spans="1:54" x14ac:dyDescent="0.2">
      <c r="R58" s="58">
        <f>DATE(2018,6,30)+TIME(7,0,0)+gmt_delta</f>
        <v>43281.75</v>
      </c>
      <c r="S58" s="65" t="str">
        <f>IF(OR(BA10="",BA11=""),"",IF(BA10&gt;BA11,AZ10,IF(BA10&lt;BA11,AZ11,IF(OR(BB10="",BB11=""),"draw",IF(BB10&gt;BB11,AZ10,IF(BB10&lt;BB11,AZ11,"draw"))))))</f>
        <v>Spain</v>
      </c>
      <c r="T58" s="65" t="str">
        <f>IF(OR(S58="",S58="draw"),INDEX(T,86,lang),S58)</f>
        <v>Spain</v>
      </c>
    </row>
    <row r="59" spans="1:54" ht="12.75" customHeight="1" x14ac:dyDescent="0.2">
      <c r="R59" s="58">
        <f>DATE(2018,6,30)+TIME(3,0,0)+gmt_delta</f>
        <v>43281.583333333336</v>
      </c>
      <c r="S59" s="65" t="str">
        <f>IF(OR(BA14="",BA15=""),"",IF(BA14&gt;BA15,AZ14,IF(BA14&lt;BA15,AZ15,IF(OR(BB14="",BB15=""),"draw",IF(BB14&gt;BB15,AZ14,IF(BB14&lt;BB15,AZ15,"draw"))))))</f>
        <v>France</v>
      </c>
      <c r="T59" s="65" t="str">
        <f>IF(OR(S59="",S59="draw"),INDEX(T,87,lang),S59)</f>
        <v>France</v>
      </c>
    </row>
    <row r="60" spans="1:54" ht="12.75" customHeight="1" x14ac:dyDescent="0.2">
      <c r="R60" s="58">
        <f>DATE(2018,7,1)+TIME(3,0,0)+gmt_delta</f>
        <v>43282.583333333336</v>
      </c>
      <c r="S60" s="65" t="str">
        <f>IF(OR(BA26="",BA27=""),"",IF(BA26&gt;BA27,AZ26,IF(BA26&lt;BA27,AZ27,IF(OR(BB26="",BB27=""),"draw",IF(BB26&gt;BB27,AZ26,IF(BB26&lt;BB27,AZ27,"draw"))))))</f>
        <v>Portugal</v>
      </c>
      <c r="T60" s="65" t="str">
        <f>IF(OR(S60="",S60="draw"),INDEX(T,88,lang),S60)</f>
        <v>Portugal</v>
      </c>
    </row>
    <row r="61" spans="1:54" ht="12.75" customHeight="1" x14ac:dyDescent="0.2">
      <c r="R61" s="58">
        <f>DATE(2018,7,1)+TIME(7,0,0)+gmt_delta</f>
        <v>43282.75</v>
      </c>
      <c r="S61" s="65" t="str">
        <f>IF(OR(BA30="",BA31=""),"",IF(BA30&gt;BA31,AZ30,IF(BA30&lt;BA31,AZ31,IF(OR(BB30="",BB31=""),"draw",IF(BB30&gt;BB31,AZ30,IF(BB30&lt;BB31,AZ31,"draw"))))))</f>
        <v>Argentina</v>
      </c>
      <c r="T61" s="65" t="str">
        <f>IF(OR(S61="",S61="draw"),INDEX(T,89,lang),S61)</f>
        <v>Argentina</v>
      </c>
    </row>
    <row r="62" spans="1:54" ht="12.75" customHeight="1" x14ac:dyDescent="0.2">
      <c r="R62" s="58">
        <f>DATE(2018,7,2)+TIME(3,0,0)+gmt_delta</f>
        <v>43283.583333333336</v>
      </c>
      <c r="S62" s="65" t="str">
        <f>IF(OR(BA18="",BA19=""),"",IF(BA18&gt;BA19,AZ18,IF(BA18&lt;BA19,AZ19,IF(OR(BB18="",BB19=""),"draw",IF(BB18&gt;BB19,AZ18,IF(BB18&lt;BB19,AZ19,"draw"))))))</f>
        <v>Germany</v>
      </c>
      <c r="T62" s="65" t="str">
        <f>IF(OR(S62="",S62="draw"),INDEX(T,90,lang),S62)</f>
        <v>Germany</v>
      </c>
    </row>
    <row r="63" spans="1:54" ht="12.75" customHeight="1" x14ac:dyDescent="0.2">
      <c r="R63" s="58">
        <f>DATE(2018,7,2)+TIME(7,0,0)+gmt_delta</f>
        <v>43283.75</v>
      </c>
      <c r="S63" s="65" t="str">
        <f>IF(OR(BA22="",BA23=""),"",IF(BA22&gt;BA23,AZ22,IF(BA22&lt;BA23,AZ23,IF(OR(BB22="",BB23=""),"draw",IF(BB22&gt;BB23,AZ22,IF(BB22&lt;BB23,AZ23,"draw"))))))</f>
        <v>Belgium</v>
      </c>
      <c r="T63" s="65" t="str">
        <f>IF(OR(S63="",S63="draw"),INDEX(T,91,lang),S63)</f>
        <v>Belgium</v>
      </c>
    </row>
    <row r="64" spans="1:54" ht="12.75" customHeight="1" x14ac:dyDescent="0.2">
      <c r="R64" s="58">
        <f>DATE(2018,7,3)+TIME(3,0,0)+gmt_delta</f>
        <v>43284.583333333336</v>
      </c>
      <c r="S64" s="65" t="str">
        <f>IF(OR(BA34="",BA35=""),"",IF(BA34&gt;BA35,AZ34,IF(BA34&lt;BA35,AZ35,IF(OR(BB34="",BB35=""),"draw",IF(BB34&gt;BB35,AZ34,IF(BB34&lt;BB35,AZ35,"draw"))))))</f>
        <v>Brazil</v>
      </c>
      <c r="T64" s="65" t="str">
        <f>IF(OR(S64="",S64="draw"),INDEX(T,92,lang),S64)</f>
        <v>Brazil</v>
      </c>
    </row>
    <row r="65" spans="18:26" ht="12.75" customHeight="1" x14ac:dyDescent="0.2">
      <c r="R65" s="58">
        <f>DATE(2018,7,3)+TIME(7,0,0)+gmt_delta</f>
        <v>43284.75</v>
      </c>
      <c r="S65" s="65" t="str">
        <f>IF(OR(BA38="",BA39=""),"",IF(BA38&gt;BA39,AZ38,IF(BA38&lt;BA39,AZ39,IF(OR(BB38="",BB39=""),"draw",IF(BB38&gt;BB39,AZ38,IF(BB38&lt;BB39,AZ39,"draw"))))))</f>
        <v>Poland</v>
      </c>
      <c r="T65" s="65" t="str">
        <f>IF(OR(S65="",S65="draw"),INDEX(T,93,lang),S65)</f>
        <v>Poland</v>
      </c>
    </row>
    <row r="66" spans="18:26" ht="12.75" customHeight="1" x14ac:dyDescent="0.2"/>
    <row r="67" spans="18:26" ht="12.75" customHeight="1" x14ac:dyDescent="0.2"/>
    <row r="68" spans="18:26" ht="12.75" customHeight="1" x14ac:dyDescent="0.2"/>
    <row r="69" spans="18:26" ht="12.75" customHeight="1" x14ac:dyDescent="0.2">
      <c r="R69" s="58">
        <f>DATE(2018,7,6)+TIME(3,0,0)+gmt_delta</f>
        <v>43287.583333333336</v>
      </c>
      <c r="S69" s="65" t="str">
        <f>IF(OR(BG12="",BG13=""),"",IF(BG12&gt;BG13,BF12,IF(BG12&lt;BG13,BF13,IF(OR(BH12="",BH13=""),"draw",IF(BH12&gt;BH13,BF12,IF(BH12&lt;BH13,BF13,"draw"))))))</f>
        <v>Spain</v>
      </c>
      <c r="T69" s="65" t="str">
        <f>IF(OR(S69="",S69="draw"),INDEX(T,94,lang),S69)</f>
        <v>Spain</v>
      </c>
    </row>
    <row r="70" spans="18:26" ht="12.75" customHeight="1" x14ac:dyDescent="0.2">
      <c r="R70" s="58">
        <f>DATE(2018,7,6)+TIME(7,0,0)+gmt_delta</f>
        <v>43287.75</v>
      </c>
      <c r="S70" s="65" t="str">
        <f>IF(OR(BG20="",BG21=""),"",IF(BG20&gt;BG21,BF20,IF(BG20&lt;BG21,BF21,IF(OR(BH20="",BH21=""),"draw",IF(BH20&gt;BH21,BF20,IF(BH20&lt;BH21,BF21,"draw"))))))</f>
        <v>Germany</v>
      </c>
      <c r="T70" s="65" t="str">
        <f>IF(OR(S70="",S70="draw"),INDEX(T,95,lang),S70)</f>
        <v>Germany</v>
      </c>
    </row>
    <row r="71" spans="18:26" ht="12.75" customHeight="1" x14ac:dyDescent="0.2">
      <c r="R71" s="58">
        <f>DATE(2018,7,7)+TIME(7,0,0)+gmt_delta</f>
        <v>43288.75</v>
      </c>
      <c r="S71" s="65" t="str">
        <f>IF(OR(BG28="",BG29=""),"",IF(BG28&gt;BG29,BF28,IF(BG28&lt;BG29,BF29,IF(OR(BH28="",BH29=""),"draw",IF(BH28&gt;BH29,BF28,IF(BH28&lt;BH29,BF29,"draw"))))))</f>
        <v>Portugal</v>
      </c>
      <c r="T71" s="65" t="str">
        <f>IF(OR(S71="",S71="draw"),INDEX(T,96,lang),S71)</f>
        <v>Portugal</v>
      </c>
    </row>
    <row r="72" spans="18:26" ht="12.75" customHeight="1" x14ac:dyDescent="0.2">
      <c r="R72" s="58">
        <f>DATE(2018,7,7)+TIME(3,0,0)+gmt_delta</f>
        <v>43288.583333333336</v>
      </c>
      <c r="S72" s="65" t="str">
        <f>IF(OR(BG36="",BG37=""),"",IF(BG36&gt;BG37,BF36,IF(BG36&lt;BG37,BF37,IF(OR(BH36="",BH37=""),"draw",IF(BH36&gt;BH37,BF36,IF(BH36&lt;BH37,BF37,"draw"))))))</f>
        <v>Brazil</v>
      </c>
      <c r="T72" s="65" t="str">
        <f>IF(OR(S72="",S72="draw"),INDEX(T,97,lang),S72)</f>
        <v>Brazil</v>
      </c>
    </row>
    <row r="73" spans="18:26" ht="12.75" customHeight="1" x14ac:dyDescent="0.2"/>
    <row r="74" spans="18:26" ht="12.75" customHeight="1" x14ac:dyDescent="0.2"/>
    <row r="75" spans="18:26" ht="12.75" customHeight="1" x14ac:dyDescent="0.2"/>
    <row r="76" spans="18:26" ht="12.75" customHeight="1" x14ac:dyDescent="0.2">
      <c r="R76" s="58">
        <f>DATE(2018,7,10)+TIME(7,0,0)+gmt_delta</f>
        <v>43291.75</v>
      </c>
      <c r="S76" s="65" t="str">
        <f>IF(OR(BM16="",BM17=""),"",IF(BM16&gt;BM17,BL16,IF(BM16&lt;BM17,BL17,IF(OR(BN16="",BN17=""),"draw",IF(BN16&gt;BN17,BL16,IF(BN16&lt;BN17,BL17,"draw"))))))</f>
        <v>Germany</v>
      </c>
      <c r="T76" s="65" t="str">
        <f>IF(OR(S76="",S76="draw"),INDEX(T,98,lang),S76)</f>
        <v>Germany</v>
      </c>
      <c r="U76" s="65" t="str">
        <f>IF(OR(BM16="",BM17=""),"",IF(BM16&lt;BM17,BL16,IF(BM16&gt;BM17,BL17,IF(OR(BN16="",BN17=""),"draw",IF(BN16&lt;BN17,BL16,IF(BN16&gt;BN17,BL17,"draw"))))))</f>
        <v>Spain</v>
      </c>
      <c r="Z76" s="65" t="str">
        <f>IF(OR(U76="",U76="draw"),INDEX(T,100,lang),U76)</f>
        <v>Spain</v>
      </c>
    </row>
    <row r="77" spans="18:26" ht="12.75" customHeight="1" x14ac:dyDescent="0.2">
      <c r="R77" s="58">
        <f>DATE(2018,7,11)+TIME(7,0,0)+gmt_delta</f>
        <v>43292.75</v>
      </c>
      <c r="S77" s="65" t="str">
        <f>IF(OR(BM32="",BM33=""),"",IF(BM32&gt;BM33,BL32,IF(BM32&lt;BM33,BL33,IF(OR(BN32="",BN33=""),"draw",IF(BN32&gt;BN33,BL32,IF(BN32&lt;BN33,BL33,"draw"))))))</f>
        <v>Brazil</v>
      </c>
      <c r="T77" s="65" t="str">
        <f>IF(OR(S77="",S77="draw"),INDEX(T,99,lang),S77)</f>
        <v>Brazil</v>
      </c>
      <c r="U77" s="65" t="str">
        <f>IF(OR(BM32="",BM33=""),"",IF(BM32&lt;BM33,BL32,IF(BM32&gt;BM33,BL33,IF(OR(BN32="",BN33=""),"draw",IF(BN32&lt;BN33,BL32,IF(BN32&gt;BN33,BL33,"draw"))))))</f>
        <v>Portugal</v>
      </c>
      <c r="Z77" s="65" t="str">
        <f>IF(OR(U77="",U77="draw"),INDEX(T,101,lang),U77)</f>
        <v>Portugal</v>
      </c>
    </row>
    <row r="79" spans="18:26" ht="12.75" customHeight="1" x14ac:dyDescent="0.2"/>
    <row r="80" spans="18:26" ht="12.75" customHeight="1" x14ac:dyDescent="0.2"/>
    <row r="81" spans="18:20" x14ac:dyDescent="0.2">
      <c r="R81" s="58">
        <f>DATE(2018,7,14)+TIME(3,0,0)+gmt_delta</f>
        <v>43295.583333333336</v>
      </c>
      <c r="T81" s="65" t="str">
        <f>IF(OR(BS35="",BS36=""),"",IF(BS35&gt;BS36,BR35,IF(BS35&lt;BS36,BR36,IF(OR(BT35="",BT36=""),"",IF(BT35&gt;BT36,BR35,IF(BT35&lt;BT36,BR36,""))))))</f>
        <v>Spain</v>
      </c>
    </row>
    <row r="83" spans="18:20" ht="12.75" customHeight="1" x14ac:dyDescent="0.2"/>
    <row r="84" spans="18:20" ht="12.75" customHeight="1" x14ac:dyDescent="0.2"/>
    <row r="85" spans="18:20" x14ac:dyDescent="0.2">
      <c r="R85" s="58">
        <f>DATE(2018,7,15)+TIME(4,0,0)+gmt_delta</f>
        <v>43296.625</v>
      </c>
      <c r="S85" s="65" t="str">
        <f>IF(OR(BS23="",BS24=""),"",IF(BS23&gt;BS24,BR23,IF(BS23&lt;BS24,BR24,IF(OR(BT23="",BT24=""),"",IF(BT23&gt;BT24,BR23,IF(BT23&lt;BT24,BR24,""))))))</f>
        <v>Germany</v>
      </c>
      <c r="T85" s="65" t="str">
        <f>S85</f>
        <v>Germany</v>
      </c>
    </row>
    <row r="87" spans="18:20" ht="12.75" customHeight="1" x14ac:dyDescent="0.2"/>
    <row r="88" spans="18:20" ht="12.75" customHeight="1" x14ac:dyDescent="0.2"/>
    <row r="96" spans="18:20" ht="12.75" customHeight="1" x14ac:dyDescent="0.2"/>
    <row r="97" ht="12.75" customHeight="1" x14ac:dyDescent="0.2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AY46:BB52"/>
    <mergeCell ref="AY38:AY39"/>
    <mergeCell ref="BJ41:BN42"/>
    <mergeCell ref="AY34:AY35"/>
    <mergeCell ref="BQ35:BQ36"/>
    <mergeCell ref="BE36:BE37"/>
    <mergeCell ref="BO41:BT42"/>
    <mergeCell ref="AY30:AY31"/>
    <mergeCell ref="BQ31:BT32"/>
    <mergeCell ref="BK32:BK33"/>
    <mergeCell ref="AY26:AY27"/>
    <mergeCell ref="BE28:BE29"/>
    <mergeCell ref="AY22:AY23"/>
    <mergeCell ref="BQ23:BQ24"/>
    <mergeCell ref="AY18:AY19"/>
    <mergeCell ref="BE20:BE21"/>
    <mergeCell ref="AY14:AY15"/>
    <mergeCell ref="BK16:BK17"/>
    <mergeCell ref="AY10:AY11"/>
    <mergeCell ref="BE12:BE13"/>
    <mergeCell ref="AY6:BB7"/>
    <mergeCell ref="BE6:BH7"/>
    <mergeCell ref="BK6:BN7"/>
    <mergeCell ref="BQ6:BT7"/>
    <mergeCell ref="A1:P1"/>
    <mergeCell ref="O3:P3"/>
    <mergeCell ref="A5:H6"/>
    <mergeCell ref="J5:P6"/>
  </mergeCells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 xr:uid="{5DC19248-CA97-4A65-901D-902A8CFD1871}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 xr:uid="{C7F7E835-588F-4CFE-8B58-3E549F511EDD}">
      <formula1>"0,1,2,3,4,5,6,7,8,9"</formula1>
    </dataValidation>
  </dataValidations>
  <hyperlinks>
    <hyperlink ref="O3" location="Settings!C4" tooltip="Settings" display="Settings!C4" xr:uid="{B7D43826-7A10-4B1F-B7E9-9C5EA92B5AE3}"/>
    <hyperlink ref="J5:P5" r:id="rId1" tooltip="Excel Schedule" display="Home Page: www.excely.com" xr:uid="{F1B16304-7A83-4C19-8499-62AB6ADF14F7}"/>
    <hyperlink ref="J5:P6" r:id="rId2" tooltip="World Cup 2018 Schedule in Excel" display="Home Page: www.excely.com" xr:uid="{C5C0CB06-50F0-4DD5-AAB0-434A0F623240}"/>
    <hyperlink ref="AY46:BB52" r:id="rId3" tooltip="FIFA World Cup Historical Data 1930 - 2014" display="http://www.excely.com/football/fifa-world-cup-statistics.shtml" xr:uid="{3D7E925C-71F7-4395-AF7F-647ABF98F356}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Rylie Pelton</cp:lastModifiedBy>
  <cp:lastPrinted>2018-01-03T15:36:04Z</cp:lastPrinted>
  <dcterms:created xsi:type="dcterms:W3CDTF">2017-12-27T19:32:51Z</dcterms:created>
  <dcterms:modified xsi:type="dcterms:W3CDTF">2018-06-19T18:12:35Z</dcterms:modified>
</cp:coreProperties>
</file>